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r:id="rId4"/>
    <sheet name="metadata_form" sheetId="5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<sst xmlns="http://schemas.openxmlformats.org/spreadsheetml/2006/main" count="67" uniqueCount="36">
  <si>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</si>
  <si>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</si>
  <si>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</si>
  <si>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</si>
  <si>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</si>
  <si>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env_package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</si>
  <si>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</si>
  <si>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</si>
  <si>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</si>
  <si>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</si>
  <si>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</si>
  <si>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</si>
  <si>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</si>
  <si>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</si>
  <si>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</si>
  <si>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</si>
  <si>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</si>
  <si>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</si>
  <si>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</si>
  <si>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</si>
  <si>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</si>
  <si>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</si>
  <si>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</si>
  <si>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</si>
  <si>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secretion". The default value is animal secretion.</t>
  </si>
  <si>
    <t>The value must be a string and must equal "saliva". The default value is saliva.</t>
  </si>
  <si>
    <t>The value must be a string and must equal "human-oral". The default value is human-oral.</t>
  </si>
  <si>
    <t>The value must be a string and must equal "UBERON:oral cavity". The default value is UBERON:oral cavity.</t>
  </si>
  <si>
    <t>The value must be a string and must equal "UBERON:saliva". The default value is UBERON:saliva.</t>
  </si>
  <si>
    <t>The value must be a string and must equal "UBERON:tongue". The default value is UBERON:tongue.</t>
  </si>
  <si>
    <t>The value must be a string and must equal "tongue". The default value is tongue.</t>
  </si>
  <si>
    <t>The value must be a string and must equal "human oral metagenome". The default value is human oral metagenome.</t>
  </si>
  <si>
    <t>The value must be a string and must equal "447426". The default value is 447426.</t>
  </si>
  <si>
    <t xml:space="preserve">empo_3:
  allowed:
  - animal secretion
  default: animal secretion
  empty: false
  is_phi: false
  required: true
  type: string
env_material:
  allowed:
  - saliva
  default: saliva
  empty: false
  is_phi: false
  required: true
  type: string
env_package:
  allowed:
  - human-oral
  default: human-oral
  empty: false
  is_phi: false
  required: true
  type: string
host_body_habitat:
  allowed:
  - UBERON:oral cavity
  default: UBERON:oral cavity
  empty: false
  is_phi: false
  required: true
  type: string
host_body_product:
  allowed:
  - UBERON:saliva
  default: UBERON:saliva
  empty: false
  is_phi: false
  required: true
  type: string
host_body_site:
  allowed:
  - UBERON:tongue
  default: UBERON:tongue
  empty: false
  is_phi: false
  required: true
  type: string
sample_name:
  empty: false
  is_phi: false
  regex: ^[a-zA-Z0-9\.]+$
  required: true
  type: string
  unique: true
sample_type:
  allowed:
  - tongue
  default: tongue
  empty: false
  is_phi: false
  required: true
  type: string
scientific_name:
  allowed:
  - human oral metagenome
  default: human oral metagenome
  empty: false
  is_phi: false
  required: true
  type: string
taxon_id:
  allowed:
  - '447426'
  default: '447426'
  empty: false
  is_phi: false
  required: true
  type: string
</t>
  </si>
  <si>
    <t xml:space="preserve">3:
  categorical_default_select: animal secretion
  categorical_values: animal secretion
  default_value: categorical_default
  field_name: empo_3
  field_type: categorical
4:
  categorical_default_select: saliva
  categorical_values: saliva
  default_value: categorical_default
  field_name: env_material
  field_type: categorical
5:
  categorical_default_select: human-oral
  categorical_values: human-oral
  default_value: categorical_default
  field_name: env_package
  field_type: categorical
6:
  categorical_default_select: tongue
  categorical_values: tongue
  default_value: categorical_default
  field_name: sample_type
  field_type: categorical
7:
  categorical_default_select: human oral metagenome
  categorical_values: human oral metagenome
  default_value: categorical_default
  field_name: scientific_name
  field_type: categorical
8:
  categorical_default_select: '447426'
  categorical_values: '447426'
  default_value: categorical_default
  field_name: taxon_id
  field_type: categorical
9:
  categorical_default_select: UBERON:tongue
  categorical_values: UBERON:tongue
  default_value: categorical_default
  field_name: host_body_site
  field_type: categorical
10:
  categorical_default_select: UBERON:saliva
  categorical_values: UBERON:saliva
  default_value: categorical_default
  field_name: host_body_product
  field_type: categorical
11:
  categorical_default_select: UBERON:oral cavity
  categorical_values: UBERON:oral cavity
  default_value: categorical_default
  field_name: host_body_habitat
  field_type: categorical
</t>
  </si>
  <si>
    <t>This file was created by the Metadata Wizard v0.3 at 2018-04-25 18:37:23.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</si>
</sst>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  <col min="11" max="11" width="9.140625" style="1"/>
  </cols>
  <sheetData>
    <row r="1" spans="1:1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>
      <c r="A2">
        <f>IF(COUNTBLANK(B2:K2)&lt;&gt;COLUMNS(B2:K2),1,"")</f>
        <v>0</v>
      </c>
      <c r="C2" s="1">
        <f>IF(B2="", "", "animal secretion")</f>
        <v>0</v>
      </c>
      <c r="D2" s="1">
        <f>IF(B2="", "", "saliva")</f>
        <v>0</v>
      </c>
      <c r="E2" s="1">
        <f>IF(B2="", "", "human-oral")</f>
        <v>0</v>
      </c>
      <c r="F2" s="1">
        <f>IF(B2="", "", "UBERON:oral cavity")</f>
        <v>0</v>
      </c>
      <c r="G2" s="1">
        <f>IF(B2="", "", "UBERON:saliva")</f>
        <v>0</v>
      </c>
      <c r="H2" s="1">
        <f>IF(B2="", "", "UBERON:tongue")</f>
        <v>0</v>
      </c>
      <c r="I2" s="1">
        <f>IF(B2="", "", "tongue")</f>
        <v>0</v>
      </c>
      <c r="J2" s="1">
        <f>IF(B2="", "", "human oral metagenome")</f>
        <v>0</v>
      </c>
      <c r="K2" s="1">
        <f>IF(B2="", "", "447426")</f>
        <v>0</v>
      </c>
    </row>
    <row r="3" spans="1:11">
      <c r="A3">
        <f>IF(COUNTBLANK(B3:K3)&lt;&gt;COLUMNS(B3:K3),2,"")</f>
        <v>0</v>
      </c>
      <c r="C3" s="1">
        <f>IF(B3="", "", "animal secretion")</f>
        <v>0</v>
      </c>
      <c r="D3" s="1">
        <f>IF(B3="", "", "saliva")</f>
        <v>0</v>
      </c>
      <c r="E3" s="1">
        <f>IF(B3="", "", "human-oral")</f>
        <v>0</v>
      </c>
      <c r="F3" s="1">
        <f>IF(B3="", "", "UBERON:oral cavity")</f>
        <v>0</v>
      </c>
      <c r="G3" s="1">
        <f>IF(B3="", "", "UBERON:saliva")</f>
        <v>0</v>
      </c>
      <c r="H3" s="1">
        <f>IF(B3="", "", "UBERON:tongue")</f>
        <v>0</v>
      </c>
      <c r="I3" s="1">
        <f>IF(B3="", "", "tongue")</f>
        <v>0</v>
      </c>
      <c r="J3" s="1">
        <f>IF(B3="", "", "human oral metagenome")</f>
        <v>0</v>
      </c>
      <c r="K3" s="1">
        <f>IF(B3="", "", "447426")</f>
        <v>0</v>
      </c>
    </row>
    <row r="4" spans="1:11">
      <c r="A4">
        <f>IF(COUNTBLANK(B4:K4)&lt;&gt;COLUMNS(B4:K4),3,"")</f>
        <v>0</v>
      </c>
      <c r="C4" s="1">
        <f>IF(B4="", "", "animal secretion")</f>
        <v>0</v>
      </c>
      <c r="D4" s="1">
        <f>IF(B4="", "", "saliva")</f>
        <v>0</v>
      </c>
      <c r="E4" s="1">
        <f>IF(B4="", "", "human-oral")</f>
        <v>0</v>
      </c>
      <c r="F4" s="1">
        <f>IF(B4="", "", "UBERON:oral cavity")</f>
        <v>0</v>
      </c>
      <c r="G4" s="1">
        <f>IF(B4="", "", "UBERON:saliva")</f>
        <v>0</v>
      </c>
      <c r="H4" s="1">
        <f>IF(B4="", "", "UBERON:tongue")</f>
        <v>0</v>
      </c>
      <c r="I4" s="1">
        <f>IF(B4="", "", "tongue")</f>
        <v>0</v>
      </c>
      <c r="J4" s="1">
        <f>IF(B4="", "", "human oral metagenome")</f>
        <v>0</v>
      </c>
      <c r="K4" s="1">
        <f>IF(B4="", "", "447426")</f>
        <v>0</v>
      </c>
    </row>
    <row r="5" spans="1:11">
      <c r="A5">
        <f>IF(COUNTBLANK(B5:K5)&lt;&gt;COLUMNS(B5:K5),4,"")</f>
        <v>0</v>
      </c>
      <c r="C5" s="1">
        <f>IF(B5="", "", "animal secretion")</f>
        <v>0</v>
      </c>
      <c r="D5" s="1">
        <f>IF(B5="", "", "saliva")</f>
        <v>0</v>
      </c>
      <c r="E5" s="1">
        <f>IF(B5="", "", "human-oral")</f>
        <v>0</v>
      </c>
      <c r="F5" s="1">
        <f>IF(B5="", "", "UBERON:oral cavity")</f>
        <v>0</v>
      </c>
      <c r="G5" s="1">
        <f>IF(B5="", "", "UBERON:saliva")</f>
        <v>0</v>
      </c>
      <c r="H5" s="1">
        <f>IF(B5="", "", "UBERON:tongue")</f>
        <v>0</v>
      </c>
      <c r="I5" s="1">
        <f>IF(B5="", "", "tongue")</f>
        <v>0</v>
      </c>
      <c r="J5" s="1">
        <f>IF(B5="", "", "human oral metagenome")</f>
        <v>0</v>
      </c>
      <c r="K5" s="1">
        <f>IF(B5="", "", "447426")</f>
        <v>0</v>
      </c>
    </row>
    <row r="6" spans="1:11">
      <c r="A6">
        <f>IF(COUNTBLANK(B6:K6)&lt;&gt;COLUMNS(B6:K6),5,"")</f>
        <v>0</v>
      </c>
      <c r="C6" s="1">
        <f>IF(B6="", "", "animal secretion")</f>
        <v>0</v>
      </c>
      <c r="D6" s="1">
        <f>IF(B6="", "", "saliva")</f>
        <v>0</v>
      </c>
      <c r="E6" s="1">
        <f>IF(B6="", "", "human-oral")</f>
        <v>0</v>
      </c>
      <c r="F6" s="1">
        <f>IF(B6="", "", "UBERON:oral cavity")</f>
        <v>0</v>
      </c>
      <c r="G6" s="1">
        <f>IF(B6="", "", "UBERON:saliva")</f>
        <v>0</v>
      </c>
      <c r="H6" s="1">
        <f>IF(B6="", "", "UBERON:tongue")</f>
        <v>0</v>
      </c>
      <c r="I6" s="1">
        <f>IF(B6="", "", "tongue")</f>
        <v>0</v>
      </c>
      <c r="J6" s="1">
        <f>IF(B6="", "", "human oral metagenome")</f>
        <v>0</v>
      </c>
      <c r="K6" s="1">
        <f>IF(B6="", "", "447426")</f>
        <v>0</v>
      </c>
    </row>
    <row r="7" spans="1:11">
      <c r="A7">
        <f>IF(COUNTBLANK(B7:K7)&lt;&gt;COLUMNS(B7:K7),6,"")</f>
        <v>0</v>
      </c>
      <c r="C7" s="1">
        <f>IF(B7="", "", "animal secretion")</f>
        <v>0</v>
      </c>
      <c r="D7" s="1">
        <f>IF(B7="", "", "saliva")</f>
        <v>0</v>
      </c>
      <c r="E7" s="1">
        <f>IF(B7="", "", "human-oral")</f>
        <v>0</v>
      </c>
      <c r="F7" s="1">
        <f>IF(B7="", "", "UBERON:oral cavity")</f>
        <v>0</v>
      </c>
      <c r="G7" s="1">
        <f>IF(B7="", "", "UBERON:saliva")</f>
        <v>0</v>
      </c>
      <c r="H7" s="1">
        <f>IF(B7="", "", "UBERON:tongue")</f>
        <v>0</v>
      </c>
      <c r="I7" s="1">
        <f>IF(B7="", "", "tongue")</f>
        <v>0</v>
      </c>
      <c r="J7" s="1">
        <f>IF(B7="", "", "human oral metagenome")</f>
        <v>0</v>
      </c>
      <c r="K7" s="1">
        <f>IF(B7="", "", "447426")</f>
        <v>0</v>
      </c>
    </row>
    <row r="8" spans="1:11">
      <c r="A8">
        <f>IF(COUNTBLANK(B8:K8)&lt;&gt;COLUMNS(B8:K8),7,"")</f>
        <v>0</v>
      </c>
      <c r="C8" s="1">
        <f>IF(B8="", "", "animal secretion")</f>
        <v>0</v>
      </c>
      <c r="D8" s="1">
        <f>IF(B8="", "", "saliva")</f>
        <v>0</v>
      </c>
      <c r="E8" s="1">
        <f>IF(B8="", "", "human-oral")</f>
        <v>0</v>
      </c>
      <c r="F8" s="1">
        <f>IF(B8="", "", "UBERON:oral cavity")</f>
        <v>0</v>
      </c>
      <c r="G8" s="1">
        <f>IF(B8="", "", "UBERON:saliva")</f>
        <v>0</v>
      </c>
      <c r="H8" s="1">
        <f>IF(B8="", "", "UBERON:tongue")</f>
        <v>0</v>
      </c>
      <c r="I8" s="1">
        <f>IF(B8="", "", "tongue")</f>
        <v>0</v>
      </c>
      <c r="J8" s="1">
        <f>IF(B8="", "", "human oral metagenome")</f>
        <v>0</v>
      </c>
      <c r="K8" s="1">
        <f>IF(B8="", "", "447426")</f>
        <v>0</v>
      </c>
    </row>
    <row r="9" spans="1:11">
      <c r="A9">
        <f>IF(COUNTBLANK(B9:K9)&lt;&gt;COLUMNS(B9:K9),8,"")</f>
        <v>0</v>
      </c>
      <c r="C9" s="1">
        <f>IF(B9="", "", "animal secretion")</f>
        <v>0</v>
      </c>
      <c r="D9" s="1">
        <f>IF(B9="", "", "saliva")</f>
        <v>0</v>
      </c>
      <c r="E9" s="1">
        <f>IF(B9="", "", "human-oral")</f>
        <v>0</v>
      </c>
      <c r="F9" s="1">
        <f>IF(B9="", "", "UBERON:oral cavity")</f>
        <v>0</v>
      </c>
      <c r="G9" s="1">
        <f>IF(B9="", "", "UBERON:saliva")</f>
        <v>0</v>
      </c>
      <c r="H9" s="1">
        <f>IF(B9="", "", "UBERON:tongue")</f>
        <v>0</v>
      </c>
      <c r="I9" s="1">
        <f>IF(B9="", "", "tongue")</f>
        <v>0</v>
      </c>
      <c r="J9" s="1">
        <f>IF(B9="", "", "human oral metagenome")</f>
        <v>0</v>
      </c>
      <c r="K9" s="1">
        <f>IF(B9="", "", "447426")</f>
        <v>0</v>
      </c>
    </row>
    <row r="10" spans="1:11">
      <c r="A10">
        <f>IF(COUNTBLANK(B10:K10)&lt;&gt;COLUMNS(B10:K10),9,"")</f>
        <v>0</v>
      </c>
      <c r="C10" s="1">
        <f>IF(B10="", "", "animal secretion")</f>
        <v>0</v>
      </c>
      <c r="D10" s="1">
        <f>IF(B10="", "", "saliva")</f>
        <v>0</v>
      </c>
      <c r="E10" s="1">
        <f>IF(B10="", "", "human-oral")</f>
        <v>0</v>
      </c>
      <c r="F10" s="1">
        <f>IF(B10="", "", "UBERON:oral cavity")</f>
        <v>0</v>
      </c>
      <c r="G10" s="1">
        <f>IF(B10="", "", "UBERON:saliva")</f>
        <v>0</v>
      </c>
      <c r="H10" s="1">
        <f>IF(B10="", "", "UBERON:tongue")</f>
        <v>0</v>
      </c>
      <c r="I10" s="1">
        <f>IF(B10="", "", "tongue")</f>
        <v>0</v>
      </c>
      <c r="J10" s="1">
        <f>IF(B10="", "", "human oral metagenome")</f>
        <v>0</v>
      </c>
      <c r="K10" s="1">
        <f>IF(B10="", "", "447426")</f>
        <v>0</v>
      </c>
    </row>
    <row r="11" spans="1:11">
      <c r="A11">
        <f>IF(COUNTBLANK(B11:K11)&lt;&gt;COLUMNS(B11:K11),10,"")</f>
        <v>0</v>
      </c>
      <c r="C11" s="1">
        <f>IF(B11="", "", "animal secretion")</f>
        <v>0</v>
      </c>
      <c r="D11" s="1">
        <f>IF(B11="", "", "saliva")</f>
        <v>0</v>
      </c>
      <c r="E11" s="1">
        <f>IF(B11="", "", "human-oral")</f>
        <v>0</v>
      </c>
      <c r="F11" s="1">
        <f>IF(B11="", "", "UBERON:oral cavity")</f>
        <v>0</v>
      </c>
      <c r="G11" s="1">
        <f>IF(B11="", "", "UBERON:saliva")</f>
        <v>0</v>
      </c>
      <c r="H11" s="1">
        <f>IF(B11="", "", "UBERON:tongue")</f>
        <v>0</v>
      </c>
      <c r="I11" s="1">
        <f>IF(B11="", "", "tongue")</f>
        <v>0</v>
      </c>
      <c r="J11" s="1">
        <f>IF(B11="", "", "human oral metagenome")</f>
        <v>0</v>
      </c>
      <c r="K11" s="1">
        <f>IF(B11="", "", "447426")</f>
        <v>0</v>
      </c>
    </row>
    <row r="12" spans="1:11">
      <c r="A12">
        <f>IF(COUNTBLANK(B12:K12)&lt;&gt;COLUMNS(B12:K12),11,"")</f>
        <v>0</v>
      </c>
      <c r="C12" s="1">
        <f>IF(B12="", "", "animal secretion")</f>
        <v>0</v>
      </c>
      <c r="D12" s="1">
        <f>IF(B12="", "", "saliva")</f>
        <v>0</v>
      </c>
      <c r="E12" s="1">
        <f>IF(B12="", "", "human-oral")</f>
        <v>0</v>
      </c>
      <c r="F12" s="1">
        <f>IF(B12="", "", "UBERON:oral cavity")</f>
        <v>0</v>
      </c>
      <c r="G12" s="1">
        <f>IF(B12="", "", "UBERON:saliva")</f>
        <v>0</v>
      </c>
      <c r="H12" s="1">
        <f>IF(B12="", "", "UBERON:tongue")</f>
        <v>0</v>
      </c>
      <c r="I12" s="1">
        <f>IF(B12="", "", "tongue")</f>
        <v>0</v>
      </c>
      <c r="J12" s="1">
        <f>IF(B12="", "", "human oral metagenome")</f>
        <v>0</v>
      </c>
      <c r="K12" s="1">
        <f>IF(B12="", "", "447426")</f>
        <v>0</v>
      </c>
    </row>
    <row r="13" spans="1:11">
      <c r="A13">
        <f>IF(COUNTBLANK(B13:K13)&lt;&gt;COLUMNS(B13:K13),12,"")</f>
        <v>0</v>
      </c>
      <c r="C13" s="1">
        <f>IF(B13="", "", "animal secretion")</f>
        <v>0</v>
      </c>
      <c r="D13" s="1">
        <f>IF(B13="", "", "saliva")</f>
        <v>0</v>
      </c>
      <c r="E13" s="1">
        <f>IF(B13="", "", "human-oral")</f>
        <v>0</v>
      </c>
      <c r="F13" s="1">
        <f>IF(B13="", "", "UBERON:oral cavity")</f>
        <v>0</v>
      </c>
      <c r="G13" s="1">
        <f>IF(B13="", "", "UBERON:saliva")</f>
        <v>0</v>
      </c>
      <c r="H13" s="1">
        <f>IF(B13="", "", "UBERON:tongue")</f>
        <v>0</v>
      </c>
      <c r="I13" s="1">
        <f>IF(B13="", "", "tongue")</f>
        <v>0</v>
      </c>
      <c r="J13" s="1">
        <f>IF(B13="", "", "human oral metagenome")</f>
        <v>0</v>
      </c>
      <c r="K13" s="1">
        <f>IF(B13="", "", "447426")</f>
        <v>0</v>
      </c>
    </row>
    <row r="14" spans="1:11">
      <c r="A14">
        <f>IF(COUNTBLANK(B14:K14)&lt;&gt;COLUMNS(B14:K14),13,"")</f>
        <v>0</v>
      </c>
      <c r="C14" s="1">
        <f>IF(B14="", "", "animal secretion")</f>
        <v>0</v>
      </c>
      <c r="D14" s="1">
        <f>IF(B14="", "", "saliva")</f>
        <v>0</v>
      </c>
      <c r="E14" s="1">
        <f>IF(B14="", "", "human-oral")</f>
        <v>0</v>
      </c>
      <c r="F14" s="1">
        <f>IF(B14="", "", "UBERON:oral cavity")</f>
        <v>0</v>
      </c>
      <c r="G14" s="1">
        <f>IF(B14="", "", "UBERON:saliva")</f>
        <v>0</v>
      </c>
      <c r="H14" s="1">
        <f>IF(B14="", "", "UBERON:tongue")</f>
        <v>0</v>
      </c>
      <c r="I14" s="1">
        <f>IF(B14="", "", "tongue")</f>
        <v>0</v>
      </c>
      <c r="J14" s="1">
        <f>IF(B14="", "", "human oral metagenome")</f>
        <v>0</v>
      </c>
      <c r="K14" s="1">
        <f>IF(B14="", "", "447426")</f>
        <v>0</v>
      </c>
    </row>
    <row r="15" spans="1:11">
      <c r="A15">
        <f>IF(COUNTBLANK(B15:K15)&lt;&gt;COLUMNS(B15:K15),14,"")</f>
        <v>0</v>
      </c>
      <c r="C15" s="1">
        <f>IF(B15="", "", "animal secretion")</f>
        <v>0</v>
      </c>
      <c r="D15" s="1">
        <f>IF(B15="", "", "saliva")</f>
        <v>0</v>
      </c>
      <c r="E15" s="1">
        <f>IF(B15="", "", "human-oral")</f>
        <v>0</v>
      </c>
      <c r="F15" s="1">
        <f>IF(B15="", "", "UBERON:oral cavity")</f>
        <v>0</v>
      </c>
      <c r="G15" s="1">
        <f>IF(B15="", "", "UBERON:saliva")</f>
        <v>0</v>
      </c>
      <c r="H15" s="1">
        <f>IF(B15="", "", "UBERON:tongue")</f>
        <v>0</v>
      </c>
      <c r="I15" s="1">
        <f>IF(B15="", "", "tongue")</f>
        <v>0</v>
      </c>
      <c r="J15" s="1">
        <f>IF(B15="", "", "human oral metagenome")</f>
        <v>0</v>
      </c>
      <c r="K15" s="1">
        <f>IF(B15="", "", "447426")</f>
        <v>0</v>
      </c>
    </row>
    <row r="16" spans="1:11">
      <c r="A16">
        <f>IF(COUNTBLANK(B16:K16)&lt;&gt;COLUMNS(B16:K16),15,"")</f>
        <v>0</v>
      </c>
      <c r="C16" s="1">
        <f>IF(B16="", "", "animal secretion")</f>
        <v>0</v>
      </c>
      <c r="D16" s="1">
        <f>IF(B16="", "", "saliva")</f>
        <v>0</v>
      </c>
      <c r="E16" s="1">
        <f>IF(B16="", "", "human-oral")</f>
        <v>0</v>
      </c>
      <c r="F16" s="1">
        <f>IF(B16="", "", "UBERON:oral cavity")</f>
        <v>0</v>
      </c>
      <c r="G16" s="1">
        <f>IF(B16="", "", "UBERON:saliva")</f>
        <v>0</v>
      </c>
      <c r="H16" s="1">
        <f>IF(B16="", "", "UBERON:tongue")</f>
        <v>0</v>
      </c>
      <c r="I16" s="1">
        <f>IF(B16="", "", "tongue")</f>
        <v>0</v>
      </c>
      <c r="J16" s="1">
        <f>IF(B16="", "", "human oral metagenome")</f>
        <v>0</v>
      </c>
      <c r="K16" s="1">
        <f>IF(B16="", "", "447426")</f>
        <v>0</v>
      </c>
    </row>
    <row r="17" spans="1:11">
      <c r="A17">
        <f>IF(COUNTBLANK(B17:K17)&lt;&gt;COLUMNS(B17:K17),16,"")</f>
        <v>0</v>
      </c>
      <c r="C17" s="1">
        <f>IF(B17="", "", "animal secretion")</f>
        <v>0</v>
      </c>
      <c r="D17" s="1">
        <f>IF(B17="", "", "saliva")</f>
        <v>0</v>
      </c>
      <c r="E17" s="1">
        <f>IF(B17="", "", "human-oral")</f>
        <v>0</v>
      </c>
      <c r="F17" s="1">
        <f>IF(B17="", "", "UBERON:oral cavity")</f>
        <v>0</v>
      </c>
      <c r="G17" s="1">
        <f>IF(B17="", "", "UBERON:saliva")</f>
        <v>0</v>
      </c>
      <c r="H17" s="1">
        <f>IF(B17="", "", "UBERON:tongue")</f>
        <v>0</v>
      </c>
      <c r="I17" s="1">
        <f>IF(B17="", "", "tongue")</f>
        <v>0</v>
      </c>
      <c r="J17" s="1">
        <f>IF(B17="", "", "human oral metagenome")</f>
        <v>0</v>
      </c>
      <c r="K17" s="1">
        <f>IF(B17="", "", "447426")</f>
        <v>0</v>
      </c>
    </row>
    <row r="18" spans="1:11">
      <c r="A18">
        <f>IF(COUNTBLANK(B18:K18)&lt;&gt;COLUMNS(B18:K18),17,"")</f>
        <v>0</v>
      </c>
      <c r="C18" s="1">
        <f>IF(B18="", "", "animal secretion")</f>
        <v>0</v>
      </c>
      <c r="D18" s="1">
        <f>IF(B18="", "", "saliva")</f>
        <v>0</v>
      </c>
      <c r="E18" s="1">
        <f>IF(B18="", "", "human-oral")</f>
        <v>0</v>
      </c>
      <c r="F18" s="1">
        <f>IF(B18="", "", "UBERON:oral cavity")</f>
        <v>0</v>
      </c>
      <c r="G18" s="1">
        <f>IF(B18="", "", "UBERON:saliva")</f>
        <v>0</v>
      </c>
      <c r="H18" s="1">
        <f>IF(B18="", "", "UBERON:tongue")</f>
        <v>0</v>
      </c>
      <c r="I18" s="1">
        <f>IF(B18="", "", "tongue")</f>
        <v>0</v>
      </c>
      <c r="J18" s="1">
        <f>IF(B18="", "", "human oral metagenome")</f>
        <v>0</v>
      </c>
      <c r="K18" s="1">
        <f>IF(B18="", "", "447426")</f>
        <v>0</v>
      </c>
    </row>
    <row r="19" spans="1:11">
      <c r="A19">
        <f>IF(COUNTBLANK(B19:K19)&lt;&gt;COLUMNS(B19:K19),18,"")</f>
        <v>0</v>
      </c>
      <c r="C19" s="1">
        <f>IF(B19="", "", "animal secretion")</f>
        <v>0</v>
      </c>
      <c r="D19" s="1">
        <f>IF(B19="", "", "saliva")</f>
        <v>0</v>
      </c>
      <c r="E19" s="1">
        <f>IF(B19="", "", "human-oral")</f>
        <v>0</v>
      </c>
      <c r="F19" s="1">
        <f>IF(B19="", "", "UBERON:oral cavity")</f>
        <v>0</v>
      </c>
      <c r="G19" s="1">
        <f>IF(B19="", "", "UBERON:saliva")</f>
        <v>0</v>
      </c>
      <c r="H19" s="1">
        <f>IF(B19="", "", "UBERON:tongue")</f>
        <v>0</v>
      </c>
      <c r="I19" s="1">
        <f>IF(B19="", "", "tongue")</f>
        <v>0</v>
      </c>
      <c r="J19" s="1">
        <f>IF(B19="", "", "human oral metagenome")</f>
        <v>0</v>
      </c>
      <c r="K19" s="1">
        <f>IF(B19="", "", "447426")</f>
        <v>0</v>
      </c>
    </row>
    <row r="20" spans="1:11">
      <c r="A20">
        <f>IF(COUNTBLANK(B20:K20)&lt;&gt;COLUMNS(B20:K20),19,"")</f>
        <v>0</v>
      </c>
      <c r="C20" s="1">
        <f>IF(B20="", "", "animal secretion")</f>
        <v>0</v>
      </c>
      <c r="D20" s="1">
        <f>IF(B20="", "", "saliva")</f>
        <v>0</v>
      </c>
      <c r="E20" s="1">
        <f>IF(B20="", "", "human-oral")</f>
        <v>0</v>
      </c>
      <c r="F20" s="1">
        <f>IF(B20="", "", "UBERON:oral cavity")</f>
        <v>0</v>
      </c>
      <c r="G20" s="1">
        <f>IF(B20="", "", "UBERON:saliva")</f>
        <v>0</v>
      </c>
      <c r="H20" s="1">
        <f>IF(B20="", "", "UBERON:tongue")</f>
        <v>0</v>
      </c>
      <c r="I20" s="1">
        <f>IF(B20="", "", "tongue")</f>
        <v>0</v>
      </c>
      <c r="J20" s="1">
        <f>IF(B20="", "", "human oral metagenome")</f>
        <v>0</v>
      </c>
      <c r="K20" s="1">
        <f>IF(B20="", "", "447426")</f>
        <v>0</v>
      </c>
    </row>
    <row r="21" spans="1:11">
      <c r="A21">
        <f>IF(COUNTBLANK(B21:K21)&lt;&gt;COLUMNS(B21:K21),20,"")</f>
        <v>0</v>
      </c>
      <c r="C21" s="1">
        <f>IF(B21="", "", "animal secretion")</f>
        <v>0</v>
      </c>
      <c r="D21" s="1">
        <f>IF(B21="", "", "saliva")</f>
        <v>0</v>
      </c>
      <c r="E21" s="1">
        <f>IF(B21="", "", "human-oral")</f>
        <v>0</v>
      </c>
      <c r="F21" s="1">
        <f>IF(B21="", "", "UBERON:oral cavity")</f>
        <v>0</v>
      </c>
      <c r="G21" s="1">
        <f>IF(B21="", "", "UBERON:saliva")</f>
        <v>0</v>
      </c>
      <c r="H21" s="1">
        <f>IF(B21="", "", "UBERON:tongue")</f>
        <v>0</v>
      </c>
      <c r="I21" s="1">
        <f>IF(B21="", "", "tongue")</f>
        <v>0</v>
      </c>
      <c r="J21" s="1">
        <f>IF(B21="", "", "human oral metagenome")</f>
        <v>0</v>
      </c>
      <c r="K21" s="1">
        <f>IF(B21="", "", "447426")</f>
        <v>0</v>
      </c>
    </row>
    <row r="22" spans="1:11">
      <c r="A22">
        <f>IF(COUNTBLANK(B22:K22)&lt;&gt;COLUMNS(B22:K22),21,"")</f>
        <v>0</v>
      </c>
      <c r="C22" s="1">
        <f>IF(B22="", "", "animal secretion")</f>
        <v>0</v>
      </c>
      <c r="D22" s="1">
        <f>IF(B22="", "", "saliva")</f>
        <v>0</v>
      </c>
      <c r="E22" s="1">
        <f>IF(B22="", "", "human-oral")</f>
        <v>0</v>
      </c>
      <c r="F22" s="1">
        <f>IF(B22="", "", "UBERON:oral cavity")</f>
        <v>0</v>
      </c>
      <c r="G22" s="1">
        <f>IF(B22="", "", "UBERON:saliva")</f>
        <v>0</v>
      </c>
      <c r="H22" s="1">
        <f>IF(B22="", "", "UBERON:tongue")</f>
        <v>0</v>
      </c>
      <c r="I22" s="1">
        <f>IF(B22="", "", "tongue")</f>
        <v>0</v>
      </c>
      <c r="J22" s="1">
        <f>IF(B22="", "", "human oral metagenome")</f>
        <v>0</v>
      </c>
      <c r="K22" s="1">
        <f>IF(B22="", "", "447426")</f>
        <v>0</v>
      </c>
    </row>
    <row r="23" spans="1:11">
      <c r="A23">
        <f>IF(COUNTBLANK(B23:K23)&lt;&gt;COLUMNS(B23:K23),22,"")</f>
        <v>0</v>
      </c>
      <c r="C23" s="1">
        <f>IF(B23="", "", "animal secretion")</f>
        <v>0</v>
      </c>
      <c r="D23" s="1">
        <f>IF(B23="", "", "saliva")</f>
        <v>0</v>
      </c>
      <c r="E23" s="1">
        <f>IF(B23="", "", "human-oral")</f>
        <v>0</v>
      </c>
      <c r="F23" s="1">
        <f>IF(B23="", "", "UBERON:oral cavity")</f>
        <v>0</v>
      </c>
      <c r="G23" s="1">
        <f>IF(B23="", "", "UBERON:saliva")</f>
        <v>0</v>
      </c>
      <c r="H23" s="1">
        <f>IF(B23="", "", "UBERON:tongue")</f>
        <v>0</v>
      </c>
      <c r="I23" s="1">
        <f>IF(B23="", "", "tongue")</f>
        <v>0</v>
      </c>
      <c r="J23" s="1">
        <f>IF(B23="", "", "human oral metagenome")</f>
        <v>0</v>
      </c>
      <c r="K23" s="1">
        <f>IF(B23="", "", "447426")</f>
        <v>0</v>
      </c>
    </row>
    <row r="24" spans="1:11">
      <c r="A24">
        <f>IF(COUNTBLANK(B24:K24)&lt;&gt;COLUMNS(B24:K24),23,"")</f>
        <v>0</v>
      </c>
      <c r="C24" s="1">
        <f>IF(B24="", "", "animal secretion")</f>
        <v>0</v>
      </c>
      <c r="D24" s="1">
        <f>IF(B24="", "", "saliva")</f>
        <v>0</v>
      </c>
      <c r="E24" s="1">
        <f>IF(B24="", "", "human-oral")</f>
        <v>0</v>
      </c>
      <c r="F24" s="1">
        <f>IF(B24="", "", "UBERON:oral cavity")</f>
        <v>0</v>
      </c>
      <c r="G24" s="1">
        <f>IF(B24="", "", "UBERON:saliva")</f>
        <v>0</v>
      </c>
      <c r="H24" s="1">
        <f>IF(B24="", "", "UBERON:tongue")</f>
        <v>0</v>
      </c>
      <c r="I24" s="1">
        <f>IF(B24="", "", "tongue")</f>
        <v>0</v>
      </c>
      <c r="J24" s="1">
        <f>IF(B24="", "", "human oral metagenome")</f>
        <v>0</v>
      </c>
      <c r="K24" s="1">
        <f>IF(B24="", "", "447426")</f>
        <v>0</v>
      </c>
    </row>
    <row r="25" spans="1:11">
      <c r="A25">
        <f>IF(COUNTBLANK(B25:K25)&lt;&gt;COLUMNS(B25:K25),24,"")</f>
        <v>0</v>
      </c>
      <c r="C25" s="1">
        <f>IF(B25="", "", "animal secretion")</f>
        <v>0</v>
      </c>
      <c r="D25" s="1">
        <f>IF(B25="", "", "saliva")</f>
        <v>0</v>
      </c>
      <c r="E25" s="1">
        <f>IF(B25="", "", "human-oral")</f>
        <v>0</v>
      </c>
      <c r="F25" s="1">
        <f>IF(B25="", "", "UBERON:oral cavity")</f>
        <v>0</v>
      </c>
      <c r="G25" s="1">
        <f>IF(B25="", "", "UBERON:saliva")</f>
        <v>0</v>
      </c>
      <c r="H25" s="1">
        <f>IF(B25="", "", "UBERON:tongue")</f>
        <v>0</v>
      </c>
      <c r="I25" s="1">
        <f>IF(B25="", "", "tongue")</f>
        <v>0</v>
      </c>
      <c r="J25" s="1">
        <f>IF(B25="", "", "human oral metagenome")</f>
        <v>0</v>
      </c>
      <c r="K25" s="1">
        <f>IF(B25="", "", "447426")</f>
        <v>0</v>
      </c>
    </row>
    <row r="26" spans="1:11">
      <c r="A26">
        <f>IF(COUNTBLANK(B26:K26)&lt;&gt;COLUMNS(B26:K26),25,"")</f>
        <v>0</v>
      </c>
      <c r="C26" s="1">
        <f>IF(B26="", "", "animal secretion")</f>
        <v>0</v>
      </c>
      <c r="D26" s="1">
        <f>IF(B26="", "", "saliva")</f>
        <v>0</v>
      </c>
      <c r="E26" s="1">
        <f>IF(B26="", "", "human-oral")</f>
        <v>0</v>
      </c>
      <c r="F26" s="1">
        <f>IF(B26="", "", "UBERON:oral cavity")</f>
        <v>0</v>
      </c>
      <c r="G26" s="1">
        <f>IF(B26="", "", "UBERON:saliva")</f>
        <v>0</v>
      </c>
      <c r="H26" s="1">
        <f>IF(B26="", "", "UBERON:tongue")</f>
        <v>0</v>
      </c>
      <c r="I26" s="1">
        <f>IF(B26="", "", "tongue")</f>
        <v>0</v>
      </c>
      <c r="J26" s="1">
        <f>IF(B26="", "", "human oral metagenome")</f>
        <v>0</v>
      </c>
      <c r="K26" s="1">
        <f>IF(B26="", "", "447426")</f>
        <v>0</v>
      </c>
    </row>
    <row r="27" spans="1:11">
      <c r="A27">
        <f>IF(COUNTBLANK(B27:K27)&lt;&gt;COLUMNS(B27:K27),26,"")</f>
        <v>0</v>
      </c>
      <c r="C27" s="1">
        <f>IF(B27="", "", "animal secretion")</f>
        <v>0</v>
      </c>
      <c r="D27" s="1">
        <f>IF(B27="", "", "saliva")</f>
        <v>0</v>
      </c>
      <c r="E27" s="1">
        <f>IF(B27="", "", "human-oral")</f>
        <v>0</v>
      </c>
      <c r="F27" s="1">
        <f>IF(B27="", "", "UBERON:oral cavity")</f>
        <v>0</v>
      </c>
      <c r="G27" s="1">
        <f>IF(B27="", "", "UBERON:saliva")</f>
        <v>0</v>
      </c>
      <c r="H27" s="1">
        <f>IF(B27="", "", "UBERON:tongue")</f>
        <v>0</v>
      </c>
      <c r="I27" s="1">
        <f>IF(B27="", "", "tongue")</f>
        <v>0</v>
      </c>
      <c r="J27" s="1">
        <f>IF(B27="", "", "human oral metagenome")</f>
        <v>0</v>
      </c>
      <c r="K27" s="1">
        <f>IF(B27="", "", "447426")</f>
        <v>0</v>
      </c>
    </row>
    <row r="28" spans="1:11">
      <c r="A28">
        <f>IF(COUNTBLANK(B28:K28)&lt;&gt;COLUMNS(B28:K28),27,"")</f>
        <v>0</v>
      </c>
      <c r="C28" s="1">
        <f>IF(B28="", "", "animal secretion")</f>
        <v>0</v>
      </c>
      <c r="D28" s="1">
        <f>IF(B28="", "", "saliva")</f>
        <v>0</v>
      </c>
      <c r="E28" s="1">
        <f>IF(B28="", "", "human-oral")</f>
        <v>0</v>
      </c>
      <c r="F28" s="1">
        <f>IF(B28="", "", "UBERON:oral cavity")</f>
        <v>0</v>
      </c>
      <c r="G28" s="1">
        <f>IF(B28="", "", "UBERON:saliva")</f>
        <v>0</v>
      </c>
      <c r="H28" s="1">
        <f>IF(B28="", "", "UBERON:tongue")</f>
        <v>0</v>
      </c>
      <c r="I28" s="1">
        <f>IF(B28="", "", "tongue")</f>
        <v>0</v>
      </c>
      <c r="J28" s="1">
        <f>IF(B28="", "", "human oral metagenome")</f>
        <v>0</v>
      </c>
      <c r="K28" s="1">
        <f>IF(B28="", "", "447426")</f>
        <v>0</v>
      </c>
    </row>
    <row r="29" spans="1:11">
      <c r="A29">
        <f>IF(COUNTBLANK(B29:K29)&lt;&gt;COLUMNS(B29:K29),28,"")</f>
        <v>0</v>
      </c>
      <c r="C29" s="1">
        <f>IF(B29="", "", "animal secretion")</f>
        <v>0</v>
      </c>
      <c r="D29" s="1">
        <f>IF(B29="", "", "saliva")</f>
        <v>0</v>
      </c>
      <c r="E29" s="1">
        <f>IF(B29="", "", "human-oral")</f>
        <v>0</v>
      </c>
      <c r="F29" s="1">
        <f>IF(B29="", "", "UBERON:oral cavity")</f>
        <v>0</v>
      </c>
      <c r="G29" s="1">
        <f>IF(B29="", "", "UBERON:saliva")</f>
        <v>0</v>
      </c>
      <c r="H29" s="1">
        <f>IF(B29="", "", "UBERON:tongue")</f>
        <v>0</v>
      </c>
      <c r="I29" s="1">
        <f>IF(B29="", "", "tongue")</f>
        <v>0</v>
      </c>
      <c r="J29" s="1">
        <f>IF(B29="", "", "human oral metagenome")</f>
        <v>0</v>
      </c>
      <c r="K29" s="1">
        <f>IF(B29="", "", "447426")</f>
        <v>0</v>
      </c>
    </row>
    <row r="30" spans="1:11">
      <c r="A30">
        <f>IF(COUNTBLANK(B30:K30)&lt;&gt;COLUMNS(B30:K30),29,"")</f>
        <v>0</v>
      </c>
      <c r="C30" s="1">
        <f>IF(B30="", "", "animal secretion")</f>
        <v>0</v>
      </c>
      <c r="D30" s="1">
        <f>IF(B30="", "", "saliva")</f>
        <v>0</v>
      </c>
      <c r="E30" s="1">
        <f>IF(B30="", "", "human-oral")</f>
        <v>0</v>
      </c>
      <c r="F30" s="1">
        <f>IF(B30="", "", "UBERON:oral cavity")</f>
        <v>0</v>
      </c>
      <c r="G30" s="1">
        <f>IF(B30="", "", "UBERON:saliva")</f>
        <v>0</v>
      </c>
      <c r="H30" s="1">
        <f>IF(B30="", "", "UBERON:tongue")</f>
        <v>0</v>
      </c>
      <c r="I30" s="1">
        <f>IF(B30="", "", "tongue")</f>
        <v>0</v>
      </c>
      <c r="J30" s="1">
        <f>IF(B30="", "", "human oral metagenome")</f>
        <v>0</v>
      </c>
      <c r="K30" s="1">
        <f>IF(B30="", "", "447426")</f>
        <v>0</v>
      </c>
    </row>
    <row r="31" spans="1:11">
      <c r="A31">
        <f>IF(COUNTBLANK(B31:K31)&lt;&gt;COLUMNS(B31:K31),30,"")</f>
        <v>0</v>
      </c>
      <c r="C31" s="1">
        <f>IF(B31="", "", "animal secretion")</f>
        <v>0</v>
      </c>
      <c r="D31" s="1">
        <f>IF(B31="", "", "saliva")</f>
        <v>0</v>
      </c>
      <c r="E31" s="1">
        <f>IF(B31="", "", "human-oral")</f>
        <v>0</v>
      </c>
      <c r="F31" s="1">
        <f>IF(B31="", "", "UBERON:oral cavity")</f>
        <v>0</v>
      </c>
      <c r="G31" s="1">
        <f>IF(B31="", "", "UBERON:saliva")</f>
        <v>0</v>
      </c>
      <c r="H31" s="1">
        <f>IF(B31="", "", "UBERON:tongue")</f>
        <v>0</v>
      </c>
      <c r="I31" s="1">
        <f>IF(B31="", "", "tongue")</f>
        <v>0</v>
      </c>
      <c r="J31" s="1">
        <f>IF(B31="", "", "human oral metagenome")</f>
        <v>0</v>
      </c>
      <c r="K31" s="1">
        <f>IF(B31="", "", "447426")</f>
        <v>0</v>
      </c>
    </row>
    <row r="32" spans="1:11">
      <c r="A32">
        <f>IF(COUNTBLANK(B32:K32)&lt;&gt;COLUMNS(B32:K32),31,"")</f>
        <v>0</v>
      </c>
      <c r="C32" s="1">
        <f>IF(B32="", "", "animal secretion")</f>
        <v>0</v>
      </c>
      <c r="D32" s="1">
        <f>IF(B32="", "", "saliva")</f>
        <v>0</v>
      </c>
      <c r="E32" s="1">
        <f>IF(B32="", "", "human-oral")</f>
        <v>0</v>
      </c>
      <c r="F32" s="1">
        <f>IF(B32="", "", "UBERON:oral cavity")</f>
        <v>0</v>
      </c>
      <c r="G32" s="1">
        <f>IF(B32="", "", "UBERON:saliva")</f>
        <v>0</v>
      </c>
      <c r="H32" s="1">
        <f>IF(B32="", "", "UBERON:tongue")</f>
        <v>0</v>
      </c>
      <c r="I32" s="1">
        <f>IF(B32="", "", "tongue")</f>
        <v>0</v>
      </c>
      <c r="J32" s="1">
        <f>IF(B32="", "", "human oral metagenome")</f>
        <v>0</v>
      </c>
      <c r="K32" s="1">
        <f>IF(B32="", "", "447426")</f>
        <v>0</v>
      </c>
    </row>
    <row r="33" spans="1:11">
      <c r="A33">
        <f>IF(COUNTBLANK(B33:K33)&lt;&gt;COLUMNS(B33:K33),32,"")</f>
        <v>0</v>
      </c>
      <c r="C33" s="1">
        <f>IF(B33="", "", "animal secretion")</f>
        <v>0</v>
      </c>
      <c r="D33" s="1">
        <f>IF(B33="", "", "saliva")</f>
        <v>0</v>
      </c>
      <c r="E33" s="1">
        <f>IF(B33="", "", "human-oral")</f>
        <v>0</v>
      </c>
      <c r="F33" s="1">
        <f>IF(B33="", "", "UBERON:oral cavity")</f>
        <v>0</v>
      </c>
      <c r="G33" s="1">
        <f>IF(B33="", "", "UBERON:saliva")</f>
        <v>0</v>
      </c>
      <c r="H33" s="1">
        <f>IF(B33="", "", "UBERON:tongue")</f>
        <v>0</v>
      </c>
      <c r="I33" s="1">
        <f>IF(B33="", "", "tongue")</f>
        <v>0</v>
      </c>
      <c r="J33" s="1">
        <f>IF(B33="", "", "human oral metagenome")</f>
        <v>0</v>
      </c>
      <c r="K33" s="1">
        <f>IF(B33="", "", "447426")</f>
        <v>0</v>
      </c>
    </row>
    <row r="34" spans="1:11">
      <c r="A34">
        <f>IF(COUNTBLANK(B34:K34)&lt;&gt;COLUMNS(B34:K34),33,"")</f>
        <v>0</v>
      </c>
      <c r="C34" s="1">
        <f>IF(B34="", "", "animal secretion")</f>
        <v>0</v>
      </c>
      <c r="D34" s="1">
        <f>IF(B34="", "", "saliva")</f>
        <v>0</v>
      </c>
      <c r="E34" s="1">
        <f>IF(B34="", "", "human-oral")</f>
        <v>0</v>
      </c>
      <c r="F34" s="1">
        <f>IF(B34="", "", "UBERON:oral cavity")</f>
        <v>0</v>
      </c>
      <c r="G34" s="1">
        <f>IF(B34="", "", "UBERON:saliva")</f>
        <v>0</v>
      </c>
      <c r="H34" s="1">
        <f>IF(B34="", "", "UBERON:tongue")</f>
        <v>0</v>
      </c>
      <c r="I34" s="1">
        <f>IF(B34="", "", "tongue")</f>
        <v>0</v>
      </c>
      <c r="J34" s="1">
        <f>IF(B34="", "", "human oral metagenome")</f>
        <v>0</v>
      </c>
      <c r="K34" s="1">
        <f>IF(B34="", "", "447426")</f>
        <v>0</v>
      </c>
    </row>
    <row r="35" spans="1:11">
      <c r="A35">
        <f>IF(COUNTBLANK(B35:K35)&lt;&gt;COLUMNS(B35:K35),34,"")</f>
        <v>0</v>
      </c>
      <c r="C35" s="1">
        <f>IF(B35="", "", "animal secretion")</f>
        <v>0</v>
      </c>
      <c r="D35" s="1">
        <f>IF(B35="", "", "saliva")</f>
        <v>0</v>
      </c>
      <c r="E35" s="1">
        <f>IF(B35="", "", "human-oral")</f>
        <v>0</v>
      </c>
      <c r="F35" s="1">
        <f>IF(B35="", "", "UBERON:oral cavity")</f>
        <v>0</v>
      </c>
      <c r="G35" s="1">
        <f>IF(B35="", "", "UBERON:saliva")</f>
        <v>0</v>
      </c>
      <c r="H35" s="1">
        <f>IF(B35="", "", "UBERON:tongue")</f>
        <v>0</v>
      </c>
      <c r="I35" s="1">
        <f>IF(B35="", "", "tongue")</f>
        <v>0</v>
      </c>
      <c r="J35" s="1">
        <f>IF(B35="", "", "human oral metagenome")</f>
        <v>0</v>
      </c>
      <c r="K35" s="1">
        <f>IF(B35="", "", "447426")</f>
        <v>0</v>
      </c>
    </row>
    <row r="36" spans="1:11">
      <c r="A36">
        <f>IF(COUNTBLANK(B36:K36)&lt;&gt;COLUMNS(B36:K36),35,"")</f>
        <v>0</v>
      </c>
      <c r="C36" s="1">
        <f>IF(B36="", "", "animal secretion")</f>
        <v>0</v>
      </c>
      <c r="D36" s="1">
        <f>IF(B36="", "", "saliva")</f>
        <v>0</v>
      </c>
      <c r="E36" s="1">
        <f>IF(B36="", "", "human-oral")</f>
        <v>0</v>
      </c>
      <c r="F36" s="1">
        <f>IF(B36="", "", "UBERON:oral cavity")</f>
        <v>0</v>
      </c>
      <c r="G36" s="1">
        <f>IF(B36="", "", "UBERON:saliva")</f>
        <v>0</v>
      </c>
      <c r="H36" s="1">
        <f>IF(B36="", "", "UBERON:tongue")</f>
        <v>0</v>
      </c>
      <c r="I36" s="1">
        <f>IF(B36="", "", "tongue")</f>
        <v>0</v>
      </c>
      <c r="J36" s="1">
        <f>IF(B36="", "", "human oral metagenome")</f>
        <v>0</v>
      </c>
      <c r="K36" s="1">
        <f>IF(B36="", "", "447426")</f>
        <v>0</v>
      </c>
    </row>
    <row r="37" spans="1:11">
      <c r="A37">
        <f>IF(COUNTBLANK(B37:K37)&lt;&gt;COLUMNS(B37:K37),36,"")</f>
        <v>0</v>
      </c>
      <c r="C37" s="1">
        <f>IF(B37="", "", "animal secretion")</f>
        <v>0</v>
      </c>
      <c r="D37" s="1">
        <f>IF(B37="", "", "saliva")</f>
        <v>0</v>
      </c>
      <c r="E37" s="1">
        <f>IF(B37="", "", "human-oral")</f>
        <v>0</v>
      </c>
      <c r="F37" s="1">
        <f>IF(B37="", "", "UBERON:oral cavity")</f>
        <v>0</v>
      </c>
      <c r="G37" s="1">
        <f>IF(B37="", "", "UBERON:saliva")</f>
        <v>0</v>
      </c>
      <c r="H37" s="1">
        <f>IF(B37="", "", "UBERON:tongue")</f>
        <v>0</v>
      </c>
      <c r="I37" s="1">
        <f>IF(B37="", "", "tongue")</f>
        <v>0</v>
      </c>
      <c r="J37" s="1">
        <f>IF(B37="", "", "human oral metagenome")</f>
        <v>0</v>
      </c>
      <c r="K37" s="1">
        <f>IF(B37="", "", "447426")</f>
        <v>0</v>
      </c>
    </row>
    <row r="38" spans="1:11">
      <c r="A38">
        <f>IF(COUNTBLANK(B38:K38)&lt;&gt;COLUMNS(B38:K38),37,"")</f>
        <v>0</v>
      </c>
      <c r="C38" s="1">
        <f>IF(B38="", "", "animal secretion")</f>
        <v>0</v>
      </c>
      <c r="D38" s="1">
        <f>IF(B38="", "", "saliva")</f>
        <v>0</v>
      </c>
      <c r="E38" s="1">
        <f>IF(B38="", "", "human-oral")</f>
        <v>0</v>
      </c>
      <c r="F38" s="1">
        <f>IF(B38="", "", "UBERON:oral cavity")</f>
        <v>0</v>
      </c>
      <c r="G38" s="1">
        <f>IF(B38="", "", "UBERON:saliva")</f>
        <v>0</v>
      </c>
      <c r="H38" s="1">
        <f>IF(B38="", "", "UBERON:tongue")</f>
        <v>0</v>
      </c>
      <c r="I38" s="1">
        <f>IF(B38="", "", "tongue")</f>
        <v>0</v>
      </c>
      <c r="J38" s="1">
        <f>IF(B38="", "", "human oral metagenome")</f>
        <v>0</v>
      </c>
      <c r="K38" s="1">
        <f>IF(B38="", "", "447426")</f>
        <v>0</v>
      </c>
    </row>
    <row r="39" spans="1:11">
      <c r="A39">
        <f>IF(COUNTBLANK(B39:K39)&lt;&gt;COLUMNS(B39:K39),38,"")</f>
        <v>0</v>
      </c>
      <c r="C39" s="1">
        <f>IF(B39="", "", "animal secretion")</f>
        <v>0</v>
      </c>
      <c r="D39" s="1">
        <f>IF(B39="", "", "saliva")</f>
        <v>0</v>
      </c>
      <c r="E39" s="1">
        <f>IF(B39="", "", "human-oral")</f>
        <v>0</v>
      </c>
      <c r="F39" s="1">
        <f>IF(B39="", "", "UBERON:oral cavity")</f>
        <v>0</v>
      </c>
      <c r="G39" s="1">
        <f>IF(B39="", "", "UBERON:saliva")</f>
        <v>0</v>
      </c>
      <c r="H39" s="1">
        <f>IF(B39="", "", "UBERON:tongue")</f>
        <v>0</v>
      </c>
      <c r="I39" s="1">
        <f>IF(B39="", "", "tongue")</f>
        <v>0</v>
      </c>
      <c r="J39" s="1">
        <f>IF(B39="", "", "human oral metagenome")</f>
        <v>0</v>
      </c>
      <c r="K39" s="1">
        <f>IF(B39="", "", "447426")</f>
        <v>0</v>
      </c>
    </row>
    <row r="40" spans="1:11">
      <c r="A40">
        <f>IF(COUNTBLANK(B40:K40)&lt;&gt;COLUMNS(B40:K40),39,"")</f>
        <v>0</v>
      </c>
      <c r="C40" s="1">
        <f>IF(B40="", "", "animal secretion")</f>
        <v>0</v>
      </c>
      <c r="D40" s="1">
        <f>IF(B40="", "", "saliva")</f>
        <v>0</v>
      </c>
      <c r="E40" s="1">
        <f>IF(B40="", "", "human-oral")</f>
        <v>0</v>
      </c>
      <c r="F40" s="1">
        <f>IF(B40="", "", "UBERON:oral cavity")</f>
        <v>0</v>
      </c>
      <c r="G40" s="1">
        <f>IF(B40="", "", "UBERON:saliva")</f>
        <v>0</v>
      </c>
      <c r="H40" s="1">
        <f>IF(B40="", "", "UBERON:tongue")</f>
        <v>0</v>
      </c>
      <c r="I40" s="1">
        <f>IF(B40="", "", "tongue")</f>
        <v>0</v>
      </c>
      <c r="J40" s="1">
        <f>IF(B40="", "", "human oral metagenome")</f>
        <v>0</v>
      </c>
      <c r="K40" s="1">
        <f>IF(B40="", "", "447426")</f>
        <v>0</v>
      </c>
    </row>
    <row r="41" spans="1:11">
      <c r="A41">
        <f>IF(COUNTBLANK(B41:K41)&lt;&gt;COLUMNS(B41:K41),40,"")</f>
        <v>0</v>
      </c>
      <c r="C41" s="1">
        <f>IF(B41="", "", "animal secretion")</f>
        <v>0</v>
      </c>
      <c r="D41" s="1">
        <f>IF(B41="", "", "saliva")</f>
        <v>0</v>
      </c>
      <c r="E41" s="1">
        <f>IF(B41="", "", "human-oral")</f>
        <v>0</v>
      </c>
      <c r="F41" s="1">
        <f>IF(B41="", "", "UBERON:oral cavity")</f>
        <v>0</v>
      </c>
      <c r="G41" s="1">
        <f>IF(B41="", "", "UBERON:saliva")</f>
        <v>0</v>
      </c>
      <c r="H41" s="1">
        <f>IF(B41="", "", "UBERON:tongue")</f>
        <v>0</v>
      </c>
      <c r="I41" s="1">
        <f>IF(B41="", "", "tongue")</f>
        <v>0</v>
      </c>
      <c r="J41" s="1">
        <f>IF(B41="", "", "human oral metagenome")</f>
        <v>0</v>
      </c>
      <c r="K41" s="1">
        <f>IF(B41="", "", "447426")</f>
        <v>0</v>
      </c>
    </row>
    <row r="42" spans="1:11">
      <c r="A42">
        <f>IF(COUNTBLANK(B42:K42)&lt;&gt;COLUMNS(B42:K42),41,"")</f>
        <v>0</v>
      </c>
      <c r="C42" s="1">
        <f>IF(B42="", "", "animal secretion")</f>
        <v>0</v>
      </c>
      <c r="D42" s="1">
        <f>IF(B42="", "", "saliva")</f>
        <v>0</v>
      </c>
      <c r="E42" s="1">
        <f>IF(B42="", "", "human-oral")</f>
        <v>0</v>
      </c>
      <c r="F42" s="1">
        <f>IF(B42="", "", "UBERON:oral cavity")</f>
        <v>0</v>
      </c>
      <c r="G42" s="1">
        <f>IF(B42="", "", "UBERON:saliva")</f>
        <v>0</v>
      </c>
      <c r="H42" s="1">
        <f>IF(B42="", "", "UBERON:tongue")</f>
        <v>0</v>
      </c>
      <c r="I42" s="1">
        <f>IF(B42="", "", "tongue")</f>
        <v>0</v>
      </c>
      <c r="J42" s="1">
        <f>IF(B42="", "", "human oral metagenome")</f>
        <v>0</v>
      </c>
      <c r="K42" s="1">
        <f>IF(B42="", "", "447426")</f>
        <v>0</v>
      </c>
    </row>
    <row r="43" spans="1:11">
      <c r="A43">
        <f>IF(COUNTBLANK(B43:K43)&lt;&gt;COLUMNS(B43:K43),42,"")</f>
        <v>0</v>
      </c>
      <c r="C43" s="1">
        <f>IF(B43="", "", "animal secretion")</f>
        <v>0</v>
      </c>
      <c r="D43" s="1">
        <f>IF(B43="", "", "saliva")</f>
        <v>0</v>
      </c>
      <c r="E43" s="1">
        <f>IF(B43="", "", "human-oral")</f>
        <v>0</v>
      </c>
      <c r="F43" s="1">
        <f>IF(B43="", "", "UBERON:oral cavity")</f>
        <v>0</v>
      </c>
      <c r="G43" s="1">
        <f>IF(B43="", "", "UBERON:saliva")</f>
        <v>0</v>
      </c>
      <c r="H43" s="1">
        <f>IF(B43="", "", "UBERON:tongue")</f>
        <v>0</v>
      </c>
      <c r="I43" s="1">
        <f>IF(B43="", "", "tongue")</f>
        <v>0</v>
      </c>
      <c r="J43" s="1">
        <f>IF(B43="", "", "human oral metagenome")</f>
        <v>0</v>
      </c>
      <c r="K43" s="1">
        <f>IF(B43="", "", "447426")</f>
        <v>0</v>
      </c>
    </row>
    <row r="44" spans="1:11">
      <c r="A44">
        <f>IF(COUNTBLANK(B44:K44)&lt;&gt;COLUMNS(B44:K44),43,"")</f>
        <v>0</v>
      </c>
      <c r="C44" s="1">
        <f>IF(B44="", "", "animal secretion")</f>
        <v>0</v>
      </c>
      <c r="D44" s="1">
        <f>IF(B44="", "", "saliva")</f>
        <v>0</v>
      </c>
      <c r="E44" s="1">
        <f>IF(B44="", "", "human-oral")</f>
        <v>0</v>
      </c>
      <c r="F44" s="1">
        <f>IF(B44="", "", "UBERON:oral cavity")</f>
        <v>0</v>
      </c>
      <c r="G44" s="1">
        <f>IF(B44="", "", "UBERON:saliva")</f>
        <v>0</v>
      </c>
      <c r="H44" s="1">
        <f>IF(B44="", "", "UBERON:tongue")</f>
        <v>0</v>
      </c>
      <c r="I44" s="1">
        <f>IF(B44="", "", "tongue")</f>
        <v>0</v>
      </c>
      <c r="J44" s="1">
        <f>IF(B44="", "", "human oral metagenome")</f>
        <v>0</v>
      </c>
      <c r="K44" s="1">
        <f>IF(B44="", "", "447426")</f>
        <v>0</v>
      </c>
    </row>
    <row r="45" spans="1:11">
      <c r="A45">
        <f>IF(COUNTBLANK(B45:K45)&lt;&gt;COLUMNS(B45:K45),44,"")</f>
        <v>0</v>
      </c>
      <c r="C45" s="1">
        <f>IF(B45="", "", "animal secretion")</f>
        <v>0</v>
      </c>
      <c r="D45" s="1">
        <f>IF(B45="", "", "saliva")</f>
        <v>0</v>
      </c>
      <c r="E45" s="1">
        <f>IF(B45="", "", "human-oral")</f>
        <v>0</v>
      </c>
      <c r="F45" s="1">
        <f>IF(B45="", "", "UBERON:oral cavity")</f>
        <v>0</v>
      </c>
      <c r="G45" s="1">
        <f>IF(B45="", "", "UBERON:saliva")</f>
        <v>0</v>
      </c>
      <c r="H45" s="1">
        <f>IF(B45="", "", "UBERON:tongue")</f>
        <v>0</v>
      </c>
      <c r="I45" s="1">
        <f>IF(B45="", "", "tongue")</f>
        <v>0</v>
      </c>
      <c r="J45" s="1">
        <f>IF(B45="", "", "human oral metagenome")</f>
        <v>0</v>
      </c>
      <c r="K45" s="1">
        <f>IF(B45="", "", "447426")</f>
        <v>0</v>
      </c>
    </row>
    <row r="46" spans="1:11">
      <c r="A46">
        <f>IF(COUNTBLANK(B46:K46)&lt;&gt;COLUMNS(B46:K46),45,"")</f>
        <v>0</v>
      </c>
      <c r="C46" s="1">
        <f>IF(B46="", "", "animal secretion")</f>
        <v>0</v>
      </c>
      <c r="D46" s="1">
        <f>IF(B46="", "", "saliva")</f>
        <v>0</v>
      </c>
      <c r="E46" s="1">
        <f>IF(B46="", "", "human-oral")</f>
        <v>0</v>
      </c>
      <c r="F46" s="1">
        <f>IF(B46="", "", "UBERON:oral cavity")</f>
        <v>0</v>
      </c>
      <c r="G46" s="1">
        <f>IF(B46="", "", "UBERON:saliva")</f>
        <v>0</v>
      </c>
      <c r="H46" s="1">
        <f>IF(B46="", "", "UBERON:tongue")</f>
        <v>0</v>
      </c>
      <c r="I46" s="1">
        <f>IF(B46="", "", "tongue")</f>
        <v>0</v>
      </c>
      <c r="J46" s="1">
        <f>IF(B46="", "", "human oral metagenome")</f>
        <v>0</v>
      </c>
      <c r="K46" s="1">
        <f>IF(B46="", "", "447426")</f>
        <v>0</v>
      </c>
    </row>
    <row r="47" spans="1:11">
      <c r="A47">
        <f>IF(COUNTBLANK(B47:K47)&lt;&gt;COLUMNS(B47:K47),46,"")</f>
        <v>0</v>
      </c>
      <c r="C47" s="1">
        <f>IF(B47="", "", "animal secretion")</f>
        <v>0</v>
      </c>
      <c r="D47" s="1">
        <f>IF(B47="", "", "saliva")</f>
        <v>0</v>
      </c>
      <c r="E47" s="1">
        <f>IF(B47="", "", "human-oral")</f>
        <v>0</v>
      </c>
      <c r="F47" s="1">
        <f>IF(B47="", "", "UBERON:oral cavity")</f>
        <v>0</v>
      </c>
      <c r="G47" s="1">
        <f>IF(B47="", "", "UBERON:saliva")</f>
        <v>0</v>
      </c>
      <c r="H47" s="1">
        <f>IF(B47="", "", "UBERON:tongue")</f>
        <v>0</v>
      </c>
      <c r="I47" s="1">
        <f>IF(B47="", "", "tongue")</f>
        <v>0</v>
      </c>
      <c r="J47" s="1">
        <f>IF(B47="", "", "human oral metagenome")</f>
        <v>0</v>
      </c>
      <c r="K47" s="1">
        <f>IF(B47="", "", "447426")</f>
        <v>0</v>
      </c>
    </row>
    <row r="48" spans="1:11">
      <c r="A48">
        <f>IF(COUNTBLANK(B48:K48)&lt;&gt;COLUMNS(B48:K48),47,"")</f>
        <v>0</v>
      </c>
      <c r="C48" s="1">
        <f>IF(B48="", "", "animal secretion")</f>
        <v>0</v>
      </c>
      <c r="D48" s="1">
        <f>IF(B48="", "", "saliva")</f>
        <v>0</v>
      </c>
      <c r="E48" s="1">
        <f>IF(B48="", "", "human-oral")</f>
        <v>0</v>
      </c>
      <c r="F48" s="1">
        <f>IF(B48="", "", "UBERON:oral cavity")</f>
        <v>0</v>
      </c>
      <c r="G48" s="1">
        <f>IF(B48="", "", "UBERON:saliva")</f>
        <v>0</v>
      </c>
      <c r="H48" s="1">
        <f>IF(B48="", "", "UBERON:tongue")</f>
        <v>0</v>
      </c>
      <c r="I48" s="1">
        <f>IF(B48="", "", "tongue")</f>
        <v>0</v>
      </c>
      <c r="J48" s="1">
        <f>IF(B48="", "", "human oral metagenome")</f>
        <v>0</v>
      </c>
      <c r="K48" s="1">
        <f>IF(B48="", "", "447426")</f>
        <v>0</v>
      </c>
    </row>
    <row r="49" spans="1:11">
      <c r="A49">
        <f>IF(COUNTBLANK(B49:K49)&lt;&gt;COLUMNS(B49:K49),48,"")</f>
        <v>0</v>
      </c>
      <c r="C49" s="1">
        <f>IF(B49="", "", "animal secretion")</f>
        <v>0</v>
      </c>
      <c r="D49" s="1">
        <f>IF(B49="", "", "saliva")</f>
        <v>0</v>
      </c>
      <c r="E49" s="1">
        <f>IF(B49="", "", "human-oral")</f>
        <v>0</v>
      </c>
      <c r="F49" s="1">
        <f>IF(B49="", "", "UBERON:oral cavity")</f>
        <v>0</v>
      </c>
      <c r="G49" s="1">
        <f>IF(B49="", "", "UBERON:saliva")</f>
        <v>0</v>
      </c>
      <c r="H49" s="1">
        <f>IF(B49="", "", "UBERON:tongue")</f>
        <v>0</v>
      </c>
      <c r="I49" s="1">
        <f>IF(B49="", "", "tongue")</f>
        <v>0</v>
      </c>
      <c r="J49" s="1">
        <f>IF(B49="", "", "human oral metagenome")</f>
        <v>0</v>
      </c>
      <c r="K49" s="1">
        <f>IF(B49="", "", "447426")</f>
        <v>0</v>
      </c>
    </row>
    <row r="50" spans="1:11">
      <c r="A50">
        <f>IF(COUNTBLANK(B50:K50)&lt;&gt;COLUMNS(B50:K50),49,"")</f>
        <v>0</v>
      </c>
      <c r="C50" s="1">
        <f>IF(B50="", "", "animal secretion")</f>
        <v>0</v>
      </c>
      <c r="D50" s="1">
        <f>IF(B50="", "", "saliva")</f>
        <v>0</v>
      </c>
      <c r="E50" s="1">
        <f>IF(B50="", "", "human-oral")</f>
        <v>0</v>
      </c>
      <c r="F50" s="1">
        <f>IF(B50="", "", "UBERON:oral cavity")</f>
        <v>0</v>
      </c>
      <c r="G50" s="1">
        <f>IF(B50="", "", "UBERON:saliva")</f>
        <v>0</v>
      </c>
      <c r="H50" s="1">
        <f>IF(B50="", "", "UBERON:tongue")</f>
        <v>0</v>
      </c>
      <c r="I50" s="1">
        <f>IF(B50="", "", "tongue")</f>
        <v>0</v>
      </c>
      <c r="J50" s="1">
        <f>IF(B50="", "", "human oral metagenome")</f>
        <v>0</v>
      </c>
      <c r="K50" s="1">
        <f>IF(B50="", "", "447426")</f>
        <v>0</v>
      </c>
    </row>
    <row r="51" spans="1:11">
      <c r="A51">
        <f>IF(COUNTBLANK(B51:K51)&lt;&gt;COLUMNS(B51:K51),50,"")</f>
        <v>0</v>
      </c>
      <c r="C51" s="1">
        <f>IF(B51="", "", "animal secretion")</f>
        <v>0</v>
      </c>
      <c r="D51" s="1">
        <f>IF(B51="", "", "saliva")</f>
        <v>0</v>
      </c>
      <c r="E51" s="1">
        <f>IF(B51="", "", "human-oral")</f>
        <v>0</v>
      </c>
      <c r="F51" s="1">
        <f>IF(B51="", "", "UBERON:oral cavity")</f>
        <v>0</v>
      </c>
      <c r="G51" s="1">
        <f>IF(B51="", "", "UBERON:saliva")</f>
        <v>0</v>
      </c>
      <c r="H51" s="1">
        <f>IF(B51="", "", "UBERON:tongue")</f>
        <v>0</v>
      </c>
      <c r="I51" s="1">
        <f>IF(B51="", "", "tongue")</f>
        <v>0</v>
      </c>
      <c r="J51" s="1">
        <f>IF(B51="", "", "human oral metagenome")</f>
        <v>0</v>
      </c>
      <c r="K51" s="1">
        <f>IF(B51="", "", "447426")</f>
        <v>0</v>
      </c>
    </row>
    <row r="52" spans="1:11">
      <c r="A52">
        <f>IF(COUNTBLANK(B52:K52)&lt;&gt;COLUMNS(B52:K52),51,"")</f>
        <v>0</v>
      </c>
      <c r="C52" s="1">
        <f>IF(B52="", "", "animal secretion")</f>
        <v>0</v>
      </c>
      <c r="D52" s="1">
        <f>IF(B52="", "", "saliva")</f>
        <v>0</v>
      </c>
      <c r="E52" s="1">
        <f>IF(B52="", "", "human-oral")</f>
        <v>0</v>
      </c>
      <c r="F52" s="1">
        <f>IF(B52="", "", "UBERON:oral cavity")</f>
        <v>0</v>
      </c>
      <c r="G52" s="1">
        <f>IF(B52="", "", "UBERON:saliva")</f>
        <v>0</v>
      </c>
      <c r="H52" s="1">
        <f>IF(B52="", "", "UBERON:tongue")</f>
        <v>0</v>
      </c>
      <c r="I52" s="1">
        <f>IF(B52="", "", "tongue")</f>
        <v>0</v>
      </c>
      <c r="J52" s="1">
        <f>IF(B52="", "", "human oral metagenome")</f>
        <v>0</v>
      </c>
      <c r="K52" s="1">
        <f>IF(B52="", "", "447426")</f>
        <v>0</v>
      </c>
    </row>
    <row r="53" spans="1:11">
      <c r="A53">
        <f>IF(COUNTBLANK(B53:K53)&lt;&gt;COLUMNS(B53:K53),52,"")</f>
        <v>0</v>
      </c>
      <c r="C53" s="1">
        <f>IF(B53="", "", "animal secretion")</f>
        <v>0</v>
      </c>
      <c r="D53" s="1">
        <f>IF(B53="", "", "saliva")</f>
        <v>0</v>
      </c>
      <c r="E53" s="1">
        <f>IF(B53="", "", "human-oral")</f>
        <v>0</v>
      </c>
      <c r="F53" s="1">
        <f>IF(B53="", "", "UBERON:oral cavity")</f>
        <v>0</v>
      </c>
      <c r="G53" s="1">
        <f>IF(B53="", "", "UBERON:saliva")</f>
        <v>0</v>
      </c>
      <c r="H53" s="1">
        <f>IF(B53="", "", "UBERON:tongue")</f>
        <v>0</v>
      </c>
      <c r="I53" s="1">
        <f>IF(B53="", "", "tongue")</f>
        <v>0</v>
      </c>
      <c r="J53" s="1">
        <f>IF(B53="", "", "human oral metagenome")</f>
        <v>0</v>
      </c>
      <c r="K53" s="1">
        <f>IF(B53="", "", "447426")</f>
        <v>0</v>
      </c>
    </row>
    <row r="54" spans="1:11">
      <c r="A54">
        <f>IF(COUNTBLANK(B54:K54)&lt;&gt;COLUMNS(B54:K54),53,"")</f>
        <v>0</v>
      </c>
      <c r="C54" s="1">
        <f>IF(B54="", "", "animal secretion")</f>
        <v>0</v>
      </c>
      <c r="D54" s="1">
        <f>IF(B54="", "", "saliva")</f>
        <v>0</v>
      </c>
      <c r="E54" s="1">
        <f>IF(B54="", "", "human-oral")</f>
        <v>0</v>
      </c>
      <c r="F54" s="1">
        <f>IF(B54="", "", "UBERON:oral cavity")</f>
        <v>0</v>
      </c>
      <c r="G54" s="1">
        <f>IF(B54="", "", "UBERON:saliva")</f>
        <v>0</v>
      </c>
      <c r="H54" s="1">
        <f>IF(B54="", "", "UBERON:tongue")</f>
        <v>0</v>
      </c>
      <c r="I54" s="1">
        <f>IF(B54="", "", "tongue")</f>
        <v>0</v>
      </c>
      <c r="J54" s="1">
        <f>IF(B54="", "", "human oral metagenome")</f>
        <v>0</v>
      </c>
      <c r="K54" s="1">
        <f>IF(B54="", "", "447426")</f>
        <v>0</v>
      </c>
    </row>
    <row r="55" spans="1:11">
      <c r="A55">
        <f>IF(COUNTBLANK(B55:K55)&lt;&gt;COLUMNS(B55:K55),54,"")</f>
        <v>0</v>
      </c>
      <c r="C55" s="1">
        <f>IF(B55="", "", "animal secretion")</f>
        <v>0</v>
      </c>
      <c r="D55" s="1">
        <f>IF(B55="", "", "saliva")</f>
        <v>0</v>
      </c>
      <c r="E55" s="1">
        <f>IF(B55="", "", "human-oral")</f>
        <v>0</v>
      </c>
      <c r="F55" s="1">
        <f>IF(B55="", "", "UBERON:oral cavity")</f>
        <v>0</v>
      </c>
      <c r="G55" s="1">
        <f>IF(B55="", "", "UBERON:saliva")</f>
        <v>0</v>
      </c>
      <c r="H55" s="1">
        <f>IF(B55="", "", "UBERON:tongue")</f>
        <v>0</v>
      </c>
      <c r="I55" s="1">
        <f>IF(B55="", "", "tongue")</f>
        <v>0</v>
      </c>
      <c r="J55" s="1">
        <f>IF(B55="", "", "human oral metagenome")</f>
        <v>0</v>
      </c>
      <c r="K55" s="1">
        <f>IF(B55="", "", "447426")</f>
        <v>0</v>
      </c>
    </row>
    <row r="56" spans="1:11">
      <c r="A56">
        <f>IF(COUNTBLANK(B56:K56)&lt;&gt;COLUMNS(B56:K56),55,"")</f>
        <v>0</v>
      </c>
      <c r="C56" s="1">
        <f>IF(B56="", "", "animal secretion")</f>
        <v>0</v>
      </c>
      <c r="D56" s="1">
        <f>IF(B56="", "", "saliva")</f>
        <v>0</v>
      </c>
      <c r="E56" s="1">
        <f>IF(B56="", "", "human-oral")</f>
        <v>0</v>
      </c>
      <c r="F56" s="1">
        <f>IF(B56="", "", "UBERON:oral cavity")</f>
        <v>0</v>
      </c>
      <c r="G56" s="1">
        <f>IF(B56="", "", "UBERON:saliva")</f>
        <v>0</v>
      </c>
      <c r="H56" s="1">
        <f>IF(B56="", "", "UBERON:tongue")</f>
        <v>0</v>
      </c>
      <c r="I56" s="1">
        <f>IF(B56="", "", "tongue")</f>
        <v>0</v>
      </c>
      <c r="J56" s="1">
        <f>IF(B56="", "", "human oral metagenome")</f>
        <v>0</v>
      </c>
      <c r="K56" s="1">
        <f>IF(B56="", "", "447426")</f>
        <v>0</v>
      </c>
    </row>
    <row r="57" spans="1:11">
      <c r="A57">
        <f>IF(COUNTBLANK(B57:K57)&lt;&gt;COLUMNS(B57:K57),56,"")</f>
        <v>0</v>
      </c>
      <c r="C57" s="1">
        <f>IF(B57="", "", "animal secretion")</f>
        <v>0</v>
      </c>
      <c r="D57" s="1">
        <f>IF(B57="", "", "saliva")</f>
        <v>0</v>
      </c>
      <c r="E57" s="1">
        <f>IF(B57="", "", "human-oral")</f>
        <v>0</v>
      </c>
      <c r="F57" s="1">
        <f>IF(B57="", "", "UBERON:oral cavity")</f>
        <v>0</v>
      </c>
      <c r="G57" s="1">
        <f>IF(B57="", "", "UBERON:saliva")</f>
        <v>0</v>
      </c>
      <c r="H57" s="1">
        <f>IF(B57="", "", "UBERON:tongue")</f>
        <v>0</v>
      </c>
      <c r="I57" s="1">
        <f>IF(B57="", "", "tongue")</f>
        <v>0</v>
      </c>
      <c r="J57" s="1">
        <f>IF(B57="", "", "human oral metagenome")</f>
        <v>0</v>
      </c>
      <c r="K57" s="1">
        <f>IF(B57="", "", "447426")</f>
        <v>0</v>
      </c>
    </row>
    <row r="58" spans="1:11">
      <c r="A58">
        <f>IF(COUNTBLANK(B58:K58)&lt;&gt;COLUMNS(B58:K58),57,"")</f>
        <v>0</v>
      </c>
      <c r="C58" s="1">
        <f>IF(B58="", "", "animal secretion")</f>
        <v>0</v>
      </c>
      <c r="D58" s="1">
        <f>IF(B58="", "", "saliva")</f>
        <v>0</v>
      </c>
      <c r="E58" s="1">
        <f>IF(B58="", "", "human-oral")</f>
        <v>0</v>
      </c>
      <c r="F58" s="1">
        <f>IF(B58="", "", "UBERON:oral cavity")</f>
        <v>0</v>
      </c>
      <c r="G58" s="1">
        <f>IF(B58="", "", "UBERON:saliva")</f>
        <v>0</v>
      </c>
      <c r="H58" s="1">
        <f>IF(B58="", "", "UBERON:tongue")</f>
        <v>0</v>
      </c>
      <c r="I58" s="1">
        <f>IF(B58="", "", "tongue")</f>
        <v>0</v>
      </c>
      <c r="J58" s="1">
        <f>IF(B58="", "", "human oral metagenome")</f>
        <v>0</v>
      </c>
      <c r="K58" s="1">
        <f>IF(B58="", "", "447426")</f>
        <v>0</v>
      </c>
    </row>
    <row r="59" spans="1:11">
      <c r="A59">
        <f>IF(COUNTBLANK(B59:K59)&lt;&gt;COLUMNS(B59:K59),58,"")</f>
        <v>0</v>
      </c>
      <c r="C59" s="1">
        <f>IF(B59="", "", "animal secretion")</f>
        <v>0</v>
      </c>
      <c r="D59" s="1">
        <f>IF(B59="", "", "saliva")</f>
        <v>0</v>
      </c>
      <c r="E59" s="1">
        <f>IF(B59="", "", "human-oral")</f>
        <v>0</v>
      </c>
      <c r="F59" s="1">
        <f>IF(B59="", "", "UBERON:oral cavity")</f>
        <v>0</v>
      </c>
      <c r="G59" s="1">
        <f>IF(B59="", "", "UBERON:saliva")</f>
        <v>0</v>
      </c>
      <c r="H59" s="1">
        <f>IF(B59="", "", "UBERON:tongue")</f>
        <v>0</v>
      </c>
      <c r="I59" s="1">
        <f>IF(B59="", "", "tongue")</f>
        <v>0</v>
      </c>
      <c r="J59" s="1">
        <f>IF(B59="", "", "human oral metagenome")</f>
        <v>0</v>
      </c>
      <c r="K59" s="1">
        <f>IF(B59="", "", "447426")</f>
        <v>0</v>
      </c>
    </row>
    <row r="60" spans="1:11">
      <c r="A60">
        <f>IF(COUNTBLANK(B60:K60)&lt;&gt;COLUMNS(B60:K60),59,"")</f>
        <v>0</v>
      </c>
      <c r="C60" s="1">
        <f>IF(B60="", "", "animal secretion")</f>
        <v>0</v>
      </c>
      <c r="D60" s="1">
        <f>IF(B60="", "", "saliva")</f>
        <v>0</v>
      </c>
      <c r="E60" s="1">
        <f>IF(B60="", "", "human-oral")</f>
        <v>0</v>
      </c>
      <c r="F60" s="1">
        <f>IF(B60="", "", "UBERON:oral cavity")</f>
        <v>0</v>
      </c>
      <c r="G60" s="1">
        <f>IF(B60="", "", "UBERON:saliva")</f>
        <v>0</v>
      </c>
      <c r="H60" s="1">
        <f>IF(B60="", "", "UBERON:tongue")</f>
        <v>0</v>
      </c>
      <c r="I60" s="1">
        <f>IF(B60="", "", "tongue")</f>
        <v>0</v>
      </c>
      <c r="J60" s="1">
        <f>IF(B60="", "", "human oral metagenome")</f>
        <v>0</v>
      </c>
      <c r="K60" s="1">
        <f>IF(B60="", "", "447426")</f>
        <v>0</v>
      </c>
    </row>
    <row r="61" spans="1:11">
      <c r="A61">
        <f>IF(COUNTBLANK(B61:K61)&lt;&gt;COLUMNS(B61:K61),60,"")</f>
        <v>0</v>
      </c>
      <c r="C61" s="1">
        <f>IF(B61="", "", "animal secretion")</f>
        <v>0</v>
      </c>
      <c r="D61" s="1">
        <f>IF(B61="", "", "saliva")</f>
        <v>0</v>
      </c>
      <c r="E61" s="1">
        <f>IF(B61="", "", "human-oral")</f>
        <v>0</v>
      </c>
      <c r="F61" s="1">
        <f>IF(B61="", "", "UBERON:oral cavity")</f>
        <v>0</v>
      </c>
      <c r="G61" s="1">
        <f>IF(B61="", "", "UBERON:saliva")</f>
        <v>0</v>
      </c>
      <c r="H61" s="1">
        <f>IF(B61="", "", "UBERON:tongue")</f>
        <v>0</v>
      </c>
      <c r="I61" s="1">
        <f>IF(B61="", "", "tongue")</f>
        <v>0</v>
      </c>
      <c r="J61" s="1">
        <f>IF(B61="", "", "human oral metagenome")</f>
        <v>0</v>
      </c>
      <c r="K61" s="1">
        <f>IF(B61="", "", "447426")</f>
        <v>0</v>
      </c>
    </row>
    <row r="62" spans="1:11">
      <c r="A62">
        <f>IF(COUNTBLANK(B62:K62)&lt;&gt;COLUMNS(B62:K62),61,"")</f>
        <v>0</v>
      </c>
      <c r="C62" s="1">
        <f>IF(B62="", "", "animal secretion")</f>
        <v>0</v>
      </c>
      <c r="D62" s="1">
        <f>IF(B62="", "", "saliva")</f>
        <v>0</v>
      </c>
      <c r="E62" s="1">
        <f>IF(B62="", "", "human-oral")</f>
        <v>0</v>
      </c>
      <c r="F62" s="1">
        <f>IF(B62="", "", "UBERON:oral cavity")</f>
        <v>0</v>
      </c>
      <c r="G62" s="1">
        <f>IF(B62="", "", "UBERON:saliva")</f>
        <v>0</v>
      </c>
      <c r="H62" s="1">
        <f>IF(B62="", "", "UBERON:tongue")</f>
        <v>0</v>
      </c>
      <c r="I62" s="1">
        <f>IF(B62="", "", "tongue")</f>
        <v>0</v>
      </c>
      <c r="J62" s="1">
        <f>IF(B62="", "", "human oral metagenome")</f>
        <v>0</v>
      </c>
      <c r="K62" s="1">
        <f>IF(B62="", "", "447426")</f>
        <v>0</v>
      </c>
    </row>
    <row r="63" spans="1:11">
      <c r="A63">
        <f>IF(COUNTBLANK(B63:K63)&lt;&gt;COLUMNS(B63:K63),62,"")</f>
        <v>0</v>
      </c>
      <c r="C63" s="1">
        <f>IF(B63="", "", "animal secretion")</f>
        <v>0</v>
      </c>
      <c r="D63" s="1">
        <f>IF(B63="", "", "saliva")</f>
        <v>0</v>
      </c>
      <c r="E63" s="1">
        <f>IF(B63="", "", "human-oral")</f>
        <v>0</v>
      </c>
      <c r="F63" s="1">
        <f>IF(B63="", "", "UBERON:oral cavity")</f>
        <v>0</v>
      </c>
      <c r="G63" s="1">
        <f>IF(B63="", "", "UBERON:saliva")</f>
        <v>0</v>
      </c>
      <c r="H63" s="1">
        <f>IF(B63="", "", "UBERON:tongue")</f>
        <v>0</v>
      </c>
      <c r="I63" s="1">
        <f>IF(B63="", "", "tongue")</f>
        <v>0</v>
      </c>
      <c r="J63" s="1">
        <f>IF(B63="", "", "human oral metagenome")</f>
        <v>0</v>
      </c>
      <c r="K63" s="1">
        <f>IF(B63="", "", "447426")</f>
        <v>0</v>
      </c>
    </row>
    <row r="64" spans="1:11">
      <c r="A64">
        <f>IF(COUNTBLANK(B64:K64)&lt;&gt;COLUMNS(B64:K64),63,"")</f>
        <v>0</v>
      </c>
      <c r="C64" s="1">
        <f>IF(B64="", "", "animal secretion")</f>
        <v>0</v>
      </c>
      <c r="D64" s="1">
        <f>IF(B64="", "", "saliva")</f>
        <v>0</v>
      </c>
      <c r="E64" s="1">
        <f>IF(B64="", "", "human-oral")</f>
        <v>0</v>
      </c>
      <c r="F64" s="1">
        <f>IF(B64="", "", "UBERON:oral cavity")</f>
        <v>0</v>
      </c>
      <c r="G64" s="1">
        <f>IF(B64="", "", "UBERON:saliva")</f>
        <v>0</v>
      </c>
      <c r="H64" s="1">
        <f>IF(B64="", "", "UBERON:tongue")</f>
        <v>0</v>
      </c>
      <c r="I64" s="1">
        <f>IF(B64="", "", "tongue")</f>
        <v>0</v>
      </c>
      <c r="J64" s="1">
        <f>IF(B64="", "", "human oral metagenome")</f>
        <v>0</v>
      </c>
      <c r="K64" s="1">
        <f>IF(B64="", "", "447426")</f>
        <v>0</v>
      </c>
    </row>
    <row r="65" spans="1:11">
      <c r="A65">
        <f>IF(COUNTBLANK(B65:K65)&lt;&gt;COLUMNS(B65:K65),64,"")</f>
        <v>0</v>
      </c>
      <c r="C65" s="1">
        <f>IF(B65="", "", "animal secretion")</f>
        <v>0</v>
      </c>
      <c r="D65" s="1">
        <f>IF(B65="", "", "saliva")</f>
        <v>0</v>
      </c>
      <c r="E65" s="1">
        <f>IF(B65="", "", "human-oral")</f>
        <v>0</v>
      </c>
      <c r="F65" s="1">
        <f>IF(B65="", "", "UBERON:oral cavity")</f>
        <v>0</v>
      </c>
      <c r="G65" s="1">
        <f>IF(B65="", "", "UBERON:saliva")</f>
        <v>0</v>
      </c>
      <c r="H65" s="1">
        <f>IF(B65="", "", "UBERON:tongue")</f>
        <v>0</v>
      </c>
      <c r="I65" s="1">
        <f>IF(B65="", "", "tongue")</f>
        <v>0</v>
      </c>
      <c r="J65" s="1">
        <f>IF(B65="", "", "human oral metagenome")</f>
        <v>0</v>
      </c>
      <c r="K65" s="1">
        <f>IF(B65="", "", "447426")</f>
        <v>0</v>
      </c>
    </row>
    <row r="66" spans="1:11">
      <c r="A66">
        <f>IF(COUNTBLANK(B66:K66)&lt;&gt;COLUMNS(B66:K66),65,"")</f>
        <v>0</v>
      </c>
      <c r="C66" s="1">
        <f>IF(B66="", "", "animal secretion")</f>
        <v>0</v>
      </c>
      <c r="D66" s="1">
        <f>IF(B66="", "", "saliva")</f>
        <v>0</v>
      </c>
      <c r="E66" s="1">
        <f>IF(B66="", "", "human-oral")</f>
        <v>0</v>
      </c>
      <c r="F66" s="1">
        <f>IF(B66="", "", "UBERON:oral cavity")</f>
        <v>0</v>
      </c>
      <c r="G66" s="1">
        <f>IF(B66="", "", "UBERON:saliva")</f>
        <v>0</v>
      </c>
      <c r="H66" s="1">
        <f>IF(B66="", "", "UBERON:tongue")</f>
        <v>0</v>
      </c>
      <c r="I66" s="1">
        <f>IF(B66="", "", "tongue")</f>
        <v>0</v>
      </c>
      <c r="J66" s="1">
        <f>IF(B66="", "", "human oral metagenome")</f>
        <v>0</v>
      </c>
      <c r="K66" s="1">
        <f>IF(B66="", "", "447426")</f>
        <v>0</v>
      </c>
    </row>
    <row r="67" spans="1:11">
      <c r="A67">
        <f>IF(COUNTBLANK(B67:K67)&lt;&gt;COLUMNS(B67:K67),66,"")</f>
        <v>0</v>
      </c>
      <c r="C67" s="1">
        <f>IF(B67="", "", "animal secretion")</f>
        <v>0</v>
      </c>
      <c r="D67" s="1">
        <f>IF(B67="", "", "saliva")</f>
        <v>0</v>
      </c>
      <c r="E67" s="1">
        <f>IF(B67="", "", "human-oral")</f>
        <v>0</v>
      </c>
      <c r="F67" s="1">
        <f>IF(B67="", "", "UBERON:oral cavity")</f>
        <v>0</v>
      </c>
      <c r="G67" s="1">
        <f>IF(B67="", "", "UBERON:saliva")</f>
        <v>0</v>
      </c>
      <c r="H67" s="1">
        <f>IF(B67="", "", "UBERON:tongue")</f>
        <v>0</v>
      </c>
      <c r="I67" s="1">
        <f>IF(B67="", "", "tongue")</f>
        <v>0</v>
      </c>
      <c r="J67" s="1">
        <f>IF(B67="", "", "human oral metagenome")</f>
        <v>0</v>
      </c>
      <c r="K67" s="1">
        <f>IF(B67="", "", "447426")</f>
        <v>0</v>
      </c>
    </row>
    <row r="68" spans="1:11">
      <c r="A68">
        <f>IF(COUNTBLANK(B68:K68)&lt;&gt;COLUMNS(B68:K68),67,"")</f>
        <v>0</v>
      </c>
      <c r="C68" s="1">
        <f>IF(B68="", "", "animal secretion")</f>
        <v>0</v>
      </c>
      <c r="D68" s="1">
        <f>IF(B68="", "", "saliva")</f>
        <v>0</v>
      </c>
      <c r="E68" s="1">
        <f>IF(B68="", "", "human-oral")</f>
        <v>0</v>
      </c>
      <c r="F68" s="1">
        <f>IF(B68="", "", "UBERON:oral cavity")</f>
        <v>0</v>
      </c>
      <c r="G68" s="1">
        <f>IF(B68="", "", "UBERON:saliva")</f>
        <v>0</v>
      </c>
      <c r="H68" s="1">
        <f>IF(B68="", "", "UBERON:tongue")</f>
        <v>0</v>
      </c>
      <c r="I68" s="1">
        <f>IF(B68="", "", "tongue")</f>
        <v>0</v>
      </c>
      <c r="J68" s="1">
        <f>IF(B68="", "", "human oral metagenome")</f>
        <v>0</v>
      </c>
      <c r="K68" s="1">
        <f>IF(B68="", "", "447426")</f>
        <v>0</v>
      </c>
    </row>
    <row r="69" spans="1:11">
      <c r="A69">
        <f>IF(COUNTBLANK(B69:K69)&lt;&gt;COLUMNS(B69:K69),68,"")</f>
        <v>0</v>
      </c>
      <c r="C69" s="1">
        <f>IF(B69="", "", "animal secretion")</f>
        <v>0</v>
      </c>
      <c r="D69" s="1">
        <f>IF(B69="", "", "saliva")</f>
        <v>0</v>
      </c>
      <c r="E69" s="1">
        <f>IF(B69="", "", "human-oral")</f>
        <v>0</v>
      </c>
      <c r="F69" s="1">
        <f>IF(B69="", "", "UBERON:oral cavity")</f>
        <v>0</v>
      </c>
      <c r="G69" s="1">
        <f>IF(B69="", "", "UBERON:saliva")</f>
        <v>0</v>
      </c>
      <c r="H69" s="1">
        <f>IF(B69="", "", "UBERON:tongue")</f>
        <v>0</v>
      </c>
      <c r="I69" s="1">
        <f>IF(B69="", "", "tongue")</f>
        <v>0</v>
      </c>
      <c r="J69" s="1">
        <f>IF(B69="", "", "human oral metagenome")</f>
        <v>0</v>
      </c>
      <c r="K69" s="1">
        <f>IF(B69="", "", "447426")</f>
        <v>0</v>
      </c>
    </row>
    <row r="70" spans="1:11">
      <c r="A70">
        <f>IF(COUNTBLANK(B70:K70)&lt;&gt;COLUMNS(B70:K70),69,"")</f>
        <v>0</v>
      </c>
      <c r="C70" s="1">
        <f>IF(B70="", "", "animal secretion")</f>
        <v>0</v>
      </c>
      <c r="D70" s="1">
        <f>IF(B70="", "", "saliva")</f>
        <v>0</v>
      </c>
      <c r="E70" s="1">
        <f>IF(B70="", "", "human-oral")</f>
        <v>0</v>
      </c>
      <c r="F70" s="1">
        <f>IF(B70="", "", "UBERON:oral cavity")</f>
        <v>0</v>
      </c>
      <c r="G70" s="1">
        <f>IF(B70="", "", "UBERON:saliva")</f>
        <v>0</v>
      </c>
      <c r="H70" s="1">
        <f>IF(B70="", "", "UBERON:tongue")</f>
        <v>0</v>
      </c>
      <c r="I70" s="1">
        <f>IF(B70="", "", "tongue")</f>
        <v>0</v>
      </c>
      <c r="J70" s="1">
        <f>IF(B70="", "", "human oral metagenome")</f>
        <v>0</v>
      </c>
      <c r="K70" s="1">
        <f>IF(B70="", "", "447426")</f>
        <v>0</v>
      </c>
    </row>
    <row r="71" spans="1:11">
      <c r="A71">
        <f>IF(COUNTBLANK(B71:K71)&lt;&gt;COLUMNS(B71:K71),70,"")</f>
        <v>0</v>
      </c>
      <c r="C71" s="1">
        <f>IF(B71="", "", "animal secretion")</f>
        <v>0</v>
      </c>
      <c r="D71" s="1">
        <f>IF(B71="", "", "saliva")</f>
        <v>0</v>
      </c>
      <c r="E71" s="1">
        <f>IF(B71="", "", "human-oral")</f>
        <v>0</v>
      </c>
      <c r="F71" s="1">
        <f>IF(B71="", "", "UBERON:oral cavity")</f>
        <v>0</v>
      </c>
      <c r="G71" s="1">
        <f>IF(B71="", "", "UBERON:saliva")</f>
        <v>0</v>
      </c>
      <c r="H71" s="1">
        <f>IF(B71="", "", "UBERON:tongue")</f>
        <v>0</v>
      </c>
      <c r="I71" s="1">
        <f>IF(B71="", "", "tongue")</f>
        <v>0</v>
      </c>
      <c r="J71" s="1">
        <f>IF(B71="", "", "human oral metagenome")</f>
        <v>0</v>
      </c>
      <c r="K71" s="1">
        <f>IF(B71="", "", "447426")</f>
        <v>0</v>
      </c>
    </row>
    <row r="72" spans="1:11">
      <c r="A72">
        <f>IF(COUNTBLANK(B72:K72)&lt;&gt;COLUMNS(B72:K72),71,"")</f>
        <v>0</v>
      </c>
      <c r="C72" s="1">
        <f>IF(B72="", "", "animal secretion")</f>
        <v>0</v>
      </c>
      <c r="D72" s="1">
        <f>IF(B72="", "", "saliva")</f>
        <v>0</v>
      </c>
      <c r="E72" s="1">
        <f>IF(B72="", "", "human-oral")</f>
        <v>0</v>
      </c>
      <c r="F72" s="1">
        <f>IF(B72="", "", "UBERON:oral cavity")</f>
        <v>0</v>
      </c>
      <c r="G72" s="1">
        <f>IF(B72="", "", "UBERON:saliva")</f>
        <v>0</v>
      </c>
      <c r="H72" s="1">
        <f>IF(B72="", "", "UBERON:tongue")</f>
        <v>0</v>
      </c>
      <c r="I72" s="1">
        <f>IF(B72="", "", "tongue")</f>
        <v>0</v>
      </c>
      <c r="J72" s="1">
        <f>IF(B72="", "", "human oral metagenome")</f>
        <v>0</v>
      </c>
      <c r="K72" s="1">
        <f>IF(B72="", "", "447426")</f>
        <v>0</v>
      </c>
    </row>
    <row r="73" spans="1:11">
      <c r="A73">
        <f>IF(COUNTBLANK(B73:K73)&lt;&gt;COLUMNS(B73:K73),72,"")</f>
        <v>0</v>
      </c>
      <c r="C73" s="1">
        <f>IF(B73="", "", "animal secretion")</f>
        <v>0</v>
      </c>
      <c r="D73" s="1">
        <f>IF(B73="", "", "saliva")</f>
        <v>0</v>
      </c>
      <c r="E73" s="1">
        <f>IF(B73="", "", "human-oral")</f>
        <v>0</v>
      </c>
      <c r="F73" s="1">
        <f>IF(B73="", "", "UBERON:oral cavity")</f>
        <v>0</v>
      </c>
      <c r="G73" s="1">
        <f>IF(B73="", "", "UBERON:saliva")</f>
        <v>0</v>
      </c>
      <c r="H73" s="1">
        <f>IF(B73="", "", "UBERON:tongue")</f>
        <v>0</v>
      </c>
      <c r="I73" s="1">
        <f>IF(B73="", "", "tongue")</f>
        <v>0</v>
      </c>
      <c r="J73" s="1">
        <f>IF(B73="", "", "human oral metagenome")</f>
        <v>0</v>
      </c>
      <c r="K73" s="1">
        <f>IF(B73="", "", "447426")</f>
        <v>0</v>
      </c>
    </row>
    <row r="74" spans="1:11">
      <c r="A74">
        <f>IF(COUNTBLANK(B74:K74)&lt;&gt;COLUMNS(B74:K74),73,"")</f>
        <v>0</v>
      </c>
      <c r="C74" s="1">
        <f>IF(B74="", "", "animal secretion")</f>
        <v>0</v>
      </c>
      <c r="D74" s="1">
        <f>IF(B74="", "", "saliva")</f>
        <v>0</v>
      </c>
      <c r="E74" s="1">
        <f>IF(B74="", "", "human-oral")</f>
        <v>0</v>
      </c>
      <c r="F74" s="1">
        <f>IF(B74="", "", "UBERON:oral cavity")</f>
        <v>0</v>
      </c>
      <c r="G74" s="1">
        <f>IF(B74="", "", "UBERON:saliva")</f>
        <v>0</v>
      </c>
      <c r="H74" s="1">
        <f>IF(B74="", "", "UBERON:tongue")</f>
        <v>0</v>
      </c>
      <c r="I74" s="1">
        <f>IF(B74="", "", "tongue")</f>
        <v>0</v>
      </c>
      <c r="J74" s="1">
        <f>IF(B74="", "", "human oral metagenome")</f>
        <v>0</v>
      </c>
      <c r="K74" s="1">
        <f>IF(B74="", "", "447426")</f>
        <v>0</v>
      </c>
    </row>
    <row r="75" spans="1:11">
      <c r="A75">
        <f>IF(COUNTBLANK(B75:K75)&lt;&gt;COLUMNS(B75:K75),74,"")</f>
        <v>0</v>
      </c>
      <c r="C75" s="1">
        <f>IF(B75="", "", "animal secretion")</f>
        <v>0</v>
      </c>
      <c r="D75" s="1">
        <f>IF(B75="", "", "saliva")</f>
        <v>0</v>
      </c>
      <c r="E75" s="1">
        <f>IF(B75="", "", "human-oral")</f>
        <v>0</v>
      </c>
      <c r="F75" s="1">
        <f>IF(B75="", "", "UBERON:oral cavity")</f>
        <v>0</v>
      </c>
      <c r="G75" s="1">
        <f>IF(B75="", "", "UBERON:saliva")</f>
        <v>0</v>
      </c>
      <c r="H75" s="1">
        <f>IF(B75="", "", "UBERON:tongue")</f>
        <v>0</v>
      </c>
      <c r="I75" s="1">
        <f>IF(B75="", "", "tongue")</f>
        <v>0</v>
      </c>
      <c r="J75" s="1">
        <f>IF(B75="", "", "human oral metagenome")</f>
        <v>0</v>
      </c>
      <c r="K75" s="1">
        <f>IF(B75="", "", "447426")</f>
        <v>0</v>
      </c>
    </row>
    <row r="76" spans="1:11">
      <c r="A76">
        <f>IF(COUNTBLANK(B76:K76)&lt;&gt;COLUMNS(B76:K76),75,"")</f>
        <v>0</v>
      </c>
      <c r="C76" s="1">
        <f>IF(B76="", "", "animal secretion")</f>
        <v>0</v>
      </c>
      <c r="D76" s="1">
        <f>IF(B76="", "", "saliva")</f>
        <v>0</v>
      </c>
      <c r="E76" s="1">
        <f>IF(B76="", "", "human-oral")</f>
        <v>0</v>
      </c>
      <c r="F76" s="1">
        <f>IF(B76="", "", "UBERON:oral cavity")</f>
        <v>0</v>
      </c>
      <c r="G76" s="1">
        <f>IF(B76="", "", "UBERON:saliva")</f>
        <v>0</v>
      </c>
      <c r="H76" s="1">
        <f>IF(B76="", "", "UBERON:tongue")</f>
        <v>0</v>
      </c>
      <c r="I76" s="1">
        <f>IF(B76="", "", "tongue")</f>
        <v>0</v>
      </c>
      <c r="J76" s="1">
        <f>IF(B76="", "", "human oral metagenome")</f>
        <v>0</v>
      </c>
      <c r="K76" s="1">
        <f>IF(B76="", "", "447426")</f>
        <v>0</v>
      </c>
    </row>
    <row r="77" spans="1:11">
      <c r="A77">
        <f>IF(COUNTBLANK(B77:K77)&lt;&gt;COLUMNS(B77:K77),76,"")</f>
        <v>0</v>
      </c>
      <c r="C77" s="1">
        <f>IF(B77="", "", "animal secretion")</f>
        <v>0</v>
      </c>
      <c r="D77" s="1">
        <f>IF(B77="", "", "saliva")</f>
        <v>0</v>
      </c>
      <c r="E77" s="1">
        <f>IF(B77="", "", "human-oral")</f>
        <v>0</v>
      </c>
      <c r="F77" s="1">
        <f>IF(B77="", "", "UBERON:oral cavity")</f>
        <v>0</v>
      </c>
      <c r="G77" s="1">
        <f>IF(B77="", "", "UBERON:saliva")</f>
        <v>0</v>
      </c>
      <c r="H77" s="1">
        <f>IF(B77="", "", "UBERON:tongue")</f>
        <v>0</v>
      </c>
      <c r="I77" s="1">
        <f>IF(B77="", "", "tongue")</f>
        <v>0</v>
      </c>
      <c r="J77" s="1">
        <f>IF(B77="", "", "human oral metagenome")</f>
        <v>0</v>
      </c>
      <c r="K77" s="1">
        <f>IF(B77="", "", "447426")</f>
        <v>0</v>
      </c>
    </row>
    <row r="78" spans="1:11">
      <c r="A78">
        <f>IF(COUNTBLANK(B78:K78)&lt;&gt;COLUMNS(B78:K78),77,"")</f>
        <v>0</v>
      </c>
      <c r="C78" s="1">
        <f>IF(B78="", "", "animal secretion")</f>
        <v>0</v>
      </c>
      <c r="D78" s="1">
        <f>IF(B78="", "", "saliva")</f>
        <v>0</v>
      </c>
      <c r="E78" s="1">
        <f>IF(B78="", "", "human-oral")</f>
        <v>0</v>
      </c>
      <c r="F78" s="1">
        <f>IF(B78="", "", "UBERON:oral cavity")</f>
        <v>0</v>
      </c>
      <c r="G78" s="1">
        <f>IF(B78="", "", "UBERON:saliva")</f>
        <v>0</v>
      </c>
      <c r="H78" s="1">
        <f>IF(B78="", "", "UBERON:tongue")</f>
        <v>0</v>
      </c>
      <c r="I78" s="1">
        <f>IF(B78="", "", "tongue")</f>
        <v>0</v>
      </c>
      <c r="J78" s="1">
        <f>IF(B78="", "", "human oral metagenome")</f>
        <v>0</v>
      </c>
      <c r="K78" s="1">
        <f>IF(B78="", "", "447426")</f>
        <v>0</v>
      </c>
    </row>
    <row r="79" spans="1:11">
      <c r="A79">
        <f>IF(COUNTBLANK(B79:K79)&lt;&gt;COLUMNS(B79:K79),78,"")</f>
        <v>0</v>
      </c>
      <c r="C79" s="1">
        <f>IF(B79="", "", "animal secretion")</f>
        <v>0</v>
      </c>
      <c r="D79" s="1">
        <f>IF(B79="", "", "saliva")</f>
        <v>0</v>
      </c>
      <c r="E79" s="1">
        <f>IF(B79="", "", "human-oral")</f>
        <v>0</v>
      </c>
      <c r="F79" s="1">
        <f>IF(B79="", "", "UBERON:oral cavity")</f>
        <v>0</v>
      </c>
      <c r="G79" s="1">
        <f>IF(B79="", "", "UBERON:saliva")</f>
        <v>0</v>
      </c>
      <c r="H79" s="1">
        <f>IF(B79="", "", "UBERON:tongue")</f>
        <v>0</v>
      </c>
      <c r="I79" s="1">
        <f>IF(B79="", "", "tongue")</f>
        <v>0</v>
      </c>
      <c r="J79" s="1">
        <f>IF(B79="", "", "human oral metagenome")</f>
        <v>0</v>
      </c>
      <c r="K79" s="1">
        <f>IF(B79="", "", "447426")</f>
        <v>0</v>
      </c>
    </row>
    <row r="80" spans="1:11">
      <c r="A80">
        <f>IF(COUNTBLANK(B80:K80)&lt;&gt;COLUMNS(B80:K80),79,"")</f>
        <v>0</v>
      </c>
      <c r="C80" s="1">
        <f>IF(B80="", "", "animal secretion")</f>
        <v>0</v>
      </c>
      <c r="D80" s="1">
        <f>IF(B80="", "", "saliva")</f>
        <v>0</v>
      </c>
      <c r="E80" s="1">
        <f>IF(B80="", "", "human-oral")</f>
        <v>0</v>
      </c>
      <c r="F80" s="1">
        <f>IF(B80="", "", "UBERON:oral cavity")</f>
        <v>0</v>
      </c>
      <c r="G80" s="1">
        <f>IF(B80="", "", "UBERON:saliva")</f>
        <v>0</v>
      </c>
      <c r="H80" s="1">
        <f>IF(B80="", "", "UBERON:tongue")</f>
        <v>0</v>
      </c>
      <c r="I80" s="1">
        <f>IF(B80="", "", "tongue")</f>
        <v>0</v>
      </c>
      <c r="J80" s="1">
        <f>IF(B80="", "", "human oral metagenome")</f>
        <v>0</v>
      </c>
      <c r="K80" s="1">
        <f>IF(B80="", "", "447426")</f>
        <v>0</v>
      </c>
    </row>
    <row r="81" spans="1:11">
      <c r="A81">
        <f>IF(COUNTBLANK(B81:K81)&lt;&gt;COLUMNS(B81:K81),80,"")</f>
        <v>0</v>
      </c>
      <c r="C81" s="1">
        <f>IF(B81="", "", "animal secretion")</f>
        <v>0</v>
      </c>
      <c r="D81" s="1">
        <f>IF(B81="", "", "saliva")</f>
        <v>0</v>
      </c>
      <c r="E81" s="1">
        <f>IF(B81="", "", "human-oral")</f>
        <v>0</v>
      </c>
      <c r="F81" s="1">
        <f>IF(B81="", "", "UBERON:oral cavity")</f>
        <v>0</v>
      </c>
      <c r="G81" s="1">
        <f>IF(B81="", "", "UBERON:saliva")</f>
        <v>0</v>
      </c>
      <c r="H81" s="1">
        <f>IF(B81="", "", "UBERON:tongue")</f>
        <v>0</v>
      </c>
      <c r="I81" s="1">
        <f>IF(B81="", "", "tongue")</f>
        <v>0</v>
      </c>
      <c r="J81" s="1">
        <f>IF(B81="", "", "human oral metagenome")</f>
        <v>0</v>
      </c>
      <c r="K81" s="1">
        <f>IF(B81="", "", "447426")</f>
        <v>0</v>
      </c>
    </row>
    <row r="82" spans="1:11">
      <c r="A82">
        <f>IF(COUNTBLANK(B82:K82)&lt;&gt;COLUMNS(B82:K82),81,"")</f>
        <v>0</v>
      </c>
      <c r="C82" s="1">
        <f>IF(B82="", "", "animal secretion")</f>
        <v>0</v>
      </c>
      <c r="D82" s="1">
        <f>IF(B82="", "", "saliva")</f>
        <v>0</v>
      </c>
      <c r="E82" s="1">
        <f>IF(B82="", "", "human-oral")</f>
        <v>0</v>
      </c>
      <c r="F82" s="1">
        <f>IF(B82="", "", "UBERON:oral cavity")</f>
        <v>0</v>
      </c>
      <c r="G82" s="1">
        <f>IF(B82="", "", "UBERON:saliva")</f>
        <v>0</v>
      </c>
      <c r="H82" s="1">
        <f>IF(B82="", "", "UBERON:tongue")</f>
        <v>0</v>
      </c>
      <c r="I82" s="1">
        <f>IF(B82="", "", "tongue")</f>
        <v>0</v>
      </c>
      <c r="J82" s="1">
        <f>IF(B82="", "", "human oral metagenome")</f>
        <v>0</v>
      </c>
      <c r="K82" s="1">
        <f>IF(B82="", "", "447426")</f>
        <v>0</v>
      </c>
    </row>
    <row r="83" spans="1:11">
      <c r="A83">
        <f>IF(COUNTBLANK(B83:K83)&lt;&gt;COLUMNS(B83:K83),82,"")</f>
        <v>0</v>
      </c>
      <c r="C83" s="1">
        <f>IF(B83="", "", "animal secretion")</f>
        <v>0</v>
      </c>
      <c r="D83" s="1">
        <f>IF(B83="", "", "saliva")</f>
        <v>0</v>
      </c>
      <c r="E83" s="1">
        <f>IF(B83="", "", "human-oral")</f>
        <v>0</v>
      </c>
      <c r="F83" s="1">
        <f>IF(B83="", "", "UBERON:oral cavity")</f>
        <v>0</v>
      </c>
      <c r="G83" s="1">
        <f>IF(B83="", "", "UBERON:saliva")</f>
        <v>0</v>
      </c>
      <c r="H83" s="1">
        <f>IF(B83="", "", "UBERON:tongue")</f>
        <v>0</v>
      </c>
      <c r="I83" s="1">
        <f>IF(B83="", "", "tongue")</f>
        <v>0</v>
      </c>
      <c r="J83" s="1">
        <f>IF(B83="", "", "human oral metagenome")</f>
        <v>0</v>
      </c>
      <c r="K83" s="1">
        <f>IF(B83="", "", "447426")</f>
        <v>0</v>
      </c>
    </row>
    <row r="84" spans="1:11">
      <c r="A84">
        <f>IF(COUNTBLANK(B84:K84)&lt;&gt;COLUMNS(B84:K84),83,"")</f>
        <v>0</v>
      </c>
      <c r="C84" s="1">
        <f>IF(B84="", "", "animal secretion")</f>
        <v>0</v>
      </c>
      <c r="D84" s="1">
        <f>IF(B84="", "", "saliva")</f>
        <v>0</v>
      </c>
      <c r="E84" s="1">
        <f>IF(B84="", "", "human-oral")</f>
        <v>0</v>
      </c>
      <c r="F84" s="1">
        <f>IF(B84="", "", "UBERON:oral cavity")</f>
        <v>0</v>
      </c>
      <c r="G84" s="1">
        <f>IF(B84="", "", "UBERON:saliva")</f>
        <v>0</v>
      </c>
      <c r="H84" s="1">
        <f>IF(B84="", "", "UBERON:tongue")</f>
        <v>0</v>
      </c>
      <c r="I84" s="1">
        <f>IF(B84="", "", "tongue")</f>
        <v>0</v>
      </c>
      <c r="J84" s="1">
        <f>IF(B84="", "", "human oral metagenome")</f>
        <v>0</v>
      </c>
      <c r="K84" s="1">
        <f>IF(B84="", "", "447426")</f>
        <v>0</v>
      </c>
    </row>
    <row r="85" spans="1:11">
      <c r="A85">
        <f>IF(COUNTBLANK(B85:K85)&lt;&gt;COLUMNS(B85:K85),84,"")</f>
        <v>0</v>
      </c>
      <c r="C85" s="1">
        <f>IF(B85="", "", "animal secretion")</f>
        <v>0</v>
      </c>
      <c r="D85" s="1">
        <f>IF(B85="", "", "saliva")</f>
        <v>0</v>
      </c>
      <c r="E85" s="1">
        <f>IF(B85="", "", "human-oral")</f>
        <v>0</v>
      </c>
      <c r="F85" s="1">
        <f>IF(B85="", "", "UBERON:oral cavity")</f>
        <v>0</v>
      </c>
      <c r="G85" s="1">
        <f>IF(B85="", "", "UBERON:saliva")</f>
        <v>0</v>
      </c>
      <c r="H85" s="1">
        <f>IF(B85="", "", "UBERON:tongue")</f>
        <v>0</v>
      </c>
      <c r="I85" s="1">
        <f>IF(B85="", "", "tongue")</f>
        <v>0</v>
      </c>
      <c r="J85" s="1">
        <f>IF(B85="", "", "human oral metagenome")</f>
        <v>0</v>
      </c>
      <c r="K85" s="1">
        <f>IF(B85="", "", "447426")</f>
        <v>0</v>
      </c>
    </row>
    <row r="86" spans="1:11">
      <c r="A86">
        <f>IF(COUNTBLANK(B86:K86)&lt;&gt;COLUMNS(B86:K86),85,"")</f>
        <v>0</v>
      </c>
      <c r="C86" s="1">
        <f>IF(B86="", "", "animal secretion")</f>
        <v>0</v>
      </c>
      <c r="D86" s="1">
        <f>IF(B86="", "", "saliva")</f>
        <v>0</v>
      </c>
      <c r="E86" s="1">
        <f>IF(B86="", "", "human-oral")</f>
        <v>0</v>
      </c>
      <c r="F86" s="1">
        <f>IF(B86="", "", "UBERON:oral cavity")</f>
        <v>0</v>
      </c>
      <c r="G86" s="1">
        <f>IF(B86="", "", "UBERON:saliva")</f>
        <v>0</v>
      </c>
      <c r="H86" s="1">
        <f>IF(B86="", "", "UBERON:tongue")</f>
        <v>0</v>
      </c>
      <c r="I86" s="1">
        <f>IF(B86="", "", "tongue")</f>
        <v>0</v>
      </c>
      <c r="J86" s="1">
        <f>IF(B86="", "", "human oral metagenome")</f>
        <v>0</v>
      </c>
      <c r="K86" s="1">
        <f>IF(B86="", "", "447426")</f>
        <v>0</v>
      </c>
    </row>
    <row r="87" spans="1:11">
      <c r="A87">
        <f>IF(COUNTBLANK(B87:K87)&lt;&gt;COLUMNS(B87:K87),86,"")</f>
        <v>0</v>
      </c>
      <c r="C87" s="1">
        <f>IF(B87="", "", "animal secretion")</f>
        <v>0</v>
      </c>
      <c r="D87" s="1">
        <f>IF(B87="", "", "saliva")</f>
        <v>0</v>
      </c>
      <c r="E87" s="1">
        <f>IF(B87="", "", "human-oral")</f>
        <v>0</v>
      </c>
      <c r="F87" s="1">
        <f>IF(B87="", "", "UBERON:oral cavity")</f>
        <v>0</v>
      </c>
      <c r="G87" s="1">
        <f>IF(B87="", "", "UBERON:saliva")</f>
        <v>0</v>
      </c>
      <c r="H87" s="1">
        <f>IF(B87="", "", "UBERON:tongue")</f>
        <v>0</v>
      </c>
      <c r="I87" s="1">
        <f>IF(B87="", "", "tongue")</f>
        <v>0</v>
      </c>
      <c r="J87" s="1">
        <f>IF(B87="", "", "human oral metagenome")</f>
        <v>0</v>
      </c>
      <c r="K87" s="1">
        <f>IF(B87="", "", "447426")</f>
        <v>0</v>
      </c>
    </row>
    <row r="88" spans="1:11">
      <c r="A88">
        <f>IF(COUNTBLANK(B88:K88)&lt;&gt;COLUMNS(B88:K88),87,"")</f>
        <v>0</v>
      </c>
      <c r="C88" s="1">
        <f>IF(B88="", "", "animal secretion")</f>
        <v>0</v>
      </c>
      <c r="D88" s="1">
        <f>IF(B88="", "", "saliva")</f>
        <v>0</v>
      </c>
      <c r="E88" s="1">
        <f>IF(B88="", "", "human-oral")</f>
        <v>0</v>
      </c>
      <c r="F88" s="1">
        <f>IF(B88="", "", "UBERON:oral cavity")</f>
        <v>0</v>
      </c>
      <c r="G88" s="1">
        <f>IF(B88="", "", "UBERON:saliva")</f>
        <v>0</v>
      </c>
      <c r="H88" s="1">
        <f>IF(B88="", "", "UBERON:tongue")</f>
        <v>0</v>
      </c>
      <c r="I88" s="1">
        <f>IF(B88="", "", "tongue")</f>
        <v>0</v>
      </c>
      <c r="J88" s="1">
        <f>IF(B88="", "", "human oral metagenome")</f>
        <v>0</v>
      </c>
      <c r="K88" s="1">
        <f>IF(B88="", "", "447426")</f>
        <v>0</v>
      </c>
    </row>
    <row r="89" spans="1:11">
      <c r="A89">
        <f>IF(COUNTBLANK(B89:K89)&lt;&gt;COLUMNS(B89:K89),88,"")</f>
        <v>0</v>
      </c>
      <c r="C89" s="1">
        <f>IF(B89="", "", "animal secretion")</f>
        <v>0</v>
      </c>
      <c r="D89" s="1">
        <f>IF(B89="", "", "saliva")</f>
        <v>0</v>
      </c>
      <c r="E89" s="1">
        <f>IF(B89="", "", "human-oral")</f>
        <v>0</v>
      </c>
      <c r="F89" s="1">
        <f>IF(B89="", "", "UBERON:oral cavity")</f>
        <v>0</v>
      </c>
      <c r="G89" s="1">
        <f>IF(B89="", "", "UBERON:saliva")</f>
        <v>0</v>
      </c>
      <c r="H89" s="1">
        <f>IF(B89="", "", "UBERON:tongue")</f>
        <v>0</v>
      </c>
      <c r="I89" s="1">
        <f>IF(B89="", "", "tongue")</f>
        <v>0</v>
      </c>
      <c r="J89" s="1">
        <f>IF(B89="", "", "human oral metagenome")</f>
        <v>0</v>
      </c>
      <c r="K89" s="1">
        <f>IF(B89="", "", "447426")</f>
        <v>0</v>
      </c>
    </row>
    <row r="90" spans="1:11">
      <c r="A90">
        <f>IF(COUNTBLANK(B90:K90)&lt;&gt;COLUMNS(B90:K90),89,"")</f>
        <v>0</v>
      </c>
      <c r="C90" s="1">
        <f>IF(B90="", "", "animal secretion")</f>
        <v>0</v>
      </c>
      <c r="D90" s="1">
        <f>IF(B90="", "", "saliva")</f>
        <v>0</v>
      </c>
      <c r="E90" s="1">
        <f>IF(B90="", "", "human-oral")</f>
        <v>0</v>
      </c>
      <c r="F90" s="1">
        <f>IF(B90="", "", "UBERON:oral cavity")</f>
        <v>0</v>
      </c>
      <c r="G90" s="1">
        <f>IF(B90="", "", "UBERON:saliva")</f>
        <v>0</v>
      </c>
      <c r="H90" s="1">
        <f>IF(B90="", "", "UBERON:tongue")</f>
        <v>0</v>
      </c>
      <c r="I90" s="1">
        <f>IF(B90="", "", "tongue")</f>
        <v>0</v>
      </c>
      <c r="J90" s="1">
        <f>IF(B90="", "", "human oral metagenome")</f>
        <v>0</v>
      </c>
      <c r="K90" s="1">
        <f>IF(B90="", "", "447426")</f>
        <v>0</v>
      </c>
    </row>
    <row r="91" spans="1:11">
      <c r="A91">
        <f>IF(COUNTBLANK(B91:K91)&lt;&gt;COLUMNS(B91:K91),90,"")</f>
        <v>0</v>
      </c>
      <c r="C91" s="1">
        <f>IF(B91="", "", "animal secretion")</f>
        <v>0</v>
      </c>
      <c r="D91" s="1">
        <f>IF(B91="", "", "saliva")</f>
        <v>0</v>
      </c>
      <c r="E91" s="1">
        <f>IF(B91="", "", "human-oral")</f>
        <v>0</v>
      </c>
      <c r="F91" s="1">
        <f>IF(B91="", "", "UBERON:oral cavity")</f>
        <v>0</v>
      </c>
      <c r="G91" s="1">
        <f>IF(B91="", "", "UBERON:saliva")</f>
        <v>0</v>
      </c>
      <c r="H91" s="1">
        <f>IF(B91="", "", "UBERON:tongue")</f>
        <v>0</v>
      </c>
      <c r="I91" s="1">
        <f>IF(B91="", "", "tongue")</f>
        <v>0</v>
      </c>
      <c r="J91" s="1">
        <f>IF(B91="", "", "human oral metagenome")</f>
        <v>0</v>
      </c>
      <c r="K91" s="1">
        <f>IF(B91="", "", "447426")</f>
        <v>0</v>
      </c>
    </row>
    <row r="92" spans="1:11">
      <c r="A92">
        <f>IF(COUNTBLANK(B92:K92)&lt;&gt;COLUMNS(B92:K92),91,"")</f>
        <v>0</v>
      </c>
      <c r="C92" s="1">
        <f>IF(B92="", "", "animal secretion")</f>
        <v>0</v>
      </c>
      <c r="D92" s="1">
        <f>IF(B92="", "", "saliva")</f>
        <v>0</v>
      </c>
      <c r="E92" s="1">
        <f>IF(B92="", "", "human-oral")</f>
        <v>0</v>
      </c>
      <c r="F92" s="1">
        <f>IF(B92="", "", "UBERON:oral cavity")</f>
        <v>0</v>
      </c>
      <c r="G92" s="1">
        <f>IF(B92="", "", "UBERON:saliva")</f>
        <v>0</v>
      </c>
      <c r="H92" s="1">
        <f>IF(B92="", "", "UBERON:tongue")</f>
        <v>0</v>
      </c>
      <c r="I92" s="1">
        <f>IF(B92="", "", "tongue")</f>
        <v>0</v>
      </c>
      <c r="J92" s="1">
        <f>IF(B92="", "", "human oral metagenome")</f>
        <v>0</v>
      </c>
      <c r="K92" s="1">
        <f>IF(B92="", "", "447426")</f>
        <v>0</v>
      </c>
    </row>
    <row r="93" spans="1:11">
      <c r="A93">
        <f>IF(COUNTBLANK(B93:K93)&lt;&gt;COLUMNS(B93:K93),92,"")</f>
        <v>0</v>
      </c>
      <c r="C93" s="1">
        <f>IF(B93="", "", "animal secretion")</f>
        <v>0</v>
      </c>
      <c r="D93" s="1">
        <f>IF(B93="", "", "saliva")</f>
        <v>0</v>
      </c>
      <c r="E93" s="1">
        <f>IF(B93="", "", "human-oral")</f>
        <v>0</v>
      </c>
      <c r="F93" s="1">
        <f>IF(B93="", "", "UBERON:oral cavity")</f>
        <v>0</v>
      </c>
      <c r="G93" s="1">
        <f>IF(B93="", "", "UBERON:saliva")</f>
        <v>0</v>
      </c>
      <c r="H93" s="1">
        <f>IF(B93="", "", "UBERON:tongue")</f>
        <v>0</v>
      </c>
      <c r="I93" s="1">
        <f>IF(B93="", "", "tongue")</f>
        <v>0</v>
      </c>
      <c r="J93" s="1">
        <f>IF(B93="", "", "human oral metagenome")</f>
        <v>0</v>
      </c>
      <c r="K93" s="1">
        <f>IF(B93="", "", "447426")</f>
        <v>0</v>
      </c>
    </row>
    <row r="94" spans="1:11">
      <c r="A94">
        <f>IF(COUNTBLANK(B94:K94)&lt;&gt;COLUMNS(B94:K94),93,"")</f>
        <v>0</v>
      </c>
      <c r="C94" s="1">
        <f>IF(B94="", "", "animal secretion")</f>
        <v>0</v>
      </c>
      <c r="D94" s="1">
        <f>IF(B94="", "", "saliva")</f>
        <v>0</v>
      </c>
      <c r="E94" s="1">
        <f>IF(B94="", "", "human-oral")</f>
        <v>0</v>
      </c>
      <c r="F94" s="1">
        <f>IF(B94="", "", "UBERON:oral cavity")</f>
        <v>0</v>
      </c>
      <c r="G94" s="1">
        <f>IF(B94="", "", "UBERON:saliva")</f>
        <v>0</v>
      </c>
      <c r="H94" s="1">
        <f>IF(B94="", "", "UBERON:tongue")</f>
        <v>0</v>
      </c>
      <c r="I94" s="1">
        <f>IF(B94="", "", "tongue")</f>
        <v>0</v>
      </c>
      <c r="J94" s="1">
        <f>IF(B94="", "", "human oral metagenome")</f>
        <v>0</v>
      </c>
      <c r="K94" s="1">
        <f>IF(B94="", "", "447426")</f>
        <v>0</v>
      </c>
    </row>
    <row r="95" spans="1:11">
      <c r="A95">
        <f>IF(COUNTBLANK(B95:K95)&lt;&gt;COLUMNS(B95:K95),94,"")</f>
        <v>0</v>
      </c>
      <c r="C95" s="1">
        <f>IF(B95="", "", "animal secretion")</f>
        <v>0</v>
      </c>
      <c r="D95" s="1">
        <f>IF(B95="", "", "saliva")</f>
        <v>0</v>
      </c>
      <c r="E95" s="1">
        <f>IF(B95="", "", "human-oral")</f>
        <v>0</v>
      </c>
      <c r="F95" s="1">
        <f>IF(B95="", "", "UBERON:oral cavity")</f>
        <v>0</v>
      </c>
      <c r="G95" s="1">
        <f>IF(B95="", "", "UBERON:saliva")</f>
        <v>0</v>
      </c>
      <c r="H95" s="1">
        <f>IF(B95="", "", "UBERON:tongue")</f>
        <v>0</v>
      </c>
      <c r="I95" s="1">
        <f>IF(B95="", "", "tongue")</f>
        <v>0</v>
      </c>
      <c r="J95" s="1">
        <f>IF(B95="", "", "human oral metagenome")</f>
        <v>0</v>
      </c>
      <c r="K95" s="1">
        <f>IF(B95="", "", "447426")</f>
        <v>0</v>
      </c>
    </row>
    <row r="96" spans="1:11">
      <c r="A96">
        <f>IF(COUNTBLANK(B96:K96)&lt;&gt;COLUMNS(B96:K96),95,"")</f>
        <v>0</v>
      </c>
      <c r="C96" s="1">
        <f>IF(B96="", "", "animal secretion")</f>
        <v>0</v>
      </c>
      <c r="D96" s="1">
        <f>IF(B96="", "", "saliva")</f>
        <v>0</v>
      </c>
      <c r="E96" s="1">
        <f>IF(B96="", "", "human-oral")</f>
        <v>0</v>
      </c>
      <c r="F96" s="1">
        <f>IF(B96="", "", "UBERON:oral cavity")</f>
        <v>0</v>
      </c>
      <c r="G96" s="1">
        <f>IF(B96="", "", "UBERON:saliva")</f>
        <v>0</v>
      </c>
      <c r="H96" s="1">
        <f>IF(B96="", "", "UBERON:tongue")</f>
        <v>0</v>
      </c>
      <c r="I96" s="1">
        <f>IF(B96="", "", "tongue")</f>
        <v>0</v>
      </c>
      <c r="J96" s="1">
        <f>IF(B96="", "", "human oral metagenome")</f>
        <v>0</v>
      </c>
      <c r="K96" s="1">
        <f>IF(B96="", "", "447426")</f>
        <v>0</v>
      </c>
    </row>
    <row r="97" spans="1:11">
      <c r="A97">
        <f>IF(COUNTBLANK(B97:K97)&lt;&gt;COLUMNS(B97:K97),96,"")</f>
        <v>0</v>
      </c>
      <c r="C97" s="1">
        <f>IF(B97="", "", "animal secretion")</f>
        <v>0</v>
      </c>
      <c r="D97" s="1">
        <f>IF(B97="", "", "saliva")</f>
        <v>0</v>
      </c>
      <c r="E97" s="1">
        <f>IF(B97="", "", "human-oral")</f>
        <v>0</v>
      </c>
      <c r="F97" s="1">
        <f>IF(B97="", "", "UBERON:oral cavity")</f>
        <v>0</v>
      </c>
      <c r="G97" s="1">
        <f>IF(B97="", "", "UBERON:saliva")</f>
        <v>0</v>
      </c>
      <c r="H97" s="1">
        <f>IF(B97="", "", "UBERON:tongue")</f>
        <v>0</v>
      </c>
      <c r="I97" s="1">
        <f>IF(B97="", "", "tongue")</f>
        <v>0</v>
      </c>
      <c r="J97" s="1">
        <f>IF(B97="", "", "human oral metagenome")</f>
        <v>0</v>
      </c>
      <c r="K97" s="1">
        <f>IF(B97="", "", "447426")</f>
        <v>0</v>
      </c>
    </row>
    <row r="98" spans="1:11">
      <c r="A98">
        <f>IF(COUNTBLANK(B98:K98)&lt;&gt;COLUMNS(B98:K98),97,"")</f>
        <v>0</v>
      </c>
      <c r="C98" s="1">
        <f>IF(B98="", "", "animal secretion")</f>
        <v>0</v>
      </c>
      <c r="D98" s="1">
        <f>IF(B98="", "", "saliva")</f>
        <v>0</v>
      </c>
      <c r="E98" s="1">
        <f>IF(B98="", "", "human-oral")</f>
        <v>0</v>
      </c>
      <c r="F98" s="1">
        <f>IF(B98="", "", "UBERON:oral cavity")</f>
        <v>0</v>
      </c>
      <c r="G98" s="1">
        <f>IF(B98="", "", "UBERON:saliva")</f>
        <v>0</v>
      </c>
      <c r="H98" s="1">
        <f>IF(B98="", "", "UBERON:tongue")</f>
        <v>0</v>
      </c>
      <c r="I98" s="1">
        <f>IF(B98="", "", "tongue")</f>
        <v>0</v>
      </c>
      <c r="J98" s="1">
        <f>IF(B98="", "", "human oral metagenome")</f>
        <v>0</v>
      </c>
      <c r="K98" s="1">
        <f>IF(B98="", "", "447426")</f>
        <v>0</v>
      </c>
    </row>
    <row r="99" spans="1:11">
      <c r="A99">
        <f>IF(COUNTBLANK(B99:K99)&lt;&gt;COLUMNS(B99:K99),98,"")</f>
        <v>0</v>
      </c>
      <c r="C99" s="1">
        <f>IF(B99="", "", "animal secretion")</f>
        <v>0</v>
      </c>
      <c r="D99" s="1">
        <f>IF(B99="", "", "saliva")</f>
        <v>0</v>
      </c>
      <c r="E99" s="1">
        <f>IF(B99="", "", "human-oral")</f>
        <v>0</v>
      </c>
      <c r="F99" s="1">
        <f>IF(B99="", "", "UBERON:oral cavity")</f>
        <v>0</v>
      </c>
      <c r="G99" s="1">
        <f>IF(B99="", "", "UBERON:saliva")</f>
        <v>0</v>
      </c>
      <c r="H99" s="1">
        <f>IF(B99="", "", "UBERON:tongue")</f>
        <v>0</v>
      </c>
      <c r="I99" s="1">
        <f>IF(B99="", "", "tongue")</f>
        <v>0</v>
      </c>
      <c r="J99" s="1">
        <f>IF(B99="", "", "human oral metagenome")</f>
        <v>0</v>
      </c>
      <c r="K99" s="1">
        <f>IF(B99="", "", "447426")</f>
        <v>0</v>
      </c>
    </row>
    <row r="100" spans="1:11">
      <c r="A100">
        <f>IF(COUNTBLANK(B100:K100)&lt;&gt;COLUMNS(B100:K100),99,"")</f>
        <v>0</v>
      </c>
      <c r="C100" s="1">
        <f>IF(B100="", "", "animal secretion")</f>
        <v>0</v>
      </c>
      <c r="D100" s="1">
        <f>IF(B100="", "", "saliva")</f>
        <v>0</v>
      </c>
      <c r="E100" s="1">
        <f>IF(B100="", "", "human-oral")</f>
        <v>0</v>
      </c>
      <c r="F100" s="1">
        <f>IF(B100="", "", "UBERON:oral cavity")</f>
        <v>0</v>
      </c>
      <c r="G100" s="1">
        <f>IF(B100="", "", "UBERON:saliva")</f>
        <v>0</v>
      </c>
      <c r="H100" s="1">
        <f>IF(B100="", "", "UBERON:tongue")</f>
        <v>0</v>
      </c>
      <c r="I100" s="1">
        <f>IF(B100="", "", "tongue")</f>
        <v>0</v>
      </c>
      <c r="J100" s="1">
        <f>IF(B100="", "", "human oral metagenome")</f>
        <v>0</v>
      </c>
      <c r="K100" s="1">
        <f>IF(B100="", "", "447426")</f>
        <v>0</v>
      </c>
    </row>
    <row r="101" spans="1:11">
      <c r="A101">
        <f>IF(COUNTBLANK(B101:K101)&lt;&gt;COLUMNS(B101:K101),100,"")</f>
        <v>0</v>
      </c>
      <c r="C101" s="1">
        <f>IF(B101="", "", "animal secretion")</f>
        <v>0</v>
      </c>
      <c r="D101" s="1">
        <f>IF(B101="", "", "saliva")</f>
        <v>0</v>
      </c>
      <c r="E101" s="1">
        <f>IF(B101="", "", "human-oral")</f>
        <v>0</v>
      </c>
      <c r="F101" s="1">
        <f>IF(B101="", "", "UBERON:oral cavity")</f>
        <v>0</v>
      </c>
      <c r="G101" s="1">
        <f>IF(B101="", "", "UBERON:saliva")</f>
        <v>0</v>
      </c>
      <c r="H101" s="1">
        <f>IF(B101="", "", "UBERON:tongue")</f>
        <v>0</v>
      </c>
      <c r="I101" s="1">
        <f>IF(B101="", "", "tongue")</f>
        <v>0</v>
      </c>
      <c r="J101" s="1">
        <f>IF(B101="", "", "human oral metagenome")</f>
        <v>0</v>
      </c>
      <c r="K101" s="1">
        <f>IF(B101="", "", "447426")</f>
        <v>0</v>
      </c>
    </row>
    <row r="102" spans="1:11">
      <c r="A102">
        <f>IF(COUNTBLANK(B102:K102)&lt;&gt;COLUMNS(B102:K102),101,"")</f>
        <v>0</v>
      </c>
      <c r="C102" s="1">
        <f>IF(B102="", "", "animal secretion")</f>
        <v>0</v>
      </c>
      <c r="D102" s="1">
        <f>IF(B102="", "", "saliva")</f>
        <v>0</v>
      </c>
      <c r="E102" s="1">
        <f>IF(B102="", "", "human-oral")</f>
        <v>0</v>
      </c>
      <c r="F102" s="1">
        <f>IF(B102="", "", "UBERON:oral cavity")</f>
        <v>0</v>
      </c>
      <c r="G102" s="1">
        <f>IF(B102="", "", "UBERON:saliva")</f>
        <v>0</v>
      </c>
      <c r="H102" s="1">
        <f>IF(B102="", "", "UBERON:tongue")</f>
        <v>0</v>
      </c>
      <c r="I102" s="1">
        <f>IF(B102="", "", "tongue")</f>
        <v>0</v>
      </c>
      <c r="J102" s="1">
        <f>IF(B102="", "", "human oral metagenome")</f>
        <v>0</v>
      </c>
      <c r="K102" s="1">
        <f>IF(B102="", "", "447426")</f>
        <v>0</v>
      </c>
    </row>
    <row r="103" spans="1:11">
      <c r="A103">
        <f>IF(COUNTBLANK(B103:K103)&lt;&gt;COLUMNS(B103:K103),102,"")</f>
        <v>0</v>
      </c>
      <c r="C103" s="1">
        <f>IF(B103="", "", "animal secretion")</f>
        <v>0</v>
      </c>
      <c r="D103" s="1">
        <f>IF(B103="", "", "saliva")</f>
        <v>0</v>
      </c>
      <c r="E103" s="1">
        <f>IF(B103="", "", "human-oral")</f>
        <v>0</v>
      </c>
      <c r="F103" s="1">
        <f>IF(B103="", "", "UBERON:oral cavity")</f>
        <v>0</v>
      </c>
      <c r="G103" s="1">
        <f>IF(B103="", "", "UBERON:saliva")</f>
        <v>0</v>
      </c>
      <c r="H103" s="1">
        <f>IF(B103="", "", "UBERON:tongue")</f>
        <v>0</v>
      </c>
      <c r="I103" s="1">
        <f>IF(B103="", "", "tongue")</f>
        <v>0</v>
      </c>
      <c r="J103" s="1">
        <f>IF(B103="", "", "human oral metagenome")</f>
        <v>0</v>
      </c>
      <c r="K103" s="1">
        <f>IF(B103="", "", "447426")</f>
        <v>0</v>
      </c>
    </row>
    <row r="104" spans="1:11">
      <c r="A104">
        <f>IF(COUNTBLANK(B104:K104)&lt;&gt;COLUMNS(B104:K104),103,"")</f>
        <v>0</v>
      </c>
      <c r="C104" s="1">
        <f>IF(B104="", "", "animal secretion")</f>
        <v>0</v>
      </c>
      <c r="D104" s="1">
        <f>IF(B104="", "", "saliva")</f>
        <v>0</v>
      </c>
      <c r="E104" s="1">
        <f>IF(B104="", "", "human-oral")</f>
        <v>0</v>
      </c>
      <c r="F104" s="1">
        <f>IF(B104="", "", "UBERON:oral cavity")</f>
        <v>0</v>
      </c>
      <c r="G104" s="1">
        <f>IF(B104="", "", "UBERON:saliva")</f>
        <v>0</v>
      </c>
      <c r="H104" s="1">
        <f>IF(B104="", "", "UBERON:tongue")</f>
        <v>0</v>
      </c>
      <c r="I104" s="1">
        <f>IF(B104="", "", "tongue")</f>
        <v>0</v>
      </c>
      <c r="J104" s="1">
        <f>IF(B104="", "", "human oral metagenome")</f>
        <v>0</v>
      </c>
      <c r="K104" s="1">
        <f>IF(B104="", "", "447426")</f>
        <v>0</v>
      </c>
    </row>
    <row r="105" spans="1:11">
      <c r="A105">
        <f>IF(COUNTBLANK(B105:K105)&lt;&gt;COLUMNS(B105:K105),104,"")</f>
        <v>0</v>
      </c>
      <c r="C105" s="1">
        <f>IF(B105="", "", "animal secretion")</f>
        <v>0</v>
      </c>
      <c r="D105" s="1">
        <f>IF(B105="", "", "saliva")</f>
        <v>0</v>
      </c>
      <c r="E105" s="1">
        <f>IF(B105="", "", "human-oral")</f>
        <v>0</v>
      </c>
      <c r="F105" s="1">
        <f>IF(B105="", "", "UBERON:oral cavity")</f>
        <v>0</v>
      </c>
      <c r="G105" s="1">
        <f>IF(B105="", "", "UBERON:saliva")</f>
        <v>0</v>
      </c>
      <c r="H105" s="1">
        <f>IF(B105="", "", "UBERON:tongue")</f>
        <v>0</v>
      </c>
      <c r="I105" s="1">
        <f>IF(B105="", "", "tongue")</f>
        <v>0</v>
      </c>
      <c r="J105" s="1">
        <f>IF(B105="", "", "human oral metagenome")</f>
        <v>0</v>
      </c>
      <c r="K105" s="1">
        <f>IF(B105="", "", "447426")</f>
        <v>0</v>
      </c>
    </row>
    <row r="106" spans="1:11">
      <c r="A106">
        <f>IF(COUNTBLANK(B106:K106)&lt;&gt;COLUMNS(B106:K106),105,"")</f>
        <v>0</v>
      </c>
      <c r="C106" s="1">
        <f>IF(B106="", "", "animal secretion")</f>
        <v>0</v>
      </c>
      <c r="D106" s="1">
        <f>IF(B106="", "", "saliva")</f>
        <v>0</v>
      </c>
      <c r="E106" s="1">
        <f>IF(B106="", "", "human-oral")</f>
        <v>0</v>
      </c>
      <c r="F106" s="1">
        <f>IF(B106="", "", "UBERON:oral cavity")</f>
        <v>0</v>
      </c>
      <c r="G106" s="1">
        <f>IF(B106="", "", "UBERON:saliva")</f>
        <v>0</v>
      </c>
      <c r="H106" s="1">
        <f>IF(B106="", "", "UBERON:tongue")</f>
        <v>0</v>
      </c>
      <c r="I106" s="1">
        <f>IF(B106="", "", "tongue")</f>
        <v>0</v>
      </c>
      <c r="J106" s="1">
        <f>IF(B106="", "", "human oral metagenome")</f>
        <v>0</v>
      </c>
      <c r="K106" s="1">
        <f>IF(B106="", "", "447426")</f>
        <v>0</v>
      </c>
    </row>
    <row r="107" spans="1:11">
      <c r="A107">
        <f>IF(COUNTBLANK(B107:K107)&lt;&gt;COLUMNS(B107:K107),106,"")</f>
        <v>0</v>
      </c>
      <c r="C107" s="1">
        <f>IF(B107="", "", "animal secretion")</f>
        <v>0</v>
      </c>
      <c r="D107" s="1">
        <f>IF(B107="", "", "saliva")</f>
        <v>0</v>
      </c>
      <c r="E107" s="1">
        <f>IF(B107="", "", "human-oral")</f>
        <v>0</v>
      </c>
      <c r="F107" s="1">
        <f>IF(B107="", "", "UBERON:oral cavity")</f>
        <v>0</v>
      </c>
      <c r="G107" s="1">
        <f>IF(B107="", "", "UBERON:saliva")</f>
        <v>0</v>
      </c>
      <c r="H107" s="1">
        <f>IF(B107="", "", "UBERON:tongue")</f>
        <v>0</v>
      </c>
      <c r="I107" s="1">
        <f>IF(B107="", "", "tongue")</f>
        <v>0</v>
      </c>
      <c r="J107" s="1">
        <f>IF(B107="", "", "human oral metagenome")</f>
        <v>0</v>
      </c>
      <c r="K107" s="1">
        <f>IF(B107="", "", "447426")</f>
        <v>0</v>
      </c>
    </row>
    <row r="108" spans="1:11">
      <c r="A108">
        <f>IF(COUNTBLANK(B108:K108)&lt;&gt;COLUMNS(B108:K108),107,"")</f>
        <v>0</v>
      </c>
      <c r="C108" s="1">
        <f>IF(B108="", "", "animal secretion")</f>
        <v>0</v>
      </c>
      <c r="D108" s="1">
        <f>IF(B108="", "", "saliva")</f>
        <v>0</v>
      </c>
      <c r="E108" s="1">
        <f>IF(B108="", "", "human-oral")</f>
        <v>0</v>
      </c>
      <c r="F108" s="1">
        <f>IF(B108="", "", "UBERON:oral cavity")</f>
        <v>0</v>
      </c>
      <c r="G108" s="1">
        <f>IF(B108="", "", "UBERON:saliva")</f>
        <v>0</v>
      </c>
      <c r="H108" s="1">
        <f>IF(B108="", "", "UBERON:tongue")</f>
        <v>0</v>
      </c>
      <c r="I108" s="1">
        <f>IF(B108="", "", "tongue")</f>
        <v>0</v>
      </c>
      <c r="J108" s="1">
        <f>IF(B108="", "", "human oral metagenome")</f>
        <v>0</v>
      </c>
      <c r="K108" s="1">
        <f>IF(B108="", "", "447426")</f>
        <v>0</v>
      </c>
    </row>
    <row r="109" spans="1:11">
      <c r="A109">
        <f>IF(COUNTBLANK(B109:K109)&lt;&gt;COLUMNS(B109:K109),108,"")</f>
        <v>0</v>
      </c>
      <c r="C109" s="1">
        <f>IF(B109="", "", "animal secretion")</f>
        <v>0</v>
      </c>
      <c r="D109" s="1">
        <f>IF(B109="", "", "saliva")</f>
        <v>0</v>
      </c>
      <c r="E109" s="1">
        <f>IF(B109="", "", "human-oral")</f>
        <v>0</v>
      </c>
      <c r="F109" s="1">
        <f>IF(B109="", "", "UBERON:oral cavity")</f>
        <v>0</v>
      </c>
      <c r="G109" s="1">
        <f>IF(B109="", "", "UBERON:saliva")</f>
        <v>0</v>
      </c>
      <c r="H109" s="1">
        <f>IF(B109="", "", "UBERON:tongue")</f>
        <v>0</v>
      </c>
      <c r="I109" s="1">
        <f>IF(B109="", "", "tongue")</f>
        <v>0</v>
      </c>
      <c r="J109" s="1">
        <f>IF(B109="", "", "human oral metagenome")</f>
        <v>0</v>
      </c>
      <c r="K109" s="1">
        <f>IF(B109="", "", "447426")</f>
        <v>0</v>
      </c>
    </row>
    <row r="110" spans="1:11">
      <c r="A110">
        <f>IF(COUNTBLANK(B110:K110)&lt;&gt;COLUMNS(B110:K110),109,"")</f>
        <v>0</v>
      </c>
      <c r="C110" s="1">
        <f>IF(B110="", "", "animal secretion")</f>
        <v>0</v>
      </c>
      <c r="D110" s="1">
        <f>IF(B110="", "", "saliva")</f>
        <v>0</v>
      </c>
      <c r="E110" s="1">
        <f>IF(B110="", "", "human-oral")</f>
        <v>0</v>
      </c>
      <c r="F110" s="1">
        <f>IF(B110="", "", "UBERON:oral cavity")</f>
        <v>0</v>
      </c>
      <c r="G110" s="1">
        <f>IF(B110="", "", "UBERON:saliva")</f>
        <v>0</v>
      </c>
      <c r="H110" s="1">
        <f>IF(B110="", "", "UBERON:tongue")</f>
        <v>0</v>
      </c>
      <c r="I110" s="1">
        <f>IF(B110="", "", "tongue")</f>
        <v>0</v>
      </c>
      <c r="J110" s="1">
        <f>IF(B110="", "", "human oral metagenome")</f>
        <v>0</v>
      </c>
      <c r="K110" s="1">
        <f>IF(B110="", "", "447426")</f>
        <v>0</v>
      </c>
    </row>
    <row r="111" spans="1:11">
      <c r="A111">
        <f>IF(COUNTBLANK(B111:K111)&lt;&gt;COLUMNS(B111:K111),110,"")</f>
        <v>0</v>
      </c>
      <c r="C111" s="1">
        <f>IF(B111="", "", "animal secretion")</f>
        <v>0</v>
      </c>
      <c r="D111" s="1">
        <f>IF(B111="", "", "saliva")</f>
        <v>0</v>
      </c>
      <c r="E111" s="1">
        <f>IF(B111="", "", "human-oral")</f>
        <v>0</v>
      </c>
      <c r="F111" s="1">
        <f>IF(B111="", "", "UBERON:oral cavity")</f>
        <v>0</v>
      </c>
      <c r="G111" s="1">
        <f>IF(B111="", "", "UBERON:saliva")</f>
        <v>0</v>
      </c>
      <c r="H111" s="1">
        <f>IF(B111="", "", "UBERON:tongue")</f>
        <v>0</v>
      </c>
      <c r="I111" s="1">
        <f>IF(B111="", "", "tongue")</f>
        <v>0</v>
      </c>
      <c r="J111" s="1">
        <f>IF(B111="", "", "human oral metagenome")</f>
        <v>0</v>
      </c>
      <c r="K111" s="1">
        <f>IF(B111="", "", "447426")</f>
        <v>0</v>
      </c>
    </row>
    <row r="112" spans="1:11">
      <c r="A112">
        <f>IF(COUNTBLANK(B112:K112)&lt;&gt;COLUMNS(B112:K112),111,"")</f>
        <v>0</v>
      </c>
      <c r="C112" s="1">
        <f>IF(B112="", "", "animal secretion")</f>
        <v>0</v>
      </c>
      <c r="D112" s="1">
        <f>IF(B112="", "", "saliva")</f>
        <v>0</v>
      </c>
      <c r="E112" s="1">
        <f>IF(B112="", "", "human-oral")</f>
        <v>0</v>
      </c>
      <c r="F112" s="1">
        <f>IF(B112="", "", "UBERON:oral cavity")</f>
        <v>0</v>
      </c>
      <c r="G112" s="1">
        <f>IF(B112="", "", "UBERON:saliva")</f>
        <v>0</v>
      </c>
      <c r="H112" s="1">
        <f>IF(B112="", "", "UBERON:tongue")</f>
        <v>0</v>
      </c>
      <c r="I112" s="1">
        <f>IF(B112="", "", "tongue")</f>
        <v>0</v>
      </c>
      <c r="J112" s="1">
        <f>IF(B112="", "", "human oral metagenome")</f>
        <v>0</v>
      </c>
      <c r="K112" s="1">
        <f>IF(B112="", "", "447426")</f>
        <v>0</v>
      </c>
    </row>
    <row r="113" spans="1:11">
      <c r="A113">
        <f>IF(COUNTBLANK(B113:K113)&lt;&gt;COLUMNS(B113:K113),112,"")</f>
        <v>0</v>
      </c>
      <c r="C113" s="1">
        <f>IF(B113="", "", "animal secretion")</f>
        <v>0</v>
      </c>
      <c r="D113" s="1">
        <f>IF(B113="", "", "saliva")</f>
        <v>0</v>
      </c>
      <c r="E113" s="1">
        <f>IF(B113="", "", "human-oral")</f>
        <v>0</v>
      </c>
      <c r="F113" s="1">
        <f>IF(B113="", "", "UBERON:oral cavity")</f>
        <v>0</v>
      </c>
      <c r="G113" s="1">
        <f>IF(B113="", "", "UBERON:saliva")</f>
        <v>0</v>
      </c>
      <c r="H113" s="1">
        <f>IF(B113="", "", "UBERON:tongue")</f>
        <v>0</v>
      </c>
      <c r="I113" s="1">
        <f>IF(B113="", "", "tongue")</f>
        <v>0</v>
      </c>
      <c r="J113" s="1">
        <f>IF(B113="", "", "human oral metagenome")</f>
        <v>0</v>
      </c>
      <c r="K113" s="1">
        <f>IF(B113="", "", "447426")</f>
        <v>0</v>
      </c>
    </row>
    <row r="114" spans="1:11">
      <c r="A114">
        <f>IF(COUNTBLANK(B114:K114)&lt;&gt;COLUMNS(B114:K114),113,"")</f>
        <v>0</v>
      </c>
      <c r="C114" s="1">
        <f>IF(B114="", "", "animal secretion")</f>
        <v>0</v>
      </c>
      <c r="D114" s="1">
        <f>IF(B114="", "", "saliva")</f>
        <v>0</v>
      </c>
      <c r="E114" s="1">
        <f>IF(B114="", "", "human-oral")</f>
        <v>0</v>
      </c>
      <c r="F114" s="1">
        <f>IF(B114="", "", "UBERON:oral cavity")</f>
        <v>0</v>
      </c>
      <c r="G114" s="1">
        <f>IF(B114="", "", "UBERON:saliva")</f>
        <v>0</v>
      </c>
      <c r="H114" s="1">
        <f>IF(B114="", "", "UBERON:tongue")</f>
        <v>0</v>
      </c>
      <c r="I114" s="1">
        <f>IF(B114="", "", "tongue")</f>
        <v>0</v>
      </c>
      <c r="J114" s="1">
        <f>IF(B114="", "", "human oral metagenome")</f>
        <v>0</v>
      </c>
      <c r="K114" s="1">
        <f>IF(B114="", "", "447426")</f>
        <v>0</v>
      </c>
    </row>
    <row r="115" spans="1:11">
      <c r="A115">
        <f>IF(COUNTBLANK(B115:K115)&lt;&gt;COLUMNS(B115:K115),114,"")</f>
        <v>0</v>
      </c>
      <c r="C115" s="1">
        <f>IF(B115="", "", "animal secretion")</f>
        <v>0</v>
      </c>
      <c r="D115" s="1">
        <f>IF(B115="", "", "saliva")</f>
        <v>0</v>
      </c>
      <c r="E115" s="1">
        <f>IF(B115="", "", "human-oral")</f>
        <v>0</v>
      </c>
      <c r="F115" s="1">
        <f>IF(B115="", "", "UBERON:oral cavity")</f>
        <v>0</v>
      </c>
      <c r="G115" s="1">
        <f>IF(B115="", "", "UBERON:saliva")</f>
        <v>0</v>
      </c>
      <c r="H115" s="1">
        <f>IF(B115="", "", "UBERON:tongue")</f>
        <v>0</v>
      </c>
      <c r="I115" s="1">
        <f>IF(B115="", "", "tongue")</f>
        <v>0</v>
      </c>
      <c r="J115" s="1">
        <f>IF(B115="", "", "human oral metagenome")</f>
        <v>0</v>
      </c>
      <c r="K115" s="1">
        <f>IF(B115="", "", "447426")</f>
        <v>0</v>
      </c>
    </row>
    <row r="116" spans="1:11">
      <c r="A116">
        <f>IF(COUNTBLANK(B116:K116)&lt;&gt;COLUMNS(B116:K116),115,"")</f>
        <v>0</v>
      </c>
      <c r="C116" s="1">
        <f>IF(B116="", "", "animal secretion")</f>
        <v>0</v>
      </c>
      <c r="D116" s="1">
        <f>IF(B116="", "", "saliva")</f>
        <v>0</v>
      </c>
      <c r="E116" s="1">
        <f>IF(B116="", "", "human-oral")</f>
        <v>0</v>
      </c>
      <c r="F116" s="1">
        <f>IF(B116="", "", "UBERON:oral cavity")</f>
        <v>0</v>
      </c>
      <c r="G116" s="1">
        <f>IF(B116="", "", "UBERON:saliva")</f>
        <v>0</v>
      </c>
      <c r="H116" s="1">
        <f>IF(B116="", "", "UBERON:tongue")</f>
        <v>0</v>
      </c>
      <c r="I116" s="1">
        <f>IF(B116="", "", "tongue")</f>
        <v>0</v>
      </c>
      <c r="J116" s="1">
        <f>IF(B116="", "", "human oral metagenome")</f>
        <v>0</v>
      </c>
      <c r="K116" s="1">
        <f>IF(B116="", "", "447426")</f>
        <v>0</v>
      </c>
    </row>
    <row r="117" spans="1:11">
      <c r="A117">
        <f>IF(COUNTBLANK(B117:K117)&lt;&gt;COLUMNS(B117:K117),116,"")</f>
        <v>0</v>
      </c>
      <c r="C117" s="1">
        <f>IF(B117="", "", "animal secretion")</f>
        <v>0</v>
      </c>
      <c r="D117" s="1">
        <f>IF(B117="", "", "saliva")</f>
        <v>0</v>
      </c>
      <c r="E117" s="1">
        <f>IF(B117="", "", "human-oral")</f>
        <v>0</v>
      </c>
      <c r="F117" s="1">
        <f>IF(B117="", "", "UBERON:oral cavity")</f>
        <v>0</v>
      </c>
      <c r="G117" s="1">
        <f>IF(B117="", "", "UBERON:saliva")</f>
        <v>0</v>
      </c>
      <c r="H117" s="1">
        <f>IF(B117="", "", "UBERON:tongue")</f>
        <v>0</v>
      </c>
      <c r="I117" s="1">
        <f>IF(B117="", "", "tongue")</f>
        <v>0</v>
      </c>
      <c r="J117" s="1">
        <f>IF(B117="", "", "human oral metagenome")</f>
        <v>0</v>
      </c>
      <c r="K117" s="1">
        <f>IF(B117="", "", "447426")</f>
        <v>0</v>
      </c>
    </row>
    <row r="118" spans="1:11">
      <c r="A118">
        <f>IF(COUNTBLANK(B118:K118)&lt;&gt;COLUMNS(B118:K118),117,"")</f>
        <v>0</v>
      </c>
      <c r="C118" s="1">
        <f>IF(B118="", "", "animal secretion")</f>
        <v>0</v>
      </c>
      <c r="D118" s="1">
        <f>IF(B118="", "", "saliva")</f>
        <v>0</v>
      </c>
      <c r="E118" s="1">
        <f>IF(B118="", "", "human-oral")</f>
        <v>0</v>
      </c>
      <c r="F118" s="1">
        <f>IF(B118="", "", "UBERON:oral cavity")</f>
        <v>0</v>
      </c>
      <c r="G118" s="1">
        <f>IF(B118="", "", "UBERON:saliva")</f>
        <v>0</v>
      </c>
      <c r="H118" s="1">
        <f>IF(B118="", "", "UBERON:tongue")</f>
        <v>0</v>
      </c>
      <c r="I118" s="1">
        <f>IF(B118="", "", "tongue")</f>
        <v>0</v>
      </c>
      <c r="J118" s="1">
        <f>IF(B118="", "", "human oral metagenome")</f>
        <v>0</v>
      </c>
      <c r="K118" s="1">
        <f>IF(B118="", "", "447426")</f>
        <v>0</v>
      </c>
    </row>
    <row r="119" spans="1:11">
      <c r="A119">
        <f>IF(COUNTBLANK(B119:K119)&lt;&gt;COLUMNS(B119:K119),118,"")</f>
        <v>0</v>
      </c>
      <c r="C119" s="1">
        <f>IF(B119="", "", "animal secretion")</f>
        <v>0</v>
      </c>
      <c r="D119" s="1">
        <f>IF(B119="", "", "saliva")</f>
        <v>0</v>
      </c>
      <c r="E119" s="1">
        <f>IF(B119="", "", "human-oral")</f>
        <v>0</v>
      </c>
      <c r="F119" s="1">
        <f>IF(B119="", "", "UBERON:oral cavity")</f>
        <v>0</v>
      </c>
      <c r="G119" s="1">
        <f>IF(B119="", "", "UBERON:saliva")</f>
        <v>0</v>
      </c>
      <c r="H119" s="1">
        <f>IF(B119="", "", "UBERON:tongue")</f>
        <v>0</v>
      </c>
      <c r="I119" s="1">
        <f>IF(B119="", "", "tongue")</f>
        <v>0</v>
      </c>
      <c r="J119" s="1">
        <f>IF(B119="", "", "human oral metagenome")</f>
        <v>0</v>
      </c>
      <c r="K119" s="1">
        <f>IF(B119="", "", "447426")</f>
        <v>0</v>
      </c>
    </row>
    <row r="120" spans="1:11">
      <c r="A120">
        <f>IF(COUNTBLANK(B120:K120)&lt;&gt;COLUMNS(B120:K120),119,"")</f>
        <v>0</v>
      </c>
      <c r="C120" s="1">
        <f>IF(B120="", "", "animal secretion")</f>
        <v>0</v>
      </c>
      <c r="D120" s="1">
        <f>IF(B120="", "", "saliva")</f>
        <v>0</v>
      </c>
      <c r="E120" s="1">
        <f>IF(B120="", "", "human-oral")</f>
        <v>0</v>
      </c>
      <c r="F120" s="1">
        <f>IF(B120="", "", "UBERON:oral cavity")</f>
        <v>0</v>
      </c>
      <c r="G120" s="1">
        <f>IF(B120="", "", "UBERON:saliva")</f>
        <v>0</v>
      </c>
      <c r="H120" s="1">
        <f>IF(B120="", "", "UBERON:tongue")</f>
        <v>0</v>
      </c>
      <c r="I120" s="1">
        <f>IF(B120="", "", "tongue")</f>
        <v>0</v>
      </c>
      <c r="J120" s="1">
        <f>IF(B120="", "", "human oral metagenome")</f>
        <v>0</v>
      </c>
      <c r="K120" s="1">
        <f>IF(B120="", "", "447426")</f>
        <v>0</v>
      </c>
    </row>
    <row r="121" spans="1:11">
      <c r="A121">
        <f>IF(COUNTBLANK(B121:K121)&lt;&gt;COLUMNS(B121:K121),120,"")</f>
        <v>0</v>
      </c>
      <c r="C121" s="1">
        <f>IF(B121="", "", "animal secretion")</f>
        <v>0</v>
      </c>
      <c r="D121" s="1">
        <f>IF(B121="", "", "saliva")</f>
        <v>0</v>
      </c>
      <c r="E121" s="1">
        <f>IF(B121="", "", "human-oral")</f>
        <v>0</v>
      </c>
      <c r="F121" s="1">
        <f>IF(B121="", "", "UBERON:oral cavity")</f>
        <v>0</v>
      </c>
      <c r="G121" s="1">
        <f>IF(B121="", "", "UBERON:saliva")</f>
        <v>0</v>
      </c>
      <c r="H121" s="1">
        <f>IF(B121="", "", "UBERON:tongue")</f>
        <v>0</v>
      </c>
      <c r="I121" s="1">
        <f>IF(B121="", "", "tongue")</f>
        <v>0</v>
      </c>
      <c r="J121" s="1">
        <f>IF(B121="", "", "human oral metagenome")</f>
        <v>0</v>
      </c>
      <c r="K121" s="1">
        <f>IF(B121="", "", "447426")</f>
        <v>0</v>
      </c>
    </row>
    <row r="122" spans="1:11">
      <c r="A122">
        <f>IF(COUNTBLANK(B122:K122)&lt;&gt;COLUMNS(B122:K122),121,"")</f>
        <v>0</v>
      </c>
      <c r="C122" s="1">
        <f>IF(B122="", "", "animal secretion")</f>
        <v>0</v>
      </c>
      <c r="D122" s="1">
        <f>IF(B122="", "", "saliva")</f>
        <v>0</v>
      </c>
      <c r="E122" s="1">
        <f>IF(B122="", "", "human-oral")</f>
        <v>0</v>
      </c>
      <c r="F122" s="1">
        <f>IF(B122="", "", "UBERON:oral cavity")</f>
        <v>0</v>
      </c>
      <c r="G122" s="1">
        <f>IF(B122="", "", "UBERON:saliva")</f>
        <v>0</v>
      </c>
      <c r="H122" s="1">
        <f>IF(B122="", "", "UBERON:tongue")</f>
        <v>0</v>
      </c>
      <c r="I122" s="1">
        <f>IF(B122="", "", "tongue")</f>
        <v>0</v>
      </c>
      <c r="J122" s="1">
        <f>IF(B122="", "", "human oral metagenome")</f>
        <v>0</v>
      </c>
      <c r="K122" s="1">
        <f>IF(B122="", "", "447426")</f>
        <v>0</v>
      </c>
    </row>
    <row r="123" spans="1:11">
      <c r="A123">
        <f>IF(COUNTBLANK(B123:K123)&lt;&gt;COLUMNS(B123:K123),122,"")</f>
        <v>0</v>
      </c>
      <c r="C123" s="1">
        <f>IF(B123="", "", "animal secretion")</f>
        <v>0</v>
      </c>
      <c r="D123" s="1">
        <f>IF(B123="", "", "saliva")</f>
        <v>0</v>
      </c>
      <c r="E123" s="1">
        <f>IF(B123="", "", "human-oral")</f>
        <v>0</v>
      </c>
      <c r="F123" s="1">
        <f>IF(B123="", "", "UBERON:oral cavity")</f>
        <v>0</v>
      </c>
      <c r="G123" s="1">
        <f>IF(B123="", "", "UBERON:saliva")</f>
        <v>0</v>
      </c>
      <c r="H123" s="1">
        <f>IF(B123="", "", "UBERON:tongue")</f>
        <v>0</v>
      </c>
      <c r="I123" s="1">
        <f>IF(B123="", "", "tongue")</f>
        <v>0</v>
      </c>
      <c r="J123" s="1">
        <f>IF(B123="", "", "human oral metagenome")</f>
        <v>0</v>
      </c>
      <c r="K123" s="1">
        <f>IF(B123="", "", "447426")</f>
        <v>0</v>
      </c>
    </row>
    <row r="124" spans="1:11">
      <c r="A124">
        <f>IF(COUNTBLANK(B124:K124)&lt;&gt;COLUMNS(B124:K124),123,"")</f>
        <v>0</v>
      </c>
      <c r="C124" s="1">
        <f>IF(B124="", "", "animal secretion")</f>
        <v>0</v>
      </c>
      <c r="D124" s="1">
        <f>IF(B124="", "", "saliva")</f>
        <v>0</v>
      </c>
      <c r="E124" s="1">
        <f>IF(B124="", "", "human-oral")</f>
        <v>0</v>
      </c>
      <c r="F124" s="1">
        <f>IF(B124="", "", "UBERON:oral cavity")</f>
        <v>0</v>
      </c>
      <c r="G124" s="1">
        <f>IF(B124="", "", "UBERON:saliva")</f>
        <v>0</v>
      </c>
      <c r="H124" s="1">
        <f>IF(B124="", "", "UBERON:tongue")</f>
        <v>0</v>
      </c>
      <c r="I124" s="1">
        <f>IF(B124="", "", "tongue")</f>
        <v>0</v>
      </c>
      <c r="J124" s="1">
        <f>IF(B124="", "", "human oral metagenome")</f>
        <v>0</v>
      </c>
      <c r="K124" s="1">
        <f>IF(B124="", "", "447426")</f>
        <v>0</v>
      </c>
    </row>
    <row r="125" spans="1:11">
      <c r="A125">
        <f>IF(COUNTBLANK(B125:K125)&lt;&gt;COLUMNS(B125:K125),124,"")</f>
        <v>0</v>
      </c>
      <c r="C125" s="1">
        <f>IF(B125="", "", "animal secretion")</f>
        <v>0</v>
      </c>
      <c r="D125" s="1">
        <f>IF(B125="", "", "saliva")</f>
        <v>0</v>
      </c>
      <c r="E125" s="1">
        <f>IF(B125="", "", "human-oral")</f>
        <v>0</v>
      </c>
      <c r="F125" s="1">
        <f>IF(B125="", "", "UBERON:oral cavity")</f>
        <v>0</v>
      </c>
      <c r="G125" s="1">
        <f>IF(B125="", "", "UBERON:saliva")</f>
        <v>0</v>
      </c>
      <c r="H125" s="1">
        <f>IF(B125="", "", "UBERON:tongue")</f>
        <v>0</v>
      </c>
      <c r="I125" s="1">
        <f>IF(B125="", "", "tongue")</f>
        <v>0</v>
      </c>
      <c r="J125" s="1">
        <f>IF(B125="", "", "human oral metagenome")</f>
        <v>0</v>
      </c>
      <c r="K125" s="1">
        <f>IF(B125="", "", "447426")</f>
        <v>0</v>
      </c>
    </row>
    <row r="126" spans="1:11">
      <c r="A126">
        <f>IF(COUNTBLANK(B126:K126)&lt;&gt;COLUMNS(B126:K126),125,"")</f>
        <v>0</v>
      </c>
      <c r="C126" s="1">
        <f>IF(B126="", "", "animal secretion")</f>
        <v>0</v>
      </c>
      <c r="D126" s="1">
        <f>IF(B126="", "", "saliva")</f>
        <v>0</v>
      </c>
      <c r="E126" s="1">
        <f>IF(B126="", "", "human-oral")</f>
        <v>0</v>
      </c>
      <c r="F126" s="1">
        <f>IF(B126="", "", "UBERON:oral cavity")</f>
        <v>0</v>
      </c>
      <c r="G126" s="1">
        <f>IF(B126="", "", "UBERON:saliva")</f>
        <v>0</v>
      </c>
      <c r="H126" s="1">
        <f>IF(B126="", "", "UBERON:tongue")</f>
        <v>0</v>
      </c>
      <c r="I126" s="1">
        <f>IF(B126="", "", "tongue")</f>
        <v>0</v>
      </c>
      <c r="J126" s="1">
        <f>IF(B126="", "", "human oral metagenome")</f>
        <v>0</v>
      </c>
      <c r="K126" s="1">
        <f>IF(B126="", "", "447426")</f>
        <v>0</v>
      </c>
    </row>
    <row r="127" spans="1:11">
      <c r="A127">
        <f>IF(COUNTBLANK(B127:K127)&lt;&gt;COLUMNS(B127:K127),126,"")</f>
        <v>0</v>
      </c>
      <c r="C127" s="1">
        <f>IF(B127="", "", "animal secretion")</f>
        <v>0</v>
      </c>
      <c r="D127" s="1">
        <f>IF(B127="", "", "saliva")</f>
        <v>0</v>
      </c>
      <c r="E127" s="1">
        <f>IF(B127="", "", "human-oral")</f>
        <v>0</v>
      </c>
      <c r="F127" s="1">
        <f>IF(B127="", "", "UBERON:oral cavity")</f>
        <v>0</v>
      </c>
      <c r="G127" s="1">
        <f>IF(B127="", "", "UBERON:saliva")</f>
        <v>0</v>
      </c>
      <c r="H127" s="1">
        <f>IF(B127="", "", "UBERON:tongue")</f>
        <v>0</v>
      </c>
      <c r="I127" s="1">
        <f>IF(B127="", "", "tongue")</f>
        <v>0</v>
      </c>
      <c r="J127" s="1">
        <f>IF(B127="", "", "human oral metagenome")</f>
        <v>0</v>
      </c>
      <c r="K127" s="1">
        <f>IF(B127="", "", "447426")</f>
        <v>0</v>
      </c>
    </row>
    <row r="128" spans="1:11">
      <c r="A128">
        <f>IF(COUNTBLANK(B128:K128)&lt;&gt;COLUMNS(B128:K128),127,"")</f>
        <v>0</v>
      </c>
      <c r="C128" s="1">
        <f>IF(B128="", "", "animal secretion")</f>
        <v>0</v>
      </c>
      <c r="D128" s="1">
        <f>IF(B128="", "", "saliva")</f>
        <v>0</v>
      </c>
      <c r="E128" s="1">
        <f>IF(B128="", "", "human-oral")</f>
        <v>0</v>
      </c>
      <c r="F128" s="1">
        <f>IF(B128="", "", "UBERON:oral cavity")</f>
        <v>0</v>
      </c>
      <c r="G128" s="1">
        <f>IF(B128="", "", "UBERON:saliva")</f>
        <v>0</v>
      </c>
      <c r="H128" s="1">
        <f>IF(B128="", "", "UBERON:tongue")</f>
        <v>0</v>
      </c>
      <c r="I128" s="1">
        <f>IF(B128="", "", "tongue")</f>
        <v>0</v>
      </c>
      <c r="J128" s="1">
        <f>IF(B128="", "", "human oral metagenome")</f>
        <v>0</v>
      </c>
      <c r="K128" s="1">
        <f>IF(B128="", "", "447426")</f>
        <v>0</v>
      </c>
    </row>
    <row r="129" spans="1:11">
      <c r="A129">
        <f>IF(COUNTBLANK(B129:K129)&lt;&gt;COLUMNS(B129:K129),128,"")</f>
        <v>0</v>
      </c>
      <c r="C129" s="1">
        <f>IF(B129="", "", "animal secretion")</f>
        <v>0</v>
      </c>
      <c r="D129" s="1">
        <f>IF(B129="", "", "saliva")</f>
        <v>0</v>
      </c>
      <c r="E129" s="1">
        <f>IF(B129="", "", "human-oral")</f>
        <v>0</v>
      </c>
      <c r="F129" s="1">
        <f>IF(B129="", "", "UBERON:oral cavity")</f>
        <v>0</v>
      </c>
      <c r="G129" s="1">
        <f>IF(B129="", "", "UBERON:saliva")</f>
        <v>0</v>
      </c>
      <c r="H129" s="1">
        <f>IF(B129="", "", "UBERON:tongue")</f>
        <v>0</v>
      </c>
      <c r="I129" s="1">
        <f>IF(B129="", "", "tongue")</f>
        <v>0</v>
      </c>
      <c r="J129" s="1">
        <f>IF(B129="", "", "human oral metagenome")</f>
        <v>0</v>
      </c>
      <c r="K129" s="1">
        <f>IF(B129="", "", "447426")</f>
        <v>0</v>
      </c>
    </row>
    <row r="130" spans="1:11">
      <c r="A130">
        <f>IF(COUNTBLANK(B130:K130)&lt;&gt;COLUMNS(B130:K130),129,"")</f>
        <v>0</v>
      </c>
      <c r="C130" s="1">
        <f>IF(B130="", "", "animal secretion")</f>
        <v>0</v>
      </c>
      <c r="D130" s="1">
        <f>IF(B130="", "", "saliva")</f>
        <v>0</v>
      </c>
      <c r="E130" s="1">
        <f>IF(B130="", "", "human-oral")</f>
        <v>0</v>
      </c>
      <c r="F130" s="1">
        <f>IF(B130="", "", "UBERON:oral cavity")</f>
        <v>0</v>
      </c>
      <c r="G130" s="1">
        <f>IF(B130="", "", "UBERON:saliva")</f>
        <v>0</v>
      </c>
      <c r="H130" s="1">
        <f>IF(B130="", "", "UBERON:tongue")</f>
        <v>0</v>
      </c>
      <c r="I130" s="1">
        <f>IF(B130="", "", "tongue")</f>
        <v>0</v>
      </c>
      <c r="J130" s="1">
        <f>IF(B130="", "", "human oral metagenome")</f>
        <v>0</v>
      </c>
      <c r="K130" s="1">
        <f>IF(B130="", "", "447426")</f>
        <v>0</v>
      </c>
    </row>
    <row r="131" spans="1:11">
      <c r="A131">
        <f>IF(COUNTBLANK(B131:K131)&lt;&gt;COLUMNS(B131:K131),130,"")</f>
        <v>0</v>
      </c>
      <c r="C131" s="1">
        <f>IF(B131="", "", "animal secretion")</f>
        <v>0</v>
      </c>
      <c r="D131" s="1">
        <f>IF(B131="", "", "saliva")</f>
        <v>0</v>
      </c>
      <c r="E131" s="1">
        <f>IF(B131="", "", "human-oral")</f>
        <v>0</v>
      </c>
      <c r="F131" s="1">
        <f>IF(B131="", "", "UBERON:oral cavity")</f>
        <v>0</v>
      </c>
      <c r="G131" s="1">
        <f>IF(B131="", "", "UBERON:saliva")</f>
        <v>0</v>
      </c>
      <c r="H131" s="1">
        <f>IF(B131="", "", "UBERON:tongue")</f>
        <v>0</v>
      </c>
      <c r="I131" s="1">
        <f>IF(B131="", "", "tongue")</f>
        <v>0</v>
      </c>
      <c r="J131" s="1">
        <f>IF(B131="", "", "human oral metagenome")</f>
        <v>0</v>
      </c>
      <c r="K131" s="1">
        <f>IF(B131="", "", "447426")</f>
        <v>0</v>
      </c>
    </row>
    <row r="132" spans="1:11">
      <c r="A132">
        <f>IF(COUNTBLANK(B132:K132)&lt;&gt;COLUMNS(B132:K132),131,"")</f>
        <v>0</v>
      </c>
      <c r="C132" s="1">
        <f>IF(B132="", "", "animal secretion")</f>
        <v>0</v>
      </c>
      <c r="D132" s="1">
        <f>IF(B132="", "", "saliva")</f>
        <v>0</v>
      </c>
      <c r="E132" s="1">
        <f>IF(B132="", "", "human-oral")</f>
        <v>0</v>
      </c>
      <c r="F132" s="1">
        <f>IF(B132="", "", "UBERON:oral cavity")</f>
        <v>0</v>
      </c>
      <c r="G132" s="1">
        <f>IF(B132="", "", "UBERON:saliva")</f>
        <v>0</v>
      </c>
      <c r="H132" s="1">
        <f>IF(B132="", "", "UBERON:tongue")</f>
        <v>0</v>
      </c>
      <c r="I132" s="1">
        <f>IF(B132="", "", "tongue")</f>
        <v>0</v>
      </c>
      <c r="J132" s="1">
        <f>IF(B132="", "", "human oral metagenome")</f>
        <v>0</v>
      </c>
      <c r="K132" s="1">
        <f>IF(B132="", "", "447426")</f>
        <v>0</v>
      </c>
    </row>
    <row r="133" spans="1:11">
      <c r="A133">
        <f>IF(COUNTBLANK(B133:K133)&lt;&gt;COLUMNS(B133:K133),132,"")</f>
        <v>0</v>
      </c>
      <c r="C133" s="1">
        <f>IF(B133="", "", "animal secretion")</f>
        <v>0</v>
      </c>
      <c r="D133" s="1">
        <f>IF(B133="", "", "saliva")</f>
        <v>0</v>
      </c>
      <c r="E133" s="1">
        <f>IF(B133="", "", "human-oral")</f>
        <v>0</v>
      </c>
      <c r="F133" s="1">
        <f>IF(B133="", "", "UBERON:oral cavity")</f>
        <v>0</v>
      </c>
      <c r="G133" s="1">
        <f>IF(B133="", "", "UBERON:saliva")</f>
        <v>0</v>
      </c>
      <c r="H133" s="1">
        <f>IF(B133="", "", "UBERON:tongue")</f>
        <v>0</v>
      </c>
      <c r="I133" s="1">
        <f>IF(B133="", "", "tongue")</f>
        <v>0</v>
      </c>
      <c r="J133" s="1">
        <f>IF(B133="", "", "human oral metagenome")</f>
        <v>0</v>
      </c>
      <c r="K133" s="1">
        <f>IF(B133="", "", "447426")</f>
        <v>0</v>
      </c>
    </row>
    <row r="134" spans="1:11">
      <c r="A134">
        <f>IF(COUNTBLANK(B134:K134)&lt;&gt;COLUMNS(B134:K134),133,"")</f>
        <v>0</v>
      </c>
      <c r="C134" s="1">
        <f>IF(B134="", "", "animal secretion")</f>
        <v>0</v>
      </c>
      <c r="D134" s="1">
        <f>IF(B134="", "", "saliva")</f>
        <v>0</v>
      </c>
      <c r="E134" s="1">
        <f>IF(B134="", "", "human-oral")</f>
        <v>0</v>
      </c>
      <c r="F134" s="1">
        <f>IF(B134="", "", "UBERON:oral cavity")</f>
        <v>0</v>
      </c>
      <c r="G134" s="1">
        <f>IF(B134="", "", "UBERON:saliva")</f>
        <v>0</v>
      </c>
      <c r="H134" s="1">
        <f>IF(B134="", "", "UBERON:tongue")</f>
        <v>0</v>
      </c>
      <c r="I134" s="1">
        <f>IF(B134="", "", "tongue")</f>
        <v>0</v>
      </c>
      <c r="J134" s="1">
        <f>IF(B134="", "", "human oral metagenome")</f>
        <v>0</v>
      </c>
      <c r="K134" s="1">
        <f>IF(B134="", "", "447426")</f>
        <v>0</v>
      </c>
    </row>
    <row r="135" spans="1:11">
      <c r="A135">
        <f>IF(COUNTBLANK(B135:K135)&lt;&gt;COLUMNS(B135:K135),134,"")</f>
        <v>0</v>
      </c>
      <c r="C135" s="1">
        <f>IF(B135="", "", "animal secretion")</f>
        <v>0</v>
      </c>
      <c r="D135" s="1">
        <f>IF(B135="", "", "saliva")</f>
        <v>0</v>
      </c>
      <c r="E135" s="1">
        <f>IF(B135="", "", "human-oral")</f>
        <v>0</v>
      </c>
      <c r="F135" s="1">
        <f>IF(B135="", "", "UBERON:oral cavity")</f>
        <v>0</v>
      </c>
      <c r="G135" s="1">
        <f>IF(B135="", "", "UBERON:saliva")</f>
        <v>0</v>
      </c>
      <c r="H135" s="1">
        <f>IF(B135="", "", "UBERON:tongue")</f>
        <v>0</v>
      </c>
      <c r="I135" s="1">
        <f>IF(B135="", "", "tongue")</f>
        <v>0</v>
      </c>
      <c r="J135" s="1">
        <f>IF(B135="", "", "human oral metagenome")</f>
        <v>0</v>
      </c>
      <c r="K135" s="1">
        <f>IF(B135="", "", "447426")</f>
        <v>0</v>
      </c>
    </row>
    <row r="136" spans="1:11">
      <c r="A136">
        <f>IF(COUNTBLANK(B136:K136)&lt;&gt;COLUMNS(B136:K136),135,"")</f>
        <v>0</v>
      </c>
      <c r="C136" s="1">
        <f>IF(B136="", "", "animal secretion")</f>
        <v>0</v>
      </c>
      <c r="D136" s="1">
        <f>IF(B136="", "", "saliva")</f>
        <v>0</v>
      </c>
      <c r="E136" s="1">
        <f>IF(B136="", "", "human-oral")</f>
        <v>0</v>
      </c>
      <c r="F136" s="1">
        <f>IF(B136="", "", "UBERON:oral cavity")</f>
        <v>0</v>
      </c>
      <c r="G136" s="1">
        <f>IF(B136="", "", "UBERON:saliva")</f>
        <v>0</v>
      </c>
      <c r="H136" s="1">
        <f>IF(B136="", "", "UBERON:tongue")</f>
        <v>0</v>
      </c>
      <c r="I136" s="1">
        <f>IF(B136="", "", "tongue")</f>
        <v>0</v>
      </c>
      <c r="J136" s="1">
        <f>IF(B136="", "", "human oral metagenome")</f>
        <v>0</v>
      </c>
      <c r="K136" s="1">
        <f>IF(B136="", "", "447426")</f>
        <v>0</v>
      </c>
    </row>
    <row r="137" spans="1:11">
      <c r="A137">
        <f>IF(COUNTBLANK(B137:K137)&lt;&gt;COLUMNS(B137:K137),136,"")</f>
        <v>0</v>
      </c>
      <c r="C137" s="1">
        <f>IF(B137="", "", "animal secretion")</f>
        <v>0</v>
      </c>
      <c r="D137" s="1">
        <f>IF(B137="", "", "saliva")</f>
        <v>0</v>
      </c>
      <c r="E137" s="1">
        <f>IF(B137="", "", "human-oral")</f>
        <v>0</v>
      </c>
      <c r="F137" s="1">
        <f>IF(B137="", "", "UBERON:oral cavity")</f>
        <v>0</v>
      </c>
      <c r="G137" s="1">
        <f>IF(B137="", "", "UBERON:saliva")</f>
        <v>0</v>
      </c>
      <c r="H137" s="1">
        <f>IF(B137="", "", "UBERON:tongue")</f>
        <v>0</v>
      </c>
      <c r="I137" s="1">
        <f>IF(B137="", "", "tongue")</f>
        <v>0</v>
      </c>
      <c r="J137" s="1">
        <f>IF(B137="", "", "human oral metagenome")</f>
        <v>0</v>
      </c>
      <c r="K137" s="1">
        <f>IF(B137="", "", "447426")</f>
        <v>0</v>
      </c>
    </row>
    <row r="138" spans="1:11">
      <c r="A138">
        <f>IF(COUNTBLANK(B138:K138)&lt;&gt;COLUMNS(B138:K138),137,"")</f>
        <v>0</v>
      </c>
      <c r="C138" s="1">
        <f>IF(B138="", "", "animal secretion")</f>
        <v>0</v>
      </c>
      <c r="D138" s="1">
        <f>IF(B138="", "", "saliva")</f>
        <v>0</v>
      </c>
      <c r="E138" s="1">
        <f>IF(B138="", "", "human-oral")</f>
        <v>0</v>
      </c>
      <c r="F138" s="1">
        <f>IF(B138="", "", "UBERON:oral cavity")</f>
        <v>0</v>
      </c>
      <c r="G138" s="1">
        <f>IF(B138="", "", "UBERON:saliva")</f>
        <v>0</v>
      </c>
      <c r="H138" s="1">
        <f>IF(B138="", "", "UBERON:tongue")</f>
        <v>0</v>
      </c>
      <c r="I138" s="1">
        <f>IF(B138="", "", "tongue")</f>
        <v>0</v>
      </c>
      <c r="J138" s="1">
        <f>IF(B138="", "", "human oral metagenome")</f>
        <v>0</v>
      </c>
      <c r="K138" s="1">
        <f>IF(B138="", "", "447426")</f>
        <v>0</v>
      </c>
    </row>
    <row r="139" spans="1:11">
      <c r="A139">
        <f>IF(COUNTBLANK(B139:K139)&lt;&gt;COLUMNS(B139:K139),138,"")</f>
        <v>0</v>
      </c>
      <c r="C139" s="1">
        <f>IF(B139="", "", "animal secretion")</f>
        <v>0</v>
      </c>
      <c r="D139" s="1">
        <f>IF(B139="", "", "saliva")</f>
        <v>0</v>
      </c>
      <c r="E139" s="1">
        <f>IF(B139="", "", "human-oral")</f>
        <v>0</v>
      </c>
      <c r="F139" s="1">
        <f>IF(B139="", "", "UBERON:oral cavity")</f>
        <v>0</v>
      </c>
      <c r="G139" s="1">
        <f>IF(B139="", "", "UBERON:saliva")</f>
        <v>0</v>
      </c>
      <c r="H139" s="1">
        <f>IF(B139="", "", "UBERON:tongue")</f>
        <v>0</v>
      </c>
      <c r="I139" s="1">
        <f>IF(B139="", "", "tongue")</f>
        <v>0</v>
      </c>
      <c r="J139" s="1">
        <f>IF(B139="", "", "human oral metagenome")</f>
        <v>0</v>
      </c>
      <c r="K139" s="1">
        <f>IF(B139="", "", "447426")</f>
        <v>0</v>
      </c>
    </row>
    <row r="140" spans="1:11">
      <c r="A140">
        <f>IF(COUNTBLANK(B140:K140)&lt;&gt;COLUMNS(B140:K140),139,"")</f>
        <v>0</v>
      </c>
      <c r="C140" s="1">
        <f>IF(B140="", "", "animal secretion")</f>
        <v>0</v>
      </c>
      <c r="D140" s="1">
        <f>IF(B140="", "", "saliva")</f>
        <v>0</v>
      </c>
      <c r="E140" s="1">
        <f>IF(B140="", "", "human-oral")</f>
        <v>0</v>
      </c>
      <c r="F140" s="1">
        <f>IF(B140="", "", "UBERON:oral cavity")</f>
        <v>0</v>
      </c>
      <c r="G140" s="1">
        <f>IF(B140="", "", "UBERON:saliva")</f>
        <v>0</v>
      </c>
      <c r="H140" s="1">
        <f>IF(B140="", "", "UBERON:tongue")</f>
        <v>0</v>
      </c>
      <c r="I140" s="1">
        <f>IF(B140="", "", "tongue")</f>
        <v>0</v>
      </c>
      <c r="J140" s="1">
        <f>IF(B140="", "", "human oral metagenome")</f>
        <v>0</v>
      </c>
      <c r="K140" s="1">
        <f>IF(B140="", "", "447426")</f>
        <v>0</v>
      </c>
    </row>
    <row r="141" spans="1:11">
      <c r="A141">
        <f>IF(COUNTBLANK(B141:K141)&lt;&gt;COLUMNS(B141:K141),140,"")</f>
        <v>0</v>
      </c>
      <c r="C141" s="1">
        <f>IF(B141="", "", "animal secretion")</f>
        <v>0</v>
      </c>
      <c r="D141" s="1">
        <f>IF(B141="", "", "saliva")</f>
        <v>0</v>
      </c>
      <c r="E141" s="1">
        <f>IF(B141="", "", "human-oral")</f>
        <v>0</v>
      </c>
      <c r="F141" s="1">
        <f>IF(B141="", "", "UBERON:oral cavity")</f>
        <v>0</v>
      </c>
      <c r="G141" s="1">
        <f>IF(B141="", "", "UBERON:saliva")</f>
        <v>0</v>
      </c>
      <c r="H141" s="1">
        <f>IF(B141="", "", "UBERON:tongue")</f>
        <v>0</v>
      </c>
      <c r="I141" s="1">
        <f>IF(B141="", "", "tongue")</f>
        <v>0</v>
      </c>
      <c r="J141" s="1">
        <f>IF(B141="", "", "human oral metagenome")</f>
        <v>0</v>
      </c>
      <c r="K141" s="1">
        <f>IF(B141="", "", "447426")</f>
        <v>0</v>
      </c>
    </row>
    <row r="142" spans="1:11">
      <c r="A142">
        <f>IF(COUNTBLANK(B142:K142)&lt;&gt;COLUMNS(B142:K142),141,"")</f>
        <v>0</v>
      </c>
      <c r="C142" s="1">
        <f>IF(B142="", "", "animal secretion")</f>
        <v>0</v>
      </c>
      <c r="D142" s="1">
        <f>IF(B142="", "", "saliva")</f>
        <v>0</v>
      </c>
      <c r="E142" s="1">
        <f>IF(B142="", "", "human-oral")</f>
        <v>0</v>
      </c>
      <c r="F142" s="1">
        <f>IF(B142="", "", "UBERON:oral cavity")</f>
        <v>0</v>
      </c>
      <c r="G142" s="1">
        <f>IF(B142="", "", "UBERON:saliva")</f>
        <v>0</v>
      </c>
      <c r="H142" s="1">
        <f>IF(B142="", "", "UBERON:tongue")</f>
        <v>0</v>
      </c>
      <c r="I142" s="1">
        <f>IF(B142="", "", "tongue")</f>
        <v>0</v>
      </c>
      <c r="J142" s="1">
        <f>IF(B142="", "", "human oral metagenome")</f>
        <v>0</v>
      </c>
      <c r="K142" s="1">
        <f>IF(B142="", "", "447426")</f>
        <v>0</v>
      </c>
    </row>
    <row r="143" spans="1:11">
      <c r="A143">
        <f>IF(COUNTBLANK(B143:K143)&lt;&gt;COLUMNS(B143:K143),142,"")</f>
        <v>0</v>
      </c>
      <c r="C143" s="1">
        <f>IF(B143="", "", "animal secretion")</f>
        <v>0</v>
      </c>
      <c r="D143" s="1">
        <f>IF(B143="", "", "saliva")</f>
        <v>0</v>
      </c>
      <c r="E143" s="1">
        <f>IF(B143="", "", "human-oral")</f>
        <v>0</v>
      </c>
      <c r="F143" s="1">
        <f>IF(B143="", "", "UBERON:oral cavity")</f>
        <v>0</v>
      </c>
      <c r="G143" s="1">
        <f>IF(B143="", "", "UBERON:saliva")</f>
        <v>0</v>
      </c>
      <c r="H143" s="1">
        <f>IF(B143="", "", "UBERON:tongue")</f>
        <v>0</v>
      </c>
      <c r="I143" s="1">
        <f>IF(B143="", "", "tongue")</f>
        <v>0</v>
      </c>
      <c r="J143" s="1">
        <f>IF(B143="", "", "human oral metagenome")</f>
        <v>0</v>
      </c>
      <c r="K143" s="1">
        <f>IF(B143="", "", "447426")</f>
        <v>0</v>
      </c>
    </row>
    <row r="144" spans="1:11">
      <c r="A144">
        <f>IF(COUNTBLANK(B144:K144)&lt;&gt;COLUMNS(B144:K144),143,"")</f>
        <v>0</v>
      </c>
      <c r="C144" s="1">
        <f>IF(B144="", "", "animal secretion")</f>
        <v>0</v>
      </c>
      <c r="D144" s="1">
        <f>IF(B144="", "", "saliva")</f>
        <v>0</v>
      </c>
      <c r="E144" s="1">
        <f>IF(B144="", "", "human-oral")</f>
        <v>0</v>
      </c>
      <c r="F144" s="1">
        <f>IF(B144="", "", "UBERON:oral cavity")</f>
        <v>0</v>
      </c>
      <c r="G144" s="1">
        <f>IF(B144="", "", "UBERON:saliva")</f>
        <v>0</v>
      </c>
      <c r="H144" s="1">
        <f>IF(B144="", "", "UBERON:tongue")</f>
        <v>0</v>
      </c>
      <c r="I144" s="1">
        <f>IF(B144="", "", "tongue")</f>
        <v>0</v>
      </c>
      <c r="J144" s="1">
        <f>IF(B144="", "", "human oral metagenome")</f>
        <v>0</v>
      </c>
      <c r="K144" s="1">
        <f>IF(B144="", "", "447426")</f>
        <v>0</v>
      </c>
    </row>
    <row r="145" spans="1:11">
      <c r="A145">
        <f>IF(COUNTBLANK(B145:K145)&lt;&gt;COLUMNS(B145:K145),144,"")</f>
        <v>0</v>
      </c>
      <c r="C145" s="1">
        <f>IF(B145="", "", "animal secretion")</f>
        <v>0</v>
      </c>
      <c r="D145" s="1">
        <f>IF(B145="", "", "saliva")</f>
        <v>0</v>
      </c>
      <c r="E145" s="1">
        <f>IF(B145="", "", "human-oral")</f>
        <v>0</v>
      </c>
      <c r="F145" s="1">
        <f>IF(B145="", "", "UBERON:oral cavity")</f>
        <v>0</v>
      </c>
      <c r="G145" s="1">
        <f>IF(B145="", "", "UBERON:saliva")</f>
        <v>0</v>
      </c>
      <c r="H145" s="1">
        <f>IF(B145="", "", "UBERON:tongue")</f>
        <v>0</v>
      </c>
      <c r="I145" s="1">
        <f>IF(B145="", "", "tongue")</f>
        <v>0</v>
      </c>
      <c r="J145" s="1">
        <f>IF(B145="", "", "human oral metagenome")</f>
        <v>0</v>
      </c>
      <c r="K145" s="1">
        <f>IF(B145="", "", "447426")</f>
        <v>0</v>
      </c>
    </row>
    <row r="146" spans="1:11">
      <c r="A146">
        <f>IF(COUNTBLANK(B146:K146)&lt;&gt;COLUMNS(B146:K146),145,"")</f>
        <v>0</v>
      </c>
      <c r="C146" s="1">
        <f>IF(B146="", "", "animal secretion")</f>
        <v>0</v>
      </c>
      <c r="D146" s="1">
        <f>IF(B146="", "", "saliva")</f>
        <v>0</v>
      </c>
      <c r="E146" s="1">
        <f>IF(B146="", "", "human-oral")</f>
        <v>0</v>
      </c>
      <c r="F146" s="1">
        <f>IF(B146="", "", "UBERON:oral cavity")</f>
        <v>0</v>
      </c>
      <c r="G146" s="1">
        <f>IF(B146="", "", "UBERON:saliva")</f>
        <v>0</v>
      </c>
      <c r="H146" s="1">
        <f>IF(B146="", "", "UBERON:tongue")</f>
        <v>0</v>
      </c>
      <c r="I146" s="1">
        <f>IF(B146="", "", "tongue")</f>
        <v>0</v>
      </c>
      <c r="J146" s="1">
        <f>IF(B146="", "", "human oral metagenome")</f>
        <v>0</v>
      </c>
      <c r="K146" s="1">
        <f>IF(B146="", "", "447426")</f>
        <v>0</v>
      </c>
    </row>
    <row r="147" spans="1:11">
      <c r="A147">
        <f>IF(COUNTBLANK(B147:K147)&lt;&gt;COLUMNS(B147:K147),146,"")</f>
        <v>0</v>
      </c>
      <c r="C147" s="1">
        <f>IF(B147="", "", "animal secretion")</f>
        <v>0</v>
      </c>
      <c r="D147" s="1">
        <f>IF(B147="", "", "saliva")</f>
        <v>0</v>
      </c>
      <c r="E147" s="1">
        <f>IF(B147="", "", "human-oral")</f>
        <v>0</v>
      </c>
      <c r="F147" s="1">
        <f>IF(B147="", "", "UBERON:oral cavity")</f>
        <v>0</v>
      </c>
      <c r="G147" s="1">
        <f>IF(B147="", "", "UBERON:saliva")</f>
        <v>0</v>
      </c>
      <c r="H147" s="1">
        <f>IF(B147="", "", "UBERON:tongue")</f>
        <v>0</v>
      </c>
      <c r="I147" s="1">
        <f>IF(B147="", "", "tongue")</f>
        <v>0</v>
      </c>
      <c r="J147" s="1">
        <f>IF(B147="", "", "human oral metagenome")</f>
        <v>0</v>
      </c>
      <c r="K147" s="1">
        <f>IF(B147="", "", "447426")</f>
        <v>0</v>
      </c>
    </row>
    <row r="148" spans="1:11">
      <c r="A148">
        <f>IF(COUNTBLANK(B148:K148)&lt;&gt;COLUMNS(B148:K148),147,"")</f>
        <v>0</v>
      </c>
      <c r="C148" s="1">
        <f>IF(B148="", "", "animal secretion")</f>
        <v>0</v>
      </c>
      <c r="D148" s="1">
        <f>IF(B148="", "", "saliva")</f>
        <v>0</v>
      </c>
      <c r="E148" s="1">
        <f>IF(B148="", "", "human-oral")</f>
        <v>0</v>
      </c>
      <c r="F148" s="1">
        <f>IF(B148="", "", "UBERON:oral cavity")</f>
        <v>0</v>
      </c>
      <c r="G148" s="1">
        <f>IF(B148="", "", "UBERON:saliva")</f>
        <v>0</v>
      </c>
      <c r="H148" s="1">
        <f>IF(B148="", "", "UBERON:tongue")</f>
        <v>0</v>
      </c>
      <c r="I148" s="1">
        <f>IF(B148="", "", "tongue")</f>
        <v>0</v>
      </c>
      <c r="J148" s="1">
        <f>IF(B148="", "", "human oral metagenome")</f>
        <v>0</v>
      </c>
      <c r="K148" s="1">
        <f>IF(B148="", "", "447426")</f>
        <v>0</v>
      </c>
    </row>
    <row r="149" spans="1:11">
      <c r="A149">
        <f>IF(COUNTBLANK(B149:K149)&lt;&gt;COLUMNS(B149:K149),148,"")</f>
        <v>0</v>
      </c>
      <c r="C149" s="1">
        <f>IF(B149="", "", "animal secretion")</f>
        <v>0</v>
      </c>
      <c r="D149" s="1">
        <f>IF(B149="", "", "saliva")</f>
        <v>0</v>
      </c>
      <c r="E149" s="1">
        <f>IF(B149="", "", "human-oral")</f>
        <v>0</v>
      </c>
      <c r="F149" s="1">
        <f>IF(B149="", "", "UBERON:oral cavity")</f>
        <v>0</v>
      </c>
      <c r="G149" s="1">
        <f>IF(B149="", "", "UBERON:saliva")</f>
        <v>0</v>
      </c>
      <c r="H149" s="1">
        <f>IF(B149="", "", "UBERON:tongue")</f>
        <v>0</v>
      </c>
      <c r="I149" s="1">
        <f>IF(B149="", "", "tongue")</f>
        <v>0</v>
      </c>
      <c r="J149" s="1">
        <f>IF(B149="", "", "human oral metagenome")</f>
        <v>0</v>
      </c>
      <c r="K149" s="1">
        <f>IF(B149="", "", "447426")</f>
        <v>0</v>
      </c>
    </row>
    <row r="150" spans="1:11">
      <c r="A150">
        <f>IF(COUNTBLANK(B150:K150)&lt;&gt;COLUMNS(B150:K150),149,"")</f>
        <v>0</v>
      </c>
      <c r="C150" s="1">
        <f>IF(B150="", "", "animal secretion")</f>
        <v>0</v>
      </c>
      <c r="D150" s="1">
        <f>IF(B150="", "", "saliva")</f>
        <v>0</v>
      </c>
      <c r="E150" s="1">
        <f>IF(B150="", "", "human-oral")</f>
        <v>0</v>
      </c>
      <c r="F150" s="1">
        <f>IF(B150="", "", "UBERON:oral cavity")</f>
        <v>0</v>
      </c>
      <c r="G150" s="1">
        <f>IF(B150="", "", "UBERON:saliva")</f>
        <v>0</v>
      </c>
      <c r="H150" s="1">
        <f>IF(B150="", "", "UBERON:tongue")</f>
        <v>0</v>
      </c>
      <c r="I150" s="1">
        <f>IF(B150="", "", "tongue")</f>
        <v>0</v>
      </c>
      <c r="J150" s="1">
        <f>IF(B150="", "", "human oral metagenome")</f>
        <v>0</v>
      </c>
      <c r="K150" s="1">
        <f>IF(B150="", "", "447426")</f>
        <v>0</v>
      </c>
    </row>
    <row r="151" spans="1:11">
      <c r="A151">
        <f>IF(COUNTBLANK(B151:K151)&lt;&gt;COLUMNS(B151:K151),150,"")</f>
        <v>0</v>
      </c>
      <c r="C151" s="1">
        <f>IF(B151="", "", "animal secretion")</f>
        <v>0</v>
      </c>
      <c r="D151" s="1">
        <f>IF(B151="", "", "saliva")</f>
        <v>0</v>
      </c>
      <c r="E151" s="1">
        <f>IF(B151="", "", "human-oral")</f>
        <v>0</v>
      </c>
      <c r="F151" s="1">
        <f>IF(B151="", "", "UBERON:oral cavity")</f>
        <v>0</v>
      </c>
      <c r="G151" s="1">
        <f>IF(B151="", "", "UBERON:saliva")</f>
        <v>0</v>
      </c>
      <c r="H151" s="1">
        <f>IF(B151="", "", "UBERON:tongue")</f>
        <v>0</v>
      </c>
      <c r="I151" s="1">
        <f>IF(B151="", "", "tongue")</f>
        <v>0</v>
      </c>
      <c r="J151" s="1">
        <f>IF(B151="", "", "human oral metagenome")</f>
        <v>0</v>
      </c>
      <c r="K151" s="1">
        <f>IF(B151="", "", "447426")</f>
        <v>0</v>
      </c>
    </row>
    <row r="152" spans="1:11">
      <c r="A152">
        <f>IF(COUNTBLANK(B152:K152)&lt;&gt;COLUMNS(B152:K152),151,"")</f>
        <v>0</v>
      </c>
      <c r="C152" s="1">
        <f>IF(B152="", "", "animal secretion")</f>
        <v>0</v>
      </c>
      <c r="D152" s="1">
        <f>IF(B152="", "", "saliva")</f>
        <v>0</v>
      </c>
      <c r="E152" s="1">
        <f>IF(B152="", "", "human-oral")</f>
        <v>0</v>
      </c>
      <c r="F152" s="1">
        <f>IF(B152="", "", "UBERON:oral cavity")</f>
        <v>0</v>
      </c>
      <c r="G152" s="1">
        <f>IF(B152="", "", "UBERON:saliva")</f>
        <v>0</v>
      </c>
      <c r="H152" s="1">
        <f>IF(B152="", "", "UBERON:tongue")</f>
        <v>0</v>
      </c>
      <c r="I152" s="1">
        <f>IF(B152="", "", "tongue")</f>
        <v>0</v>
      </c>
      <c r="J152" s="1">
        <f>IF(B152="", "", "human oral metagenome")</f>
        <v>0</v>
      </c>
      <c r="K152" s="1">
        <f>IF(B152="", "", "447426")</f>
        <v>0</v>
      </c>
    </row>
    <row r="153" spans="1:11">
      <c r="A153">
        <f>IF(COUNTBLANK(B153:K153)&lt;&gt;COLUMNS(B153:K153),152,"")</f>
        <v>0</v>
      </c>
      <c r="C153" s="1">
        <f>IF(B153="", "", "animal secretion")</f>
        <v>0</v>
      </c>
      <c r="D153" s="1">
        <f>IF(B153="", "", "saliva")</f>
        <v>0</v>
      </c>
      <c r="E153" s="1">
        <f>IF(B153="", "", "human-oral")</f>
        <v>0</v>
      </c>
      <c r="F153" s="1">
        <f>IF(B153="", "", "UBERON:oral cavity")</f>
        <v>0</v>
      </c>
      <c r="G153" s="1">
        <f>IF(B153="", "", "UBERON:saliva")</f>
        <v>0</v>
      </c>
      <c r="H153" s="1">
        <f>IF(B153="", "", "UBERON:tongue")</f>
        <v>0</v>
      </c>
      <c r="I153" s="1">
        <f>IF(B153="", "", "tongue")</f>
        <v>0</v>
      </c>
      <c r="J153" s="1">
        <f>IF(B153="", "", "human oral metagenome")</f>
        <v>0</v>
      </c>
      <c r="K153" s="1">
        <f>IF(B153="", "", "447426")</f>
        <v>0</v>
      </c>
    </row>
    <row r="154" spans="1:11">
      <c r="A154">
        <f>IF(COUNTBLANK(B154:K154)&lt;&gt;COLUMNS(B154:K154),153,"")</f>
        <v>0</v>
      </c>
      <c r="C154" s="1">
        <f>IF(B154="", "", "animal secretion")</f>
        <v>0</v>
      </c>
      <c r="D154" s="1">
        <f>IF(B154="", "", "saliva")</f>
        <v>0</v>
      </c>
      <c r="E154" s="1">
        <f>IF(B154="", "", "human-oral")</f>
        <v>0</v>
      </c>
      <c r="F154" s="1">
        <f>IF(B154="", "", "UBERON:oral cavity")</f>
        <v>0</v>
      </c>
      <c r="G154" s="1">
        <f>IF(B154="", "", "UBERON:saliva")</f>
        <v>0</v>
      </c>
      <c r="H154" s="1">
        <f>IF(B154="", "", "UBERON:tongue")</f>
        <v>0</v>
      </c>
      <c r="I154" s="1">
        <f>IF(B154="", "", "tongue")</f>
        <v>0</v>
      </c>
      <c r="J154" s="1">
        <f>IF(B154="", "", "human oral metagenome")</f>
        <v>0</v>
      </c>
      <c r="K154" s="1">
        <f>IF(B154="", "", "447426")</f>
        <v>0</v>
      </c>
    </row>
    <row r="155" spans="1:11">
      <c r="A155">
        <f>IF(COUNTBLANK(B155:K155)&lt;&gt;COLUMNS(B155:K155),154,"")</f>
        <v>0</v>
      </c>
      <c r="C155" s="1">
        <f>IF(B155="", "", "animal secretion")</f>
        <v>0</v>
      </c>
      <c r="D155" s="1">
        <f>IF(B155="", "", "saliva")</f>
        <v>0</v>
      </c>
      <c r="E155" s="1">
        <f>IF(B155="", "", "human-oral")</f>
        <v>0</v>
      </c>
      <c r="F155" s="1">
        <f>IF(B155="", "", "UBERON:oral cavity")</f>
        <v>0</v>
      </c>
      <c r="G155" s="1">
        <f>IF(B155="", "", "UBERON:saliva")</f>
        <v>0</v>
      </c>
      <c r="H155" s="1">
        <f>IF(B155="", "", "UBERON:tongue")</f>
        <v>0</v>
      </c>
      <c r="I155" s="1">
        <f>IF(B155="", "", "tongue")</f>
        <v>0</v>
      </c>
      <c r="J155" s="1">
        <f>IF(B155="", "", "human oral metagenome")</f>
        <v>0</v>
      </c>
      <c r="K155" s="1">
        <f>IF(B155="", "", "447426")</f>
        <v>0</v>
      </c>
    </row>
    <row r="156" spans="1:11">
      <c r="A156">
        <f>IF(COUNTBLANK(B156:K156)&lt;&gt;COLUMNS(B156:K156),155,"")</f>
        <v>0</v>
      </c>
      <c r="C156" s="1">
        <f>IF(B156="", "", "animal secretion")</f>
        <v>0</v>
      </c>
      <c r="D156" s="1">
        <f>IF(B156="", "", "saliva")</f>
        <v>0</v>
      </c>
      <c r="E156" s="1">
        <f>IF(B156="", "", "human-oral")</f>
        <v>0</v>
      </c>
      <c r="F156" s="1">
        <f>IF(B156="", "", "UBERON:oral cavity")</f>
        <v>0</v>
      </c>
      <c r="G156" s="1">
        <f>IF(B156="", "", "UBERON:saliva")</f>
        <v>0</v>
      </c>
      <c r="H156" s="1">
        <f>IF(B156="", "", "UBERON:tongue")</f>
        <v>0</v>
      </c>
      <c r="I156" s="1">
        <f>IF(B156="", "", "tongue")</f>
        <v>0</v>
      </c>
      <c r="J156" s="1">
        <f>IF(B156="", "", "human oral metagenome")</f>
        <v>0</v>
      </c>
      <c r="K156" s="1">
        <f>IF(B156="", "", "447426")</f>
        <v>0</v>
      </c>
    </row>
    <row r="157" spans="1:11">
      <c r="A157">
        <f>IF(COUNTBLANK(B157:K157)&lt;&gt;COLUMNS(B157:K157),156,"")</f>
        <v>0</v>
      </c>
      <c r="C157" s="1">
        <f>IF(B157="", "", "animal secretion")</f>
        <v>0</v>
      </c>
      <c r="D157" s="1">
        <f>IF(B157="", "", "saliva")</f>
        <v>0</v>
      </c>
      <c r="E157" s="1">
        <f>IF(B157="", "", "human-oral")</f>
        <v>0</v>
      </c>
      <c r="F157" s="1">
        <f>IF(B157="", "", "UBERON:oral cavity")</f>
        <v>0</v>
      </c>
      <c r="G157" s="1">
        <f>IF(B157="", "", "UBERON:saliva")</f>
        <v>0</v>
      </c>
      <c r="H157" s="1">
        <f>IF(B157="", "", "UBERON:tongue")</f>
        <v>0</v>
      </c>
      <c r="I157" s="1">
        <f>IF(B157="", "", "tongue")</f>
        <v>0</v>
      </c>
      <c r="J157" s="1">
        <f>IF(B157="", "", "human oral metagenome")</f>
        <v>0</v>
      </c>
      <c r="K157" s="1">
        <f>IF(B157="", "", "447426")</f>
        <v>0</v>
      </c>
    </row>
    <row r="158" spans="1:11">
      <c r="A158">
        <f>IF(COUNTBLANK(B158:K158)&lt;&gt;COLUMNS(B158:K158),157,"")</f>
        <v>0</v>
      </c>
      <c r="C158" s="1">
        <f>IF(B158="", "", "animal secretion")</f>
        <v>0</v>
      </c>
      <c r="D158" s="1">
        <f>IF(B158="", "", "saliva")</f>
        <v>0</v>
      </c>
      <c r="E158" s="1">
        <f>IF(B158="", "", "human-oral")</f>
        <v>0</v>
      </c>
      <c r="F158" s="1">
        <f>IF(B158="", "", "UBERON:oral cavity")</f>
        <v>0</v>
      </c>
      <c r="G158" s="1">
        <f>IF(B158="", "", "UBERON:saliva")</f>
        <v>0</v>
      </c>
      <c r="H158" s="1">
        <f>IF(B158="", "", "UBERON:tongue")</f>
        <v>0</v>
      </c>
      <c r="I158" s="1">
        <f>IF(B158="", "", "tongue")</f>
        <v>0</v>
      </c>
      <c r="J158" s="1">
        <f>IF(B158="", "", "human oral metagenome")</f>
        <v>0</v>
      </c>
      <c r="K158" s="1">
        <f>IF(B158="", "", "447426")</f>
        <v>0</v>
      </c>
    </row>
    <row r="159" spans="1:11">
      <c r="A159">
        <f>IF(COUNTBLANK(B159:K159)&lt;&gt;COLUMNS(B159:K159),158,"")</f>
        <v>0</v>
      </c>
      <c r="C159" s="1">
        <f>IF(B159="", "", "animal secretion")</f>
        <v>0</v>
      </c>
      <c r="D159" s="1">
        <f>IF(B159="", "", "saliva")</f>
        <v>0</v>
      </c>
      <c r="E159" s="1">
        <f>IF(B159="", "", "human-oral")</f>
        <v>0</v>
      </c>
      <c r="F159" s="1">
        <f>IF(B159="", "", "UBERON:oral cavity")</f>
        <v>0</v>
      </c>
      <c r="G159" s="1">
        <f>IF(B159="", "", "UBERON:saliva")</f>
        <v>0</v>
      </c>
      <c r="H159" s="1">
        <f>IF(B159="", "", "UBERON:tongue")</f>
        <v>0</v>
      </c>
      <c r="I159" s="1">
        <f>IF(B159="", "", "tongue")</f>
        <v>0</v>
      </c>
      <c r="J159" s="1">
        <f>IF(B159="", "", "human oral metagenome")</f>
        <v>0</v>
      </c>
      <c r="K159" s="1">
        <f>IF(B159="", "", "447426")</f>
        <v>0</v>
      </c>
    </row>
    <row r="160" spans="1:11">
      <c r="A160">
        <f>IF(COUNTBLANK(B160:K160)&lt;&gt;COLUMNS(B160:K160),159,"")</f>
        <v>0</v>
      </c>
      <c r="C160" s="1">
        <f>IF(B160="", "", "animal secretion")</f>
        <v>0</v>
      </c>
      <c r="D160" s="1">
        <f>IF(B160="", "", "saliva")</f>
        <v>0</v>
      </c>
      <c r="E160" s="1">
        <f>IF(B160="", "", "human-oral")</f>
        <v>0</v>
      </c>
      <c r="F160" s="1">
        <f>IF(B160="", "", "UBERON:oral cavity")</f>
        <v>0</v>
      </c>
      <c r="G160" s="1">
        <f>IF(B160="", "", "UBERON:saliva")</f>
        <v>0</v>
      </c>
      <c r="H160" s="1">
        <f>IF(B160="", "", "UBERON:tongue")</f>
        <v>0</v>
      </c>
      <c r="I160" s="1">
        <f>IF(B160="", "", "tongue")</f>
        <v>0</v>
      </c>
      <c r="J160" s="1">
        <f>IF(B160="", "", "human oral metagenome")</f>
        <v>0</v>
      </c>
      <c r="K160" s="1">
        <f>IF(B160="", "", "447426")</f>
        <v>0</v>
      </c>
    </row>
    <row r="161" spans="1:11">
      <c r="A161">
        <f>IF(COUNTBLANK(B161:K161)&lt;&gt;COLUMNS(B161:K161),160,"")</f>
        <v>0</v>
      </c>
      <c r="C161" s="1">
        <f>IF(B161="", "", "animal secretion")</f>
        <v>0</v>
      </c>
      <c r="D161" s="1">
        <f>IF(B161="", "", "saliva")</f>
        <v>0</v>
      </c>
      <c r="E161" s="1">
        <f>IF(B161="", "", "human-oral")</f>
        <v>0</v>
      </c>
      <c r="F161" s="1">
        <f>IF(B161="", "", "UBERON:oral cavity")</f>
        <v>0</v>
      </c>
      <c r="G161" s="1">
        <f>IF(B161="", "", "UBERON:saliva")</f>
        <v>0</v>
      </c>
      <c r="H161" s="1">
        <f>IF(B161="", "", "UBERON:tongue")</f>
        <v>0</v>
      </c>
      <c r="I161" s="1">
        <f>IF(B161="", "", "tongue")</f>
        <v>0</v>
      </c>
      <c r="J161" s="1">
        <f>IF(B161="", "", "human oral metagenome")</f>
        <v>0</v>
      </c>
      <c r="K161" s="1">
        <f>IF(B161="", "", "447426")</f>
        <v>0</v>
      </c>
    </row>
    <row r="162" spans="1:11">
      <c r="A162">
        <f>IF(COUNTBLANK(B162:K162)&lt;&gt;COLUMNS(B162:K162),161,"")</f>
        <v>0</v>
      </c>
      <c r="C162" s="1">
        <f>IF(B162="", "", "animal secretion")</f>
        <v>0</v>
      </c>
      <c r="D162" s="1">
        <f>IF(B162="", "", "saliva")</f>
        <v>0</v>
      </c>
      <c r="E162" s="1">
        <f>IF(B162="", "", "human-oral")</f>
        <v>0</v>
      </c>
      <c r="F162" s="1">
        <f>IF(B162="", "", "UBERON:oral cavity")</f>
        <v>0</v>
      </c>
      <c r="G162" s="1">
        <f>IF(B162="", "", "UBERON:saliva")</f>
        <v>0</v>
      </c>
      <c r="H162" s="1">
        <f>IF(B162="", "", "UBERON:tongue")</f>
        <v>0</v>
      </c>
      <c r="I162" s="1">
        <f>IF(B162="", "", "tongue")</f>
        <v>0</v>
      </c>
      <c r="J162" s="1">
        <f>IF(B162="", "", "human oral metagenome")</f>
        <v>0</v>
      </c>
      <c r="K162" s="1">
        <f>IF(B162="", "", "447426")</f>
        <v>0</v>
      </c>
    </row>
    <row r="163" spans="1:11">
      <c r="A163">
        <f>IF(COUNTBLANK(B163:K163)&lt;&gt;COLUMNS(B163:K163),162,"")</f>
        <v>0</v>
      </c>
      <c r="C163" s="1">
        <f>IF(B163="", "", "animal secretion")</f>
        <v>0</v>
      </c>
      <c r="D163" s="1">
        <f>IF(B163="", "", "saliva")</f>
        <v>0</v>
      </c>
      <c r="E163" s="1">
        <f>IF(B163="", "", "human-oral")</f>
        <v>0</v>
      </c>
      <c r="F163" s="1">
        <f>IF(B163="", "", "UBERON:oral cavity")</f>
        <v>0</v>
      </c>
      <c r="G163" s="1">
        <f>IF(B163="", "", "UBERON:saliva")</f>
        <v>0</v>
      </c>
      <c r="H163" s="1">
        <f>IF(B163="", "", "UBERON:tongue")</f>
        <v>0</v>
      </c>
      <c r="I163" s="1">
        <f>IF(B163="", "", "tongue")</f>
        <v>0</v>
      </c>
      <c r="J163" s="1">
        <f>IF(B163="", "", "human oral metagenome")</f>
        <v>0</v>
      </c>
      <c r="K163" s="1">
        <f>IF(B163="", "", "447426")</f>
        <v>0</v>
      </c>
    </row>
    <row r="164" spans="1:11">
      <c r="A164">
        <f>IF(COUNTBLANK(B164:K164)&lt;&gt;COLUMNS(B164:K164),163,"")</f>
        <v>0</v>
      </c>
      <c r="C164" s="1">
        <f>IF(B164="", "", "animal secretion")</f>
        <v>0</v>
      </c>
      <c r="D164" s="1">
        <f>IF(B164="", "", "saliva")</f>
        <v>0</v>
      </c>
      <c r="E164" s="1">
        <f>IF(B164="", "", "human-oral")</f>
        <v>0</v>
      </c>
      <c r="F164" s="1">
        <f>IF(B164="", "", "UBERON:oral cavity")</f>
        <v>0</v>
      </c>
      <c r="G164" s="1">
        <f>IF(B164="", "", "UBERON:saliva")</f>
        <v>0</v>
      </c>
      <c r="H164" s="1">
        <f>IF(B164="", "", "UBERON:tongue")</f>
        <v>0</v>
      </c>
      <c r="I164" s="1">
        <f>IF(B164="", "", "tongue")</f>
        <v>0</v>
      </c>
      <c r="J164" s="1">
        <f>IF(B164="", "", "human oral metagenome")</f>
        <v>0</v>
      </c>
      <c r="K164" s="1">
        <f>IF(B164="", "", "447426")</f>
        <v>0</v>
      </c>
    </row>
    <row r="165" spans="1:11">
      <c r="A165">
        <f>IF(COUNTBLANK(B165:K165)&lt;&gt;COLUMNS(B165:K165),164,"")</f>
        <v>0</v>
      </c>
      <c r="C165" s="1">
        <f>IF(B165="", "", "animal secretion")</f>
        <v>0</v>
      </c>
      <c r="D165" s="1">
        <f>IF(B165="", "", "saliva")</f>
        <v>0</v>
      </c>
      <c r="E165" s="1">
        <f>IF(B165="", "", "human-oral")</f>
        <v>0</v>
      </c>
      <c r="F165" s="1">
        <f>IF(B165="", "", "UBERON:oral cavity")</f>
        <v>0</v>
      </c>
      <c r="G165" s="1">
        <f>IF(B165="", "", "UBERON:saliva")</f>
        <v>0</v>
      </c>
      <c r="H165" s="1">
        <f>IF(B165="", "", "UBERON:tongue")</f>
        <v>0</v>
      </c>
      <c r="I165" s="1">
        <f>IF(B165="", "", "tongue")</f>
        <v>0</v>
      </c>
      <c r="J165" s="1">
        <f>IF(B165="", "", "human oral metagenome")</f>
        <v>0</v>
      </c>
      <c r="K165" s="1">
        <f>IF(B165="", "", "447426")</f>
        <v>0</v>
      </c>
    </row>
    <row r="166" spans="1:11">
      <c r="A166">
        <f>IF(COUNTBLANK(B166:K166)&lt;&gt;COLUMNS(B166:K166),165,"")</f>
        <v>0</v>
      </c>
      <c r="C166" s="1">
        <f>IF(B166="", "", "animal secretion")</f>
        <v>0</v>
      </c>
      <c r="D166" s="1">
        <f>IF(B166="", "", "saliva")</f>
        <v>0</v>
      </c>
      <c r="E166" s="1">
        <f>IF(B166="", "", "human-oral")</f>
        <v>0</v>
      </c>
      <c r="F166" s="1">
        <f>IF(B166="", "", "UBERON:oral cavity")</f>
        <v>0</v>
      </c>
      <c r="G166" s="1">
        <f>IF(B166="", "", "UBERON:saliva")</f>
        <v>0</v>
      </c>
      <c r="H166" s="1">
        <f>IF(B166="", "", "UBERON:tongue")</f>
        <v>0</v>
      </c>
      <c r="I166" s="1">
        <f>IF(B166="", "", "tongue")</f>
        <v>0</v>
      </c>
      <c r="J166" s="1">
        <f>IF(B166="", "", "human oral metagenome")</f>
        <v>0</v>
      </c>
      <c r="K166" s="1">
        <f>IF(B166="", "", "447426")</f>
        <v>0</v>
      </c>
    </row>
    <row r="167" spans="1:11">
      <c r="A167">
        <f>IF(COUNTBLANK(B167:K167)&lt;&gt;COLUMNS(B167:K167),166,"")</f>
        <v>0</v>
      </c>
      <c r="C167" s="1">
        <f>IF(B167="", "", "animal secretion")</f>
        <v>0</v>
      </c>
      <c r="D167" s="1">
        <f>IF(B167="", "", "saliva")</f>
        <v>0</v>
      </c>
      <c r="E167" s="1">
        <f>IF(B167="", "", "human-oral")</f>
        <v>0</v>
      </c>
      <c r="F167" s="1">
        <f>IF(B167="", "", "UBERON:oral cavity")</f>
        <v>0</v>
      </c>
      <c r="G167" s="1">
        <f>IF(B167="", "", "UBERON:saliva")</f>
        <v>0</v>
      </c>
      <c r="H167" s="1">
        <f>IF(B167="", "", "UBERON:tongue")</f>
        <v>0</v>
      </c>
      <c r="I167" s="1">
        <f>IF(B167="", "", "tongue")</f>
        <v>0</v>
      </c>
      <c r="J167" s="1">
        <f>IF(B167="", "", "human oral metagenome")</f>
        <v>0</v>
      </c>
      <c r="K167" s="1">
        <f>IF(B167="", "", "447426")</f>
        <v>0</v>
      </c>
    </row>
    <row r="168" spans="1:11">
      <c r="A168">
        <f>IF(COUNTBLANK(B168:K168)&lt;&gt;COLUMNS(B168:K168),167,"")</f>
        <v>0</v>
      </c>
      <c r="C168" s="1">
        <f>IF(B168="", "", "animal secretion")</f>
        <v>0</v>
      </c>
      <c r="D168" s="1">
        <f>IF(B168="", "", "saliva")</f>
        <v>0</v>
      </c>
      <c r="E168" s="1">
        <f>IF(B168="", "", "human-oral")</f>
        <v>0</v>
      </c>
      <c r="F168" s="1">
        <f>IF(B168="", "", "UBERON:oral cavity")</f>
        <v>0</v>
      </c>
      <c r="G168" s="1">
        <f>IF(B168="", "", "UBERON:saliva")</f>
        <v>0</v>
      </c>
      <c r="H168" s="1">
        <f>IF(B168="", "", "UBERON:tongue")</f>
        <v>0</v>
      </c>
      <c r="I168" s="1">
        <f>IF(B168="", "", "tongue")</f>
        <v>0</v>
      </c>
      <c r="J168" s="1">
        <f>IF(B168="", "", "human oral metagenome")</f>
        <v>0</v>
      </c>
      <c r="K168" s="1">
        <f>IF(B168="", "", "447426")</f>
        <v>0</v>
      </c>
    </row>
    <row r="169" spans="1:11">
      <c r="A169">
        <f>IF(COUNTBLANK(B169:K169)&lt;&gt;COLUMNS(B169:K169),168,"")</f>
        <v>0</v>
      </c>
      <c r="C169" s="1">
        <f>IF(B169="", "", "animal secretion")</f>
        <v>0</v>
      </c>
      <c r="D169" s="1">
        <f>IF(B169="", "", "saliva")</f>
        <v>0</v>
      </c>
      <c r="E169" s="1">
        <f>IF(B169="", "", "human-oral")</f>
        <v>0</v>
      </c>
      <c r="F169" s="1">
        <f>IF(B169="", "", "UBERON:oral cavity")</f>
        <v>0</v>
      </c>
      <c r="G169" s="1">
        <f>IF(B169="", "", "UBERON:saliva")</f>
        <v>0</v>
      </c>
      <c r="H169" s="1">
        <f>IF(B169="", "", "UBERON:tongue")</f>
        <v>0</v>
      </c>
      <c r="I169" s="1">
        <f>IF(B169="", "", "tongue")</f>
        <v>0</v>
      </c>
      <c r="J169" s="1">
        <f>IF(B169="", "", "human oral metagenome")</f>
        <v>0</v>
      </c>
      <c r="K169" s="1">
        <f>IF(B169="", "", "447426")</f>
        <v>0</v>
      </c>
    </row>
    <row r="170" spans="1:11">
      <c r="A170">
        <f>IF(COUNTBLANK(B170:K170)&lt;&gt;COLUMNS(B170:K170),169,"")</f>
        <v>0</v>
      </c>
      <c r="C170" s="1">
        <f>IF(B170="", "", "animal secretion")</f>
        <v>0</v>
      </c>
      <c r="D170" s="1">
        <f>IF(B170="", "", "saliva")</f>
        <v>0</v>
      </c>
      <c r="E170" s="1">
        <f>IF(B170="", "", "human-oral")</f>
        <v>0</v>
      </c>
      <c r="F170" s="1">
        <f>IF(B170="", "", "UBERON:oral cavity")</f>
        <v>0</v>
      </c>
      <c r="G170" s="1">
        <f>IF(B170="", "", "UBERON:saliva")</f>
        <v>0</v>
      </c>
      <c r="H170" s="1">
        <f>IF(B170="", "", "UBERON:tongue")</f>
        <v>0</v>
      </c>
      <c r="I170" s="1">
        <f>IF(B170="", "", "tongue")</f>
        <v>0</v>
      </c>
      <c r="J170" s="1">
        <f>IF(B170="", "", "human oral metagenome")</f>
        <v>0</v>
      </c>
      <c r="K170" s="1">
        <f>IF(B170="", "", "447426")</f>
        <v>0</v>
      </c>
    </row>
    <row r="171" spans="1:11">
      <c r="A171">
        <f>IF(COUNTBLANK(B171:K171)&lt;&gt;COLUMNS(B171:K171),170,"")</f>
        <v>0</v>
      </c>
      <c r="C171" s="1">
        <f>IF(B171="", "", "animal secretion")</f>
        <v>0</v>
      </c>
      <c r="D171" s="1">
        <f>IF(B171="", "", "saliva")</f>
        <v>0</v>
      </c>
      <c r="E171" s="1">
        <f>IF(B171="", "", "human-oral")</f>
        <v>0</v>
      </c>
      <c r="F171" s="1">
        <f>IF(B171="", "", "UBERON:oral cavity")</f>
        <v>0</v>
      </c>
      <c r="G171" s="1">
        <f>IF(B171="", "", "UBERON:saliva")</f>
        <v>0</v>
      </c>
      <c r="H171" s="1">
        <f>IF(B171="", "", "UBERON:tongue")</f>
        <v>0</v>
      </c>
      <c r="I171" s="1">
        <f>IF(B171="", "", "tongue")</f>
        <v>0</v>
      </c>
      <c r="J171" s="1">
        <f>IF(B171="", "", "human oral metagenome")</f>
        <v>0</v>
      </c>
      <c r="K171" s="1">
        <f>IF(B171="", "", "447426")</f>
        <v>0</v>
      </c>
    </row>
    <row r="172" spans="1:11">
      <c r="A172">
        <f>IF(COUNTBLANK(B172:K172)&lt;&gt;COLUMNS(B172:K172),171,"")</f>
        <v>0</v>
      </c>
      <c r="C172" s="1">
        <f>IF(B172="", "", "animal secretion")</f>
        <v>0</v>
      </c>
      <c r="D172" s="1">
        <f>IF(B172="", "", "saliva")</f>
        <v>0</v>
      </c>
      <c r="E172" s="1">
        <f>IF(B172="", "", "human-oral")</f>
        <v>0</v>
      </c>
      <c r="F172" s="1">
        <f>IF(B172="", "", "UBERON:oral cavity")</f>
        <v>0</v>
      </c>
      <c r="G172" s="1">
        <f>IF(B172="", "", "UBERON:saliva")</f>
        <v>0</v>
      </c>
      <c r="H172" s="1">
        <f>IF(B172="", "", "UBERON:tongue")</f>
        <v>0</v>
      </c>
      <c r="I172" s="1">
        <f>IF(B172="", "", "tongue")</f>
        <v>0</v>
      </c>
      <c r="J172" s="1">
        <f>IF(B172="", "", "human oral metagenome")</f>
        <v>0</v>
      </c>
      <c r="K172" s="1">
        <f>IF(B172="", "", "447426")</f>
        <v>0</v>
      </c>
    </row>
    <row r="173" spans="1:11">
      <c r="A173">
        <f>IF(COUNTBLANK(B173:K173)&lt;&gt;COLUMNS(B173:K173),172,"")</f>
        <v>0</v>
      </c>
      <c r="C173" s="1">
        <f>IF(B173="", "", "animal secretion")</f>
        <v>0</v>
      </c>
      <c r="D173" s="1">
        <f>IF(B173="", "", "saliva")</f>
        <v>0</v>
      </c>
      <c r="E173" s="1">
        <f>IF(B173="", "", "human-oral")</f>
        <v>0</v>
      </c>
      <c r="F173" s="1">
        <f>IF(B173="", "", "UBERON:oral cavity")</f>
        <v>0</v>
      </c>
      <c r="G173" s="1">
        <f>IF(B173="", "", "UBERON:saliva")</f>
        <v>0</v>
      </c>
      <c r="H173" s="1">
        <f>IF(B173="", "", "UBERON:tongue")</f>
        <v>0</v>
      </c>
      <c r="I173" s="1">
        <f>IF(B173="", "", "tongue")</f>
        <v>0</v>
      </c>
      <c r="J173" s="1">
        <f>IF(B173="", "", "human oral metagenome")</f>
        <v>0</v>
      </c>
      <c r="K173" s="1">
        <f>IF(B173="", "", "447426")</f>
        <v>0</v>
      </c>
    </row>
    <row r="174" spans="1:11">
      <c r="A174">
        <f>IF(COUNTBLANK(B174:K174)&lt;&gt;COLUMNS(B174:K174),173,"")</f>
        <v>0</v>
      </c>
      <c r="C174" s="1">
        <f>IF(B174="", "", "animal secretion")</f>
        <v>0</v>
      </c>
      <c r="D174" s="1">
        <f>IF(B174="", "", "saliva")</f>
        <v>0</v>
      </c>
      <c r="E174" s="1">
        <f>IF(B174="", "", "human-oral")</f>
        <v>0</v>
      </c>
      <c r="F174" s="1">
        <f>IF(B174="", "", "UBERON:oral cavity")</f>
        <v>0</v>
      </c>
      <c r="G174" s="1">
        <f>IF(B174="", "", "UBERON:saliva")</f>
        <v>0</v>
      </c>
      <c r="H174" s="1">
        <f>IF(B174="", "", "UBERON:tongue")</f>
        <v>0</v>
      </c>
      <c r="I174" s="1">
        <f>IF(B174="", "", "tongue")</f>
        <v>0</v>
      </c>
      <c r="J174" s="1">
        <f>IF(B174="", "", "human oral metagenome")</f>
        <v>0</v>
      </c>
      <c r="K174" s="1">
        <f>IF(B174="", "", "447426")</f>
        <v>0</v>
      </c>
    </row>
    <row r="175" spans="1:11">
      <c r="A175">
        <f>IF(COUNTBLANK(B175:K175)&lt;&gt;COLUMNS(B175:K175),174,"")</f>
        <v>0</v>
      </c>
      <c r="C175" s="1">
        <f>IF(B175="", "", "animal secretion")</f>
        <v>0</v>
      </c>
      <c r="D175" s="1">
        <f>IF(B175="", "", "saliva")</f>
        <v>0</v>
      </c>
      <c r="E175" s="1">
        <f>IF(B175="", "", "human-oral")</f>
        <v>0</v>
      </c>
      <c r="F175" s="1">
        <f>IF(B175="", "", "UBERON:oral cavity")</f>
        <v>0</v>
      </c>
      <c r="G175" s="1">
        <f>IF(B175="", "", "UBERON:saliva")</f>
        <v>0</v>
      </c>
      <c r="H175" s="1">
        <f>IF(B175="", "", "UBERON:tongue")</f>
        <v>0</v>
      </c>
      <c r="I175" s="1">
        <f>IF(B175="", "", "tongue")</f>
        <v>0</v>
      </c>
      <c r="J175" s="1">
        <f>IF(B175="", "", "human oral metagenome")</f>
        <v>0</v>
      </c>
      <c r="K175" s="1">
        <f>IF(B175="", "", "447426")</f>
        <v>0</v>
      </c>
    </row>
    <row r="176" spans="1:11">
      <c r="A176">
        <f>IF(COUNTBLANK(B176:K176)&lt;&gt;COLUMNS(B176:K176),175,"")</f>
        <v>0</v>
      </c>
      <c r="C176" s="1">
        <f>IF(B176="", "", "animal secretion")</f>
        <v>0</v>
      </c>
      <c r="D176" s="1">
        <f>IF(B176="", "", "saliva")</f>
        <v>0</v>
      </c>
      <c r="E176" s="1">
        <f>IF(B176="", "", "human-oral")</f>
        <v>0</v>
      </c>
      <c r="F176" s="1">
        <f>IF(B176="", "", "UBERON:oral cavity")</f>
        <v>0</v>
      </c>
      <c r="G176" s="1">
        <f>IF(B176="", "", "UBERON:saliva")</f>
        <v>0</v>
      </c>
      <c r="H176" s="1">
        <f>IF(B176="", "", "UBERON:tongue")</f>
        <v>0</v>
      </c>
      <c r="I176" s="1">
        <f>IF(B176="", "", "tongue")</f>
        <v>0</v>
      </c>
      <c r="J176" s="1">
        <f>IF(B176="", "", "human oral metagenome")</f>
        <v>0</v>
      </c>
      <c r="K176" s="1">
        <f>IF(B176="", "", "447426")</f>
        <v>0</v>
      </c>
    </row>
    <row r="177" spans="1:11">
      <c r="A177">
        <f>IF(COUNTBLANK(B177:K177)&lt;&gt;COLUMNS(B177:K177),176,"")</f>
        <v>0</v>
      </c>
      <c r="C177" s="1">
        <f>IF(B177="", "", "animal secretion")</f>
        <v>0</v>
      </c>
      <c r="D177" s="1">
        <f>IF(B177="", "", "saliva")</f>
        <v>0</v>
      </c>
      <c r="E177" s="1">
        <f>IF(B177="", "", "human-oral")</f>
        <v>0</v>
      </c>
      <c r="F177" s="1">
        <f>IF(B177="", "", "UBERON:oral cavity")</f>
        <v>0</v>
      </c>
      <c r="G177" s="1">
        <f>IF(B177="", "", "UBERON:saliva")</f>
        <v>0</v>
      </c>
      <c r="H177" s="1">
        <f>IF(B177="", "", "UBERON:tongue")</f>
        <v>0</v>
      </c>
      <c r="I177" s="1">
        <f>IF(B177="", "", "tongue")</f>
        <v>0</v>
      </c>
      <c r="J177" s="1">
        <f>IF(B177="", "", "human oral metagenome")</f>
        <v>0</v>
      </c>
      <c r="K177" s="1">
        <f>IF(B177="", "", "447426")</f>
        <v>0</v>
      </c>
    </row>
    <row r="178" spans="1:11">
      <c r="A178">
        <f>IF(COUNTBLANK(B178:K178)&lt;&gt;COLUMNS(B178:K178),177,"")</f>
        <v>0</v>
      </c>
      <c r="C178" s="1">
        <f>IF(B178="", "", "animal secretion")</f>
        <v>0</v>
      </c>
      <c r="D178" s="1">
        <f>IF(B178="", "", "saliva")</f>
        <v>0</v>
      </c>
      <c r="E178" s="1">
        <f>IF(B178="", "", "human-oral")</f>
        <v>0</v>
      </c>
      <c r="F178" s="1">
        <f>IF(B178="", "", "UBERON:oral cavity")</f>
        <v>0</v>
      </c>
      <c r="G178" s="1">
        <f>IF(B178="", "", "UBERON:saliva")</f>
        <v>0</v>
      </c>
      <c r="H178" s="1">
        <f>IF(B178="", "", "UBERON:tongue")</f>
        <v>0</v>
      </c>
      <c r="I178" s="1">
        <f>IF(B178="", "", "tongue")</f>
        <v>0</v>
      </c>
      <c r="J178" s="1">
        <f>IF(B178="", "", "human oral metagenome")</f>
        <v>0</v>
      </c>
      <c r="K178" s="1">
        <f>IF(B178="", "", "447426")</f>
        <v>0</v>
      </c>
    </row>
    <row r="179" spans="1:11">
      <c r="A179">
        <f>IF(COUNTBLANK(B179:K179)&lt;&gt;COLUMNS(B179:K179),178,"")</f>
        <v>0</v>
      </c>
      <c r="C179" s="1">
        <f>IF(B179="", "", "animal secretion")</f>
        <v>0</v>
      </c>
      <c r="D179" s="1">
        <f>IF(B179="", "", "saliva")</f>
        <v>0</v>
      </c>
      <c r="E179" s="1">
        <f>IF(B179="", "", "human-oral")</f>
        <v>0</v>
      </c>
      <c r="F179" s="1">
        <f>IF(B179="", "", "UBERON:oral cavity")</f>
        <v>0</v>
      </c>
      <c r="G179" s="1">
        <f>IF(B179="", "", "UBERON:saliva")</f>
        <v>0</v>
      </c>
      <c r="H179" s="1">
        <f>IF(B179="", "", "UBERON:tongue")</f>
        <v>0</v>
      </c>
      <c r="I179" s="1">
        <f>IF(B179="", "", "tongue")</f>
        <v>0</v>
      </c>
      <c r="J179" s="1">
        <f>IF(B179="", "", "human oral metagenome")</f>
        <v>0</v>
      </c>
      <c r="K179" s="1">
        <f>IF(B179="", "", "447426")</f>
        <v>0</v>
      </c>
    </row>
    <row r="180" spans="1:11">
      <c r="A180">
        <f>IF(COUNTBLANK(B180:K180)&lt;&gt;COLUMNS(B180:K180),179,"")</f>
        <v>0</v>
      </c>
      <c r="C180" s="1">
        <f>IF(B180="", "", "animal secretion")</f>
        <v>0</v>
      </c>
      <c r="D180" s="1">
        <f>IF(B180="", "", "saliva")</f>
        <v>0</v>
      </c>
      <c r="E180" s="1">
        <f>IF(B180="", "", "human-oral")</f>
        <v>0</v>
      </c>
      <c r="F180" s="1">
        <f>IF(B180="", "", "UBERON:oral cavity")</f>
        <v>0</v>
      </c>
      <c r="G180" s="1">
        <f>IF(B180="", "", "UBERON:saliva")</f>
        <v>0</v>
      </c>
      <c r="H180" s="1">
        <f>IF(B180="", "", "UBERON:tongue")</f>
        <v>0</v>
      </c>
      <c r="I180" s="1">
        <f>IF(B180="", "", "tongue")</f>
        <v>0</v>
      </c>
      <c r="J180" s="1">
        <f>IF(B180="", "", "human oral metagenome")</f>
        <v>0</v>
      </c>
      <c r="K180" s="1">
        <f>IF(B180="", "", "447426")</f>
        <v>0</v>
      </c>
    </row>
    <row r="181" spans="1:11">
      <c r="A181">
        <f>IF(COUNTBLANK(B181:K181)&lt;&gt;COLUMNS(B181:K181),180,"")</f>
        <v>0</v>
      </c>
      <c r="C181" s="1">
        <f>IF(B181="", "", "animal secretion")</f>
        <v>0</v>
      </c>
      <c r="D181" s="1">
        <f>IF(B181="", "", "saliva")</f>
        <v>0</v>
      </c>
      <c r="E181" s="1">
        <f>IF(B181="", "", "human-oral")</f>
        <v>0</v>
      </c>
      <c r="F181" s="1">
        <f>IF(B181="", "", "UBERON:oral cavity")</f>
        <v>0</v>
      </c>
      <c r="G181" s="1">
        <f>IF(B181="", "", "UBERON:saliva")</f>
        <v>0</v>
      </c>
      <c r="H181" s="1">
        <f>IF(B181="", "", "UBERON:tongue")</f>
        <v>0</v>
      </c>
      <c r="I181" s="1">
        <f>IF(B181="", "", "tongue")</f>
        <v>0</v>
      </c>
      <c r="J181" s="1">
        <f>IF(B181="", "", "human oral metagenome")</f>
        <v>0</v>
      </c>
      <c r="K181" s="1">
        <f>IF(B181="", "", "447426")</f>
        <v>0</v>
      </c>
    </row>
    <row r="182" spans="1:11">
      <c r="A182">
        <f>IF(COUNTBLANK(B182:K182)&lt;&gt;COLUMNS(B182:K182),181,"")</f>
        <v>0</v>
      </c>
      <c r="C182" s="1">
        <f>IF(B182="", "", "animal secretion")</f>
        <v>0</v>
      </c>
      <c r="D182" s="1">
        <f>IF(B182="", "", "saliva")</f>
        <v>0</v>
      </c>
      <c r="E182" s="1">
        <f>IF(B182="", "", "human-oral")</f>
        <v>0</v>
      </c>
      <c r="F182" s="1">
        <f>IF(B182="", "", "UBERON:oral cavity")</f>
        <v>0</v>
      </c>
      <c r="G182" s="1">
        <f>IF(B182="", "", "UBERON:saliva")</f>
        <v>0</v>
      </c>
      <c r="H182" s="1">
        <f>IF(B182="", "", "UBERON:tongue")</f>
        <v>0</v>
      </c>
      <c r="I182" s="1">
        <f>IF(B182="", "", "tongue")</f>
        <v>0</v>
      </c>
      <c r="J182" s="1">
        <f>IF(B182="", "", "human oral metagenome")</f>
        <v>0</v>
      </c>
      <c r="K182" s="1">
        <f>IF(B182="", "", "447426")</f>
        <v>0</v>
      </c>
    </row>
    <row r="183" spans="1:11">
      <c r="A183">
        <f>IF(COUNTBLANK(B183:K183)&lt;&gt;COLUMNS(B183:K183),182,"")</f>
        <v>0</v>
      </c>
      <c r="C183" s="1">
        <f>IF(B183="", "", "animal secretion")</f>
        <v>0</v>
      </c>
      <c r="D183" s="1">
        <f>IF(B183="", "", "saliva")</f>
        <v>0</v>
      </c>
      <c r="E183" s="1">
        <f>IF(B183="", "", "human-oral")</f>
        <v>0</v>
      </c>
      <c r="F183" s="1">
        <f>IF(B183="", "", "UBERON:oral cavity")</f>
        <v>0</v>
      </c>
      <c r="G183" s="1">
        <f>IF(B183="", "", "UBERON:saliva")</f>
        <v>0</v>
      </c>
      <c r="H183" s="1">
        <f>IF(B183="", "", "UBERON:tongue")</f>
        <v>0</v>
      </c>
      <c r="I183" s="1">
        <f>IF(B183="", "", "tongue")</f>
        <v>0</v>
      </c>
      <c r="J183" s="1">
        <f>IF(B183="", "", "human oral metagenome")</f>
        <v>0</v>
      </c>
      <c r="K183" s="1">
        <f>IF(B183="", "", "447426")</f>
        <v>0</v>
      </c>
    </row>
    <row r="184" spans="1:11">
      <c r="A184">
        <f>IF(COUNTBLANK(B184:K184)&lt;&gt;COLUMNS(B184:K184),183,"")</f>
        <v>0</v>
      </c>
      <c r="C184" s="1">
        <f>IF(B184="", "", "animal secretion")</f>
        <v>0</v>
      </c>
      <c r="D184" s="1">
        <f>IF(B184="", "", "saliva")</f>
        <v>0</v>
      </c>
      <c r="E184" s="1">
        <f>IF(B184="", "", "human-oral")</f>
        <v>0</v>
      </c>
      <c r="F184" s="1">
        <f>IF(B184="", "", "UBERON:oral cavity")</f>
        <v>0</v>
      </c>
      <c r="G184" s="1">
        <f>IF(B184="", "", "UBERON:saliva")</f>
        <v>0</v>
      </c>
      <c r="H184" s="1">
        <f>IF(B184="", "", "UBERON:tongue")</f>
        <v>0</v>
      </c>
      <c r="I184" s="1">
        <f>IF(B184="", "", "tongue")</f>
        <v>0</v>
      </c>
      <c r="J184" s="1">
        <f>IF(B184="", "", "human oral metagenome")</f>
        <v>0</v>
      </c>
      <c r="K184" s="1">
        <f>IF(B184="", "", "447426")</f>
        <v>0</v>
      </c>
    </row>
    <row r="185" spans="1:11">
      <c r="A185">
        <f>IF(COUNTBLANK(B185:K185)&lt;&gt;COLUMNS(B185:K185),184,"")</f>
        <v>0</v>
      </c>
      <c r="C185" s="1">
        <f>IF(B185="", "", "animal secretion")</f>
        <v>0</v>
      </c>
      <c r="D185" s="1">
        <f>IF(B185="", "", "saliva")</f>
        <v>0</v>
      </c>
      <c r="E185" s="1">
        <f>IF(B185="", "", "human-oral")</f>
        <v>0</v>
      </c>
      <c r="F185" s="1">
        <f>IF(B185="", "", "UBERON:oral cavity")</f>
        <v>0</v>
      </c>
      <c r="G185" s="1">
        <f>IF(B185="", "", "UBERON:saliva")</f>
        <v>0</v>
      </c>
      <c r="H185" s="1">
        <f>IF(B185="", "", "UBERON:tongue")</f>
        <v>0</v>
      </c>
      <c r="I185" s="1">
        <f>IF(B185="", "", "tongue")</f>
        <v>0</v>
      </c>
      <c r="J185" s="1">
        <f>IF(B185="", "", "human oral metagenome")</f>
        <v>0</v>
      </c>
      <c r="K185" s="1">
        <f>IF(B185="", "", "447426")</f>
        <v>0</v>
      </c>
    </row>
    <row r="186" spans="1:11">
      <c r="A186">
        <f>IF(COUNTBLANK(B186:K186)&lt;&gt;COLUMNS(B186:K186),185,"")</f>
        <v>0</v>
      </c>
      <c r="C186" s="1">
        <f>IF(B186="", "", "animal secretion")</f>
        <v>0</v>
      </c>
      <c r="D186" s="1">
        <f>IF(B186="", "", "saliva")</f>
        <v>0</v>
      </c>
      <c r="E186" s="1">
        <f>IF(B186="", "", "human-oral")</f>
        <v>0</v>
      </c>
      <c r="F186" s="1">
        <f>IF(B186="", "", "UBERON:oral cavity")</f>
        <v>0</v>
      </c>
      <c r="G186" s="1">
        <f>IF(B186="", "", "UBERON:saliva")</f>
        <v>0</v>
      </c>
      <c r="H186" s="1">
        <f>IF(B186="", "", "UBERON:tongue")</f>
        <v>0</v>
      </c>
      <c r="I186" s="1">
        <f>IF(B186="", "", "tongue")</f>
        <v>0</v>
      </c>
      <c r="J186" s="1">
        <f>IF(B186="", "", "human oral metagenome")</f>
        <v>0</v>
      </c>
      <c r="K186" s="1">
        <f>IF(B186="", "", "447426")</f>
        <v>0</v>
      </c>
    </row>
    <row r="187" spans="1:11">
      <c r="A187">
        <f>IF(COUNTBLANK(B187:K187)&lt;&gt;COLUMNS(B187:K187),186,"")</f>
        <v>0</v>
      </c>
      <c r="C187" s="1">
        <f>IF(B187="", "", "animal secretion")</f>
        <v>0</v>
      </c>
      <c r="D187" s="1">
        <f>IF(B187="", "", "saliva")</f>
        <v>0</v>
      </c>
      <c r="E187" s="1">
        <f>IF(B187="", "", "human-oral")</f>
        <v>0</v>
      </c>
      <c r="F187" s="1">
        <f>IF(B187="", "", "UBERON:oral cavity")</f>
        <v>0</v>
      </c>
      <c r="G187" s="1">
        <f>IF(B187="", "", "UBERON:saliva")</f>
        <v>0</v>
      </c>
      <c r="H187" s="1">
        <f>IF(B187="", "", "UBERON:tongue")</f>
        <v>0</v>
      </c>
      <c r="I187" s="1">
        <f>IF(B187="", "", "tongue")</f>
        <v>0</v>
      </c>
      <c r="J187" s="1">
        <f>IF(B187="", "", "human oral metagenome")</f>
        <v>0</v>
      </c>
      <c r="K187" s="1">
        <f>IF(B187="", "", "447426")</f>
        <v>0</v>
      </c>
    </row>
    <row r="188" spans="1:11">
      <c r="A188">
        <f>IF(COUNTBLANK(B188:K188)&lt;&gt;COLUMNS(B188:K188),187,"")</f>
        <v>0</v>
      </c>
      <c r="C188" s="1">
        <f>IF(B188="", "", "animal secretion")</f>
        <v>0</v>
      </c>
      <c r="D188" s="1">
        <f>IF(B188="", "", "saliva")</f>
        <v>0</v>
      </c>
      <c r="E188" s="1">
        <f>IF(B188="", "", "human-oral")</f>
        <v>0</v>
      </c>
      <c r="F188" s="1">
        <f>IF(B188="", "", "UBERON:oral cavity")</f>
        <v>0</v>
      </c>
      <c r="G188" s="1">
        <f>IF(B188="", "", "UBERON:saliva")</f>
        <v>0</v>
      </c>
      <c r="H188" s="1">
        <f>IF(B188="", "", "UBERON:tongue")</f>
        <v>0</v>
      </c>
      <c r="I188" s="1">
        <f>IF(B188="", "", "tongue")</f>
        <v>0</v>
      </c>
      <c r="J188" s="1">
        <f>IF(B188="", "", "human oral metagenome")</f>
        <v>0</v>
      </c>
      <c r="K188" s="1">
        <f>IF(B188="", "", "447426")</f>
        <v>0</v>
      </c>
    </row>
    <row r="189" spans="1:11">
      <c r="A189">
        <f>IF(COUNTBLANK(B189:K189)&lt;&gt;COLUMNS(B189:K189),188,"")</f>
        <v>0</v>
      </c>
      <c r="C189" s="1">
        <f>IF(B189="", "", "animal secretion")</f>
        <v>0</v>
      </c>
      <c r="D189" s="1">
        <f>IF(B189="", "", "saliva")</f>
        <v>0</v>
      </c>
      <c r="E189" s="1">
        <f>IF(B189="", "", "human-oral")</f>
        <v>0</v>
      </c>
      <c r="F189" s="1">
        <f>IF(B189="", "", "UBERON:oral cavity")</f>
        <v>0</v>
      </c>
      <c r="G189" s="1">
        <f>IF(B189="", "", "UBERON:saliva")</f>
        <v>0</v>
      </c>
      <c r="H189" s="1">
        <f>IF(B189="", "", "UBERON:tongue")</f>
        <v>0</v>
      </c>
      <c r="I189" s="1">
        <f>IF(B189="", "", "tongue")</f>
        <v>0</v>
      </c>
      <c r="J189" s="1">
        <f>IF(B189="", "", "human oral metagenome")</f>
        <v>0</v>
      </c>
      <c r="K189" s="1">
        <f>IF(B189="", "", "447426")</f>
        <v>0</v>
      </c>
    </row>
    <row r="190" spans="1:11">
      <c r="A190">
        <f>IF(COUNTBLANK(B190:K190)&lt;&gt;COLUMNS(B190:K190),189,"")</f>
        <v>0</v>
      </c>
      <c r="C190" s="1">
        <f>IF(B190="", "", "animal secretion")</f>
        <v>0</v>
      </c>
      <c r="D190" s="1">
        <f>IF(B190="", "", "saliva")</f>
        <v>0</v>
      </c>
      <c r="E190" s="1">
        <f>IF(B190="", "", "human-oral")</f>
        <v>0</v>
      </c>
      <c r="F190" s="1">
        <f>IF(B190="", "", "UBERON:oral cavity")</f>
        <v>0</v>
      </c>
      <c r="G190" s="1">
        <f>IF(B190="", "", "UBERON:saliva")</f>
        <v>0</v>
      </c>
      <c r="H190" s="1">
        <f>IF(B190="", "", "UBERON:tongue")</f>
        <v>0</v>
      </c>
      <c r="I190" s="1">
        <f>IF(B190="", "", "tongue")</f>
        <v>0</v>
      </c>
      <c r="J190" s="1">
        <f>IF(B190="", "", "human oral metagenome")</f>
        <v>0</v>
      </c>
      <c r="K190" s="1">
        <f>IF(B190="", "", "447426")</f>
        <v>0</v>
      </c>
    </row>
    <row r="191" spans="1:11">
      <c r="A191">
        <f>IF(COUNTBLANK(B191:K191)&lt;&gt;COLUMNS(B191:K191),190,"")</f>
        <v>0</v>
      </c>
      <c r="C191" s="1">
        <f>IF(B191="", "", "animal secretion")</f>
        <v>0</v>
      </c>
      <c r="D191" s="1">
        <f>IF(B191="", "", "saliva")</f>
        <v>0</v>
      </c>
      <c r="E191" s="1">
        <f>IF(B191="", "", "human-oral")</f>
        <v>0</v>
      </c>
      <c r="F191" s="1">
        <f>IF(B191="", "", "UBERON:oral cavity")</f>
        <v>0</v>
      </c>
      <c r="G191" s="1">
        <f>IF(B191="", "", "UBERON:saliva")</f>
        <v>0</v>
      </c>
      <c r="H191" s="1">
        <f>IF(B191="", "", "UBERON:tongue")</f>
        <v>0</v>
      </c>
      <c r="I191" s="1">
        <f>IF(B191="", "", "tongue")</f>
        <v>0</v>
      </c>
      <c r="J191" s="1">
        <f>IF(B191="", "", "human oral metagenome")</f>
        <v>0</v>
      </c>
      <c r="K191" s="1">
        <f>IF(B191="", "", "447426")</f>
        <v>0</v>
      </c>
    </row>
    <row r="192" spans="1:11">
      <c r="A192">
        <f>IF(COUNTBLANK(B192:K192)&lt;&gt;COLUMNS(B192:K192),191,"")</f>
        <v>0</v>
      </c>
      <c r="C192" s="1">
        <f>IF(B192="", "", "animal secretion")</f>
        <v>0</v>
      </c>
      <c r="D192" s="1">
        <f>IF(B192="", "", "saliva")</f>
        <v>0</v>
      </c>
      <c r="E192" s="1">
        <f>IF(B192="", "", "human-oral")</f>
        <v>0</v>
      </c>
      <c r="F192" s="1">
        <f>IF(B192="", "", "UBERON:oral cavity")</f>
        <v>0</v>
      </c>
      <c r="G192" s="1">
        <f>IF(B192="", "", "UBERON:saliva")</f>
        <v>0</v>
      </c>
      <c r="H192" s="1">
        <f>IF(B192="", "", "UBERON:tongue")</f>
        <v>0</v>
      </c>
      <c r="I192" s="1">
        <f>IF(B192="", "", "tongue")</f>
        <v>0</v>
      </c>
      <c r="J192" s="1">
        <f>IF(B192="", "", "human oral metagenome")</f>
        <v>0</v>
      </c>
      <c r="K192" s="1">
        <f>IF(B192="", "", "447426")</f>
        <v>0</v>
      </c>
    </row>
    <row r="193" spans="1:11">
      <c r="A193">
        <f>IF(COUNTBLANK(B193:K193)&lt;&gt;COLUMNS(B193:K193),192,"")</f>
        <v>0</v>
      </c>
      <c r="C193" s="1">
        <f>IF(B193="", "", "animal secretion")</f>
        <v>0</v>
      </c>
      <c r="D193" s="1">
        <f>IF(B193="", "", "saliva")</f>
        <v>0</v>
      </c>
      <c r="E193" s="1">
        <f>IF(B193="", "", "human-oral")</f>
        <v>0</v>
      </c>
      <c r="F193" s="1">
        <f>IF(B193="", "", "UBERON:oral cavity")</f>
        <v>0</v>
      </c>
      <c r="G193" s="1">
        <f>IF(B193="", "", "UBERON:saliva")</f>
        <v>0</v>
      </c>
      <c r="H193" s="1">
        <f>IF(B193="", "", "UBERON:tongue")</f>
        <v>0</v>
      </c>
      <c r="I193" s="1">
        <f>IF(B193="", "", "tongue")</f>
        <v>0</v>
      </c>
      <c r="J193" s="1">
        <f>IF(B193="", "", "human oral metagenome")</f>
        <v>0</v>
      </c>
      <c r="K193" s="1">
        <f>IF(B193="", "", "447426")</f>
        <v>0</v>
      </c>
    </row>
    <row r="194" spans="1:11">
      <c r="A194">
        <f>IF(COUNTBLANK(B194:K194)&lt;&gt;COLUMNS(B194:K194),193,"")</f>
        <v>0</v>
      </c>
      <c r="C194" s="1">
        <f>IF(B194="", "", "animal secretion")</f>
        <v>0</v>
      </c>
      <c r="D194" s="1">
        <f>IF(B194="", "", "saliva")</f>
        <v>0</v>
      </c>
      <c r="E194" s="1">
        <f>IF(B194="", "", "human-oral")</f>
        <v>0</v>
      </c>
      <c r="F194" s="1">
        <f>IF(B194="", "", "UBERON:oral cavity")</f>
        <v>0</v>
      </c>
      <c r="G194" s="1">
        <f>IF(B194="", "", "UBERON:saliva")</f>
        <v>0</v>
      </c>
      <c r="H194" s="1">
        <f>IF(B194="", "", "UBERON:tongue")</f>
        <v>0</v>
      </c>
      <c r="I194" s="1">
        <f>IF(B194="", "", "tongue")</f>
        <v>0</v>
      </c>
      <c r="J194" s="1">
        <f>IF(B194="", "", "human oral metagenome")</f>
        <v>0</v>
      </c>
      <c r="K194" s="1">
        <f>IF(B194="", "", "447426")</f>
        <v>0</v>
      </c>
    </row>
    <row r="195" spans="1:11">
      <c r="A195">
        <f>IF(COUNTBLANK(B195:K195)&lt;&gt;COLUMNS(B195:K195),194,"")</f>
        <v>0</v>
      </c>
      <c r="C195" s="1">
        <f>IF(B195="", "", "animal secretion")</f>
        <v>0</v>
      </c>
      <c r="D195" s="1">
        <f>IF(B195="", "", "saliva")</f>
        <v>0</v>
      </c>
      <c r="E195" s="1">
        <f>IF(B195="", "", "human-oral")</f>
        <v>0</v>
      </c>
      <c r="F195" s="1">
        <f>IF(B195="", "", "UBERON:oral cavity")</f>
        <v>0</v>
      </c>
      <c r="G195" s="1">
        <f>IF(B195="", "", "UBERON:saliva")</f>
        <v>0</v>
      </c>
      <c r="H195" s="1">
        <f>IF(B195="", "", "UBERON:tongue")</f>
        <v>0</v>
      </c>
      <c r="I195" s="1">
        <f>IF(B195="", "", "tongue")</f>
        <v>0</v>
      </c>
      <c r="J195" s="1">
        <f>IF(B195="", "", "human oral metagenome")</f>
        <v>0</v>
      </c>
      <c r="K195" s="1">
        <f>IF(B195="", "", "447426")</f>
        <v>0</v>
      </c>
    </row>
    <row r="196" spans="1:11">
      <c r="A196">
        <f>IF(COUNTBLANK(B196:K196)&lt;&gt;COLUMNS(B196:K196),195,"")</f>
        <v>0</v>
      </c>
      <c r="C196" s="1">
        <f>IF(B196="", "", "animal secretion")</f>
        <v>0</v>
      </c>
      <c r="D196" s="1">
        <f>IF(B196="", "", "saliva")</f>
        <v>0</v>
      </c>
      <c r="E196" s="1">
        <f>IF(B196="", "", "human-oral")</f>
        <v>0</v>
      </c>
      <c r="F196" s="1">
        <f>IF(B196="", "", "UBERON:oral cavity")</f>
        <v>0</v>
      </c>
      <c r="G196" s="1">
        <f>IF(B196="", "", "UBERON:saliva")</f>
        <v>0</v>
      </c>
      <c r="H196" s="1">
        <f>IF(B196="", "", "UBERON:tongue")</f>
        <v>0</v>
      </c>
      <c r="I196" s="1">
        <f>IF(B196="", "", "tongue")</f>
        <v>0</v>
      </c>
      <c r="J196" s="1">
        <f>IF(B196="", "", "human oral metagenome")</f>
        <v>0</v>
      </c>
      <c r="K196" s="1">
        <f>IF(B196="", "", "447426")</f>
        <v>0</v>
      </c>
    </row>
    <row r="197" spans="1:11">
      <c r="A197">
        <f>IF(COUNTBLANK(B197:K197)&lt;&gt;COLUMNS(B197:K197),196,"")</f>
        <v>0</v>
      </c>
      <c r="C197" s="1">
        <f>IF(B197="", "", "animal secretion")</f>
        <v>0</v>
      </c>
      <c r="D197" s="1">
        <f>IF(B197="", "", "saliva")</f>
        <v>0</v>
      </c>
      <c r="E197" s="1">
        <f>IF(B197="", "", "human-oral")</f>
        <v>0</v>
      </c>
      <c r="F197" s="1">
        <f>IF(B197="", "", "UBERON:oral cavity")</f>
        <v>0</v>
      </c>
      <c r="G197" s="1">
        <f>IF(B197="", "", "UBERON:saliva")</f>
        <v>0</v>
      </c>
      <c r="H197" s="1">
        <f>IF(B197="", "", "UBERON:tongue")</f>
        <v>0</v>
      </c>
      <c r="I197" s="1">
        <f>IF(B197="", "", "tongue")</f>
        <v>0</v>
      </c>
      <c r="J197" s="1">
        <f>IF(B197="", "", "human oral metagenome")</f>
        <v>0</v>
      </c>
      <c r="K197" s="1">
        <f>IF(B197="", "", "447426")</f>
        <v>0</v>
      </c>
    </row>
    <row r="198" spans="1:11">
      <c r="A198">
        <f>IF(COUNTBLANK(B198:K198)&lt;&gt;COLUMNS(B198:K198),197,"")</f>
        <v>0</v>
      </c>
      <c r="C198" s="1">
        <f>IF(B198="", "", "animal secretion")</f>
        <v>0</v>
      </c>
      <c r="D198" s="1">
        <f>IF(B198="", "", "saliva")</f>
        <v>0</v>
      </c>
      <c r="E198" s="1">
        <f>IF(B198="", "", "human-oral")</f>
        <v>0</v>
      </c>
      <c r="F198" s="1">
        <f>IF(B198="", "", "UBERON:oral cavity")</f>
        <v>0</v>
      </c>
      <c r="G198" s="1">
        <f>IF(B198="", "", "UBERON:saliva")</f>
        <v>0</v>
      </c>
      <c r="H198" s="1">
        <f>IF(B198="", "", "UBERON:tongue")</f>
        <v>0</v>
      </c>
      <c r="I198" s="1">
        <f>IF(B198="", "", "tongue")</f>
        <v>0</v>
      </c>
      <c r="J198" s="1">
        <f>IF(B198="", "", "human oral metagenome")</f>
        <v>0</v>
      </c>
      <c r="K198" s="1">
        <f>IF(B198="", "", "447426")</f>
        <v>0</v>
      </c>
    </row>
    <row r="199" spans="1:11">
      <c r="A199">
        <f>IF(COUNTBLANK(B199:K199)&lt;&gt;COLUMNS(B199:K199),198,"")</f>
        <v>0</v>
      </c>
      <c r="C199" s="1">
        <f>IF(B199="", "", "animal secretion")</f>
        <v>0</v>
      </c>
      <c r="D199" s="1">
        <f>IF(B199="", "", "saliva")</f>
        <v>0</v>
      </c>
      <c r="E199" s="1">
        <f>IF(B199="", "", "human-oral")</f>
        <v>0</v>
      </c>
      <c r="F199" s="1">
        <f>IF(B199="", "", "UBERON:oral cavity")</f>
        <v>0</v>
      </c>
      <c r="G199" s="1">
        <f>IF(B199="", "", "UBERON:saliva")</f>
        <v>0</v>
      </c>
      <c r="H199" s="1">
        <f>IF(B199="", "", "UBERON:tongue")</f>
        <v>0</v>
      </c>
      <c r="I199" s="1">
        <f>IF(B199="", "", "tongue")</f>
        <v>0</v>
      </c>
      <c r="J199" s="1">
        <f>IF(B199="", "", "human oral metagenome")</f>
        <v>0</v>
      </c>
      <c r="K199" s="1">
        <f>IF(B199="", "", "447426")</f>
        <v>0</v>
      </c>
    </row>
    <row r="200" spans="1:11">
      <c r="A200">
        <f>IF(COUNTBLANK(B200:K200)&lt;&gt;COLUMNS(B200:K200),199,"")</f>
        <v>0</v>
      </c>
      <c r="C200" s="1">
        <f>IF(B200="", "", "animal secretion")</f>
        <v>0</v>
      </c>
      <c r="D200" s="1">
        <f>IF(B200="", "", "saliva")</f>
        <v>0</v>
      </c>
      <c r="E200" s="1">
        <f>IF(B200="", "", "human-oral")</f>
        <v>0</v>
      </c>
      <c r="F200" s="1">
        <f>IF(B200="", "", "UBERON:oral cavity")</f>
        <v>0</v>
      </c>
      <c r="G200" s="1">
        <f>IF(B200="", "", "UBERON:saliva")</f>
        <v>0</v>
      </c>
      <c r="H200" s="1">
        <f>IF(B200="", "", "UBERON:tongue")</f>
        <v>0</v>
      </c>
      <c r="I200" s="1">
        <f>IF(B200="", "", "tongue")</f>
        <v>0</v>
      </c>
      <c r="J200" s="1">
        <f>IF(B200="", "", "human oral metagenome")</f>
        <v>0</v>
      </c>
      <c r="K200" s="1">
        <f>IF(B200="", "", "447426")</f>
        <v>0</v>
      </c>
    </row>
    <row r="201" spans="1:11">
      <c r="A201">
        <f>IF(COUNTBLANK(B201:K201)&lt;&gt;COLUMNS(B201:K201),200,"")</f>
        <v>0</v>
      </c>
      <c r="C201" s="1">
        <f>IF(B201="", "", "animal secretion")</f>
        <v>0</v>
      </c>
      <c r="D201" s="1">
        <f>IF(B201="", "", "saliva")</f>
        <v>0</v>
      </c>
      <c r="E201" s="1">
        <f>IF(B201="", "", "human-oral")</f>
        <v>0</v>
      </c>
      <c r="F201" s="1">
        <f>IF(B201="", "", "UBERON:oral cavity")</f>
        <v>0</v>
      </c>
      <c r="G201" s="1">
        <f>IF(B201="", "", "UBERON:saliva")</f>
        <v>0</v>
      </c>
      <c r="H201" s="1">
        <f>IF(B201="", "", "UBERON:tongue")</f>
        <v>0</v>
      </c>
      <c r="I201" s="1">
        <f>IF(B201="", "", "tongue")</f>
        <v>0</v>
      </c>
      <c r="J201" s="1">
        <f>IF(B201="", "", "human oral metagenome")</f>
        <v>0</v>
      </c>
      <c r="K201" s="1">
        <f>IF(B201="", "", "447426")</f>
        <v>0</v>
      </c>
    </row>
    <row r="202" spans="1:11">
      <c r="A202">
        <f>IF(COUNTBLANK(B202:K202)&lt;&gt;COLUMNS(B202:K202),201,"")</f>
        <v>0</v>
      </c>
      <c r="C202" s="1">
        <f>IF(B202="", "", "animal secretion")</f>
        <v>0</v>
      </c>
      <c r="D202" s="1">
        <f>IF(B202="", "", "saliva")</f>
        <v>0</v>
      </c>
      <c r="E202" s="1">
        <f>IF(B202="", "", "human-oral")</f>
        <v>0</v>
      </c>
      <c r="F202" s="1">
        <f>IF(B202="", "", "UBERON:oral cavity")</f>
        <v>0</v>
      </c>
      <c r="G202" s="1">
        <f>IF(B202="", "", "UBERON:saliva")</f>
        <v>0</v>
      </c>
      <c r="H202" s="1">
        <f>IF(B202="", "", "UBERON:tongue")</f>
        <v>0</v>
      </c>
      <c r="I202" s="1">
        <f>IF(B202="", "", "tongue")</f>
        <v>0</v>
      </c>
      <c r="J202" s="1">
        <f>IF(B202="", "", "human oral metagenome")</f>
        <v>0</v>
      </c>
      <c r="K202" s="1">
        <f>IF(B202="", "", "447426")</f>
        <v>0</v>
      </c>
    </row>
    <row r="203" spans="1:11">
      <c r="A203">
        <f>IF(COUNTBLANK(B203:K203)&lt;&gt;COLUMNS(B203:K203),202,"")</f>
        <v>0</v>
      </c>
      <c r="C203" s="1">
        <f>IF(B203="", "", "animal secretion")</f>
        <v>0</v>
      </c>
      <c r="D203" s="1">
        <f>IF(B203="", "", "saliva")</f>
        <v>0</v>
      </c>
      <c r="E203" s="1">
        <f>IF(B203="", "", "human-oral")</f>
        <v>0</v>
      </c>
      <c r="F203" s="1">
        <f>IF(B203="", "", "UBERON:oral cavity")</f>
        <v>0</v>
      </c>
      <c r="G203" s="1">
        <f>IF(B203="", "", "UBERON:saliva")</f>
        <v>0</v>
      </c>
      <c r="H203" s="1">
        <f>IF(B203="", "", "UBERON:tongue")</f>
        <v>0</v>
      </c>
      <c r="I203" s="1">
        <f>IF(B203="", "", "tongue")</f>
        <v>0</v>
      </c>
      <c r="J203" s="1">
        <f>IF(B203="", "", "human oral metagenome")</f>
        <v>0</v>
      </c>
      <c r="K203" s="1">
        <f>IF(B203="", "", "447426")</f>
        <v>0</v>
      </c>
    </row>
    <row r="204" spans="1:11">
      <c r="A204">
        <f>IF(COUNTBLANK(B204:K204)&lt;&gt;COLUMNS(B204:K204),203,"")</f>
        <v>0</v>
      </c>
      <c r="C204" s="1">
        <f>IF(B204="", "", "animal secretion")</f>
        <v>0</v>
      </c>
      <c r="D204" s="1">
        <f>IF(B204="", "", "saliva")</f>
        <v>0</v>
      </c>
      <c r="E204" s="1">
        <f>IF(B204="", "", "human-oral")</f>
        <v>0</v>
      </c>
      <c r="F204" s="1">
        <f>IF(B204="", "", "UBERON:oral cavity")</f>
        <v>0</v>
      </c>
      <c r="G204" s="1">
        <f>IF(B204="", "", "UBERON:saliva")</f>
        <v>0</v>
      </c>
      <c r="H204" s="1">
        <f>IF(B204="", "", "UBERON:tongue")</f>
        <v>0</v>
      </c>
      <c r="I204" s="1">
        <f>IF(B204="", "", "tongue")</f>
        <v>0</v>
      </c>
      <c r="J204" s="1">
        <f>IF(B204="", "", "human oral metagenome")</f>
        <v>0</v>
      </c>
      <c r="K204" s="1">
        <f>IF(B204="", "", "447426")</f>
        <v>0</v>
      </c>
    </row>
    <row r="205" spans="1:11">
      <c r="A205">
        <f>IF(COUNTBLANK(B205:K205)&lt;&gt;COLUMNS(B205:K205),204,"")</f>
        <v>0</v>
      </c>
      <c r="C205" s="1">
        <f>IF(B205="", "", "animal secretion")</f>
        <v>0</v>
      </c>
      <c r="D205" s="1">
        <f>IF(B205="", "", "saliva")</f>
        <v>0</v>
      </c>
      <c r="E205" s="1">
        <f>IF(B205="", "", "human-oral")</f>
        <v>0</v>
      </c>
      <c r="F205" s="1">
        <f>IF(B205="", "", "UBERON:oral cavity")</f>
        <v>0</v>
      </c>
      <c r="G205" s="1">
        <f>IF(B205="", "", "UBERON:saliva")</f>
        <v>0</v>
      </c>
      <c r="H205" s="1">
        <f>IF(B205="", "", "UBERON:tongue")</f>
        <v>0</v>
      </c>
      <c r="I205" s="1">
        <f>IF(B205="", "", "tongue")</f>
        <v>0</v>
      </c>
      <c r="J205" s="1">
        <f>IF(B205="", "", "human oral metagenome")</f>
        <v>0</v>
      </c>
      <c r="K205" s="1">
        <f>IF(B205="", "", "447426")</f>
        <v>0</v>
      </c>
    </row>
    <row r="206" spans="1:11">
      <c r="A206">
        <f>IF(COUNTBLANK(B206:K206)&lt;&gt;COLUMNS(B206:K206),205,"")</f>
        <v>0</v>
      </c>
      <c r="C206" s="1">
        <f>IF(B206="", "", "animal secretion")</f>
        <v>0</v>
      </c>
      <c r="D206" s="1">
        <f>IF(B206="", "", "saliva")</f>
        <v>0</v>
      </c>
      <c r="E206" s="1">
        <f>IF(B206="", "", "human-oral")</f>
        <v>0</v>
      </c>
      <c r="F206" s="1">
        <f>IF(B206="", "", "UBERON:oral cavity")</f>
        <v>0</v>
      </c>
      <c r="G206" s="1">
        <f>IF(B206="", "", "UBERON:saliva")</f>
        <v>0</v>
      </c>
      <c r="H206" s="1">
        <f>IF(B206="", "", "UBERON:tongue")</f>
        <v>0</v>
      </c>
      <c r="I206" s="1">
        <f>IF(B206="", "", "tongue")</f>
        <v>0</v>
      </c>
      <c r="J206" s="1">
        <f>IF(B206="", "", "human oral metagenome")</f>
        <v>0</v>
      </c>
      <c r="K206" s="1">
        <f>IF(B206="", "", "447426")</f>
        <v>0</v>
      </c>
    </row>
    <row r="207" spans="1:11">
      <c r="A207">
        <f>IF(COUNTBLANK(B207:K207)&lt;&gt;COLUMNS(B207:K207),206,"")</f>
        <v>0</v>
      </c>
      <c r="C207" s="1">
        <f>IF(B207="", "", "animal secretion")</f>
        <v>0</v>
      </c>
      <c r="D207" s="1">
        <f>IF(B207="", "", "saliva")</f>
        <v>0</v>
      </c>
      <c r="E207" s="1">
        <f>IF(B207="", "", "human-oral")</f>
        <v>0</v>
      </c>
      <c r="F207" s="1">
        <f>IF(B207="", "", "UBERON:oral cavity")</f>
        <v>0</v>
      </c>
      <c r="G207" s="1">
        <f>IF(B207="", "", "UBERON:saliva")</f>
        <v>0</v>
      </c>
      <c r="H207" s="1">
        <f>IF(B207="", "", "UBERON:tongue")</f>
        <v>0</v>
      </c>
      <c r="I207" s="1">
        <f>IF(B207="", "", "tongue")</f>
        <v>0</v>
      </c>
      <c r="J207" s="1">
        <f>IF(B207="", "", "human oral metagenome")</f>
        <v>0</v>
      </c>
      <c r="K207" s="1">
        <f>IF(B207="", "", "447426")</f>
        <v>0</v>
      </c>
    </row>
    <row r="208" spans="1:11">
      <c r="A208">
        <f>IF(COUNTBLANK(B208:K208)&lt;&gt;COLUMNS(B208:K208),207,"")</f>
        <v>0</v>
      </c>
      <c r="C208" s="1">
        <f>IF(B208="", "", "animal secretion")</f>
        <v>0</v>
      </c>
      <c r="D208" s="1">
        <f>IF(B208="", "", "saliva")</f>
        <v>0</v>
      </c>
      <c r="E208" s="1">
        <f>IF(B208="", "", "human-oral")</f>
        <v>0</v>
      </c>
      <c r="F208" s="1">
        <f>IF(B208="", "", "UBERON:oral cavity")</f>
        <v>0</v>
      </c>
      <c r="G208" s="1">
        <f>IF(B208="", "", "UBERON:saliva")</f>
        <v>0</v>
      </c>
      <c r="H208" s="1">
        <f>IF(B208="", "", "UBERON:tongue")</f>
        <v>0</v>
      </c>
      <c r="I208" s="1">
        <f>IF(B208="", "", "tongue")</f>
        <v>0</v>
      </c>
      <c r="J208" s="1">
        <f>IF(B208="", "", "human oral metagenome")</f>
        <v>0</v>
      </c>
      <c r="K208" s="1">
        <f>IF(B208="", "", "447426")</f>
        <v>0</v>
      </c>
    </row>
    <row r="209" spans="1:11">
      <c r="A209">
        <f>IF(COUNTBLANK(B209:K209)&lt;&gt;COLUMNS(B209:K209),208,"")</f>
        <v>0</v>
      </c>
      <c r="C209" s="1">
        <f>IF(B209="", "", "animal secretion")</f>
        <v>0</v>
      </c>
      <c r="D209" s="1">
        <f>IF(B209="", "", "saliva")</f>
        <v>0</v>
      </c>
      <c r="E209" s="1">
        <f>IF(B209="", "", "human-oral")</f>
        <v>0</v>
      </c>
      <c r="F209" s="1">
        <f>IF(B209="", "", "UBERON:oral cavity")</f>
        <v>0</v>
      </c>
      <c r="G209" s="1">
        <f>IF(B209="", "", "UBERON:saliva")</f>
        <v>0</v>
      </c>
      <c r="H209" s="1">
        <f>IF(B209="", "", "UBERON:tongue")</f>
        <v>0</v>
      </c>
      <c r="I209" s="1">
        <f>IF(B209="", "", "tongue")</f>
        <v>0</v>
      </c>
      <c r="J209" s="1">
        <f>IF(B209="", "", "human oral metagenome")</f>
        <v>0</v>
      </c>
      <c r="K209" s="1">
        <f>IF(B209="", "", "447426")</f>
        <v>0</v>
      </c>
    </row>
    <row r="210" spans="1:11">
      <c r="A210">
        <f>IF(COUNTBLANK(B210:K210)&lt;&gt;COLUMNS(B210:K210),209,"")</f>
        <v>0</v>
      </c>
      <c r="C210" s="1">
        <f>IF(B210="", "", "animal secretion")</f>
        <v>0</v>
      </c>
      <c r="D210" s="1">
        <f>IF(B210="", "", "saliva")</f>
        <v>0</v>
      </c>
      <c r="E210" s="1">
        <f>IF(B210="", "", "human-oral")</f>
        <v>0</v>
      </c>
      <c r="F210" s="1">
        <f>IF(B210="", "", "UBERON:oral cavity")</f>
        <v>0</v>
      </c>
      <c r="G210" s="1">
        <f>IF(B210="", "", "UBERON:saliva")</f>
        <v>0</v>
      </c>
      <c r="H210" s="1">
        <f>IF(B210="", "", "UBERON:tongue")</f>
        <v>0</v>
      </c>
      <c r="I210" s="1">
        <f>IF(B210="", "", "tongue")</f>
        <v>0</v>
      </c>
      <c r="J210" s="1">
        <f>IF(B210="", "", "human oral metagenome")</f>
        <v>0</v>
      </c>
      <c r="K210" s="1">
        <f>IF(B210="", "", "447426")</f>
        <v>0</v>
      </c>
    </row>
    <row r="211" spans="1:11">
      <c r="A211">
        <f>IF(COUNTBLANK(B211:K211)&lt;&gt;COLUMNS(B211:K211),210,"")</f>
        <v>0</v>
      </c>
      <c r="C211" s="1">
        <f>IF(B211="", "", "animal secretion")</f>
        <v>0</v>
      </c>
      <c r="D211" s="1">
        <f>IF(B211="", "", "saliva")</f>
        <v>0</v>
      </c>
      <c r="E211" s="1">
        <f>IF(B211="", "", "human-oral")</f>
        <v>0</v>
      </c>
      <c r="F211" s="1">
        <f>IF(B211="", "", "UBERON:oral cavity")</f>
        <v>0</v>
      </c>
      <c r="G211" s="1">
        <f>IF(B211="", "", "UBERON:saliva")</f>
        <v>0</v>
      </c>
      <c r="H211" s="1">
        <f>IF(B211="", "", "UBERON:tongue")</f>
        <v>0</v>
      </c>
      <c r="I211" s="1">
        <f>IF(B211="", "", "tongue")</f>
        <v>0</v>
      </c>
      <c r="J211" s="1">
        <f>IF(B211="", "", "human oral metagenome")</f>
        <v>0</v>
      </c>
      <c r="K211" s="1">
        <f>IF(B211="", "", "447426")</f>
        <v>0</v>
      </c>
    </row>
    <row r="212" spans="1:11">
      <c r="A212">
        <f>IF(COUNTBLANK(B212:K212)&lt;&gt;COLUMNS(B212:K212),211,"")</f>
        <v>0</v>
      </c>
      <c r="C212" s="1">
        <f>IF(B212="", "", "animal secretion")</f>
        <v>0</v>
      </c>
      <c r="D212" s="1">
        <f>IF(B212="", "", "saliva")</f>
        <v>0</v>
      </c>
      <c r="E212" s="1">
        <f>IF(B212="", "", "human-oral")</f>
        <v>0</v>
      </c>
      <c r="F212" s="1">
        <f>IF(B212="", "", "UBERON:oral cavity")</f>
        <v>0</v>
      </c>
      <c r="G212" s="1">
        <f>IF(B212="", "", "UBERON:saliva")</f>
        <v>0</v>
      </c>
      <c r="H212" s="1">
        <f>IF(B212="", "", "UBERON:tongue")</f>
        <v>0</v>
      </c>
      <c r="I212" s="1">
        <f>IF(B212="", "", "tongue")</f>
        <v>0</v>
      </c>
      <c r="J212" s="1">
        <f>IF(B212="", "", "human oral metagenome")</f>
        <v>0</v>
      </c>
      <c r="K212" s="1">
        <f>IF(B212="", "", "447426")</f>
        <v>0</v>
      </c>
    </row>
    <row r="213" spans="1:11">
      <c r="A213">
        <f>IF(COUNTBLANK(B213:K213)&lt;&gt;COLUMNS(B213:K213),212,"")</f>
        <v>0</v>
      </c>
      <c r="C213" s="1">
        <f>IF(B213="", "", "animal secretion")</f>
        <v>0</v>
      </c>
      <c r="D213" s="1">
        <f>IF(B213="", "", "saliva")</f>
        <v>0</v>
      </c>
      <c r="E213" s="1">
        <f>IF(B213="", "", "human-oral")</f>
        <v>0</v>
      </c>
      <c r="F213" s="1">
        <f>IF(B213="", "", "UBERON:oral cavity")</f>
        <v>0</v>
      </c>
      <c r="G213" s="1">
        <f>IF(B213="", "", "UBERON:saliva")</f>
        <v>0</v>
      </c>
      <c r="H213" s="1">
        <f>IF(B213="", "", "UBERON:tongue")</f>
        <v>0</v>
      </c>
      <c r="I213" s="1">
        <f>IF(B213="", "", "tongue")</f>
        <v>0</v>
      </c>
      <c r="J213" s="1">
        <f>IF(B213="", "", "human oral metagenome")</f>
        <v>0</v>
      </c>
      <c r="K213" s="1">
        <f>IF(B213="", "", "447426")</f>
        <v>0</v>
      </c>
    </row>
    <row r="214" spans="1:11">
      <c r="A214">
        <f>IF(COUNTBLANK(B214:K214)&lt;&gt;COLUMNS(B214:K214),213,"")</f>
        <v>0</v>
      </c>
      <c r="C214" s="1">
        <f>IF(B214="", "", "animal secretion")</f>
        <v>0</v>
      </c>
      <c r="D214" s="1">
        <f>IF(B214="", "", "saliva")</f>
        <v>0</v>
      </c>
      <c r="E214" s="1">
        <f>IF(B214="", "", "human-oral")</f>
        <v>0</v>
      </c>
      <c r="F214" s="1">
        <f>IF(B214="", "", "UBERON:oral cavity")</f>
        <v>0</v>
      </c>
      <c r="G214" s="1">
        <f>IF(B214="", "", "UBERON:saliva")</f>
        <v>0</v>
      </c>
      <c r="H214" s="1">
        <f>IF(B214="", "", "UBERON:tongue")</f>
        <v>0</v>
      </c>
      <c r="I214" s="1">
        <f>IF(B214="", "", "tongue")</f>
        <v>0</v>
      </c>
      <c r="J214" s="1">
        <f>IF(B214="", "", "human oral metagenome")</f>
        <v>0</v>
      </c>
      <c r="K214" s="1">
        <f>IF(B214="", "", "447426")</f>
        <v>0</v>
      </c>
    </row>
    <row r="215" spans="1:11">
      <c r="A215">
        <f>IF(COUNTBLANK(B215:K215)&lt;&gt;COLUMNS(B215:K215),214,"")</f>
        <v>0</v>
      </c>
      <c r="C215" s="1">
        <f>IF(B215="", "", "animal secretion")</f>
        <v>0</v>
      </c>
      <c r="D215" s="1">
        <f>IF(B215="", "", "saliva")</f>
        <v>0</v>
      </c>
      <c r="E215" s="1">
        <f>IF(B215="", "", "human-oral")</f>
        <v>0</v>
      </c>
      <c r="F215" s="1">
        <f>IF(B215="", "", "UBERON:oral cavity")</f>
        <v>0</v>
      </c>
      <c r="G215" s="1">
        <f>IF(B215="", "", "UBERON:saliva")</f>
        <v>0</v>
      </c>
      <c r="H215" s="1">
        <f>IF(B215="", "", "UBERON:tongue")</f>
        <v>0</v>
      </c>
      <c r="I215" s="1">
        <f>IF(B215="", "", "tongue")</f>
        <v>0</v>
      </c>
      <c r="J215" s="1">
        <f>IF(B215="", "", "human oral metagenome")</f>
        <v>0</v>
      </c>
      <c r="K215" s="1">
        <f>IF(B215="", "", "447426")</f>
        <v>0</v>
      </c>
    </row>
    <row r="216" spans="1:11">
      <c r="A216">
        <f>IF(COUNTBLANK(B216:K216)&lt;&gt;COLUMNS(B216:K216),215,"")</f>
        <v>0</v>
      </c>
      <c r="C216" s="1">
        <f>IF(B216="", "", "animal secretion")</f>
        <v>0</v>
      </c>
      <c r="D216" s="1">
        <f>IF(B216="", "", "saliva")</f>
        <v>0</v>
      </c>
      <c r="E216" s="1">
        <f>IF(B216="", "", "human-oral")</f>
        <v>0</v>
      </c>
      <c r="F216" s="1">
        <f>IF(B216="", "", "UBERON:oral cavity")</f>
        <v>0</v>
      </c>
      <c r="G216" s="1">
        <f>IF(B216="", "", "UBERON:saliva")</f>
        <v>0</v>
      </c>
      <c r="H216" s="1">
        <f>IF(B216="", "", "UBERON:tongue")</f>
        <v>0</v>
      </c>
      <c r="I216" s="1">
        <f>IF(B216="", "", "tongue")</f>
        <v>0</v>
      </c>
      <c r="J216" s="1">
        <f>IF(B216="", "", "human oral metagenome")</f>
        <v>0</v>
      </c>
      <c r="K216" s="1">
        <f>IF(B216="", "", "447426")</f>
        <v>0</v>
      </c>
    </row>
    <row r="217" spans="1:11">
      <c r="A217">
        <f>IF(COUNTBLANK(B217:K217)&lt;&gt;COLUMNS(B217:K217),216,"")</f>
        <v>0</v>
      </c>
      <c r="C217" s="1">
        <f>IF(B217="", "", "animal secretion")</f>
        <v>0</v>
      </c>
      <c r="D217" s="1">
        <f>IF(B217="", "", "saliva")</f>
        <v>0</v>
      </c>
      <c r="E217" s="1">
        <f>IF(B217="", "", "human-oral")</f>
        <v>0</v>
      </c>
      <c r="F217" s="1">
        <f>IF(B217="", "", "UBERON:oral cavity")</f>
        <v>0</v>
      </c>
      <c r="G217" s="1">
        <f>IF(B217="", "", "UBERON:saliva")</f>
        <v>0</v>
      </c>
      <c r="H217" s="1">
        <f>IF(B217="", "", "UBERON:tongue")</f>
        <v>0</v>
      </c>
      <c r="I217" s="1">
        <f>IF(B217="", "", "tongue")</f>
        <v>0</v>
      </c>
      <c r="J217" s="1">
        <f>IF(B217="", "", "human oral metagenome")</f>
        <v>0</v>
      </c>
      <c r="K217" s="1">
        <f>IF(B217="", "", "447426")</f>
        <v>0</v>
      </c>
    </row>
    <row r="218" spans="1:11">
      <c r="A218">
        <f>IF(COUNTBLANK(B218:K218)&lt;&gt;COLUMNS(B218:K218),217,"")</f>
        <v>0</v>
      </c>
      <c r="C218" s="1">
        <f>IF(B218="", "", "animal secretion")</f>
        <v>0</v>
      </c>
      <c r="D218" s="1">
        <f>IF(B218="", "", "saliva")</f>
        <v>0</v>
      </c>
      <c r="E218" s="1">
        <f>IF(B218="", "", "human-oral")</f>
        <v>0</v>
      </c>
      <c r="F218" s="1">
        <f>IF(B218="", "", "UBERON:oral cavity")</f>
        <v>0</v>
      </c>
      <c r="G218" s="1">
        <f>IF(B218="", "", "UBERON:saliva")</f>
        <v>0</v>
      </c>
      <c r="H218" s="1">
        <f>IF(B218="", "", "UBERON:tongue")</f>
        <v>0</v>
      </c>
      <c r="I218" s="1">
        <f>IF(B218="", "", "tongue")</f>
        <v>0</v>
      </c>
      <c r="J218" s="1">
        <f>IF(B218="", "", "human oral metagenome")</f>
        <v>0</v>
      </c>
      <c r="K218" s="1">
        <f>IF(B218="", "", "447426")</f>
        <v>0</v>
      </c>
    </row>
    <row r="219" spans="1:11">
      <c r="A219">
        <f>IF(COUNTBLANK(B219:K219)&lt;&gt;COLUMNS(B219:K219),218,"")</f>
        <v>0</v>
      </c>
      <c r="C219" s="1">
        <f>IF(B219="", "", "animal secretion")</f>
        <v>0</v>
      </c>
      <c r="D219" s="1">
        <f>IF(B219="", "", "saliva")</f>
        <v>0</v>
      </c>
      <c r="E219" s="1">
        <f>IF(B219="", "", "human-oral")</f>
        <v>0</v>
      </c>
      <c r="F219" s="1">
        <f>IF(B219="", "", "UBERON:oral cavity")</f>
        <v>0</v>
      </c>
      <c r="G219" s="1">
        <f>IF(B219="", "", "UBERON:saliva")</f>
        <v>0</v>
      </c>
      <c r="H219" s="1">
        <f>IF(B219="", "", "UBERON:tongue")</f>
        <v>0</v>
      </c>
      <c r="I219" s="1">
        <f>IF(B219="", "", "tongue")</f>
        <v>0</v>
      </c>
      <c r="J219" s="1">
        <f>IF(B219="", "", "human oral metagenome")</f>
        <v>0</v>
      </c>
      <c r="K219" s="1">
        <f>IF(B219="", "", "447426")</f>
        <v>0</v>
      </c>
    </row>
    <row r="220" spans="1:11">
      <c r="A220">
        <f>IF(COUNTBLANK(B220:K220)&lt;&gt;COLUMNS(B220:K220),219,"")</f>
        <v>0</v>
      </c>
      <c r="C220" s="1">
        <f>IF(B220="", "", "animal secretion")</f>
        <v>0</v>
      </c>
      <c r="D220" s="1">
        <f>IF(B220="", "", "saliva")</f>
        <v>0</v>
      </c>
      <c r="E220" s="1">
        <f>IF(B220="", "", "human-oral")</f>
        <v>0</v>
      </c>
      <c r="F220" s="1">
        <f>IF(B220="", "", "UBERON:oral cavity")</f>
        <v>0</v>
      </c>
      <c r="G220" s="1">
        <f>IF(B220="", "", "UBERON:saliva")</f>
        <v>0</v>
      </c>
      <c r="H220" s="1">
        <f>IF(B220="", "", "UBERON:tongue")</f>
        <v>0</v>
      </c>
      <c r="I220" s="1">
        <f>IF(B220="", "", "tongue")</f>
        <v>0</v>
      </c>
      <c r="J220" s="1">
        <f>IF(B220="", "", "human oral metagenome")</f>
        <v>0</v>
      </c>
      <c r="K220" s="1">
        <f>IF(B220="", "", "447426")</f>
        <v>0</v>
      </c>
    </row>
    <row r="221" spans="1:11">
      <c r="A221">
        <f>IF(COUNTBLANK(B221:K221)&lt;&gt;COLUMNS(B221:K221),220,"")</f>
        <v>0</v>
      </c>
      <c r="C221" s="1">
        <f>IF(B221="", "", "animal secretion")</f>
        <v>0</v>
      </c>
      <c r="D221" s="1">
        <f>IF(B221="", "", "saliva")</f>
        <v>0</v>
      </c>
      <c r="E221" s="1">
        <f>IF(B221="", "", "human-oral")</f>
        <v>0</v>
      </c>
      <c r="F221" s="1">
        <f>IF(B221="", "", "UBERON:oral cavity")</f>
        <v>0</v>
      </c>
      <c r="G221" s="1">
        <f>IF(B221="", "", "UBERON:saliva")</f>
        <v>0</v>
      </c>
      <c r="H221" s="1">
        <f>IF(B221="", "", "UBERON:tongue")</f>
        <v>0</v>
      </c>
      <c r="I221" s="1">
        <f>IF(B221="", "", "tongue")</f>
        <v>0</v>
      </c>
      <c r="J221" s="1">
        <f>IF(B221="", "", "human oral metagenome")</f>
        <v>0</v>
      </c>
      <c r="K221" s="1">
        <f>IF(B221="", "", "447426")</f>
        <v>0</v>
      </c>
    </row>
    <row r="222" spans="1:11">
      <c r="A222">
        <f>IF(COUNTBLANK(B222:K222)&lt;&gt;COLUMNS(B222:K222),221,"")</f>
        <v>0</v>
      </c>
      <c r="C222" s="1">
        <f>IF(B222="", "", "animal secretion")</f>
        <v>0</v>
      </c>
      <c r="D222" s="1">
        <f>IF(B222="", "", "saliva")</f>
        <v>0</v>
      </c>
      <c r="E222" s="1">
        <f>IF(B222="", "", "human-oral")</f>
        <v>0</v>
      </c>
      <c r="F222" s="1">
        <f>IF(B222="", "", "UBERON:oral cavity")</f>
        <v>0</v>
      </c>
      <c r="G222" s="1">
        <f>IF(B222="", "", "UBERON:saliva")</f>
        <v>0</v>
      </c>
      <c r="H222" s="1">
        <f>IF(B222="", "", "UBERON:tongue")</f>
        <v>0</v>
      </c>
      <c r="I222" s="1">
        <f>IF(B222="", "", "tongue")</f>
        <v>0</v>
      </c>
      <c r="J222" s="1">
        <f>IF(B222="", "", "human oral metagenome")</f>
        <v>0</v>
      </c>
      <c r="K222" s="1">
        <f>IF(B222="", "", "447426")</f>
        <v>0</v>
      </c>
    </row>
    <row r="223" spans="1:11">
      <c r="A223">
        <f>IF(COUNTBLANK(B223:K223)&lt;&gt;COLUMNS(B223:K223),222,"")</f>
        <v>0</v>
      </c>
      <c r="C223" s="1">
        <f>IF(B223="", "", "animal secretion")</f>
        <v>0</v>
      </c>
      <c r="D223" s="1">
        <f>IF(B223="", "", "saliva")</f>
        <v>0</v>
      </c>
      <c r="E223" s="1">
        <f>IF(B223="", "", "human-oral")</f>
        <v>0</v>
      </c>
      <c r="F223" s="1">
        <f>IF(B223="", "", "UBERON:oral cavity")</f>
        <v>0</v>
      </c>
      <c r="G223" s="1">
        <f>IF(B223="", "", "UBERON:saliva")</f>
        <v>0</v>
      </c>
      <c r="H223" s="1">
        <f>IF(B223="", "", "UBERON:tongue")</f>
        <v>0</v>
      </c>
      <c r="I223" s="1">
        <f>IF(B223="", "", "tongue")</f>
        <v>0</v>
      </c>
      <c r="J223" s="1">
        <f>IF(B223="", "", "human oral metagenome")</f>
        <v>0</v>
      </c>
      <c r="K223" s="1">
        <f>IF(B223="", "", "447426")</f>
        <v>0</v>
      </c>
    </row>
    <row r="224" spans="1:11">
      <c r="A224">
        <f>IF(COUNTBLANK(B224:K224)&lt;&gt;COLUMNS(B224:K224),223,"")</f>
        <v>0</v>
      </c>
      <c r="C224" s="1">
        <f>IF(B224="", "", "animal secretion")</f>
        <v>0</v>
      </c>
      <c r="D224" s="1">
        <f>IF(B224="", "", "saliva")</f>
        <v>0</v>
      </c>
      <c r="E224" s="1">
        <f>IF(B224="", "", "human-oral")</f>
        <v>0</v>
      </c>
      <c r="F224" s="1">
        <f>IF(B224="", "", "UBERON:oral cavity")</f>
        <v>0</v>
      </c>
      <c r="G224" s="1">
        <f>IF(B224="", "", "UBERON:saliva")</f>
        <v>0</v>
      </c>
      <c r="H224" s="1">
        <f>IF(B224="", "", "UBERON:tongue")</f>
        <v>0</v>
      </c>
      <c r="I224" s="1">
        <f>IF(B224="", "", "tongue")</f>
        <v>0</v>
      </c>
      <c r="J224" s="1">
        <f>IF(B224="", "", "human oral metagenome")</f>
        <v>0</v>
      </c>
      <c r="K224" s="1">
        <f>IF(B224="", "", "447426")</f>
        <v>0</v>
      </c>
    </row>
    <row r="225" spans="1:11">
      <c r="A225">
        <f>IF(COUNTBLANK(B225:K225)&lt;&gt;COLUMNS(B225:K225),224,"")</f>
        <v>0</v>
      </c>
      <c r="C225" s="1">
        <f>IF(B225="", "", "animal secretion")</f>
        <v>0</v>
      </c>
      <c r="D225" s="1">
        <f>IF(B225="", "", "saliva")</f>
        <v>0</v>
      </c>
      <c r="E225" s="1">
        <f>IF(B225="", "", "human-oral")</f>
        <v>0</v>
      </c>
      <c r="F225" s="1">
        <f>IF(B225="", "", "UBERON:oral cavity")</f>
        <v>0</v>
      </c>
      <c r="G225" s="1">
        <f>IF(B225="", "", "UBERON:saliva")</f>
        <v>0</v>
      </c>
      <c r="H225" s="1">
        <f>IF(B225="", "", "UBERON:tongue")</f>
        <v>0</v>
      </c>
      <c r="I225" s="1">
        <f>IF(B225="", "", "tongue")</f>
        <v>0</v>
      </c>
      <c r="J225" s="1">
        <f>IF(B225="", "", "human oral metagenome")</f>
        <v>0</v>
      </c>
      <c r="K225" s="1">
        <f>IF(B225="", "", "447426")</f>
        <v>0</v>
      </c>
    </row>
    <row r="226" spans="1:11">
      <c r="A226">
        <f>IF(COUNTBLANK(B226:K226)&lt;&gt;COLUMNS(B226:K226),225,"")</f>
        <v>0</v>
      </c>
      <c r="C226" s="1">
        <f>IF(B226="", "", "animal secretion")</f>
        <v>0</v>
      </c>
      <c r="D226" s="1">
        <f>IF(B226="", "", "saliva")</f>
        <v>0</v>
      </c>
      <c r="E226" s="1">
        <f>IF(B226="", "", "human-oral")</f>
        <v>0</v>
      </c>
      <c r="F226" s="1">
        <f>IF(B226="", "", "UBERON:oral cavity")</f>
        <v>0</v>
      </c>
      <c r="G226" s="1">
        <f>IF(B226="", "", "UBERON:saliva")</f>
        <v>0</v>
      </c>
      <c r="H226" s="1">
        <f>IF(B226="", "", "UBERON:tongue")</f>
        <v>0</v>
      </c>
      <c r="I226" s="1">
        <f>IF(B226="", "", "tongue")</f>
        <v>0</v>
      </c>
      <c r="J226" s="1">
        <f>IF(B226="", "", "human oral metagenome")</f>
        <v>0</v>
      </c>
      <c r="K226" s="1">
        <f>IF(B226="", "", "447426")</f>
        <v>0</v>
      </c>
    </row>
    <row r="227" spans="1:11">
      <c r="A227">
        <f>IF(COUNTBLANK(B227:K227)&lt;&gt;COLUMNS(B227:K227),226,"")</f>
        <v>0</v>
      </c>
      <c r="C227" s="1">
        <f>IF(B227="", "", "animal secretion")</f>
        <v>0</v>
      </c>
      <c r="D227" s="1">
        <f>IF(B227="", "", "saliva")</f>
        <v>0</v>
      </c>
      <c r="E227" s="1">
        <f>IF(B227="", "", "human-oral")</f>
        <v>0</v>
      </c>
      <c r="F227" s="1">
        <f>IF(B227="", "", "UBERON:oral cavity")</f>
        <v>0</v>
      </c>
      <c r="G227" s="1">
        <f>IF(B227="", "", "UBERON:saliva")</f>
        <v>0</v>
      </c>
      <c r="H227" s="1">
        <f>IF(B227="", "", "UBERON:tongue")</f>
        <v>0</v>
      </c>
      <c r="I227" s="1">
        <f>IF(B227="", "", "tongue")</f>
        <v>0</v>
      </c>
      <c r="J227" s="1">
        <f>IF(B227="", "", "human oral metagenome")</f>
        <v>0</v>
      </c>
      <c r="K227" s="1">
        <f>IF(B227="", "", "447426")</f>
        <v>0</v>
      </c>
    </row>
    <row r="228" spans="1:11">
      <c r="A228">
        <f>IF(COUNTBLANK(B228:K228)&lt;&gt;COLUMNS(B228:K228),227,"")</f>
        <v>0</v>
      </c>
      <c r="C228" s="1">
        <f>IF(B228="", "", "animal secretion")</f>
        <v>0</v>
      </c>
      <c r="D228" s="1">
        <f>IF(B228="", "", "saliva")</f>
        <v>0</v>
      </c>
      <c r="E228" s="1">
        <f>IF(B228="", "", "human-oral")</f>
        <v>0</v>
      </c>
      <c r="F228" s="1">
        <f>IF(B228="", "", "UBERON:oral cavity")</f>
        <v>0</v>
      </c>
      <c r="G228" s="1">
        <f>IF(B228="", "", "UBERON:saliva")</f>
        <v>0</v>
      </c>
      <c r="H228" s="1">
        <f>IF(B228="", "", "UBERON:tongue")</f>
        <v>0</v>
      </c>
      <c r="I228" s="1">
        <f>IF(B228="", "", "tongue")</f>
        <v>0</v>
      </c>
      <c r="J228" s="1">
        <f>IF(B228="", "", "human oral metagenome")</f>
        <v>0</v>
      </c>
      <c r="K228" s="1">
        <f>IF(B228="", "", "447426")</f>
        <v>0</v>
      </c>
    </row>
    <row r="229" spans="1:11">
      <c r="A229">
        <f>IF(COUNTBLANK(B229:K229)&lt;&gt;COLUMNS(B229:K229),228,"")</f>
        <v>0</v>
      </c>
      <c r="C229" s="1">
        <f>IF(B229="", "", "animal secretion")</f>
        <v>0</v>
      </c>
      <c r="D229" s="1">
        <f>IF(B229="", "", "saliva")</f>
        <v>0</v>
      </c>
      <c r="E229" s="1">
        <f>IF(B229="", "", "human-oral")</f>
        <v>0</v>
      </c>
      <c r="F229" s="1">
        <f>IF(B229="", "", "UBERON:oral cavity")</f>
        <v>0</v>
      </c>
      <c r="G229" s="1">
        <f>IF(B229="", "", "UBERON:saliva")</f>
        <v>0</v>
      </c>
      <c r="H229" s="1">
        <f>IF(B229="", "", "UBERON:tongue")</f>
        <v>0</v>
      </c>
      <c r="I229" s="1">
        <f>IF(B229="", "", "tongue")</f>
        <v>0</v>
      </c>
      <c r="J229" s="1">
        <f>IF(B229="", "", "human oral metagenome")</f>
        <v>0</v>
      </c>
      <c r="K229" s="1">
        <f>IF(B229="", "", "447426")</f>
        <v>0</v>
      </c>
    </row>
    <row r="230" spans="1:11">
      <c r="A230">
        <f>IF(COUNTBLANK(B230:K230)&lt;&gt;COLUMNS(B230:K230),229,"")</f>
        <v>0</v>
      </c>
      <c r="C230" s="1">
        <f>IF(B230="", "", "animal secretion")</f>
        <v>0</v>
      </c>
      <c r="D230" s="1">
        <f>IF(B230="", "", "saliva")</f>
        <v>0</v>
      </c>
      <c r="E230" s="1">
        <f>IF(B230="", "", "human-oral")</f>
        <v>0</v>
      </c>
      <c r="F230" s="1">
        <f>IF(B230="", "", "UBERON:oral cavity")</f>
        <v>0</v>
      </c>
      <c r="G230" s="1">
        <f>IF(B230="", "", "UBERON:saliva")</f>
        <v>0</v>
      </c>
      <c r="H230" s="1">
        <f>IF(B230="", "", "UBERON:tongue")</f>
        <v>0</v>
      </c>
      <c r="I230" s="1">
        <f>IF(B230="", "", "tongue")</f>
        <v>0</v>
      </c>
      <c r="J230" s="1">
        <f>IF(B230="", "", "human oral metagenome")</f>
        <v>0</v>
      </c>
      <c r="K230" s="1">
        <f>IF(B230="", "", "447426")</f>
        <v>0</v>
      </c>
    </row>
    <row r="231" spans="1:11">
      <c r="A231">
        <f>IF(COUNTBLANK(B231:K231)&lt;&gt;COLUMNS(B231:K231),230,"")</f>
        <v>0</v>
      </c>
      <c r="C231" s="1">
        <f>IF(B231="", "", "animal secretion")</f>
        <v>0</v>
      </c>
      <c r="D231" s="1">
        <f>IF(B231="", "", "saliva")</f>
        <v>0</v>
      </c>
      <c r="E231" s="1">
        <f>IF(B231="", "", "human-oral")</f>
        <v>0</v>
      </c>
      <c r="F231" s="1">
        <f>IF(B231="", "", "UBERON:oral cavity")</f>
        <v>0</v>
      </c>
      <c r="G231" s="1">
        <f>IF(B231="", "", "UBERON:saliva")</f>
        <v>0</v>
      </c>
      <c r="H231" s="1">
        <f>IF(B231="", "", "UBERON:tongue")</f>
        <v>0</v>
      </c>
      <c r="I231" s="1">
        <f>IF(B231="", "", "tongue")</f>
        <v>0</v>
      </c>
      <c r="J231" s="1">
        <f>IF(B231="", "", "human oral metagenome")</f>
        <v>0</v>
      </c>
      <c r="K231" s="1">
        <f>IF(B231="", "", "447426")</f>
        <v>0</v>
      </c>
    </row>
    <row r="232" spans="1:11">
      <c r="A232">
        <f>IF(COUNTBLANK(B232:K232)&lt;&gt;COLUMNS(B232:K232),231,"")</f>
        <v>0</v>
      </c>
      <c r="C232" s="1">
        <f>IF(B232="", "", "animal secretion")</f>
        <v>0</v>
      </c>
      <c r="D232" s="1">
        <f>IF(B232="", "", "saliva")</f>
        <v>0</v>
      </c>
      <c r="E232" s="1">
        <f>IF(B232="", "", "human-oral")</f>
        <v>0</v>
      </c>
      <c r="F232" s="1">
        <f>IF(B232="", "", "UBERON:oral cavity")</f>
        <v>0</v>
      </c>
      <c r="G232" s="1">
        <f>IF(B232="", "", "UBERON:saliva")</f>
        <v>0</v>
      </c>
      <c r="H232" s="1">
        <f>IF(B232="", "", "UBERON:tongue")</f>
        <v>0</v>
      </c>
      <c r="I232" s="1">
        <f>IF(B232="", "", "tongue")</f>
        <v>0</v>
      </c>
      <c r="J232" s="1">
        <f>IF(B232="", "", "human oral metagenome")</f>
        <v>0</v>
      </c>
      <c r="K232" s="1">
        <f>IF(B232="", "", "447426")</f>
        <v>0</v>
      </c>
    </row>
    <row r="233" spans="1:11">
      <c r="A233">
        <f>IF(COUNTBLANK(B233:K233)&lt;&gt;COLUMNS(B233:K233),232,"")</f>
        <v>0</v>
      </c>
      <c r="C233" s="1">
        <f>IF(B233="", "", "animal secretion")</f>
        <v>0</v>
      </c>
      <c r="D233" s="1">
        <f>IF(B233="", "", "saliva")</f>
        <v>0</v>
      </c>
      <c r="E233" s="1">
        <f>IF(B233="", "", "human-oral")</f>
        <v>0</v>
      </c>
      <c r="F233" s="1">
        <f>IF(B233="", "", "UBERON:oral cavity")</f>
        <v>0</v>
      </c>
      <c r="G233" s="1">
        <f>IF(B233="", "", "UBERON:saliva")</f>
        <v>0</v>
      </c>
      <c r="H233" s="1">
        <f>IF(B233="", "", "UBERON:tongue")</f>
        <v>0</v>
      </c>
      <c r="I233" s="1">
        <f>IF(B233="", "", "tongue")</f>
        <v>0</v>
      </c>
      <c r="J233" s="1">
        <f>IF(B233="", "", "human oral metagenome")</f>
        <v>0</v>
      </c>
      <c r="K233" s="1">
        <f>IF(B233="", "", "447426")</f>
        <v>0</v>
      </c>
    </row>
    <row r="234" spans="1:11">
      <c r="A234">
        <f>IF(COUNTBLANK(B234:K234)&lt;&gt;COLUMNS(B234:K234),233,"")</f>
        <v>0</v>
      </c>
      <c r="C234" s="1">
        <f>IF(B234="", "", "animal secretion")</f>
        <v>0</v>
      </c>
      <c r="D234" s="1">
        <f>IF(B234="", "", "saliva")</f>
        <v>0</v>
      </c>
      <c r="E234" s="1">
        <f>IF(B234="", "", "human-oral")</f>
        <v>0</v>
      </c>
      <c r="F234" s="1">
        <f>IF(B234="", "", "UBERON:oral cavity")</f>
        <v>0</v>
      </c>
      <c r="G234" s="1">
        <f>IF(B234="", "", "UBERON:saliva")</f>
        <v>0</v>
      </c>
      <c r="H234" s="1">
        <f>IF(B234="", "", "UBERON:tongue")</f>
        <v>0</v>
      </c>
      <c r="I234" s="1">
        <f>IF(B234="", "", "tongue")</f>
        <v>0</v>
      </c>
      <c r="J234" s="1">
        <f>IF(B234="", "", "human oral metagenome")</f>
        <v>0</v>
      </c>
      <c r="K234" s="1">
        <f>IF(B234="", "", "447426")</f>
        <v>0</v>
      </c>
    </row>
    <row r="235" spans="1:11">
      <c r="A235">
        <f>IF(COUNTBLANK(B235:K235)&lt;&gt;COLUMNS(B235:K235),234,"")</f>
        <v>0</v>
      </c>
      <c r="C235" s="1">
        <f>IF(B235="", "", "animal secretion")</f>
        <v>0</v>
      </c>
      <c r="D235" s="1">
        <f>IF(B235="", "", "saliva")</f>
        <v>0</v>
      </c>
      <c r="E235" s="1">
        <f>IF(B235="", "", "human-oral")</f>
        <v>0</v>
      </c>
      <c r="F235" s="1">
        <f>IF(B235="", "", "UBERON:oral cavity")</f>
        <v>0</v>
      </c>
      <c r="G235" s="1">
        <f>IF(B235="", "", "UBERON:saliva")</f>
        <v>0</v>
      </c>
      <c r="H235" s="1">
        <f>IF(B235="", "", "UBERON:tongue")</f>
        <v>0</v>
      </c>
      <c r="I235" s="1">
        <f>IF(B235="", "", "tongue")</f>
        <v>0</v>
      </c>
      <c r="J235" s="1">
        <f>IF(B235="", "", "human oral metagenome")</f>
        <v>0</v>
      </c>
      <c r="K235" s="1">
        <f>IF(B235="", "", "447426")</f>
        <v>0</v>
      </c>
    </row>
    <row r="236" spans="1:11">
      <c r="A236">
        <f>IF(COUNTBLANK(B236:K236)&lt;&gt;COLUMNS(B236:K236),235,"")</f>
        <v>0</v>
      </c>
      <c r="C236" s="1">
        <f>IF(B236="", "", "animal secretion")</f>
        <v>0</v>
      </c>
      <c r="D236" s="1">
        <f>IF(B236="", "", "saliva")</f>
        <v>0</v>
      </c>
      <c r="E236" s="1">
        <f>IF(B236="", "", "human-oral")</f>
        <v>0</v>
      </c>
      <c r="F236" s="1">
        <f>IF(B236="", "", "UBERON:oral cavity")</f>
        <v>0</v>
      </c>
      <c r="G236" s="1">
        <f>IF(B236="", "", "UBERON:saliva")</f>
        <v>0</v>
      </c>
      <c r="H236" s="1">
        <f>IF(B236="", "", "UBERON:tongue")</f>
        <v>0</v>
      </c>
      <c r="I236" s="1">
        <f>IF(B236="", "", "tongue")</f>
        <v>0</v>
      </c>
      <c r="J236" s="1">
        <f>IF(B236="", "", "human oral metagenome")</f>
        <v>0</v>
      </c>
      <c r="K236" s="1">
        <f>IF(B236="", "", "447426")</f>
        <v>0</v>
      </c>
    </row>
    <row r="237" spans="1:11">
      <c r="A237">
        <f>IF(COUNTBLANK(B237:K237)&lt;&gt;COLUMNS(B237:K237),236,"")</f>
        <v>0</v>
      </c>
      <c r="C237" s="1">
        <f>IF(B237="", "", "animal secretion")</f>
        <v>0</v>
      </c>
      <c r="D237" s="1">
        <f>IF(B237="", "", "saliva")</f>
        <v>0</v>
      </c>
      <c r="E237" s="1">
        <f>IF(B237="", "", "human-oral")</f>
        <v>0</v>
      </c>
      <c r="F237" s="1">
        <f>IF(B237="", "", "UBERON:oral cavity")</f>
        <v>0</v>
      </c>
      <c r="G237" s="1">
        <f>IF(B237="", "", "UBERON:saliva")</f>
        <v>0</v>
      </c>
      <c r="H237" s="1">
        <f>IF(B237="", "", "UBERON:tongue")</f>
        <v>0</v>
      </c>
      <c r="I237" s="1">
        <f>IF(B237="", "", "tongue")</f>
        <v>0</v>
      </c>
      <c r="J237" s="1">
        <f>IF(B237="", "", "human oral metagenome")</f>
        <v>0</v>
      </c>
      <c r="K237" s="1">
        <f>IF(B237="", "", "447426")</f>
        <v>0</v>
      </c>
    </row>
    <row r="238" spans="1:11">
      <c r="A238">
        <f>IF(COUNTBLANK(B238:K238)&lt;&gt;COLUMNS(B238:K238),237,"")</f>
        <v>0</v>
      </c>
      <c r="C238" s="1">
        <f>IF(B238="", "", "animal secretion")</f>
        <v>0</v>
      </c>
      <c r="D238" s="1">
        <f>IF(B238="", "", "saliva")</f>
        <v>0</v>
      </c>
      <c r="E238" s="1">
        <f>IF(B238="", "", "human-oral")</f>
        <v>0</v>
      </c>
      <c r="F238" s="1">
        <f>IF(B238="", "", "UBERON:oral cavity")</f>
        <v>0</v>
      </c>
      <c r="G238" s="1">
        <f>IF(B238="", "", "UBERON:saliva")</f>
        <v>0</v>
      </c>
      <c r="H238" s="1">
        <f>IF(B238="", "", "UBERON:tongue")</f>
        <v>0</v>
      </c>
      <c r="I238" s="1">
        <f>IF(B238="", "", "tongue")</f>
        <v>0</v>
      </c>
      <c r="J238" s="1">
        <f>IF(B238="", "", "human oral metagenome")</f>
        <v>0</v>
      </c>
      <c r="K238" s="1">
        <f>IF(B238="", "", "447426")</f>
        <v>0</v>
      </c>
    </row>
    <row r="239" spans="1:11">
      <c r="A239">
        <f>IF(COUNTBLANK(B239:K239)&lt;&gt;COLUMNS(B239:K239),238,"")</f>
        <v>0</v>
      </c>
      <c r="C239" s="1">
        <f>IF(B239="", "", "animal secretion")</f>
        <v>0</v>
      </c>
      <c r="D239" s="1">
        <f>IF(B239="", "", "saliva")</f>
        <v>0</v>
      </c>
      <c r="E239" s="1">
        <f>IF(B239="", "", "human-oral")</f>
        <v>0</v>
      </c>
      <c r="F239" s="1">
        <f>IF(B239="", "", "UBERON:oral cavity")</f>
        <v>0</v>
      </c>
      <c r="G239" s="1">
        <f>IF(B239="", "", "UBERON:saliva")</f>
        <v>0</v>
      </c>
      <c r="H239" s="1">
        <f>IF(B239="", "", "UBERON:tongue")</f>
        <v>0</v>
      </c>
      <c r="I239" s="1">
        <f>IF(B239="", "", "tongue")</f>
        <v>0</v>
      </c>
      <c r="J239" s="1">
        <f>IF(B239="", "", "human oral metagenome")</f>
        <v>0</v>
      </c>
      <c r="K239" s="1">
        <f>IF(B239="", "", "447426")</f>
        <v>0</v>
      </c>
    </row>
    <row r="240" spans="1:11">
      <c r="A240">
        <f>IF(COUNTBLANK(B240:K240)&lt;&gt;COLUMNS(B240:K240),239,"")</f>
        <v>0</v>
      </c>
      <c r="C240" s="1">
        <f>IF(B240="", "", "animal secretion")</f>
        <v>0</v>
      </c>
      <c r="D240" s="1">
        <f>IF(B240="", "", "saliva")</f>
        <v>0</v>
      </c>
      <c r="E240" s="1">
        <f>IF(B240="", "", "human-oral")</f>
        <v>0</v>
      </c>
      <c r="F240" s="1">
        <f>IF(B240="", "", "UBERON:oral cavity")</f>
        <v>0</v>
      </c>
      <c r="G240" s="1">
        <f>IF(B240="", "", "UBERON:saliva")</f>
        <v>0</v>
      </c>
      <c r="H240" s="1">
        <f>IF(B240="", "", "UBERON:tongue")</f>
        <v>0</v>
      </c>
      <c r="I240" s="1">
        <f>IF(B240="", "", "tongue")</f>
        <v>0</v>
      </c>
      <c r="J240" s="1">
        <f>IF(B240="", "", "human oral metagenome")</f>
        <v>0</v>
      </c>
      <c r="K240" s="1">
        <f>IF(B240="", "", "447426")</f>
        <v>0</v>
      </c>
    </row>
    <row r="241" spans="1:11">
      <c r="A241">
        <f>IF(COUNTBLANK(B241:K241)&lt;&gt;COLUMNS(B241:K241),240,"")</f>
        <v>0</v>
      </c>
      <c r="C241" s="1">
        <f>IF(B241="", "", "animal secretion")</f>
        <v>0</v>
      </c>
      <c r="D241" s="1">
        <f>IF(B241="", "", "saliva")</f>
        <v>0</v>
      </c>
      <c r="E241" s="1">
        <f>IF(B241="", "", "human-oral")</f>
        <v>0</v>
      </c>
      <c r="F241" s="1">
        <f>IF(B241="", "", "UBERON:oral cavity")</f>
        <v>0</v>
      </c>
      <c r="G241" s="1">
        <f>IF(B241="", "", "UBERON:saliva")</f>
        <v>0</v>
      </c>
      <c r="H241" s="1">
        <f>IF(B241="", "", "UBERON:tongue")</f>
        <v>0</v>
      </c>
      <c r="I241" s="1">
        <f>IF(B241="", "", "tongue")</f>
        <v>0</v>
      </c>
      <c r="J241" s="1">
        <f>IF(B241="", "", "human oral metagenome")</f>
        <v>0</v>
      </c>
      <c r="K241" s="1">
        <f>IF(B241="", "", "447426")</f>
        <v>0</v>
      </c>
    </row>
    <row r="242" spans="1:11">
      <c r="A242">
        <f>IF(COUNTBLANK(B242:K242)&lt;&gt;COLUMNS(B242:K242),241,"")</f>
        <v>0</v>
      </c>
      <c r="C242" s="1">
        <f>IF(B242="", "", "animal secretion")</f>
        <v>0</v>
      </c>
      <c r="D242" s="1">
        <f>IF(B242="", "", "saliva")</f>
        <v>0</v>
      </c>
      <c r="E242" s="1">
        <f>IF(B242="", "", "human-oral")</f>
        <v>0</v>
      </c>
      <c r="F242" s="1">
        <f>IF(B242="", "", "UBERON:oral cavity")</f>
        <v>0</v>
      </c>
      <c r="G242" s="1">
        <f>IF(B242="", "", "UBERON:saliva")</f>
        <v>0</v>
      </c>
      <c r="H242" s="1">
        <f>IF(B242="", "", "UBERON:tongue")</f>
        <v>0</v>
      </c>
      <c r="I242" s="1">
        <f>IF(B242="", "", "tongue")</f>
        <v>0</v>
      </c>
      <c r="J242" s="1">
        <f>IF(B242="", "", "human oral metagenome")</f>
        <v>0</v>
      </c>
      <c r="K242" s="1">
        <f>IF(B242="", "", "447426")</f>
        <v>0</v>
      </c>
    </row>
    <row r="243" spans="1:11">
      <c r="A243">
        <f>IF(COUNTBLANK(B243:K243)&lt;&gt;COLUMNS(B243:K243),242,"")</f>
        <v>0</v>
      </c>
      <c r="C243" s="1">
        <f>IF(B243="", "", "animal secretion")</f>
        <v>0</v>
      </c>
      <c r="D243" s="1">
        <f>IF(B243="", "", "saliva")</f>
        <v>0</v>
      </c>
      <c r="E243" s="1">
        <f>IF(B243="", "", "human-oral")</f>
        <v>0</v>
      </c>
      <c r="F243" s="1">
        <f>IF(B243="", "", "UBERON:oral cavity")</f>
        <v>0</v>
      </c>
      <c r="G243" s="1">
        <f>IF(B243="", "", "UBERON:saliva")</f>
        <v>0</v>
      </c>
      <c r="H243" s="1">
        <f>IF(B243="", "", "UBERON:tongue")</f>
        <v>0</v>
      </c>
      <c r="I243" s="1">
        <f>IF(B243="", "", "tongue")</f>
        <v>0</v>
      </c>
      <c r="J243" s="1">
        <f>IF(B243="", "", "human oral metagenome")</f>
        <v>0</v>
      </c>
      <c r="K243" s="1">
        <f>IF(B243="", "", "447426")</f>
        <v>0</v>
      </c>
    </row>
    <row r="244" spans="1:11">
      <c r="A244">
        <f>IF(COUNTBLANK(B244:K244)&lt;&gt;COLUMNS(B244:K244),243,"")</f>
        <v>0</v>
      </c>
      <c r="C244" s="1">
        <f>IF(B244="", "", "animal secretion")</f>
        <v>0</v>
      </c>
      <c r="D244" s="1">
        <f>IF(B244="", "", "saliva")</f>
        <v>0</v>
      </c>
      <c r="E244" s="1">
        <f>IF(B244="", "", "human-oral")</f>
        <v>0</v>
      </c>
      <c r="F244" s="1">
        <f>IF(B244="", "", "UBERON:oral cavity")</f>
        <v>0</v>
      </c>
      <c r="G244" s="1">
        <f>IF(B244="", "", "UBERON:saliva")</f>
        <v>0</v>
      </c>
      <c r="H244" s="1">
        <f>IF(B244="", "", "UBERON:tongue")</f>
        <v>0</v>
      </c>
      <c r="I244" s="1">
        <f>IF(B244="", "", "tongue")</f>
        <v>0</v>
      </c>
      <c r="J244" s="1">
        <f>IF(B244="", "", "human oral metagenome")</f>
        <v>0</v>
      </c>
      <c r="K244" s="1">
        <f>IF(B244="", "", "447426")</f>
        <v>0</v>
      </c>
    </row>
    <row r="245" spans="1:11">
      <c r="A245">
        <f>IF(COUNTBLANK(B245:K245)&lt;&gt;COLUMNS(B245:K245),244,"")</f>
        <v>0</v>
      </c>
      <c r="C245" s="1">
        <f>IF(B245="", "", "animal secretion")</f>
        <v>0</v>
      </c>
      <c r="D245" s="1">
        <f>IF(B245="", "", "saliva")</f>
        <v>0</v>
      </c>
      <c r="E245" s="1">
        <f>IF(B245="", "", "human-oral")</f>
        <v>0</v>
      </c>
      <c r="F245" s="1">
        <f>IF(B245="", "", "UBERON:oral cavity")</f>
        <v>0</v>
      </c>
      <c r="G245" s="1">
        <f>IF(B245="", "", "UBERON:saliva")</f>
        <v>0</v>
      </c>
      <c r="H245" s="1">
        <f>IF(B245="", "", "UBERON:tongue")</f>
        <v>0</v>
      </c>
      <c r="I245" s="1">
        <f>IF(B245="", "", "tongue")</f>
        <v>0</v>
      </c>
      <c r="J245" s="1">
        <f>IF(B245="", "", "human oral metagenome")</f>
        <v>0</v>
      </c>
      <c r="K245" s="1">
        <f>IF(B245="", "", "447426")</f>
        <v>0</v>
      </c>
    </row>
    <row r="246" spans="1:11">
      <c r="A246">
        <f>IF(COUNTBLANK(B246:K246)&lt;&gt;COLUMNS(B246:K246),245,"")</f>
        <v>0</v>
      </c>
      <c r="C246" s="1">
        <f>IF(B246="", "", "animal secretion")</f>
        <v>0</v>
      </c>
      <c r="D246" s="1">
        <f>IF(B246="", "", "saliva")</f>
        <v>0</v>
      </c>
      <c r="E246" s="1">
        <f>IF(B246="", "", "human-oral")</f>
        <v>0</v>
      </c>
      <c r="F246" s="1">
        <f>IF(B246="", "", "UBERON:oral cavity")</f>
        <v>0</v>
      </c>
      <c r="G246" s="1">
        <f>IF(B246="", "", "UBERON:saliva")</f>
        <v>0</v>
      </c>
      <c r="H246" s="1">
        <f>IF(B246="", "", "UBERON:tongue")</f>
        <v>0</v>
      </c>
      <c r="I246" s="1">
        <f>IF(B246="", "", "tongue")</f>
        <v>0</v>
      </c>
      <c r="J246" s="1">
        <f>IF(B246="", "", "human oral metagenome")</f>
        <v>0</v>
      </c>
      <c r="K246" s="1">
        <f>IF(B246="", "", "447426")</f>
        <v>0</v>
      </c>
    </row>
    <row r="247" spans="1:11">
      <c r="A247">
        <f>IF(COUNTBLANK(B247:K247)&lt;&gt;COLUMNS(B247:K247),246,"")</f>
        <v>0</v>
      </c>
      <c r="C247" s="1">
        <f>IF(B247="", "", "animal secretion")</f>
        <v>0</v>
      </c>
      <c r="D247" s="1">
        <f>IF(B247="", "", "saliva")</f>
        <v>0</v>
      </c>
      <c r="E247" s="1">
        <f>IF(B247="", "", "human-oral")</f>
        <v>0</v>
      </c>
      <c r="F247" s="1">
        <f>IF(B247="", "", "UBERON:oral cavity")</f>
        <v>0</v>
      </c>
      <c r="G247" s="1">
        <f>IF(B247="", "", "UBERON:saliva")</f>
        <v>0</v>
      </c>
      <c r="H247" s="1">
        <f>IF(B247="", "", "UBERON:tongue")</f>
        <v>0</v>
      </c>
      <c r="I247" s="1">
        <f>IF(B247="", "", "tongue")</f>
        <v>0</v>
      </c>
      <c r="J247" s="1">
        <f>IF(B247="", "", "human oral metagenome")</f>
        <v>0</v>
      </c>
      <c r="K247" s="1">
        <f>IF(B247="", "", "447426")</f>
        <v>0</v>
      </c>
    </row>
    <row r="248" spans="1:11">
      <c r="A248">
        <f>IF(COUNTBLANK(B248:K248)&lt;&gt;COLUMNS(B248:K248),247,"")</f>
        <v>0</v>
      </c>
      <c r="C248" s="1">
        <f>IF(B248="", "", "animal secretion")</f>
        <v>0</v>
      </c>
      <c r="D248" s="1">
        <f>IF(B248="", "", "saliva")</f>
        <v>0</v>
      </c>
      <c r="E248" s="1">
        <f>IF(B248="", "", "human-oral")</f>
        <v>0</v>
      </c>
      <c r="F248" s="1">
        <f>IF(B248="", "", "UBERON:oral cavity")</f>
        <v>0</v>
      </c>
      <c r="G248" s="1">
        <f>IF(B248="", "", "UBERON:saliva")</f>
        <v>0</v>
      </c>
      <c r="H248" s="1">
        <f>IF(B248="", "", "UBERON:tongue")</f>
        <v>0</v>
      </c>
      <c r="I248" s="1">
        <f>IF(B248="", "", "tongue")</f>
        <v>0</v>
      </c>
      <c r="J248" s="1">
        <f>IF(B248="", "", "human oral metagenome")</f>
        <v>0</v>
      </c>
      <c r="K248" s="1">
        <f>IF(B248="", "", "447426")</f>
        <v>0</v>
      </c>
    </row>
    <row r="249" spans="1:11">
      <c r="A249">
        <f>IF(COUNTBLANK(B249:K249)&lt;&gt;COLUMNS(B249:K249),248,"")</f>
        <v>0</v>
      </c>
      <c r="C249" s="1">
        <f>IF(B249="", "", "animal secretion")</f>
        <v>0</v>
      </c>
      <c r="D249" s="1">
        <f>IF(B249="", "", "saliva")</f>
        <v>0</v>
      </c>
      <c r="E249" s="1">
        <f>IF(B249="", "", "human-oral")</f>
        <v>0</v>
      </c>
      <c r="F249" s="1">
        <f>IF(B249="", "", "UBERON:oral cavity")</f>
        <v>0</v>
      </c>
      <c r="G249" s="1">
        <f>IF(B249="", "", "UBERON:saliva")</f>
        <v>0</v>
      </c>
      <c r="H249" s="1">
        <f>IF(B249="", "", "UBERON:tongue")</f>
        <v>0</v>
      </c>
      <c r="I249" s="1">
        <f>IF(B249="", "", "tongue")</f>
        <v>0</v>
      </c>
      <c r="J249" s="1">
        <f>IF(B249="", "", "human oral metagenome")</f>
        <v>0</v>
      </c>
      <c r="K249" s="1">
        <f>IF(B249="", "", "447426")</f>
        <v>0</v>
      </c>
    </row>
    <row r="250" spans="1:11">
      <c r="A250">
        <f>IF(COUNTBLANK(B250:K250)&lt;&gt;COLUMNS(B250:K250),249,"")</f>
        <v>0</v>
      </c>
      <c r="C250" s="1">
        <f>IF(B250="", "", "animal secretion")</f>
        <v>0</v>
      </c>
      <c r="D250" s="1">
        <f>IF(B250="", "", "saliva")</f>
        <v>0</v>
      </c>
      <c r="E250" s="1">
        <f>IF(B250="", "", "human-oral")</f>
        <v>0</v>
      </c>
      <c r="F250" s="1">
        <f>IF(B250="", "", "UBERON:oral cavity")</f>
        <v>0</v>
      </c>
      <c r="G250" s="1">
        <f>IF(B250="", "", "UBERON:saliva")</f>
        <v>0</v>
      </c>
      <c r="H250" s="1">
        <f>IF(B250="", "", "UBERON:tongue")</f>
        <v>0</v>
      </c>
      <c r="I250" s="1">
        <f>IF(B250="", "", "tongue")</f>
        <v>0</v>
      </c>
      <c r="J250" s="1">
        <f>IF(B250="", "", "human oral metagenome")</f>
        <v>0</v>
      </c>
      <c r="K250" s="1">
        <f>IF(B250="", "", "447426")</f>
        <v>0</v>
      </c>
    </row>
    <row r="251" spans="1:11">
      <c r="A251">
        <f>IF(COUNTBLANK(B251:K251)&lt;&gt;COLUMNS(B251:K251),250,"")</f>
        <v>0</v>
      </c>
      <c r="C251" s="1">
        <f>IF(B251="", "", "animal secretion")</f>
        <v>0</v>
      </c>
      <c r="D251" s="1">
        <f>IF(B251="", "", "saliva")</f>
        <v>0</v>
      </c>
      <c r="E251" s="1">
        <f>IF(B251="", "", "human-oral")</f>
        <v>0</v>
      </c>
      <c r="F251" s="1">
        <f>IF(B251="", "", "UBERON:oral cavity")</f>
        <v>0</v>
      </c>
      <c r="G251" s="1">
        <f>IF(B251="", "", "UBERON:saliva")</f>
        <v>0</v>
      </c>
      <c r="H251" s="1">
        <f>IF(B251="", "", "UBERON:tongue")</f>
        <v>0</v>
      </c>
      <c r="I251" s="1">
        <f>IF(B251="", "", "tongue")</f>
        <v>0</v>
      </c>
      <c r="J251" s="1">
        <f>IF(B251="", "", "human oral metagenome")</f>
        <v>0</v>
      </c>
      <c r="K251" s="1">
        <f>IF(B251="", "", "447426")</f>
        <v>0</v>
      </c>
    </row>
    <row r="252" spans="1:11">
      <c r="A252">
        <f>IF(COUNTBLANK(B252:K252)&lt;&gt;COLUMNS(B252:K252),251,"")</f>
        <v>0</v>
      </c>
      <c r="C252" s="1">
        <f>IF(B252="", "", "animal secretion")</f>
        <v>0</v>
      </c>
      <c r="D252" s="1">
        <f>IF(B252="", "", "saliva")</f>
        <v>0</v>
      </c>
      <c r="E252" s="1">
        <f>IF(B252="", "", "human-oral")</f>
        <v>0</v>
      </c>
      <c r="F252" s="1">
        <f>IF(B252="", "", "UBERON:oral cavity")</f>
        <v>0</v>
      </c>
      <c r="G252" s="1">
        <f>IF(B252="", "", "UBERON:saliva")</f>
        <v>0</v>
      </c>
      <c r="H252" s="1">
        <f>IF(B252="", "", "UBERON:tongue")</f>
        <v>0</v>
      </c>
      <c r="I252" s="1">
        <f>IF(B252="", "", "tongue")</f>
        <v>0</v>
      </c>
      <c r="J252" s="1">
        <f>IF(B252="", "", "human oral metagenome")</f>
        <v>0</v>
      </c>
      <c r="K252" s="1">
        <f>IF(B252="", "", "447426")</f>
        <v>0</v>
      </c>
    </row>
    <row r="253" spans="1:11">
      <c r="A253">
        <f>IF(COUNTBLANK(B253:K253)&lt;&gt;COLUMNS(B253:K253),252,"")</f>
        <v>0</v>
      </c>
      <c r="C253" s="1">
        <f>IF(B253="", "", "animal secretion")</f>
        <v>0</v>
      </c>
      <c r="D253" s="1">
        <f>IF(B253="", "", "saliva")</f>
        <v>0</v>
      </c>
      <c r="E253" s="1">
        <f>IF(B253="", "", "human-oral")</f>
        <v>0</v>
      </c>
      <c r="F253" s="1">
        <f>IF(B253="", "", "UBERON:oral cavity")</f>
        <v>0</v>
      </c>
      <c r="G253" s="1">
        <f>IF(B253="", "", "UBERON:saliva")</f>
        <v>0</v>
      </c>
      <c r="H253" s="1">
        <f>IF(B253="", "", "UBERON:tongue")</f>
        <v>0</v>
      </c>
      <c r="I253" s="1">
        <f>IF(B253="", "", "tongue")</f>
        <v>0</v>
      </c>
      <c r="J253" s="1">
        <f>IF(B253="", "", "human oral metagenome")</f>
        <v>0</v>
      </c>
      <c r="K253" s="1">
        <f>IF(B253="", "", "447426")</f>
        <v>0</v>
      </c>
    </row>
    <row r="254" spans="1:11">
      <c r="A254">
        <f>IF(COUNTBLANK(B254:K254)&lt;&gt;COLUMNS(B254:K254),253,"")</f>
        <v>0</v>
      </c>
      <c r="C254" s="1">
        <f>IF(B254="", "", "animal secretion")</f>
        <v>0</v>
      </c>
      <c r="D254" s="1">
        <f>IF(B254="", "", "saliva")</f>
        <v>0</v>
      </c>
      <c r="E254" s="1">
        <f>IF(B254="", "", "human-oral")</f>
        <v>0</v>
      </c>
      <c r="F254" s="1">
        <f>IF(B254="", "", "UBERON:oral cavity")</f>
        <v>0</v>
      </c>
      <c r="G254" s="1">
        <f>IF(B254="", "", "UBERON:saliva")</f>
        <v>0</v>
      </c>
      <c r="H254" s="1">
        <f>IF(B254="", "", "UBERON:tongue")</f>
        <v>0</v>
      </c>
      <c r="I254" s="1">
        <f>IF(B254="", "", "tongue")</f>
        <v>0</v>
      </c>
      <c r="J254" s="1">
        <f>IF(B254="", "", "human oral metagenome")</f>
        <v>0</v>
      </c>
      <c r="K254" s="1">
        <f>IF(B254="", "", "447426")</f>
        <v>0</v>
      </c>
    </row>
    <row r="255" spans="1:11">
      <c r="A255">
        <f>IF(COUNTBLANK(B255:K255)&lt;&gt;COLUMNS(B255:K255),254,"")</f>
        <v>0</v>
      </c>
      <c r="C255" s="1">
        <f>IF(B255="", "", "animal secretion")</f>
        <v>0</v>
      </c>
      <c r="D255" s="1">
        <f>IF(B255="", "", "saliva")</f>
        <v>0</v>
      </c>
      <c r="E255" s="1">
        <f>IF(B255="", "", "human-oral")</f>
        <v>0</v>
      </c>
      <c r="F255" s="1">
        <f>IF(B255="", "", "UBERON:oral cavity")</f>
        <v>0</v>
      </c>
      <c r="G255" s="1">
        <f>IF(B255="", "", "UBERON:saliva")</f>
        <v>0</v>
      </c>
      <c r="H255" s="1">
        <f>IF(B255="", "", "UBERON:tongue")</f>
        <v>0</v>
      </c>
      <c r="I255" s="1">
        <f>IF(B255="", "", "tongue")</f>
        <v>0</v>
      </c>
      <c r="J255" s="1">
        <f>IF(B255="", "", "human oral metagenome")</f>
        <v>0</v>
      </c>
      <c r="K255" s="1">
        <f>IF(B255="", "", "447426")</f>
        <v>0</v>
      </c>
    </row>
    <row r="256" spans="1:11">
      <c r="A256">
        <f>IF(COUNTBLANK(B256:K256)&lt;&gt;COLUMNS(B256:K256),255,"")</f>
        <v>0</v>
      </c>
      <c r="C256" s="1">
        <f>IF(B256="", "", "animal secretion")</f>
        <v>0</v>
      </c>
      <c r="D256" s="1">
        <f>IF(B256="", "", "saliva")</f>
        <v>0</v>
      </c>
      <c r="E256" s="1">
        <f>IF(B256="", "", "human-oral")</f>
        <v>0</v>
      </c>
      <c r="F256" s="1">
        <f>IF(B256="", "", "UBERON:oral cavity")</f>
        <v>0</v>
      </c>
      <c r="G256" s="1">
        <f>IF(B256="", "", "UBERON:saliva")</f>
        <v>0</v>
      </c>
      <c r="H256" s="1">
        <f>IF(B256="", "", "UBERON:tongue")</f>
        <v>0</v>
      </c>
      <c r="I256" s="1">
        <f>IF(B256="", "", "tongue")</f>
        <v>0</v>
      </c>
      <c r="J256" s="1">
        <f>IF(B256="", "", "human oral metagenome")</f>
        <v>0</v>
      </c>
      <c r="K256" s="1">
        <f>IF(B256="", "", "447426")</f>
        <v>0</v>
      </c>
    </row>
    <row r="257" spans="1:11">
      <c r="A257">
        <f>IF(COUNTBLANK(B257:K257)&lt;&gt;COLUMNS(B257:K257),256,"")</f>
        <v>0</v>
      </c>
      <c r="C257" s="1">
        <f>IF(B257="", "", "animal secretion")</f>
        <v>0</v>
      </c>
      <c r="D257" s="1">
        <f>IF(B257="", "", "saliva")</f>
        <v>0</v>
      </c>
      <c r="E257" s="1">
        <f>IF(B257="", "", "human-oral")</f>
        <v>0</v>
      </c>
      <c r="F257" s="1">
        <f>IF(B257="", "", "UBERON:oral cavity")</f>
        <v>0</v>
      </c>
      <c r="G257" s="1">
        <f>IF(B257="", "", "UBERON:saliva")</f>
        <v>0</v>
      </c>
      <c r="H257" s="1">
        <f>IF(B257="", "", "UBERON:tongue")</f>
        <v>0</v>
      </c>
      <c r="I257" s="1">
        <f>IF(B257="", "", "tongue")</f>
        <v>0</v>
      </c>
      <c r="J257" s="1">
        <f>IF(B257="", "", "human oral metagenome")</f>
        <v>0</v>
      </c>
      <c r="K257" s="1">
        <f>IF(B257="", "", "447426")</f>
        <v>0</v>
      </c>
    </row>
    <row r="258" spans="1:11">
      <c r="A258">
        <f>IF(COUNTBLANK(B258:K258)&lt;&gt;COLUMNS(B258:K258),257,"")</f>
        <v>0</v>
      </c>
      <c r="C258" s="1">
        <f>IF(B258="", "", "animal secretion")</f>
        <v>0</v>
      </c>
      <c r="D258" s="1">
        <f>IF(B258="", "", "saliva")</f>
        <v>0</v>
      </c>
      <c r="E258" s="1">
        <f>IF(B258="", "", "human-oral")</f>
        <v>0</v>
      </c>
      <c r="F258" s="1">
        <f>IF(B258="", "", "UBERON:oral cavity")</f>
        <v>0</v>
      </c>
      <c r="G258" s="1">
        <f>IF(B258="", "", "UBERON:saliva")</f>
        <v>0</v>
      </c>
      <c r="H258" s="1">
        <f>IF(B258="", "", "UBERON:tongue")</f>
        <v>0</v>
      </c>
      <c r="I258" s="1">
        <f>IF(B258="", "", "tongue")</f>
        <v>0</v>
      </c>
      <c r="J258" s="1">
        <f>IF(B258="", "", "human oral metagenome")</f>
        <v>0</v>
      </c>
      <c r="K258" s="1">
        <f>IF(B258="", "", "447426")</f>
        <v>0</v>
      </c>
    </row>
    <row r="259" spans="1:11">
      <c r="A259">
        <f>IF(COUNTBLANK(B259:K259)&lt;&gt;COLUMNS(B259:K259),258,"")</f>
        <v>0</v>
      </c>
      <c r="C259" s="1">
        <f>IF(B259="", "", "animal secretion")</f>
        <v>0</v>
      </c>
      <c r="D259" s="1">
        <f>IF(B259="", "", "saliva")</f>
        <v>0</v>
      </c>
      <c r="E259" s="1">
        <f>IF(B259="", "", "human-oral")</f>
        <v>0</v>
      </c>
      <c r="F259" s="1">
        <f>IF(B259="", "", "UBERON:oral cavity")</f>
        <v>0</v>
      </c>
      <c r="G259" s="1">
        <f>IF(B259="", "", "UBERON:saliva")</f>
        <v>0</v>
      </c>
      <c r="H259" s="1">
        <f>IF(B259="", "", "UBERON:tongue")</f>
        <v>0</v>
      </c>
      <c r="I259" s="1">
        <f>IF(B259="", "", "tongue")</f>
        <v>0</v>
      </c>
      <c r="J259" s="1">
        <f>IF(B259="", "", "human oral metagenome")</f>
        <v>0</v>
      </c>
      <c r="K259" s="1">
        <f>IF(B259="", "", "447426")</f>
        <v>0</v>
      </c>
    </row>
    <row r="260" spans="1:11">
      <c r="A260">
        <f>IF(COUNTBLANK(B260:K260)&lt;&gt;COLUMNS(B260:K260),259,"")</f>
        <v>0</v>
      </c>
      <c r="C260" s="1">
        <f>IF(B260="", "", "animal secretion")</f>
        <v>0</v>
      </c>
      <c r="D260" s="1">
        <f>IF(B260="", "", "saliva")</f>
        <v>0</v>
      </c>
      <c r="E260" s="1">
        <f>IF(B260="", "", "human-oral")</f>
        <v>0</v>
      </c>
      <c r="F260" s="1">
        <f>IF(B260="", "", "UBERON:oral cavity")</f>
        <v>0</v>
      </c>
      <c r="G260" s="1">
        <f>IF(B260="", "", "UBERON:saliva")</f>
        <v>0</v>
      </c>
      <c r="H260" s="1">
        <f>IF(B260="", "", "UBERON:tongue")</f>
        <v>0</v>
      </c>
      <c r="I260" s="1">
        <f>IF(B260="", "", "tongue")</f>
        <v>0</v>
      </c>
      <c r="J260" s="1">
        <f>IF(B260="", "", "human oral metagenome")</f>
        <v>0</v>
      </c>
      <c r="K260" s="1">
        <f>IF(B260="", "", "447426")</f>
        <v>0</v>
      </c>
    </row>
    <row r="261" spans="1:11">
      <c r="A261">
        <f>IF(COUNTBLANK(B261:K261)&lt;&gt;COLUMNS(B261:K261),260,"")</f>
        <v>0</v>
      </c>
      <c r="C261" s="1">
        <f>IF(B261="", "", "animal secretion")</f>
        <v>0</v>
      </c>
      <c r="D261" s="1">
        <f>IF(B261="", "", "saliva")</f>
        <v>0</v>
      </c>
      <c r="E261" s="1">
        <f>IF(B261="", "", "human-oral")</f>
        <v>0</v>
      </c>
      <c r="F261" s="1">
        <f>IF(B261="", "", "UBERON:oral cavity")</f>
        <v>0</v>
      </c>
      <c r="G261" s="1">
        <f>IF(B261="", "", "UBERON:saliva")</f>
        <v>0</v>
      </c>
      <c r="H261" s="1">
        <f>IF(B261="", "", "UBERON:tongue")</f>
        <v>0</v>
      </c>
      <c r="I261" s="1">
        <f>IF(B261="", "", "tongue")</f>
        <v>0</v>
      </c>
      <c r="J261" s="1">
        <f>IF(B261="", "", "human oral metagenome")</f>
        <v>0</v>
      </c>
      <c r="K261" s="1">
        <f>IF(B261="", "", "447426")</f>
        <v>0</v>
      </c>
    </row>
    <row r="262" spans="1:11">
      <c r="A262">
        <f>IF(COUNTBLANK(B262:K262)&lt;&gt;COLUMNS(B262:K262),261,"")</f>
        <v>0</v>
      </c>
      <c r="C262" s="1">
        <f>IF(B262="", "", "animal secretion")</f>
        <v>0</v>
      </c>
      <c r="D262" s="1">
        <f>IF(B262="", "", "saliva")</f>
        <v>0</v>
      </c>
      <c r="E262" s="1">
        <f>IF(B262="", "", "human-oral")</f>
        <v>0</v>
      </c>
      <c r="F262" s="1">
        <f>IF(B262="", "", "UBERON:oral cavity")</f>
        <v>0</v>
      </c>
      <c r="G262" s="1">
        <f>IF(B262="", "", "UBERON:saliva")</f>
        <v>0</v>
      </c>
      <c r="H262" s="1">
        <f>IF(B262="", "", "UBERON:tongue")</f>
        <v>0</v>
      </c>
      <c r="I262" s="1">
        <f>IF(B262="", "", "tongue")</f>
        <v>0</v>
      </c>
      <c r="J262" s="1">
        <f>IF(B262="", "", "human oral metagenome")</f>
        <v>0</v>
      </c>
      <c r="K262" s="1">
        <f>IF(B262="", "", "447426")</f>
        <v>0</v>
      </c>
    </row>
    <row r="263" spans="1:11">
      <c r="A263">
        <f>IF(COUNTBLANK(B263:K263)&lt;&gt;COLUMNS(B263:K263),262,"")</f>
        <v>0</v>
      </c>
      <c r="C263" s="1">
        <f>IF(B263="", "", "animal secretion")</f>
        <v>0</v>
      </c>
      <c r="D263" s="1">
        <f>IF(B263="", "", "saliva")</f>
        <v>0</v>
      </c>
      <c r="E263" s="1">
        <f>IF(B263="", "", "human-oral")</f>
        <v>0</v>
      </c>
      <c r="F263" s="1">
        <f>IF(B263="", "", "UBERON:oral cavity")</f>
        <v>0</v>
      </c>
      <c r="G263" s="1">
        <f>IF(B263="", "", "UBERON:saliva")</f>
        <v>0</v>
      </c>
      <c r="H263" s="1">
        <f>IF(B263="", "", "UBERON:tongue")</f>
        <v>0</v>
      </c>
      <c r="I263" s="1">
        <f>IF(B263="", "", "tongue")</f>
        <v>0</v>
      </c>
      <c r="J263" s="1">
        <f>IF(B263="", "", "human oral metagenome")</f>
        <v>0</v>
      </c>
      <c r="K263" s="1">
        <f>IF(B263="", "", "447426")</f>
        <v>0</v>
      </c>
    </row>
    <row r="264" spans="1:11">
      <c r="A264">
        <f>IF(COUNTBLANK(B264:K264)&lt;&gt;COLUMNS(B264:K264),263,"")</f>
        <v>0</v>
      </c>
      <c r="C264" s="1">
        <f>IF(B264="", "", "animal secretion")</f>
        <v>0</v>
      </c>
      <c r="D264" s="1">
        <f>IF(B264="", "", "saliva")</f>
        <v>0</v>
      </c>
      <c r="E264" s="1">
        <f>IF(B264="", "", "human-oral")</f>
        <v>0</v>
      </c>
      <c r="F264" s="1">
        <f>IF(B264="", "", "UBERON:oral cavity")</f>
        <v>0</v>
      </c>
      <c r="G264" s="1">
        <f>IF(B264="", "", "UBERON:saliva")</f>
        <v>0</v>
      </c>
      <c r="H264" s="1">
        <f>IF(B264="", "", "UBERON:tongue")</f>
        <v>0</v>
      </c>
      <c r="I264" s="1">
        <f>IF(B264="", "", "tongue")</f>
        <v>0</v>
      </c>
      <c r="J264" s="1">
        <f>IF(B264="", "", "human oral metagenome")</f>
        <v>0</v>
      </c>
      <c r="K264" s="1">
        <f>IF(B264="", "", "447426")</f>
        <v>0</v>
      </c>
    </row>
    <row r="265" spans="1:11">
      <c r="A265">
        <f>IF(COUNTBLANK(B265:K265)&lt;&gt;COLUMNS(B265:K265),264,"")</f>
        <v>0</v>
      </c>
      <c r="C265" s="1">
        <f>IF(B265="", "", "animal secretion")</f>
        <v>0</v>
      </c>
      <c r="D265" s="1">
        <f>IF(B265="", "", "saliva")</f>
        <v>0</v>
      </c>
      <c r="E265" s="1">
        <f>IF(B265="", "", "human-oral")</f>
        <v>0</v>
      </c>
      <c r="F265" s="1">
        <f>IF(B265="", "", "UBERON:oral cavity")</f>
        <v>0</v>
      </c>
      <c r="G265" s="1">
        <f>IF(B265="", "", "UBERON:saliva")</f>
        <v>0</v>
      </c>
      <c r="H265" s="1">
        <f>IF(B265="", "", "UBERON:tongue")</f>
        <v>0</v>
      </c>
      <c r="I265" s="1">
        <f>IF(B265="", "", "tongue")</f>
        <v>0</v>
      </c>
      <c r="J265" s="1">
        <f>IF(B265="", "", "human oral metagenome")</f>
        <v>0</v>
      </c>
      <c r="K265" s="1">
        <f>IF(B265="", "", "447426")</f>
        <v>0</v>
      </c>
    </row>
    <row r="266" spans="1:11">
      <c r="A266">
        <f>IF(COUNTBLANK(B266:K266)&lt;&gt;COLUMNS(B266:K266),265,"")</f>
        <v>0</v>
      </c>
      <c r="C266" s="1">
        <f>IF(B266="", "", "animal secretion")</f>
        <v>0</v>
      </c>
      <c r="D266" s="1">
        <f>IF(B266="", "", "saliva")</f>
        <v>0</v>
      </c>
      <c r="E266" s="1">
        <f>IF(B266="", "", "human-oral")</f>
        <v>0</v>
      </c>
      <c r="F266" s="1">
        <f>IF(B266="", "", "UBERON:oral cavity")</f>
        <v>0</v>
      </c>
      <c r="G266" s="1">
        <f>IF(B266="", "", "UBERON:saliva")</f>
        <v>0</v>
      </c>
      <c r="H266" s="1">
        <f>IF(B266="", "", "UBERON:tongue")</f>
        <v>0</v>
      </c>
      <c r="I266" s="1">
        <f>IF(B266="", "", "tongue")</f>
        <v>0</v>
      </c>
      <c r="J266" s="1">
        <f>IF(B266="", "", "human oral metagenome")</f>
        <v>0</v>
      </c>
      <c r="K266" s="1">
        <f>IF(B266="", "", "447426")</f>
        <v>0</v>
      </c>
    </row>
    <row r="267" spans="1:11">
      <c r="A267">
        <f>IF(COUNTBLANK(B267:K267)&lt;&gt;COLUMNS(B267:K267),266,"")</f>
        <v>0</v>
      </c>
      <c r="C267" s="1">
        <f>IF(B267="", "", "animal secretion")</f>
        <v>0</v>
      </c>
      <c r="D267" s="1">
        <f>IF(B267="", "", "saliva")</f>
        <v>0</v>
      </c>
      <c r="E267" s="1">
        <f>IF(B267="", "", "human-oral")</f>
        <v>0</v>
      </c>
      <c r="F267" s="1">
        <f>IF(B267="", "", "UBERON:oral cavity")</f>
        <v>0</v>
      </c>
      <c r="G267" s="1">
        <f>IF(B267="", "", "UBERON:saliva")</f>
        <v>0</v>
      </c>
      <c r="H267" s="1">
        <f>IF(B267="", "", "UBERON:tongue")</f>
        <v>0</v>
      </c>
      <c r="I267" s="1">
        <f>IF(B267="", "", "tongue")</f>
        <v>0</v>
      </c>
      <c r="J267" s="1">
        <f>IF(B267="", "", "human oral metagenome")</f>
        <v>0</v>
      </c>
      <c r="K267" s="1">
        <f>IF(B267="", "", "447426")</f>
        <v>0</v>
      </c>
    </row>
    <row r="268" spans="1:11">
      <c r="A268">
        <f>IF(COUNTBLANK(B268:K268)&lt;&gt;COLUMNS(B268:K268),267,"")</f>
        <v>0</v>
      </c>
      <c r="C268" s="1">
        <f>IF(B268="", "", "animal secretion")</f>
        <v>0</v>
      </c>
      <c r="D268" s="1">
        <f>IF(B268="", "", "saliva")</f>
        <v>0</v>
      </c>
      <c r="E268" s="1">
        <f>IF(B268="", "", "human-oral")</f>
        <v>0</v>
      </c>
      <c r="F268" s="1">
        <f>IF(B268="", "", "UBERON:oral cavity")</f>
        <v>0</v>
      </c>
      <c r="G268" s="1">
        <f>IF(B268="", "", "UBERON:saliva")</f>
        <v>0</v>
      </c>
      <c r="H268" s="1">
        <f>IF(B268="", "", "UBERON:tongue")</f>
        <v>0</v>
      </c>
      <c r="I268" s="1">
        <f>IF(B268="", "", "tongue")</f>
        <v>0</v>
      </c>
      <c r="J268" s="1">
        <f>IF(B268="", "", "human oral metagenome")</f>
        <v>0</v>
      </c>
      <c r="K268" s="1">
        <f>IF(B268="", "", "447426")</f>
        <v>0</v>
      </c>
    </row>
    <row r="269" spans="1:11">
      <c r="A269">
        <f>IF(COUNTBLANK(B269:K269)&lt;&gt;COLUMNS(B269:K269),268,"")</f>
        <v>0</v>
      </c>
      <c r="C269" s="1">
        <f>IF(B269="", "", "animal secretion")</f>
        <v>0</v>
      </c>
      <c r="D269" s="1">
        <f>IF(B269="", "", "saliva")</f>
        <v>0</v>
      </c>
      <c r="E269" s="1">
        <f>IF(B269="", "", "human-oral")</f>
        <v>0</v>
      </c>
      <c r="F269" s="1">
        <f>IF(B269="", "", "UBERON:oral cavity")</f>
        <v>0</v>
      </c>
      <c r="G269" s="1">
        <f>IF(B269="", "", "UBERON:saliva")</f>
        <v>0</v>
      </c>
      <c r="H269" s="1">
        <f>IF(B269="", "", "UBERON:tongue")</f>
        <v>0</v>
      </c>
      <c r="I269" s="1">
        <f>IF(B269="", "", "tongue")</f>
        <v>0</v>
      </c>
      <c r="J269" s="1">
        <f>IF(B269="", "", "human oral metagenome")</f>
        <v>0</v>
      </c>
      <c r="K269" s="1">
        <f>IF(B269="", "", "447426")</f>
        <v>0</v>
      </c>
    </row>
    <row r="270" spans="1:11">
      <c r="A270">
        <f>IF(COUNTBLANK(B270:K270)&lt;&gt;COLUMNS(B270:K270),269,"")</f>
        <v>0</v>
      </c>
      <c r="C270" s="1">
        <f>IF(B270="", "", "animal secretion")</f>
        <v>0</v>
      </c>
      <c r="D270" s="1">
        <f>IF(B270="", "", "saliva")</f>
        <v>0</v>
      </c>
      <c r="E270" s="1">
        <f>IF(B270="", "", "human-oral")</f>
        <v>0</v>
      </c>
      <c r="F270" s="1">
        <f>IF(B270="", "", "UBERON:oral cavity")</f>
        <v>0</v>
      </c>
      <c r="G270" s="1">
        <f>IF(B270="", "", "UBERON:saliva")</f>
        <v>0</v>
      </c>
      <c r="H270" s="1">
        <f>IF(B270="", "", "UBERON:tongue")</f>
        <v>0</v>
      </c>
      <c r="I270" s="1">
        <f>IF(B270="", "", "tongue")</f>
        <v>0</v>
      </c>
      <c r="J270" s="1">
        <f>IF(B270="", "", "human oral metagenome")</f>
        <v>0</v>
      </c>
      <c r="K270" s="1">
        <f>IF(B270="", "", "447426")</f>
        <v>0</v>
      </c>
    </row>
    <row r="271" spans="1:11">
      <c r="A271">
        <f>IF(COUNTBLANK(B271:K271)&lt;&gt;COLUMNS(B271:K271),270,"")</f>
        <v>0</v>
      </c>
      <c r="C271" s="1">
        <f>IF(B271="", "", "animal secretion")</f>
        <v>0</v>
      </c>
      <c r="D271" s="1">
        <f>IF(B271="", "", "saliva")</f>
        <v>0</v>
      </c>
      <c r="E271" s="1">
        <f>IF(B271="", "", "human-oral")</f>
        <v>0</v>
      </c>
      <c r="F271" s="1">
        <f>IF(B271="", "", "UBERON:oral cavity")</f>
        <v>0</v>
      </c>
      <c r="G271" s="1">
        <f>IF(B271="", "", "UBERON:saliva")</f>
        <v>0</v>
      </c>
      <c r="H271" s="1">
        <f>IF(B271="", "", "UBERON:tongue")</f>
        <v>0</v>
      </c>
      <c r="I271" s="1">
        <f>IF(B271="", "", "tongue")</f>
        <v>0</v>
      </c>
      <c r="J271" s="1">
        <f>IF(B271="", "", "human oral metagenome")</f>
        <v>0</v>
      </c>
      <c r="K271" s="1">
        <f>IF(B271="", "", "447426")</f>
        <v>0</v>
      </c>
    </row>
    <row r="272" spans="1:11">
      <c r="A272">
        <f>IF(COUNTBLANK(B272:K272)&lt;&gt;COLUMNS(B272:K272),271,"")</f>
        <v>0</v>
      </c>
      <c r="C272" s="1">
        <f>IF(B272="", "", "animal secretion")</f>
        <v>0</v>
      </c>
      <c r="D272" s="1">
        <f>IF(B272="", "", "saliva")</f>
        <v>0</v>
      </c>
      <c r="E272" s="1">
        <f>IF(B272="", "", "human-oral")</f>
        <v>0</v>
      </c>
      <c r="F272" s="1">
        <f>IF(B272="", "", "UBERON:oral cavity")</f>
        <v>0</v>
      </c>
      <c r="G272" s="1">
        <f>IF(B272="", "", "UBERON:saliva")</f>
        <v>0</v>
      </c>
      <c r="H272" s="1">
        <f>IF(B272="", "", "UBERON:tongue")</f>
        <v>0</v>
      </c>
      <c r="I272" s="1">
        <f>IF(B272="", "", "tongue")</f>
        <v>0</v>
      </c>
      <c r="J272" s="1">
        <f>IF(B272="", "", "human oral metagenome")</f>
        <v>0</v>
      </c>
      <c r="K272" s="1">
        <f>IF(B272="", "", "447426")</f>
        <v>0</v>
      </c>
    </row>
    <row r="273" spans="1:11">
      <c r="A273">
        <f>IF(COUNTBLANK(B273:K273)&lt;&gt;COLUMNS(B273:K273),272,"")</f>
        <v>0</v>
      </c>
      <c r="C273" s="1">
        <f>IF(B273="", "", "animal secretion")</f>
        <v>0</v>
      </c>
      <c r="D273" s="1">
        <f>IF(B273="", "", "saliva")</f>
        <v>0</v>
      </c>
      <c r="E273" s="1">
        <f>IF(B273="", "", "human-oral")</f>
        <v>0</v>
      </c>
      <c r="F273" s="1">
        <f>IF(B273="", "", "UBERON:oral cavity")</f>
        <v>0</v>
      </c>
      <c r="G273" s="1">
        <f>IF(B273="", "", "UBERON:saliva")</f>
        <v>0</v>
      </c>
      <c r="H273" s="1">
        <f>IF(B273="", "", "UBERON:tongue")</f>
        <v>0</v>
      </c>
      <c r="I273" s="1">
        <f>IF(B273="", "", "tongue")</f>
        <v>0</v>
      </c>
      <c r="J273" s="1">
        <f>IF(B273="", "", "human oral metagenome")</f>
        <v>0</v>
      </c>
      <c r="K273" s="1">
        <f>IF(B273="", "", "447426")</f>
        <v>0</v>
      </c>
    </row>
    <row r="274" spans="1:11">
      <c r="A274">
        <f>IF(COUNTBLANK(B274:K274)&lt;&gt;COLUMNS(B274:K274),273,"")</f>
        <v>0</v>
      </c>
      <c r="C274" s="1">
        <f>IF(B274="", "", "animal secretion")</f>
        <v>0</v>
      </c>
      <c r="D274" s="1">
        <f>IF(B274="", "", "saliva")</f>
        <v>0</v>
      </c>
      <c r="E274" s="1">
        <f>IF(B274="", "", "human-oral")</f>
        <v>0</v>
      </c>
      <c r="F274" s="1">
        <f>IF(B274="", "", "UBERON:oral cavity")</f>
        <v>0</v>
      </c>
      <c r="G274" s="1">
        <f>IF(B274="", "", "UBERON:saliva")</f>
        <v>0</v>
      </c>
      <c r="H274" s="1">
        <f>IF(B274="", "", "UBERON:tongue")</f>
        <v>0</v>
      </c>
      <c r="I274" s="1">
        <f>IF(B274="", "", "tongue")</f>
        <v>0</v>
      </c>
      <c r="J274" s="1">
        <f>IF(B274="", "", "human oral metagenome")</f>
        <v>0</v>
      </c>
      <c r="K274" s="1">
        <f>IF(B274="", "", "447426")</f>
        <v>0</v>
      </c>
    </row>
    <row r="275" spans="1:11">
      <c r="A275">
        <f>IF(COUNTBLANK(B275:K275)&lt;&gt;COLUMNS(B275:K275),274,"")</f>
        <v>0</v>
      </c>
      <c r="C275" s="1">
        <f>IF(B275="", "", "animal secretion")</f>
        <v>0</v>
      </c>
      <c r="D275" s="1">
        <f>IF(B275="", "", "saliva")</f>
        <v>0</v>
      </c>
      <c r="E275" s="1">
        <f>IF(B275="", "", "human-oral")</f>
        <v>0</v>
      </c>
      <c r="F275" s="1">
        <f>IF(B275="", "", "UBERON:oral cavity")</f>
        <v>0</v>
      </c>
      <c r="G275" s="1">
        <f>IF(B275="", "", "UBERON:saliva")</f>
        <v>0</v>
      </c>
      <c r="H275" s="1">
        <f>IF(B275="", "", "UBERON:tongue")</f>
        <v>0</v>
      </c>
      <c r="I275" s="1">
        <f>IF(B275="", "", "tongue")</f>
        <v>0</v>
      </c>
      <c r="J275" s="1">
        <f>IF(B275="", "", "human oral metagenome")</f>
        <v>0</v>
      </c>
      <c r="K275" s="1">
        <f>IF(B275="", "", "447426")</f>
        <v>0</v>
      </c>
    </row>
    <row r="276" spans="1:11">
      <c r="A276">
        <f>IF(COUNTBLANK(B276:K276)&lt;&gt;COLUMNS(B276:K276),275,"")</f>
        <v>0</v>
      </c>
      <c r="C276" s="1">
        <f>IF(B276="", "", "animal secretion")</f>
        <v>0</v>
      </c>
      <c r="D276" s="1">
        <f>IF(B276="", "", "saliva")</f>
        <v>0</v>
      </c>
      <c r="E276" s="1">
        <f>IF(B276="", "", "human-oral")</f>
        <v>0</v>
      </c>
      <c r="F276" s="1">
        <f>IF(B276="", "", "UBERON:oral cavity")</f>
        <v>0</v>
      </c>
      <c r="G276" s="1">
        <f>IF(B276="", "", "UBERON:saliva")</f>
        <v>0</v>
      </c>
      <c r="H276" s="1">
        <f>IF(B276="", "", "UBERON:tongue")</f>
        <v>0</v>
      </c>
      <c r="I276" s="1">
        <f>IF(B276="", "", "tongue")</f>
        <v>0</v>
      </c>
      <c r="J276" s="1">
        <f>IF(B276="", "", "human oral metagenome")</f>
        <v>0</v>
      </c>
      <c r="K276" s="1">
        <f>IF(B276="", "", "447426")</f>
        <v>0</v>
      </c>
    </row>
    <row r="277" spans="1:11">
      <c r="A277">
        <f>IF(COUNTBLANK(B277:K277)&lt;&gt;COLUMNS(B277:K277),276,"")</f>
        <v>0</v>
      </c>
      <c r="C277" s="1">
        <f>IF(B277="", "", "animal secretion")</f>
        <v>0</v>
      </c>
      <c r="D277" s="1">
        <f>IF(B277="", "", "saliva")</f>
        <v>0</v>
      </c>
      <c r="E277" s="1">
        <f>IF(B277="", "", "human-oral")</f>
        <v>0</v>
      </c>
      <c r="F277" s="1">
        <f>IF(B277="", "", "UBERON:oral cavity")</f>
        <v>0</v>
      </c>
      <c r="G277" s="1">
        <f>IF(B277="", "", "UBERON:saliva")</f>
        <v>0</v>
      </c>
      <c r="H277" s="1">
        <f>IF(B277="", "", "UBERON:tongue")</f>
        <v>0</v>
      </c>
      <c r="I277" s="1">
        <f>IF(B277="", "", "tongue")</f>
        <v>0</v>
      </c>
      <c r="J277" s="1">
        <f>IF(B277="", "", "human oral metagenome")</f>
        <v>0</v>
      </c>
      <c r="K277" s="1">
        <f>IF(B277="", "", "447426")</f>
        <v>0</v>
      </c>
    </row>
    <row r="278" spans="1:11">
      <c r="A278">
        <f>IF(COUNTBLANK(B278:K278)&lt;&gt;COLUMNS(B278:K278),277,"")</f>
        <v>0</v>
      </c>
      <c r="C278" s="1">
        <f>IF(B278="", "", "animal secretion")</f>
        <v>0</v>
      </c>
      <c r="D278" s="1">
        <f>IF(B278="", "", "saliva")</f>
        <v>0</v>
      </c>
      <c r="E278" s="1">
        <f>IF(B278="", "", "human-oral")</f>
        <v>0</v>
      </c>
      <c r="F278" s="1">
        <f>IF(B278="", "", "UBERON:oral cavity")</f>
        <v>0</v>
      </c>
      <c r="G278" s="1">
        <f>IF(B278="", "", "UBERON:saliva")</f>
        <v>0</v>
      </c>
      <c r="H278" s="1">
        <f>IF(B278="", "", "UBERON:tongue")</f>
        <v>0</v>
      </c>
      <c r="I278" s="1">
        <f>IF(B278="", "", "tongue")</f>
        <v>0</v>
      </c>
      <c r="J278" s="1">
        <f>IF(B278="", "", "human oral metagenome")</f>
        <v>0</v>
      </c>
      <c r="K278" s="1">
        <f>IF(B278="", "", "447426")</f>
        <v>0</v>
      </c>
    </row>
    <row r="279" spans="1:11">
      <c r="A279">
        <f>IF(COUNTBLANK(B279:K279)&lt;&gt;COLUMNS(B279:K279),278,"")</f>
        <v>0</v>
      </c>
      <c r="C279" s="1">
        <f>IF(B279="", "", "animal secretion")</f>
        <v>0</v>
      </c>
      <c r="D279" s="1">
        <f>IF(B279="", "", "saliva")</f>
        <v>0</v>
      </c>
      <c r="E279" s="1">
        <f>IF(B279="", "", "human-oral")</f>
        <v>0</v>
      </c>
      <c r="F279" s="1">
        <f>IF(B279="", "", "UBERON:oral cavity")</f>
        <v>0</v>
      </c>
      <c r="G279" s="1">
        <f>IF(B279="", "", "UBERON:saliva")</f>
        <v>0</v>
      </c>
      <c r="H279" s="1">
        <f>IF(B279="", "", "UBERON:tongue")</f>
        <v>0</v>
      </c>
      <c r="I279" s="1">
        <f>IF(B279="", "", "tongue")</f>
        <v>0</v>
      </c>
      <c r="J279" s="1">
        <f>IF(B279="", "", "human oral metagenome")</f>
        <v>0</v>
      </c>
      <c r="K279" s="1">
        <f>IF(B279="", "", "447426")</f>
        <v>0</v>
      </c>
    </row>
    <row r="280" spans="1:11">
      <c r="A280">
        <f>IF(COUNTBLANK(B280:K280)&lt;&gt;COLUMNS(B280:K280),279,"")</f>
        <v>0</v>
      </c>
      <c r="C280" s="1">
        <f>IF(B280="", "", "animal secretion")</f>
        <v>0</v>
      </c>
      <c r="D280" s="1">
        <f>IF(B280="", "", "saliva")</f>
        <v>0</v>
      </c>
      <c r="E280" s="1">
        <f>IF(B280="", "", "human-oral")</f>
        <v>0</v>
      </c>
      <c r="F280" s="1">
        <f>IF(B280="", "", "UBERON:oral cavity")</f>
        <v>0</v>
      </c>
      <c r="G280" s="1">
        <f>IF(B280="", "", "UBERON:saliva")</f>
        <v>0</v>
      </c>
      <c r="H280" s="1">
        <f>IF(B280="", "", "UBERON:tongue")</f>
        <v>0</v>
      </c>
      <c r="I280" s="1">
        <f>IF(B280="", "", "tongue")</f>
        <v>0</v>
      </c>
      <c r="J280" s="1">
        <f>IF(B280="", "", "human oral metagenome")</f>
        <v>0</v>
      </c>
      <c r="K280" s="1">
        <f>IF(B280="", "", "447426")</f>
        <v>0</v>
      </c>
    </row>
    <row r="281" spans="1:11">
      <c r="A281">
        <f>IF(COUNTBLANK(B281:K281)&lt;&gt;COLUMNS(B281:K281),280,"")</f>
        <v>0</v>
      </c>
      <c r="C281" s="1">
        <f>IF(B281="", "", "animal secretion")</f>
        <v>0</v>
      </c>
      <c r="D281" s="1">
        <f>IF(B281="", "", "saliva")</f>
        <v>0</v>
      </c>
      <c r="E281" s="1">
        <f>IF(B281="", "", "human-oral")</f>
        <v>0</v>
      </c>
      <c r="F281" s="1">
        <f>IF(B281="", "", "UBERON:oral cavity")</f>
        <v>0</v>
      </c>
      <c r="G281" s="1">
        <f>IF(B281="", "", "UBERON:saliva")</f>
        <v>0</v>
      </c>
      <c r="H281" s="1">
        <f>IF(B281="", "", "UBERON:tongue")</f>
        <v>0</v>
      </c>
      <c r="I281" s="1">
        <f>IF(B281="", "", "tongue")</f>
        <v>0</v>
      </c>
      <c r="J281" s="1">
        <f>IF(B281="", "", "human oral metagenome")</f>
        <v>0</v>
      </c>
      <c r="K281" s="1">
        <f>IF(B281="", "", "447426")</f>
        <v>0</v>
      </c>
    </row>
    <row r="282" spans="1:11">
      <c r="A282">
        <f>IF(COUNTBLANK(B282:K282)&lt;&gt;COLUMNS(B282:K282),281,"")</f>
        <v>0</v>
      </c>
      <c r="C282" s="1">
        <f>IF(B282="", "", "animal secretion")</f>
        <v>0</v>
      </c>
      <c r="D282" s="1">
        <f>IF(B282="", "", "saliva")</f>
        <v>0</v>
      </c>
      <c r="E282" s="1">
        <f>IF(B282="", "", "human-oral")</f>
        <v>0</v>
      </c>
      <c r="F282" s="1">
        <f>IF(B282="", "", "UBERON:oral cavity")</f>
        <v>0</v>
      </c>
      <c r="G282" s="1">
        <f>IF(B282="", "", "UBERON:saliva")</f>
        <v>0</v>
      </c>
      <c r="H282" s="1">
        <f>IF(B282="", "", "UBERON:tongue")</f>
        <v>0</v>
      </c>
      <c r="I282" s="1">
        <f>IF(B282="", "", "tongue")</f>
        <v>0</v>
      </c>
      <c r="J282" s="1">
        <f>IF(B282="", "", "human oral metagenome")</f>
        <v>0</v>
      </c>
      <c r="K282" s="1">
        <f>IF(B282="", "", "447426")</f>
        <v>0</v>
      </c>
    </row>
    <row r="283" spans="1:11">
      <c r="A283">
        <f>IF(COUNTBLANK(B283:K283)&lt;&gt;COLUMNS(B283:K283),282,"")</f>
        <v>0</v>
      </c>
      <c r="C283" s="1">
        <f>IF(B283="", "", "animal secretion")</f>
        <v>0</v>
      </c>
      <c r="D283" s="1">
        <f>IF(B283="", "", "saliva")</f>
        <v>0</v>
      </c>
      <c r="E283" s="1">
        <f>IF(B283="", "", "human-oral")</f>
        <v>0</v>
      </c>
      <c r="F283" s="1">
        <f>IF(B283="", "", "UBERON:oral cavity")</f>
        <v>0</v>
      </c>
      <c r="G283" s="1">
        <f>IF(B283="", "", "UBERON:saliva")</f>
        <v>0</v>
      </c>
      <c r="H283" s="1">
        <f>IF(B283="", "", "UBERON:tongue")</f>
        <v>0</v>
      </c>
      <c r="I283" s="1">
        <f>IF(B283="", "", "tongue")</f>
        <v>0</v>
      </c>
      <c r="J283" s="1">
        <f>IF(B283="", "", "human oral metagenome")</f>
        <v>0</v>
      </c>
      <c r="K283" s="1">
        <f>IF(B283="", "", "447426")</f>
        <v>0</v>
      </c>
    </row>
    <row r="284" spans="1:11">
      <c r="A284">
        <f>IF(COUNTBLANK(B284:K284)&lt;&gt;COLUMNS(B284:K284),283,"")</f>
        <v>0</v>
      </c>
      <c r="C284" s="1">
        <f>IF(B284="", "", "animal secretion")</f>
        <v>0</v>
      </c>
      <c r="D284" s="1">
        <f>IF(B284="", "", "saliva")</f>
        <v>0</v>
      </c>
      <c r="E284" s="1">
        <f>IF(B284="", "", "human-oral")</f>
        <v>0</v>
      </c>
      <c r="F284" s="1">
        <f>IF(B284="", "", "UBERON:oral cavity")</f>
        <v>0</v>
      </c>
      <c r="G284" s="1">
        <f>IF(B284="", "", "UBERON:saliva")</f>
        <v>0</v>
      </c>
      <c r="H284" s="1">
        <f>IF(B284="", "", "UBERON:tongue")</f>
        <v>0</v>
      </c>
      <c r="I284" s="1">
        <f>IF(B284="", "", "tongue")</f>
        <v>0</v>
      </c>
      <c r="J284" s="1">
        <f>IF(B284="", "", "human oral metagenome")</f>
        <v>0</v>
      </c>
      <c r="K284" s="1">
        <f>IF(B284="", "", "447426")</f>
        <v>0</v>
      </c>
    </row>
    <row r="285" spans="1:11">
      <c r="A285">
        <f>IF(COUNTBLANK(B285:K285)&lt;&gt;COLUMNS(B285:K285),284,"")</f>
        <v>0</v>
      </c>
      <c r="C285" s="1">
        <f>IF(B285="", "", "animal secretion")</f>
        <v>0</v>
      </c>
      <c r="D285" s="1">
        <f>IF(B285="", "", "saliva")</f>
        <v>0</v>
      </c>
      <c r="E285" s="1">
        <f>IF(B285="", "", "human-oral")</f>
        <v>0</v>
      </c>
      <c r="F285" s="1">
        <f>IF(B285="", "", "UBERON:oral cavity")</f>
        <v>0</v>
      </c>
      <c r="G285" s="1">
        <f>IF(B285="", "", "UBERON:saliva")</f>
        <v>0</v>
      </c>
      <c r="H285" s="1">
        <f>IF(B285="", "", "UBERON:tongue")</f>
        <v>0</v>
      </c>
      <c r="I285" s="1">
        <f>IF(B285="", "", "tongue")</f>
        <v>0</v>
      </c>
      <c r="J285" s="1">
        <f>IF(B285="", "", "human oral metagenome")</f>
        <v>0</v>
      </c>
      <c r="K285" s="1">
        <f>IF(B285="", "", "447426")</f>
        <v>0</v>
      </c>
    </row>
    <row r="286" spans="1:11">
      <c r="A286">
        <f>IF(COUNTBLANK(B286:K286)&lt;&gt;COLUMNS(B286:K286),285,"")</f>
        <v>0</v>
      </c>
      <c r="C286" s="1">
        <f>IF(B286="", "", "animal secretion")</f>
        <v>0</v>
      </c>
      <c r="D286" s="1">
        <f>IF(B286="", "", "saliva")</f>
        <v>0</v>
      </c>
      <c r="E286" s="1">
        <f>IF(B286="", "", "human-oral")</f>
        <v>0</v>
      </c>
      <c r="F286" s="1">
        <f>IF(B286="", "", "UBERON:oral cavity")</f>
        <v>0</v>
      </c>
      <c r="G286" s="1">
        <f>IF(B286="", "", "UBERON:saliva")</f>
        <v>0</v>
      </c>
      <c r="H286" s="1">
        <f>IF(B286="", "", "UBERON:tongue")</f>
        <v>0</v>
      </c>
      <c r="I286" s="1">
        <f>IF(B286="", "", "tongue")</f>
        <v>0</v>
      </c>
      <c r="J286" s="1">
        <f>IF(B286="", "", "human oral metagenome")</f>
        <v>0</v>
      </c>
      <c r="K286" s="1">
        <f>IF(B286="", "", "447426")</f>
        <v>0</v>
      </c>
    </row>
    <row r="287" spans="1:11">
      <c r="A287">
        <f>IF(COUNTBLANK(B287:K287)&lt;&gt;COLUMNS(B287:K287),286,"")</f>
        <v>0</v>
      </c>
      <c r="C287" s="1">
        <f>IF(B287="", "", "animal secretion")</f>
        <v>0</v>
      </c>
      <c r="D287" s="1">
        <f>IF(B287="", "", "saliva")</f>
        <v>0</v>
      </c>
      <c r="E287" s="1">
        <f>IF(B287="", "", "human-oral")</f>
        <v>0</v>
      </c>
      <c r="F287" s="1">
        <f>IF(B287="", "", "UBERON:oral cavity")</f>
        <v>0</v>
      </c>
      <c r="G287" s="1">
        <f>IF(B287="", "", "UBERON:saliva")</f>
        <v>0</v>
      </c>
      <c r="H287" s="1">
        <f>IF(B287="", "", "UBERON:tongue")</f>
        <v>0</v>
      </c>
      <c r="I287" s="1">
        <f>IF(B287="", "", "tongue")</f>
        <v>0</v>
      </c>
      <c r="J287" s="1">
        <f>IF(B287="", "", "human oral metagenome")</f>
        <v>0</v>
      </c>
      <c r="K287" s="1">
        <f>IF(B287="", "", "447426")</f>
        <v>0</v>
      </c>
    </row>
    <row r="288" spans="1:11">
      <c r="A288">
        <f>IF(COUNTBLANK(B288:K288)&lt;&gt;COLUMNS(B288:K288),287,"")</f>
        <v>0</v>
      </c>
      <c r="C288" s="1">
        <f>IF(B288="", "", "animal secretion")</f>
        <v>0</v>
      </c>
      <c r="D288" s="1">
        <f>IF(B288="", "", "saliva")</f>
        <v>0</v>
      </c>
      <c r="E288" s="1">
        <f>IF(B288="", "", "human-oral")</f>
        <v>0</v>
      </c>
      <c r="F288" s="1">
        <f>IF(B288="", "", "UBERON:oral cavity")</f>
        <v>0</v>
      </c>
      <c r="G288" s="1">
        <f>IF(B288="", "", "UBERON:saliva")</f>
        <v>0</v>
      </c>
      <c r="H288" s="1">
        <f>IF(B288="", "", "UBERON:tongue")</f>
        <v>0</v>
      </c>
      <c r="I288" s="1">
        <f>IF(B288="", "", "tongue")</f>
        <v>0</v>
      </c>
      <c r="J288" s="1">
        <f>IF(B288="", "", "human oral metagenome")</f>
        <v>0</v>
      </c>
      <c r="K288" s="1">
        <f>IF(B288="", "", "447426")</f>
        <v>0</v>
      </c>
    </row>
    <row r="289" spans="1:11">
      <c r="A289">
        <f>IF(COUNTBLANK(B289:K289)&lt;&gt;COLUMNS(B289:K289),288,"")</f>
        <v>0</v>
      </c>
      <c r="C289" s="1">
        <f>IF(B289="", "", "animal secretion")</f>
        <v>0</v>
      </c>
      <c r="D289" s="1">
        <f>IF(B289="", "", "saliva")</f>
        <v>0</v>
      </c>
      <c r="E289" s="1">
        <f>IF(B289="", "", "human-oral")</f>
        <v>0</v>
      </c>
      <c r="F289" s="1">
        <f>IF(B289="", "", "UBERON:oral cavity")</f>
        <v>0</v>
      </c>
      <c r="G289" s="1">
        <f>IF(B289="", "", "UBERON:saliva")</f>
        <v>0</v>
      </c>
      <c r="H289" s="1">
        <f>IF(B289="", "", "UBERON:tongue")</f>
        <v>0</v>
      </c>
      <c r="I289" s="1">
        <f>IF(B289="", "", "tongue")</f>
        <v>0</v>
      </c>
      <c r="J289" s="1">
        <f>IF(B289="", "", "human oral metagenome")</f>
        <v>0</v>
      </c>
      <c r="K289" s="1">
        <f>IF(B289="", "", "447426")</f>
        <v>0</v>
      </c>
    </row>
    <row r="290" spans="1:11">
      <c r="A290">
        <f>IF(COUNTBLANK(B290:K290)&lt;&gt;COLUMNS(B290:K290),289,"")</f>
        <v>0</v>
      </c>
      <c r="C290" s="1">
        <f>IF(B290="", "", "animal secretion")</f>
        <v>0</v>
      </c>
      <c r="D290" s="1">
        <f>IF(B290="", "", "saliva")</f>
        <v>0</v>
      </c>
      <c r="E290" s="1">
        <f>IF(B290="", "", "human-oral")</f>
        <v>0</v>
      </c>
      <c r="F290" s="1">
        <f>IF(B290="", "", "UBERON:oral cavity")</f>
        <v>0</v>
      </c>
      <c r="G290" s="1">
        <f>IF(B290="", "", "UBERON:saliva")</f>
        <v>0</v>
      </c>
      <c r="H290" s="1">
        <f>IF(B290="", "", "UBERON:tongue")</f>
        <v>0</v>
      </c>
      <c r="I290" s="1">
        <f>IF(B290="", "", "tongue")</f>
        <v>0</v>
      </c>
      <c r="J290" s="1">
        <f>IF(B290="", "", "human oral metagenome")</f>
        <v>0</v>
      </c>
      <c r="K290" s="1">
        <f>IF(B290="", "", "447426")</f>
        <v>0</v>
      </c>
    </row>
    <row r="291" spans="1:11">
      <c r="A291">
        <f>IF(COUNTBLANK(B291:K291)&lt;&gt;COLUMNS(B291:K291),290,"")</f>
        <v>0</v>
      </c>
      <c r="C291" s="1">
        <f>IF(B291="", "", "animal secretion")</f>
        <v>0</v>
      </c>
      <c r="D291" s="1">
        <f>IF(B291="", "", "saliva")</f>
        <v>0</v>
      </c>
      <c r="E291" s="1">
        <f>IF(B291="", "", "human-oral")</f>
        <v>0</v>
      </c>
      <c r="F291" s="1">
        <f>IF(B291="", "", "UBERON:oral cavity")</f>
        <v>0</v>
      </c>
      <c r="G291" s="1">
        <f>IF(B291="", "", "UBERON:saliva")</f>
        <v>0</v>
      </c>
      <c r="H291" s="1">
        <f>IF(B291="", "", "UBERON:tongue")</f>
        <v>0</v>
      </c>
      <c r="I291" s="1">
        <f>IF(B291="", "", "tongue")</f>
        <v>0</v>
      </c>
      <c r="J291" s="1">
        <f>IF(B291="", "", "human oral metagenome")</f>
        <v>0</v>
      </c>
      <c r="K291" s="1">
        <f>IF(B291="", "", "447426")</f>
        <v>0</v>
      </c>
    </row>
    <row r="292" spans="1:11">
      <c r="A292">
        <f>IF(COUNTBLANK(B292:K292)&lt;&gt;COLUMNS(B292:K292),291,"")</f>
        <v>0</v>
      </c>
      <c r="C292" s="1">
        <f>IF(B292="", "", "animal secretion")</f>
        <v>0</v>
      </c>
      <c r="D292" s="1">
        <f>IF(B292="", "", "saliva")</f>
        <v>0</v>
      </c>
      <c r="E292" s="1">
        <f>IF(B292="", "", "human-oral")</f>
        <v>0</v>
      </c>
      <c r="F292" s="1">
        <f>IF(B292="", "", "UBERON:oral cavity")</f>
        <v>0</v>
      </c>
      <c r="G292" s="1">
        <f>IF(B292="", "", "UBERON:saliva")</f>
        <v>0</v>
      </c>
      <c r="H292" s="1">
        <f>IF(B292="", "", "UBERON:tongue")</f>
        <v>0</v>
      </c>
      <c r="I292" s="1">
        <f>IF(B292="", "", "tongue")</f>
        <v>0</v>
      </c>
      <c r="J292" s="1">
        <f>IF(B292="", "", "human oral metagenome")</f>
        <v>0</v>
      </c>
      <c r="K292" s="1">
        <f>IF(B292="", "", "447426")</f>
        <v>0</v>
      </c>
    </row>
    <row r="293" spans="1:11">
      <c r="A293">
        <f>IF(COUNTBLANK(B293:K293)&lt;&gt;COLUMNS(B293:K293),292,"")</f>
        <v>0</v>
      </c>
      <c r="C293" s="1">
        <f>IF(B293="", "", "animal secretion")</f>
        <v>0</v>
      </c>
      <c r="D293" s="1">
        <f>IF(B293="", "", "saliva")</f>
        <v>0</v>
      </c>
      <c r="E293" s="1">
        <f>IF(B293="", "", "human-oral")</f>
        <v>0</v>
      </c>
      <c r="F293" s="1">
        <f>IF(B293="", "", "UBERON:oral cavity")</f>
        <v>0</v>
      </c>
      <c r="G293" s="1">
        <f>IF(B293="", "", "UBERON:saliva")</f>
        <v>0</v>
      </c>
      <c r="H293" s="1">
        <f>IF(B293="", "", "UBERON:tongue")</f>
        <v>0</v>
      </c>
      <c r="I293" s="1">
        <f>IF(B293="", "", "tongue")</f>
        <v>0</v>
      </c>
      <c r="J293" s="1">
        <f>IF(B293="", "", "human oral metagenome")</f>
        <v>0</v>
      </c>
      <c r="K293" s="1">
        <f>IF(B293="", "", "447426")</f>
        <v>0</v>
      </c>
    </row>
    <row r="294" spans="1:11">
      <c r="A294">
        <f>IF(COUNTBLANK(B294:K294)&lt;&gt;COLUMNS(B294:K294),293,"")</f>
        <v>0</v>
      </c>
      <c r="C294" s="1">
        <f>IF(B294="", "", "animal secretion")</f>
        <v>0</v>
      </c>
      <c r="D294" s="1">
        <f>IF(B294="", "", "saliva")</f>
        <v>0</v>
      </c>
      <c r="E294" s="1">
        <f>IF(B294="", "", "human-oral")</f>
        <v>0</v>
      </c>
      <c r="F294" s="1">
        <f>IF(B294="", "", "UBERON:oral cavity")</f>
        <v>0</v>
      </c>
      <c r="G294" s="1">
        <f>IF(B294="", "", "UBERON:saliva")</f>
        <v>0</v>
      </c>
      <c r="H294" s="1">
        <f>IF(B294="", "", "UBERON:tongue")</f>
        <v>0</v>
      </c>
      <c r="I294" s="1">
        <f>IF(B294="", "", "tongue")</f>
        <v>0</v>
      </c>
      <c r="J294" s="1">
        <f>IF(B294="", "", "human oral metagenome")</f>
        <v>0</v>
      </c>
      <c r="K294" s="1">
        <f>IF(B294="", "", "447426")</f>
        <v>0</v>
      </c>
    </row>
    <row r="295" spans="1:11">
      <c r="A295">
        <f>IF(COUNTBLANK(B295:K295)&lt;&gt;COLUMNS(B295:K295),294,"")</f>
        <v>0</v>
      </c>
      <c r="C295" s="1">
        <f>IF(B295="", "", "animal secretion")</f>
        <v>0</v>
      </c>
      <c r="D295" s="1">
        <f>IF(B295="", "", "saliva")</f>
        <v>0</v>
      </c>
      <c r="E295" s="1">
        <f>IF(B295="", "", "human-oral")</f>
        <v>0</v>
      </c>
      <c r="F295" s="1">
        <f>IF(B295="", "", "UBERON:oral cavity")</f>
        <v>0</v>
      </c>
      <c r="G295" s="1">
        <f>IF(B295="", "", "UBERON:saliva")</f>
        <v>0</v>
      </c>
      <c r="H295" s="1">
        <f>IF(B295="", "", "UBERON:tongue")</f>
        <v>0</v>
      </c>
      <c r="I295" s="1">
        <f>IF(B295="", "", "tongue")</f>
        <v>0</v>
      </c>
      <c r="J295" s="1">
        <f>IF(B295="", "", "human oral metagenome")</f>
        <v>0</v>
      </c>
      <c r="K295" s="1">
        <f>IF(B295="", "", "447426")</f>
        <v>0</v>
      </c>
    </row>
    <row r="296" spans="1:11">
      <c r="A296">
        <f>IF(COUNTBLANK(B296:K296)&lt;&gt;COLUMNS(B296:K296),295,"")</f>
        <v>0</v>
      </c>
      <c r="C296" s="1">
        <f>IF(B296="", "", "animal secretion")</f>
        <v>0</v>
      </c>
      <c r="D296" s="1">
        <f>IF(B296="", "", "saliva")</f>
        <v>0</v>
      </c>
      <c r="E296" s="1">
        <f>IF(B296="", "", "human-oral")</f>
        <v>0</v>
      </c>
      <c r="F296" s="1">
        <f>IF(B296="", "", "UBERON:oral cavity")</f>
        <v>0</v>
      </c>
      <c r="G296" s="1">
        <f>IF(B296="", "", "UBERON:saliva")</f>
        <v>0</v>
      </c>
      <c r="H296" s="1">
        <f>IF(B296="", "", "UBERON:tongue")</f>
        <v>0</v>
      </c>
      <c r="I296" s="1">
        <f>IF(B296="", "", "tongue")</f>
        <v>0</v>
      </c>
      <c r="J296" s="1">
        <f>IF(B296="", "", "human oral metagenome")</f>
        <v>0</v>
      </c>
      <c r="K296" s="1">
        <f>IF(B296="", "", "447426")</f>
        <v>0</v>
      </c>
    </row>
    <row r="297" spans="1:11">
      <c r="A297">
        <f>IF(COUNTBLANK(B297:K297)&lt;&gt;COLUMNS(B297:K297),296,"")</f>
        <v>0</v>
      </c>
      <c r="C297" s="1">
        <f>IF(B297="", "", "animal secretion")</f>
        <v>0</v>
      </c>
      <c r="D297" s="1">
        <f>IF(B297="", "", "saliva")</f>
        <v>0</v>
      </c>
      <c r="E297" s="1">
        <f>IF(B297="", "", "human-oral")</f>
        <v>0</v>
      </c>
      <c r="F297" s="1">
        <f>IF(B297="", "", "UBERON:oral cavity")</f>
        <v>0</v>
      </c>
      <c r="G297" s="1">
        <f>IF(B297="", "", "UBERON:saliva")</f>
        <v>0</v>
      </c>
      <c r="H297" s="1">
        <f>IF(B297="", "", "UBERON:tongue")</f>
        <v>0</v>
      </c>
      <c r="I297" s="1">
        <f>IF(B297="", "", "tongue")</f>
        <v>0</v>
      </c>
      <c r="J297" s="1">
        <f>IF(B297="", "", "human oral metagenome")</f>
        <v>0</v>
      </c>
      <c r="K297" s="1">
        <f>IF(B297="", "", "447426")</f>
        <v>0</v>
      </c>
    </row>
    <row r="298" spans="1:11">
      <c r="A298">
        <f>IF(COUNTBLANK(B298:K298)&lt;&gt;COLUMNS(B298:K298),297,"")</f>
        <v>0</v>
      </c>
      <c r="C298" s="1">
        <f>IF(B298="", "", "animal secretion")</f>
        <v>0</v>
      </c>
      <c r="D298" s="1">
        <f>IF(B298="", "", "saliva")</f>
        <v>0</v>
      </c>
      <c r="E298" s="1">
        <f>IF(B298="", "", "human-oral")</f>
        <v>0</v>
      </c>
      <c r="F298" s="1">
        <f>IF(B298="", "", "UBERON:oral cavity")</f>
        <v>0</v>
      </c>
      <c r="G298" s="1">
        <f>IF(B298="", "", "UBERON:saliva")</f>
        <v>0</v>
      </c>
      <c r="H298" s="1">
        <f>IF(B298="", "", "UBERON:tongue")</f>
        <v>0</v>
      </c>
      <c r="I298" s="1">
        <f>IF(B298="", "", "tongue")</f>
        <v>0</v>
      </c>
      <c r="J298" s="1">
        <f>IF(B298="", "", "human oral metagenome")</f>
        <v>0</v>
      </c>
      <c r="K298" s="1">
        <f>IF(B298="", "", "447426")</f>
        <v>0</v>
      </c>
    </row>
    <row r="299" spans="1:11">
      <c r="A299">
        <f>IF(COUNTBLANK(B299:K299)&lt;&gt;COLUMNS(B299:K299),298,"")</f>
        <v>0</v>
      </c>
      <c r="C299" s="1">
        <f>IF(B299="", "", "animal secretion")</f>
        <v>0</v>
      </c>
      <c r="D299" s="1">
        <f>IF(B299="", "", "saliva")</f>
        <v>0</v>
      </c>
      <c r="E299" s="1">
        <f>IF(B299="", "", "human-oral")</f>
        <v>0</v>
      </c>
      <c r="F299" s="1">
        <f>IF(B299="", "", "UBERON:oral cavity")</f>
        <v>0</v>
      </c>
      <c r="G299" s="1">
        <f>IF(B299="", "", "UBERON:saliva")</f>
        <v>0</v>
      </c>
      <c r="H299" s="1">
        <f>IF(B299="", "", "UBERON:tongue")</f>
        <v>0</v>
      </c>
      <c r="I299" s="1">
        <f>IF(B299="", "", "tongue")</f>
        <v>0</v>
      </c>
      <c r="J299" s="1">
        <f>IF(B299="", "", "human oral metagenome")</f>
        <v>0</v>
      </c>
      <c r="K299" s="1">
        <f>IF(B299="", "", "447426")</f>
        <v>0</v>
      </c>
    </row>
    <row r="300" spans="1:11">
      <c r="A300">
        <f>IF(COUNTBLANK(B300:K300)&lt;&gt;COLUMNS(B300:K300),299,"")</f>
        <v>0</v>
      </c>
      <c r="C300" s="1">
        <f>IF(B300="", "", "animal secretion")</f>
        <v>0</v>
      </c>
      <c r="D300" s="1">
        <f>IF(B300="", "", "saliva")</f>
        <v>0</v>
      </c>
      <c r="E300" s="1">
        <f>IF(B300="", "", "human-oral")</f>
        <v>0</v>
      </c>
      <c r="F300" s="1">
        <f>IF(B300="", "", "UBERON:oral cavity")</f>
        <v>0</v>
      </c>
      <c r="G300" s="1">
        <f>IF(B300="", "", "UBERON:saliva")</f>
        <v>0</v>
      </c>
      <c r="H300" s="1">
        <f>IF(B300="", "", "UBERON:tongue")</f>
        <v>0</v>
      </c>
      <c r="I300" s="1">
        <f>IF(B300="", "", "tongue")</f>
        <v>0</v>
      </c>
      <c r="J300" s="1">
        <f>IF(B300="", "", "human oral metagenome")</f>
        <v>0</v>
      </c>
      <c r="K300" s="1">
        <f>IF(B300="", "", "447426")</f>
        <v>0</v>
      </c>
    </row>
    <row r="301" spans="1:11">
      <c r="A301">
        <f>IF(COUNTBLANK(B301:K301)&lt;&gt;COLUMNS(B301:K301),300,"")</f>
        <v>0</v>
      </c>
      <c r="C301" s="1">
        <f>IF(B301="", "", "animal secretion")</f>
        <v>0</v>
      </c>
      <c r="D301" s="1">
        <f>IF(B301="", "", "saliva")</f>
        <v>0</v>
      </c>
      <c r="E301" s="1">
        <f>IF(B301="", "", "human-oral")</f>
        <v>0</v>
      </c>
      <c r="F301" s="1">
        <f>IF(B301="", "", "UBERON:oral cavity")</f>
        <v>0</v>
      </c>
      <c r="G301" s="1">
        <f>IF(B301="", "", "UBERON:saliva")</f>
        <v>0</v>
      </c>
      <c r="H301" s="1">
        <f>IF(B301="", "", "UBERON:tongue")</f>
        <v>0</v>
      </c>
      <c r="I301" s="1">
        <f>IF(B301="", "", "tongue")</f>
        <v>0</v>
      </c>
      <c r="J301" s="1">
        <f>IF(B301="", "", "human oral metagenome")</f>
        <v>0</v>
      </c>
      <c r="K301" s="1">
        <f>IF(B301="", "", "447426")</f>
        <v>0</v>
      </c>
    </row>
    <row r="302" spans="1:11">
      <c r="A302">
        <f>IF(COUNTBLANK(B302:K302)&lt;&gt;COLUMNS(B302:K302),301,"")</f>
        <v>0</v>
      </c>
      <c r="C302" s="1">
        <f>IF(B302="", "", "animal secretion")</f>
        <v>0</v>
      </c>
      <c r="D302" s="1">
        <f>IF(B302="", "", "saliva")</f>
        <v>0</v>
      </c>
      <c r="E302" s="1">
        <f>IF(B302="", "", "human-oral")</f>
        <v>0</v>
      </c>
      <c r="F302" s="1">
        <f>IF(B302="", "", "UBERON:oral cavity")</f>
        <v>0</v>
      </c>
      <c r="G302" s="1">
        <f>IF(B302="", "", "UBERON:saliva")</f>
        <v>0</v>
      </c>
      <c r="H302" s="1">
        <f>IF(B302="", "", "UBERON:tongue")</f>
        <v>0</v>
      </c>
      <c r="I302" s="1">
        <f>IF(B302="", "", "tongue")</f>
        <v>0</v>
      </c>
      <c r="J302" s="1">
        <f>IF(B302="", "", "human oral metagenome")</f>
        <v>0</v>
      </c>
      <c r="K302" s="1">
        <f>IF(B302="", "", "447426")</f>
        <v>0</v>
      </c>
    </row>
    <row r="303" spans="1:11">
      <c r="A303">
        <f>IF(COUNTBLANK(B303:K303)&lt;&gt;COLUMNS(B303:K303),302,"")</f>
        <v>0</v>
      </c>
      <c r="C303" s="1">
        <f>IF(B303="", "", "animal secretion")</f>
        <v>0</v>
      </c>
      <c r="D303" s="1">
        <f>IF(B303="", "", "saliva")</f>
        <v>0</v>
      </c>
      <c r="E303" s="1">
        <f>IF(B303="", "", "human-oral")</f>
        <v>0</v>
      </c>
      <c r="F303" s="1">
        <f>IF(B303="", "", "UBERON:oral cavity")</f>
        <v>0</v>
      </c>
      <c r="G303" s="1">
        <f>IF(B303="", "", "UBERON:saliva")</f>
        <v>0</v>
      </c>
      <c r="H303" s="1">
        <f>IF(B303="", "", "UBERON:tongue")</f>
        <v>0</v>
      </c>
      <c r="I303" s="1">
        <f>IF(B303="", "", "tongue")</f>
        <v>0</v>
      </c>
      <c r="J303" s="1">
        <f>IF(B303="", "", "human oral metagenome")</f>
        <v>0</v>
      </c>
      <c r="K303" s="1">
        <f>IF(B303="", "", "447426")</f>
        <v>0</v>
      </c>
    </row>
    <row r="304" spans="1:11">
      <c r="A304">
        <f>IF(COUNTBLANK(B304:K304)&lt;&gt;COLUMNS(B304:K304),303,"")</f>
        <v>0</v>
      </c>
      <c r="C304" s="1">
        <f>IF(B304="", "", "animal secretion")</f>
        <v>0</v>
      </c>
      <c r="D304" s="1">
        <f>IF(B304="", "", "saliva")</f>
        <v>0</v>
      </c>
      <c r="E304" s="1">
        <f>IF(B304="", "", "human-oral")</f>
        <v>0</v>
      </c>
      <c r="F304" s="1">
        <f>IF(B304="", "", "UBERON:oral cavity")</f>
        <v>0</v>
      </c>
      <c r="G304" s="1">
        <f>IF(B304="", "", "UBERON:saliva")</f>
        <v>0</v>
      </c>
      <c r="H304" s="1">
        <f>IF(B304="", "", "UBERON:tongue")</f>
        <v>0</v>
      </c>
      <c r="I304" s="1">
        <f>IF(B304="", "", "tongue")</f>
        <v>0</v>
      </c>
      <c r="J304" s="1">
        <f>IF(B304="", "", "human oral metagenome")</f>
        <v>0</v>
      </c>
      <c r="K304" s="1">
        <f>IF(B304="", "", "447426")</f>
        <v>0</v>
      </c>
    </row>
    <row r="305" spans="1:11">
      <c r="A305">
        <f>IF(COUNTBLANK(B305:K305)&lt;&gt;COLUMNS(B305:K305),304,"")</f>
        <v>0</v>
      </c>
      <c r="C305" s="1">
        <f>IF(B305="", "", "animal secretion")</f>
        <v>0</v>
      </c>
      <c r="D305" s="1">
        <f>IF(B305="", "", "saliva")</f>
        <v>0</v>
      </c>
      <c r="E305" s="1">
        <f>IF(B305="", "", "human-oral")</f>
        <v>0</v>
      </c>
      <c r="F305" s="1">
        <f>IF(B305="", "", "UBERON:oral cavity")</f>
        <v>0</v>
      </c>
      <c r="G305" s="1">
        <f>IF(B305="", "", "UBERON:saliva")</f>
        <v>0</v>
      </c>
      <c r="H305" s="1">
        <f>IF(B305="", "", "UBERON:tongue")</f>
        <v>0</v>
      </c>
      <c r="I305" s="1">
        <f>IF(B305="", "", "tongue")</f>
        <v>0</v>
      </c>
      <c r="J305" s="1">
        <f>IF(B305="", "", "human oral metagenome")</f>
        <v>0</v>
      </c>
      <c r="K305" s="1">
        <f>IF(B305="", "", "447426")</f>
        <v>0</v>
      </c>
    </row>
    <row r="306" spans="1:11">
      <c r="A306">
        <f>IF(COUNTBLANK(B306:K306)&lt;&gt;COLUMNS(B306:K306),305,"")</f>
        <v>0</v>
      </c>
      <c r="C306" s="1">
        <f>IF(B306="", "", "animal secretion")</f>
        <v>0</v>
      </c>
      <c r="D306" s="1">
        <f>IF(B306="", "", "saliva")</f>
        <v>0</v>
      </c>
      <c r="E306" s="1">
        <f>IF(B306="", "", "human-oral")</f>
        <v>0</v>
      </c>
      <c r="F306" s="1">
        <f>IF(B306="", "", "UBERON:oral cavity")</f>
        <v>0</v>
      </c>
      <c r="G306" s="1">
        <f>IF(B306="", "", "UBERON:saliva")</f>
        <v>0</v>
      </c>
      <c r="H306" s="1">
        <f>IF(B306="", "", "UBERON:tongue")</f>
        <v>0</v>
      </c>
      <c r="I306" s="1">
        <f>IF(B306="", "", "tongue")</f>
        <v>0</v>
      </c>
      <c r="J306" s="1">
        <f>IF(B306="", "", "human oral metagenome")</f>
        <v>0</v>
      </c>
      <c r="K306" s="1">
        <f>IF(B306="", "", "447426")</f>
        <v>0</v>
      </c>
    </row>
    <row r="307" spans="1:11">
      <c r="A307">
        <f>IF(COUNTBLANK(B307:K307)&lt;&gt;COLUMNS(B307:K307),306,"")</f>
        <v>0</v>
      </c>
      <c r="C307" s="1">
        <f>IF(B307="", "", "animal secretion")</f>
        <v>0</v>
      </c>
      <c r="D307" s="1">
        <f>IF(B307="", "", "saliva")</f>
        <v>0</v>
      </c>
      <c r="E307" s="1">
        <f>IF(B307="", "", "human-oral")</f>
        <v>0</v>
      </c>
      <c r="F307" s="1">
        <f>IF(B307="", "", "UBERON:oral cavity")</f>
        <v>0</v>
      </c>
      <c r="G307" s="1">
        <f>IF(B307="", "", "UBERON:saliva")</f>
        <v>0</v>
      </c>
      <c r="H307" s="1">
        <f>IF(B307="", "", "UBERON:tongue")</f>
        <v>0</v>
      </c>
      <c r="I307" s="1">
        <f>IF(B307="", "", "tongue")</f>
        <v>0</v>
      </c>
      <c r="J307" s="1">
        <f>IF(B307="", "", "human oral metagenome")</f>
        <v>0</v>
      </c>
      <c r="K307" s="1">
        <f>IF(B307="", "", "447426")</f>
        <v>0</v>
      </c>
    </row>
    <row r="308" spans="1:11">
      <c r="A308">
        <f>IF(COUNTBLANK(B308:K308)&lt;&gt;COLUMNS(B308:K308),307,"")</f>
        <v>0</v>
      </c>
      <c r="C308" s="1">
        <f>IF(B308="", "", "animal secretion")</f>
        <v>0</v>
      </c>
      <c r="D308" s="1">
        <f>IF(B308="", "", "saliva")</f>
        <v>0</v>
      </c>
      <c r="E308" s="1">
        <f>IF(B308="", "", "human-oral")</f>
        <v>0</v>
      </c>
      <c r="F308" s="1">
        <f>IF(B308="", "", "UBERON:oral cavity")</f>
        <v>0</v>
      </c>
      <c r="G308" s="1">
        <f>IF(B308="", "", "UBERON:saliva")</f>
        <v>0</v>
      </c>
      <c r="H308" s="1">
        <f>IF(B308="", "", "UBERON:tongue")</f>
        <v>0</v>
      </c>
      <c r="I308" s="1">
        <f>IF(B308="", "", "tongue")</f>
        <v>0</v>
      </c>
      <c r="J308" s="1">
        <f>IF(B308="", "", "human oral metagenome")</f>
        <v>0</v>
      </c>
      <c r="K308" s="1">
        <f>IF(B308="", "", "447426")</f>
        <v>0</v>
      </c>
    </row>
    <row r="309" spans="1:11">
      <c r="A309">
        <f>IF(COUNTBLANK(B309:K309)&lt;&gt;COLUMNS(B309:K309),308,"")</f>
        <v>0</v>
      </c>
      <c r="C309" s="1">
        <f>IF(B309="", "", "animal secretion")</f>
        <v>0</v>
      </c>
      <c r="D309" s="1">
        <f>IF(B309="", "", "saliva")</f>
        <v>0</v>
      </c>
      <c r="E309" s="1">
        <f>IF(B309="", "", "human-oral")</f>
        <v>0</v>
      </c>
      <c r="F309" s="1">
        <f>IF(B309="", "", "UBERON:oral cavity")</f>
        <v>0</v>
      </c>
      <c r="G309" s="1">
        <f>IF(B309="", "", "UBERON:saliva")</f>
        <v>0</v>
      </c>
      <c r="H309" s="1">
        <f>IF(B309="", "", "UBERON:tongue")</f>
        <v>0</v>
      </c>
      <c r="I309" s="1">
        <f>IF(B309="", "", "tongue")</f>
        <v>0</v>
      </c>
      <c r="J309" s="1">
        <f>IF(B309="", "", "human oral metagenome")</f>
        <v>0</v>
      </c>
      <c r="K309" s="1">
        <f>IF(B309="", "", "447426")</f>
        <v>0</v>
      </c>
    </row>
    <row r="310" spans="1:11">
      <c r="A310">
        <f>IF(COUNTBLANK(B310:K310)&lt;&gt;COLUMNS(B310:K310),309,"")</f>
        <v>0</v>
      </c>
      <c r="C310" s="1">
        <f>IF(B310="", "", "animal secretion")</f>
        <v>0</v>
      </c>
      <c r="D310" s="1">
        <f>IF(B310="", "", "saliva")</f>
        <v>0</v>
      </c>
      <c r="E310" s="1">
        <f>IF(B310="", "", "human-oral")</f>
        <v>0</v>
      </c>
      <c r="F310" s="1">
        <f>IF(B310="", "", "UBERON:oral cavity")</f>
        <v>0</v>
      </c>
      <c r="G310" s="1">
        <f>IF(B310="", "", "UBERON:saliva")</f>
        <v>0</v>
      </c>
      <c r="H310" s="1">
        <f>IF(B310="", "", "UBERON:tongue")</f>
        <v>0</v>
      </c>
      <c r="I310" s="1">
        <f>IF(B310="", "", "tongue")</f>
        <v>0</v>
      </c>
      <c r="J310" s="1">
        <f>IF(B310="", "", "human oral metagenome")</f>
        <v>0</v>
      </c>
      <c r="K310" s="1">
        <f>IF(B310="", "", "447426")</f>
        <v>0</v>
      </c>
    </row>
    <row r="311" spans="1:11">
      <c r="A311">
        <f>IF(COUNTBLANK(B311:K311)&lt;&gt;COLUMNS(B311:K311),310,"")</f>
        <v>0</v>
      </c>
      <c r="C311" s="1">
        <f>IF(B311="", "", "animal secretion")</f>
        <v>0</v>
      </c>
      <c r="D311" s="1">
        <f>IF(B311="", "", "saliva")</f>
        <v>0</v>
      </c>
      <c r="E311" s="1">
        <f>IF(B311="", "", "human-oral")</f>
        <v>0</v>
      </c>
      <c r="F311" s="1">
        <f>IF(B311="", "", "UBERON:oral cavity")</f>
        <v>0</v>
      </c>
      <c r="G311" s="1">
        <f>IF(B311="", "", "UBERON:saliva")</f>
        <v>0</v>
      </c>
      <c r="H311" s="1">
        <f>IF(B311="", "", "UBERON:tongue")</f>
        <v>0</v>
      </c>
      <c r="I311" s="1">
        <f>IF(B311="", "", "tongue")</f>
        <v>0</v>
      </c>
      <c r="J311" s="1">
        <f>IF(B311="", "", "human oral metagenome")</f>
        <v>0</v>
      </c>
      <c r="K311" s="1">
        <f>IF(B311="", "", "447426")</f>
        <v>0</v>
      </c>
    </row>
    <row r="312" spans="1:11">
      <c r="A312">
        <f>IF(COUNTBLANK(B312:K312)&lt;&gt;COLUMNS(B312:K312),311,"")</f>
        <v>0</v>
      </c>
      <c r="C312" s="1">
        <f>IF(B312="", "", "animal secretion")</f>
        <v>0</v>
      </c>
      <c r="D312" s="1">
        <f>IF(B312="", "", "saliva")</f>
        <v>0</v>
      </c>
      <c r="E312" s="1">
        <f>IF(B312="", "", "human-oral")</f>
        <v>0</v>
      </c>
      <c r="F312" s="1">
        <f>IF(B312="", "", "UBERON:oral cavity")</f>
        <v>0</v>
      </c>
      <c r="G312" s="1">
        <f>IF(B312="", "", "UBERON:saliva")</f>
        <v>0</v>
      </c>
      <c r="H312" s="1">
        <f>IF(B312="", "", "UBERON:tongue")</f>
        <v>0</v>
      </c>
      <c r="I312" s="1">
        <f>IF(B312="", "", "tongue")</f>
        <v>0</v>
      </c>
      <c r="J312" s="1">
        <f>IF(B312="", "", "human oral metagenome")</f>
        <v>0</v>
      </c>
      <c r="K312" s="1">
        <f>IF(B312="", "", "447426")</f>
        <v>0</v>
      </c>
    </row>
    <row r="313" spans="1:11">
      <c r="A313">
        <f>IF(COUNTBLANK(B313:K313)&lt;&gt;COLUMNS(B313:K313),312,"")</f>
        <v>0</v>
      </c>
      <c r="C313" s="1">
        <f>IF(B313="", "", "animal secretion")</f>
        <v>0</v>
      </c>
      <c r="D313" s="1">
        <f>IF(B313="", "", "saliva")</f>
        <v>0</v>
      </c>
      <c r="E313" s="1">
        <f>IF(B313="", "", "human-oral")</f>
        <v>0</v>
      </c>
      <c r="F313" s="1">
        <f>IF(B313="", "", "UBERON:oral cavity")</f>
        <v>0</v>
      </c>
      <c r="G313" s="1">
        <f>IF(B313="", "", "UBERON:saliva")</f>
        <v>0</v>
      </c>
      <c r="H313" s="1">
        <f>IF(B313="", "", "UBERON:tongue")</f>
        <v>0</v>
      </c>
      <c r="I313" s="1">
        <f>IF(B313="", "", "tongue")</f>
        <v>0</v>
      </c>
      <c r="J313" s="1">
        <f>IF(B313="", "", "human oral metagenome")</f>
        <v>0</v>
      </c>
      <c r="K313" s="1">
        <f>IF(B313="", "", "447426")</f>
        <v>0</v>
      </c>
    </row>
    <row r="314" spans="1:11">
      <c r="A314">
        <f>IF(COUNTBLANK(B314:K314)&lt;&gt;COLUMNS(B314:K314),313,"")</f>
        <v>0</v>
      </c>
      <c r="C314" s="1">
        <f>IF(B314="", "", "animal secretion")</f>
        <v>0</v>
      </c>
      <c r="D314" s="1">
        <f>IF(B314="", "", "saliva")</f>
        <v>0</v>
      </c>
      <c r="E314" s="1">
        <f>IF(B314="", "", "human-oral")</f>
        <v>0</v>
      </c>
      <c r="F314" s="1">
        <f>IF(B314="", "", "UBERON:oral cavity")</f>
        <v>0</v>
      </c>
      <c r="G314" s="1">
        <f>IF(B314="", "", "UBERON:saliva")</f>
        <v>0</v>
      </c>
      <c r="H314" s="1">
        <f>IF(B314="", "", "UBERON:tongue")</f>
        <v>0</v>
      </c>
      <c r="I314" s="1">
        <f>IF(B314="", "", "tongue")</f>
        <v>0</v>
      </c>
      <c r="J314" s="1">
        <f>IF(B314="", "", "human oral metagenome")</f>
        <v>0</v>
      </c>
      <c r="K314" s="1">
        <f>IF(B314="", "", "447426")</f>
        <v>0</v>
      </c>
    </row>
    <row r="315" spans="1:11">
      <c r="A315">
        <f>IF(COUNTBLANK(B315:K315)&lt;&gt;COLUMNS(B315:K315),314,"")</f>
        <v>0</v>
      </c>
      <c r="C315" s="1">
        <f>IF(B315="", "", "animal secretion")</f>
        <v>0</v>
      </c>
      <c r="D315" s="1">
        <f>IF(B315="", "", "saliva")</f>
        <v>0</v>
      </c>
      <c r="E315" s="1">
        <f>IF(B315="", "", "human-oral")</f>
        <v>0</v>
      </c>
      <c r="F315" s="1">
        <f>IF(B315="", "", "UBERON:oral cavity")</f>
        <v>0</v>
      </c>
      <c r="G315" s="1">
        <f>IF(B315="", "", "UBERON:saliva")</f>
        <v>0</v>
      </c>
      <c r="H315" s="1">
        <f>IF(B315="", "", "UBERON:tongue")</f>
        <v>0</v>
      </c>
      <c r="I315" s="1">
        <f>IF(B315="", "", "tongue")</f>
        <v>0</v>
      </c>
      <c r="J315" s="1">
        <f>IF(B315="", "", "human oral metagenome")</f>
        <v>0</v>
      </c>
      <c r="K315" s="1">
        <f>IF(B315="", "", "447426")</f>
        <v>0</v>
      </c>
    </row>
    <row r="316" spans="1:11">
      <c r="A316">
        <f>IF(COUNTBLANK(B316:K316)&lt;&gt;COLUMNS(B316:K316),315,"")</f>
        <v>0</v>
      </c>
      <c r="C316" s="1">
        <f>IF(B316="", "", "animal secretion")</f>
        <v>0</v>
      </c>
      <c r="D316" s="1">
        <f>IF(B316="", "", "saliva")</f>
        <v>0</v>
      </c>
      <c r="E316" s="1">
        <f>IF(B316="", "", "human-oral")</f>
        <v>0</v>
      </c>
      <c r="F316" s="1">
        <f>IF(B316="", "", "UBERON:oral cavity")</f>
        <v>0</v>
      </c>
      <c r="G316" s="1">
        <f>IF(B316="", "", "UBERON:saliva")</f>
        <v>0</v>
      </c>
      <c r="H316" s="1">
        <f>IF(B316="", "", "UBERON:tongue")</f>
        <v>0</v>
      </c>
      <c r="I316" s="1">
        <f>IF(B316="", "", "tongue")</f>
        <v>0</v>
      </c>
      <c r="J316" s="1">
        <f>IF(B316="", "", "human oral metagenome")</f>
        <v>0</v>
      </c>
      <c r="K316" s="1">
        <f>IF(B316="", "", "447426")</f>
        <v>0</v>
      </c>
    </row>
    <row r="317" spans="1:11">
      <c r="A317">
        <f>IF(COUNTBLANK(B317:K317)&lt;&gt;COLUMNS(B317:K317),316,"")</f>
        <v>0</v>
      </c>
      <c r="C317" s="1">
        <f>IF(B317="", "", "animal secretion")</f>
        <v>0</v>
      </c>
      <c r="D317" s="1">
        <f>IF(B317="", "", "saliva")</f>
        <v>0</v>
      </c>
      <c r="E317" s="1">
        <f>IF(B317="", "", "human-oral")</f>
        <v>0</v>
      </c>
      <c r="F317" s="1">
        <f>IF(B317="", "", "UBERON:oral cavity")</f>
        <v>0</v>
      </c>
      <c r="G317" s="1">
        <f>IF(B317="", "", "UBERON:saliva")</f>
        <v>0</v>
      </c>
      <c r="H317" s="1">
        <f>IF(B317="", "", "UBERON:tongue")</f>
        <v>0</v>
      </c>
      <c r="I317" s="1">
        <f>IF(B317="", "", "tongue")</f>
        <v>0</v>
      </c>
      <c r="J317" s="1">
        <f>IF(B317="", "", "human oral metagenome")</f>
        <v>0</v>
      </c>
      <c r="K317" s="1">
        <f>IF(B317="", "", "447426")</f>
        <v>0</v>
      </c>
    </row>
    <row r="318" spans="1:11">
      <c r="A318">
        <f>IF(COUNTBLANK(B318:K318)&lt;&gt;COLUMNS(B318:K318),317,"")</f>
        <v>0</v>
      </c>
      <c r="C318" s="1">
        <f>IF(B318="", "", "animal secretion")</f>
        <v>0</v>
      </c>
      <c r="D318" s="1">
        <f>IF(B318="", "", "saliva")</f>
        <v>0</v>
      </c>
      <c r="E318" s="1">
        <f>IF(B318="", "", "human-oral")</f>
        <v>0</v>
      </c>
      <c r="F318" s="1">
        <f>IF(B318="", "", "UBERON:oral cavity")</f>
        <v>0</v>
      </c>
      <c r="G318" s="1">
        <f>IF(B318="", "", "UBERON:saliva")</f>
        <v>0</v>
      </c>
      <c r="H318" s="1">
        <f>IF(B318="", "", "UBERON:tongue")</f>
        <v>0</v>
      </c>
      <c r="I318" s="1">
        <f>IF(B318="", "", "tongue")</f>
        <v>0</v>
      </c>
      <c r="J318" s="1">
        <f>IF(B318="", "", "human oral metagenome")</f>
        <v>0</v>
      </c>
      <c r="K318" s="1">
        <f>IF(B318="", "", "447426")</f>
        <v>0</v>
      </c>
    </row>
    <row r="319" spans="1:11">
      <c r="A319">
        <f>IF(COUNTBLANK(B319:K319)&lt;&gt;COLUMNS(B319:K319),318,"")</f>
        <v>0</v>
      </c>
      <c r="C319" s="1">
        <f>IF(B319="", "", "animal secretion")</f>
        <v>0</v>
      </c>
      <c r="D319" s="1">
        <f>IF(B319="", "", "saliva")</f>
        <v>0</v>
      </c>
      <c r="E319" s="1">
        <f>IF(B319="", "", "human-oral")</f>
        <v>0</v>
      </c>
      <c r="F319" s="1">
        <f>IF(B319="", "", "UBERON:oral cavity")</f>
        <v>0</v>
      </c>
      <c r="G319" s="1">
        <f>IF(B319="", "", "UBERON:saliva")</f>
        <v>0</v>
      </c>
      <c r="H319" s="1">
        <f>IF(B319="", "", "UBERON:tongue")</f>
        <v>0</v>
      </c>
      <c r="I319" s="1">
        <f>IF(B319="", "", "tongue")</f>
        <v>0</v>
      </c>
      <c r="J319" s="1">
        <f>IF(B319="", "", "human oral metagenome")</f>
        <v>0</v>
      </c>
      <c r="K319" s="1">
        <f>IF(B319="", "", "447426")</f>
        <v>0</v>
      </c>
    </row>
    <row r="320" spans="1:11">
      <c r="A320">
        <f>IF(COUNTBLANK(B320:K320)&lt;&gt;COLUMNS(B320:K320),319,"")</f>
        <v>0</v>
      </c>
      <c r="C320" s="1">
        <f>IF(B320="", "", "animal secretion")</f>
        <v>0</v>
      </c>
      <c r="D320" s="1">
        <f>IF(B320="", "", "saliva")</f>
        <v>0</v>
      </c>
      <c r="E320" s="1">
        <f>IF(B320="", "", "human-oral")</f>
        <v>0</v>
      </c>
      <c r="F320" s="1">
        <f>IF(B320="", "", "UBERON:oral cavity")</f>
        <v>0</v>
      </c>
      <c r="G320" s="1">
        <f>IF(B320="", "", "UBERON:saliva")</f>
        <v>0</v>
      </c>
      <c r="H320" s="1">
        <f>IF(B320="", "", "UBERON:tongue")</f>
        <v>0</v>
      </c>
      <c r="I320" s="1">
        <f>IF(B320="", "", "tongue")</f>
        <v>0</v>
      </c>
      <c r="J320" s="1">
        <f>IF(B320="", "", "human oral metagenome")</f>
        <v>0</v>
      </c>
      <c r="K320" s="1">
        <f>IF(B320="", "", "447426")</f>
        <v>0</v>
      </c>
    </row>
    <row r="321" spans="1:11">
      <c r="A321">
        <f>IF(COUNTBLANK(B321:K321)&lt;&gt;COLUMNS(B321:K321),320,"")</f>
        <v>0</v>
      </c>
      <c r="C321" s="1">
        <f>IF(B321="", "", "animal secretion")</f>
        <v>0</v>
      </c>
      <c r="D321" s="1">
        <f>IF(B321="", "", "saliva")</f>
        <v>0</v>
      </c>
      <c r="E321" s="1">
        <f>IF(B321="", "", "human-oral")</f>
        <v>0</v>
      </c>
      <c r="F321" s="1">
        <f>IF(B321="", "", "UBERON:oral cavity")</f>
        <v>0</v>
      </c>
      <c r="G321" s="1">
        <f>IF(B321="", "", "UBERON:saliva")</f>
        <v>0</v>
      </c>
      <c r="H321" s="1">
        <f>IF(B321="", "", "UBERON:tongue")</f>
        <v>0</v>
      </c>
      <c r="I321" s="1">
        <f>IF(B321="", "", "tongue")</f>
        <v>0</v>
      </c>
      <c r="J321" s="1">
        <f>IF(B321="", "", "human oral metagenome")</f>
        <v>0</v>
      </c>
      <c r="K321" s="1">
        <f>IF(B321="", "", "447426")</f>
        <v>0</v>
      </c>
    </row>
    <row r="322" spans="1:11">
      <c r="A322">
        <f>IF(COUNTBLANK(B322:K322)&lt;&gt;COLUMNS(B322:K322),321,"")</f>
        <v>0</v>
      </c>
      <c r="C322" s="1">
        <f>IF(B322="", "", "animal secretion")</f>
        <v>0</v>
      </c>
      <c r="D322" s="1">
        <f>IF(B322="", "", "saliva")</f>
        <v>0</v>
      </c>
      <c r="E322" s="1">
        <f>IF(B322="", "", "human-oral")</f>
        <v>0</v>
      </c>
      <c r="F322" s="1">
        <f>IF(B322="", "", "UBERON:oral cavity")</f>
        <v>0</v>
      </c>
      <c r="G322" s="1">
        <f>IF(B322="", "", "UBERON:saliva")</f>
        <v>0</v>
      </c>
      <c r="H322" s="1">
        <f>IF(B322="", "", "UBERON:tongue")</f>
        <v>0</v>
      </c>
      <c r="I322" s="1">
        <f>IF(B322="", "", "tongue")</f>
        <v>0</v>
      </c>
      <c r="J322" s="1">
        <f>IF(B322="", "", "human oral metagenome")</f>
        <v>0</v>
      </c>
      <c r="K322" s="1">
        <f>IF(B322="", "", "447426")</f>
        <v>0</v>
      </c>
    </row>
    <row r="323" spans="1:11">
      <c r="A323">
        <f>IF(COUNTBLANK(B323:K323)&lt;&gt;COLUMNS(B323:K323),322,"")</f>
        <v>0</v>
      </c>
      <c r="C323" s="1">
        <f>IF(B323="", "", "animal secretion")</f>
        <v>0</v>
      </c>
      <c r="D323" s="1">
        <f>IF(B323="", "", "saliva")</f>
        <v>0</v>
      </c>
      <c r="E323" s="1">
        <f>IF(B323="", "", "human-oral")</f>
        <v>0</v>
      </c>
      <c r="F323" s="1">
        <f>IF(B323="", "", "UBERON:oral cavity")</f>
        <v>0</v>
      </c>
      <c r="G323" s="1">
        <f>IF(B323="", "", "UBERON:saliva")</f>
        <v>0</v>
      </c>
      <c r="H323" s="1">
        <f>IF(B323="", "", "UBERON:tongue")</f>
        <v>0</v>
      </c>
      <c r="I323" s="1">
        <f>IF(B323="", "", "tongue")</f>
        <v>0</v>
      </c>
      <c r="J323" s="1">
        <f>IF(B323="", "", "human oral metagenome")</f>
        <v>0</v>
      </c>
      <c r="K323" s="1">
        <f>IF(B323="", "", "447426")</f>
        <v>0</v>
      </c>
    </row>
    <row r="324" spans="1:11">
      <c r="A324">
        <f>IF(COUNTBLANK(B324:K324)&lt;&gt;COLUMNS(B324:K324),323,"")</f>
        <v>0</v>
      </c>
      <c r="C324" s="1">
        <f>IF(B324="", "", "animal secretion")</f>
        <v>0</v>
      </c>
      <c r="D324" s="1">
        <f>IF(B324="", "", "saliva")</f>
        <v>0</v>
      </c>
      <c r="E324" s="1">
        <f>IF(B324="", "", "human-oral")</f>
        <v>0</v>
      </c>
      <c r="F324" s="1">
        <f>IF(B324="", "", "UBERON:oral cavity")</f>
        <v>0</v>
      </c>
      <c r="G324" s="1">
        <f>IF(B324="", "", "UBERON:saliva")</f>
        <v>0</v>
      </c>
      <c r="H324" s="1">
        <f>IF(B324="", "", "UBERON:tongue")</f>
        <v>0</v>
      </c>
      <c r="I324" s="1">
        <f>IF(B324="", "", "tongue")</f>
        <v>0</v>
      </c>
      <c r="J324" s="1">
        <f>IF(B324="", "", "human oral metagenome")</f>
        <v>0</v>
      </c>
      <c r="K324" s="1">
        <f>IF(B324="", "", "447426")</f>
        <v>0</v>
      </c>
    </row>
    <row r="325" spans="1:11">
      <c r="A325">
        <f>IF(COUNTBLANK(B325:K325)&lt;&gt;COLUMNS(B325:K325),324,"")</f>
        <v>0</v>
      </c>
      <c r="C325" s="1">
        <f>IF(B325="", "", "animal secretion")</f>
        <v>0</v>
      </c>
      <c r="D325" s="1">
        <f>IF(B325="", "", "saliva")</f>
        <v>0</v>
      </c>
      <c r="E325" s="1">
        <f>IF(B325="", "", "human-oral")</f>
        <v>0</v>
      </c>
      <c r="F325" s="1">
        <f>IF(B325="", "", "UBERON:oral cavity")</f>
        <v>0</v>
      </c>
      <c r="G325" s="1">
        <f>IF(B325="", "", "UBERON:saliva")</f>
        <v>0</v>
      </c>
      <c r="H325" s="1">
        <f>IF(B325="", "", "UBERON:tongue")</f>
        <v>0</v>
      </c>
      <c r="I325" s="1">
        <f>IF(B325="", "", "tongue")</f>
        <v>0</v>
      </c>
      <c r="J325" s="1">
        <f>IF(B325="", "", "human oral metagenome")</f>
        <v>0</v>
      </c>
      <c r="K325" s="1">
        <f>IF(B325="", "", "447426")</f>
        <v>0</v>
      </c>
    </row>
    <row r="326" spans="1:11">
      <c r="A326">
        <f>IF(COUNTBLANK(B326:K326)&lt;&gt;COLUMNS(B326:K326),325,"")</f>
        <v>0</v>
      </c>
      <c r="C326" s="1">
        <f>IF(B326="", "", "animal secretion")</f>
        <v>0</v>
      </c>
      <c r="D326" s="1">
        <f>IF(B326="", "", "saliva")</f>
        <v>0</v>
      </c>
      <c r="E326" s="1">
        <f>IF(B326="", "", "human-oral")</f>
        <v>0</v>
      </c>
      <c r="F326" s="1">
        <f>IF(B326="", "", "UBERON:oral cavity")</f>
        <v>0</v>
      </c>
      <c r="G326" s="1">
        <f>IF(B326="", "", "UBERON:saliva")</f>
        <v>0</v>
      </c>
      <c r="H326" s="1">
        <f>IF(B326="", "", "UBERON:tongue")</f>
        <v>0</v>
      </c>
      <c r="I326" s="1">
        <f>IF(B326="", "", "tongue")</f>
        <v>0</v>
      </c>
      <c r="J326" s="1">
        <f>IF(B326="", "", "human oral metagenome")</f>
        <v>0</v>
      </c>
      <c r="K326" s="1">
        <f>IF(B326="", "", "447426")</f>
        <v>0</v>
      </c>
    </row>
    <row r="327" spans="1:11">
      <c r="A327">
        <f>IF(COUNTBLANK(B327:K327)&lt;&gt;COLUMNS(B327:K327),326,"")</f>
        <v>0</v>
      </c>
      <c r="C327" s="1">
        <f>IF(B327="", "", "animal secretion")</f>
        <v>0</v>
      </c>
      <c r="D327" s="1">
        <f>IF(B327="", "", "saliva")</f>
        <v>0</v>
      </c>
      <c r="E327" s="1">
        <f>IF(B327="", "", "human-oral")</f>
        <v>0</v>
      </c>
      <c r="F327" s="1">
        <f>IF(B327="", "", "UBERON:oral cavity")</f>
        <v>0</v>
      </c>
      <c r="G327" s="1">
        <f>IF(B327="", "", "UBERON:saliva")</f>
        <v>0</v>
      </c>
      <c r="H327" s="1">
        <f>IF(B327="", "", "UBERON:tongue")</f>
        <v>0</v>
      </c>
      <c r="I327" s="1">
        <f>IF(B327="", "", "tongue")</f>
        <v>0</v>
      </c>
      <c r="J327" s="1">
        <f>IF(B327="", "", "human oral metagenome")</f>
        <v>0</v>
      </c>
      <c r="K327" s="1">
        <f>IF(B327="", "", "447426")</f>
        <v>0</v>
      </c>
    </row>
    <row r="328" spans="1:11">
      <c r="A328">
        <f>IF(COUNTBLANK(B328:K328)&lt;&gt;COLUMNS(B328:K328),327,"")</f>
        <v>0</v>
      </c>
      <c r="C328" s="1">
        <f>IF(B328="", "", "animal secretion")</f>
        <v>0</v>
      </c>
      <c r="D328" s="1">
        <f>IF(B328="", "", "saliva")</f>
        <v>0</v>
      </c>
      <c r="E328" s="1">
        <f>IF(B328="", "", "human-oral")</f>
        <v>0</v>
      </c>
      <c r="F328" s="1">
        <f>IF(B328="", "", "UBERON:oral cavity")</f>
        <v>0</v>
      </c>
      <c r="G328" s="1">
        <f>IF(B328="", "", "UBERON:saliva")</f>
        <v>0</v>
      </c>
      <c r="H328" s="1">
        <f>IF(B328="", "", "UBERON:tongue")</f>
        <v>0</v>
      </c>
      <c r="I328" s="1">
        <f>IF(B328="", "", "tongue")</f>
        <v>0</v>
      </c>
      <c r="J328" s="1">
        <f>IF(B328="", "", "human oral metagenome")</f>
        <v>0</v>
      </c>
      <c r="K328" s="1">
        <f>IF(B328="", "", "447426")</f>
        <v>0</v>
      </c>
    </row>
    <row r="329" spans="1:11">
      <c r="A329">
        <f>IF(COUNTBLANK(B329:K329)&lt;&gt;COLUMNS(B329:K329),328,"")</f>
        <v>0</v>
      </c>
      <c r="C329" s="1">
        <f>IF(B329="", "", "animal secretion")</f>
        <v>0</v>
      </c>
      <c r="D329" s="1">
        <f>IF(B329="", "", "saliva")</f>
        <v>0</v>
      </c>
      <c r="E329" s="1">
        <f>IF(B329="", "", "human-oral")</f>
        <v>0</v>
      </c>
      <c r="F329" s="1">
        <f>IF(B329="", "", "UBERON:oral cavity")</f>
        <v>0</v>
      </c>
      <c r="G329" s="1">
        <f>IF(B329="", "", "UBERON:saliva")</f>
        <v>0</v>
      </c>
      <c r="H329" s="1">
        <f>IF(B329="", "", "UBERON:tongue")</f>
        <v>0</v>
      </c>
      <c r="I329" s="1">
        <f>IF(B329="", "", "tongue")</f>
        <v>0</v>
      </c>
      <c r="J329" s="1">
        <f>IF(B329="", "", "human oral metagenome")</f>
        <v>0</v>
      </c>
      <c r="K329" s="1">
        <f>IF(B329="", "", "447426")</f>
        <v>0</v>
      </c>
    </row>
    <row r="330" spans="1:11">
      <c r="A330">
        <f>IF(COUNTBLANK(B330:K330)&lt;&gt;COLUMNS(B330:K330),329,"")</f>
        <v>0</v>
      </c>
      <c r="C330" s="1">
        <f>IF(B330="", "", "animal secretion")</f>
        <v>0</v>
      </c>
      <c r="D330" s="1">
        <f>IF(B330="", "", "saliva")</f>
        <v>0</v>
      </c>
      <c r="E330" s="1">
        <f>IF(B330="", "", "human-oral")</f>
        <v>0</v>
      </c>
      <c r="F330" s="1">
        <f>IF(B330="", "", "UBERON:oral cavity")</f>
        <v>0</v>
      </c>
      <c r="G330" s="1">
        <f>IF(B330="", "", "UBERON:saliva")</f>
        <v>0</v>
      </c>
      <c r="H330" s="1">
        <f>IF(B330="", "", "UBERON:tongue")</f>
        <v>0</v>
      </c>
      <c r="I330" s="1">
        <f>IF(B330="", "", "tongue")</f>
        <v>0</v>
      </c>
      <c r="J330" s="1">
        <f>IF(B330="", "", "human oral metagenome")</f>
        <v>0</v>
      </c>
      <c r="K330" s="1">
        <f>IF(B330="", "", "447426")</f>
        <v>0</v>
      </c>
    </row>
    <row r="331" spans="1:11">
      <c r="A331">
        <f>IF(COUNTBLANK(B331:K331)&lt;&gt;COLUMNS(B331:K331),330,"")</f>
        <v>0</v>
      </c>
      <c r="C331" s="1">
        <f>IF(B331="", "", "animal secretion")</f>
        <v>0</v>
      </c>
      <c r="D331" s="1">
        <f>IF(B331="", "", "saliva")</f>
        <v>0</v>
      </c>
      <c r="E331" s="1">
        <f>IF(B331="", "", "human-oral")</f>
        <v>0</v>
      </c>
      <c r="F331" s="1">
        <f>IF(B331="", "", "UBERON:oral cavity")</f>
        <v>0</v>
      </c>
      <c r="G331" s="1">
        <f>IF(B331="", "", "UBERON:saliva")</f>
        <v>0</v>
      </c>
      <c r="H331" s="1">
        <f>IF(B331="", "", "UBERON:tongue")</f>
        <v>0</v>
      </c>
      <c r="I331" s="1">
        <f>IF(B331="", "", "tongue")</f>
        <v>0</v>
      </c>
      <c r="J331" s="1">
        <f>IF(B331="", "", "human oral metagenome")</f>
        <v>0</v>
      </c>
      <c r="K331" s="1">
        <f>IF(B331="", "", "447426")</f>
        <v>0</v>
      </c>
    </row>
    <row r="332" spans="1:11">
      <c r="A332">
        <f>IF(COUNTBLANK(B332:K332)&lt;&gt;COLUMNS(B332:K332),331,"")</f>
        <v>0</v>
      </c>
      <c r="C332" s="1">
        <f>IF(B332="", "", "animal secretion")</f>
        <v>0</v>
      </c>
      <c r="D332" s="1">
        <f>IF(B332="", "", "saliva")</f>
        <v>0</v>
      </c>
      <c r="E332" s="1">
        <f>IF(B332="", "", "human-oral")</f>
        <v>0</v>
      </c>
      <c r="F332" s="1">
        <f>IF(B332="", "", "UBERON:oral cavity")</f>
        <v>0</v>
      </c>
      <c r="G332" s="1">
        <f>IF(B332="", "", "UBERON:saliva")</f>
        <v>0</v>
      </c>
      <c r="H332" s="1">
        <f>IF(B332="", "", "UBERON:tongue")</f>
        <v>0</v>
      </c>
      <c r="I332" s="1">
        <f>IF(B332="", "", "tongue")</f>
        <v>0</v>
      </c>
      <c r="J332" s="1">
        <f>IF(B332="", "", "human oral metagenome")</f>
        <v>0</v>
      </c>
      <c r="K332" s="1">
        <f>IF(B332="", "", "447426")</f>
        <v>0</v>
      </c>
    </row>
    <row r="333" spans="1:11">
      <c r="A333">
        <f>IF(COUNTBLANK(B333:K333)&lt;&gt;COLUMNS(B333:K333),332,"")</f>
        <v>0</v>
      </c>
      <c r="C333" s="1">
        <f>IF(B333="", "", "animal secretion")</f>
        <v>0</v>
      </c>
      <c r="D333" s="1">
        <f>IF(B333="", "", "saliva")</f>
        <v>0</v>
      </c>
      <c r="E333" s="1">
        <f>IF(B333="", "", "human-oral")</f>
        <v>0</v>
      </c>
      <c r="F333" s="1">
        <f>IF(B333="", "", "UBERON:oral cavity")</f>
        <v>0</v>
      </c>
      <c r="G333" s="1">
        <f>IF(B333="", "", "UBERON:saliva")</f>
        <v>0</v>
      </c>
      <c r="H333" s="1">
        <f>IF(B333="", "", "UBERON:tongue")</f>
        <v>0</v>
      </c>
      <c r="I333" s="1">
        <f>IF(B333="", "", "tongue")</f>
        <v>0</v>
      </c>
      <c r="J333" s="1">
        <f>IF(B333="", "", "human oral metagenome")</f>
        <v>0</v>
      </c>
      <c r="K333" s="1">
        <f>IF(B333="", "", "447426")</f>
        <v>0</v>
      </c>
    </row>
    <row r="334" spans="1:11">
      <c r="A334">
        <f>IF(COUNTBLANK(B334:K334)&lt;&gt;COLUMNS(B334:K334),333,"")</f>
        <v>0</v>
      </c>
      <c r="C334" s="1">
        <f>IF(B334="", "", "animal secretion")</f>
        <v>0</v>
      </c>
      <c r="D334" s="1">
        <f>IF(B334="", "", "saliva")</f>
        <v>0</v>
      </c>
      <c r="E334" s="1">
        <f>IF(B334="", "", "human-oral")</f>
        <v>0</v>
      </c>
      <c r="F334" s="1">
        <f>IF(B334="", "", "UBERON:oral cavity")</f>
        <v>0</v>
      </c>
      <c r="G334" s="1">
        <f>IF(B334="", "", "UBERON:saliva")</f>
        <v>0</v>
      </c>
      <c r="H334" s="1">
        <f>IF(B334="", "", "UBERON:tongue")</f>
        <v>0</v>
      </c>
      <c r="I334" s="1">
        <f>IF(B334="", "", "tongue")</f>
        <v>0</v>
      </c>
      <c r="J334" s="1">
        <f>IF(B334="", "", "human oral metagenome")</f>
        <v>0</v>
      </c>
      <c r="K334" s="1">
        <f>IF(B334="", "", "447426")</f>
        <v>0</v>
      </c>
    </row>
    <row r="335" spans="1:11">
      <c r="A335">
        <f>IF(COUNTBLANK(B335:K335)&lt;&gt;COLUMNS(B335:K335),334,"")</f>
        <v>0</v>
      </c>
      <c r="C335" s="1">
        <f>IF(B335="", "", "animal secretion")</f>
        <v>0</v>
      </c>
      <c r="D335" s="1">
        <f>IF(B335="", "", "saliva")</f>
        <v>0</v>
      </c>
      <c r="E335" s="1">
        <f>IF(B335="", "", "human-oral")</f>
        <v>0</v>
      </c>
      <c r="F335" s="1">
        <f>IF(B335="", "", "UBERON:oral cavity")</f>
        <v>0</v>
      </c>
      <c r="G335" s="1">
        <f>IF(B335="", "", "UBERON:saliva")</f>
        <v>0</v>
      </c>
      <c r="H335" s="1">
        <f>IF(B335="", "", "UBERON:tongue")</f>
        <v>0</v>
      </c>
      <c r="I335" s="1">
        <f>IF(B335="", "", "tongue")</f>
        <v>0</v>
      </c>
      <c r="J335" s="1">
        <f>IF(B335="", "", "human oral metagenome")</f>
        <v>0</v>
      </c>
      <c r="K335" s="1">
        <f>IF(B335="", "", "447426")</f>
        <v>0</v>
      </c>
    </row>
    <row r="336" spans="1:11">
      <c r="A336">
        <f>IF(COUNTBLANK(B336:K336)&lt;&gt;COLUMNS(B336:K336),335,"")</f>
        <v>0</v>
      </c>
      <c r="C336" s="1">
        <f>IF(B336="", "", "animal secretion")</f>
        <v>0</v>
      </c>
      <c r="D336" s="1">
        <f>IF(B336="", "", "saliva")</f>
        <v>0</v>
      </c>
      <c r="E336" s="1">
        <f>IF(B336="", "", "human-oral")</f>
        <v>0</v>
      </c>
      <c r="F336" s="1">
        <f>IF(B336="", "", "UBERON:oral cavity")</f>
        <v>0</v>
      </c>
      <c r="G336" s="1">
        <f>IF(B336="", "", "UBERON:saliva")</f>
        <v>0</v>
      </c>
      <c r="H336" s="1">
        <f>IF(B336="", "", "UBERON:tongue")</f>
        <v>0</v>
      </c>
      <c r="I336" s="1">
        <f>IF(B336="", "", "tongue")</f>
        <v>0</v>
      </c>
      <c r="J336" s="1">
        <f>IF(B336="", "", "human oral metagenome")</f>
        <v>0</v>
      </c>
      <c r="K336" s="1">
        <f>IF(B336="", "", "447426")</f>
        <v>0</v>
      </c>
    </row>
    <row r="337" spans="1:11">
      <c r="A337">
        <f>IF(COUNTBLANK(B337:K337)&lt;&gt;COLUMNS(B337:K337),336,"")</f>
        <v>0</v>
      </c>
      <c r="C337" s="1">
        <f>IF(B337="", "", "animal secretion")</f>
        <v>0</v>
      </c>
      <c r="D337" s="1">
        <f>IF(B337="", "", "saliva")</f>
        <v>0</v>
      </c>
      <c r="E337" s="1">
        <f>IF(B337="", "", "human-oral")</f>
        <v>0</v>
      </c>
      <c r="F337" s="1">
        <f>IF(B337="", "", "UBERON:oral cavity")</f>
        <v>0</v>
      </c>
      <c r="G337" s="1">
        <f>IF(B337="", "", "UBERON:saliva")</f>
        <v>0</v>
      </c>
      <c r="H337" s="1">
        <f>IF(B337="", "", "UBERON:tongue")</f>
        <v>0</v>
      </c>
      <c r="I337" s="1">
        <f>IF(B337="", "", "tongue")</f>
        <v>0</v>
      </c>
      <c r="J337" s="1">
        <f>IF(B337="", "", "human oral metagenome")</f>
        <v>0</v>
      </c>
      <c r="K337" s="1">
        <f>IF(B337="", "", "447426")</f>
        <v>0</v>
      </c>
    </row>
    <row r="338" spans="1:11">
      <c r="A338">
        <f>IF(COUNTBLANK(B338:K338)&lt;&gt;COLUMNS(B338:K338),337,"")</f>
        <v>0</v>
      </c>
      <c r="C338" s="1">
        <f>IF(B338="", "", "animal secretion")</f>
        <v>0</v>
      </c>
      <c r="D338" s="1">
        <f>IF(B338="", "", "saliva")</f>
        <v>0</v>
      </c>
      <c r="E338" s="1">
        <f>IF(B338="", "", "human-oral")</f>
        <v>0</v>
      </c>
      <c r="F338" s="1">
        <f>IF(B338="", "", "UBERON:oral cavity")</f>
        <v>0</v>
      </c>
      <c r="G338" s="1">
        <f>IF(B338="", "", "UBERON:saliva")</f>
        <v>0</v>
      </c>
      <c r="H338" s="1">
        <f>IF(B338="", "", "UBERON:tongue")</f>
        <v>0</v>
      </c>
      <c r="I338" s="1">
        <f>IF(B338="", "", "tongue")</f>
        <v>0</v>
      </c>
      <c r="J338" s="1">
        <f>IF(B338="", "", "human oral metagenome")</f>
        <v>0</v>
      </c>
      <c r="K338" s="1">
        <f>IF(B338="", "", "447426")</f>
        <v>0</v>
      </c>
    </row>
    <row r="339" spans="1:11">
      <c r="A339">
        <f>IF(COUNTBLANK(B339:K339)&lt;&gt;COLUMNS(B339:K339),338,"")</f>
        <v>0</v>
      </c>
      <c r="C339" s="1">
        <f>IF(B339="", "", "animal secretion")</f>
        <v>0</v>
      </c>
      <c r="D339" s="1">
        <f>IF(B339="", "", "saliva")</f>
        <v>0</v>
      </c>
      <c r="E339" s="1">
        <f>IF(B339="", "", "human-oral")</f>
        <v>0</v>
      </c>
      <c r="F339" s="1">
        <f>IF(B339="", "", "UBERON:oral cavity")</f>
        <v>0</v>
      </c>
      <c r="G339" s="1">
        <f>IF(B339="", "", "UBERON:saliva")</f>
        <v>0</v>
      </c>
      <c r="H339" s="1">
        <f>IF(B339="", "", "UBERON:tongue")</f>
        <v>0</v>
      </c>
      <c r="I339" s="1">
        <f>IF(B339="", "", "tongue")</f>
        <v>0</v>
      </c>
      <c r="J339" s="1">
        <f>IF(B339="", "", "human oral metagenome")</f>
        <v>0</v>
      </c>
      <c r="K339" s="1">
        <f>IF(B339="", "", "447426")</f>
        <v>0</v>
      </c>
    </row>
    <row r="340" spans="1:11">
      <c r="A340">
        <f>IF(COUNTBLANK(B340:K340)&lt;&gt;COLUMNS(B340:K340),339,"")</f>
        <v>0</v>
      </c>
      <c r="C340" s="1">
        <f>IF(B340="", "", "animal secretion")</f>
        <v>0</v>
      </c>
      <c r="D340" s="1">
        <f>IF(B340="", "", "saliva")</f>
        <v>0</v>
      </c>
      <c r="E340" s="1">
        <f>IF(B340="", "", "human-oral")</f>
        <v>0</v>
      </c>
      <c r="F340" s="1">
        <f>IF(B340="", "", "UBERON:oral cavity")</f>
        <v>0</v>
      </c>
      <c r="G340" s="1">
        <f>IF(B340="", "", "UBERON:saliva")</f>
        <v>0</v>
      </c>
      <c r="H340" s="1">
        <f>IF(B340="", "", "UBERON:tongue")</f>
        <v>0</v>
      </c>
      <c r="I340" s="1">
        <f>IF(B340="", "", "tongue")</f>
        <v>0</v>
      </c>
      <c r="J340" s="1">
        <f>IF(B340="", "", "human oral metagenome")</f>
        <v>0</v>
      </c>
      <c r="K340" s="1">
        <f>IF(B340="", "", "447426")</f>
        <v>0</v>
      </c>
    </row>
    <row r="341" spans="1:11">
      <c r="A341">
        <f>IF(COUNTBLANK(B341:K341)&lt;&gt;COLUMNS(B341:K341),340,"")</f>
        <v>0</v>
      </c>
      <c r="C341" s="1">
        <f>IF(B341="", "", "animal secretion")</f>
        <v>0</v>
      </c>
      <c r="D341" s="1">
        <f>IF(B341="", "", "saliva")</f>
        <v>0</v>
      </c>
      <c r="E341" s="1">
        <f>IF(B341="", "", "human-oral")</f>
        <v>0</v>
      </c>
      <c r="F341" s="1">
        <f>IF(B341="", "", "UBERON:oral cavity")</f>
        <v>0</v>
      </c>
      <c r="G341" s="1">
        <f>IF(B341="", "", "UBERON:saliva")</f>
        <v>0</v>
      </c>
      <c r="H341" s="1">
        <f>IF(B341="", "", "UBERON:tongue")</f>
        <v>0</v>
      </c>
      <c r="I341" s="1">
        <f>IF(B341="", "", "tongue")</f>
        <v>0</v>
      </c>
      <c r="J341" s="1">
        <f>IF(B341="", "", "human oral metagenome")</f>
        <v>0</v>
      </c>
      <c r="K341" s="1">
        <f>IF(B341="", "", "447426")</f>
        <v>0</v>
      </c>
    </row>
    <row r="342" spans="1:11">
      <c r="A342">
        <f>IF(COUNTBLANK(B342:K342)&lt;&gt;COLUMNS(B342:K342),341,"")</f>
        <v>0</v>
      </c>
      <c r="C342" s="1">
        <f>IF(B342="", "", "animal secretion")</f>
        <v>0</v>
      </c>
      <c r="D342" s="1">
        <f>IF(B342="", "", "saliva")</f>
        <v>0</v>
      </c>
      <c r="E342" s="1">
        <f>IF(B342="", "", "human-oral")</f>
        <v>0</v>
      </c>
      <c r="F342" s="1">
        <f>IF(B342="", "", "UBERON:oral cavity")</f>
        <v>0</v>
      </c>
      <c r="G342" s="1">
        <f>IF(B342="", "", "UBERON:saliva")</f>
        <v>0</v>
      </c>
      <c r="H342" s="1">
        <f>IF(B342="", "", "UBERON:tongue")</f>
        <v>0</v>
      </c>
      <c r="I342" s="1">
        <f>IF(B342="", "", "tongue")</f>
        <v>0</v>
      </c>
      <c r="J342" s="1">
        <f>IF(B342="", "", "human oral metagenome")</f>
        <v>0</v>
      </c>
      <c r="K342" s="1">
        <f>IF(B342="", "", "447426")</f>
        <v>0</v>
      </c>
    </row>
    <row r="343" spans="1:11">
      <c r="A343">
        <f>IF(COUNTBLANK(B343:K343)&lt;&gt;COLUMNS(B343:K343),342,"")</f>
        <v>0</v>
      </c>
      <c r="C343" s="1">
        <f>IF(B343="", "", "animal secretion")</f>
        <v>0</v>
      </c>
      <c r="D343" s="1">
        <f>IF(B343="", "", "saliva")</f>
        <v>0</v>
      </c>
      <c r="E343" s="1">
        <f>IF(B343="", "", "human-oral")</f>
        <v>0</v>
      </c>
      <c r="F343" s="1">
        <f>IF(B343="", "", "UBERON:oral cavity")</f>
        <v>0</v>
      </c>
      <c r="G343" s="1">
        <f>IF(B343="", "", "UBERON:saliva")</f>
        <v>0</v>
      </c>
      <c r="H343" s="1">
        <f>IF(B343="", "", "UBERON:tongue")</f>
        <v>0</v>
      </c>
      <c r="I343" s="1">
        <f>IF(B343="", "", "tongue")</f>
        <v>0</v>
      </c>
      <c r="J343" s="1">
        <f>IF(B343="", "", "human oral metagenome")</f>
        <v>0</v>
      </c>
      <c r="K343" s="1">
        <f>IF(B343="", "", "447426")</f>
        <v>0</v>
      </c>
    </row>
    <row r="344" spans="1:11">
      <c r="A344">
        <f>IF(COUNTBLANK(B344:K344)&lt;&gt;COLUMNS(B344:K344),343,"")</f>
        <v>0</v>
      </c>
      <c r="C344" s="1">
        <f>IF(B344="", "", "animal secretion")</f>
        <v>0</v>
      </c>
      <c r="D344" s="1">
        <f>IF(B344="", "", "saliva")</f>
        <v>0</v>
      </c>
      <c r="E344" s="1">
        <f>IF(B344="", "", "human-oral")</f>
        <v>0</v>
      </c>
      <c r="F344" s="1">
        <f>IF(B344="", "", "UBERON:oral cavity")</f>
        <v>0</v>
      </c>
      <c r="G344" s="1">
        <f>IF(B344="", "", "UBERON:saliva")</f>
        <v>0</v>
      </c>
      <c r="H344" s="1">
        <f>IF(B344="", "", "UBERON:tongue")</f>
        <v>0</v>
      </c>
      <c r="I344" s="1">
        <f>IF(B344="", "", "tongue")</f>
        <v>0</v>
      </c>
      <c r="J344" s="1">
        <f>IF(B344="", "", "human oral metagenome")</f>
        <v>0</v>
      </c>
      <c r="K344" s="1">
        <f>IF(B344="", "", "447426")</f>
        <v>0</v>
      </c>
    </row>
    <row r="345" spans="1:11">
      <c r="A345">
        <f>IF(COUNTBLANK(B345:K345)&lt;&gt;COLUMNS(B345:K345),344,"")</f>
        <v>0</v>
      </c>
      <c r="C345" s="1">
        <f>IF(B345="", "", "animal secretion")</f>
        <v>0</v>
      </c>
      <c r="D345" s="1">
        <f>IF(B345="", "", "saliva")</f>
        <v>0</v>
      </c>
      <c r="E345" s="1">
        <f>IF(B345="", "", "human-oral")</f>
        <v>0</v>
      </c>
      <c r="F345" s="1">
        <f>IF(B345="", "", "UBERON:oral cavity")</f>
        <v>0</v>
      </c>
      <c r="G345" s="1">
        <f>IF(B345="", "", "UBERON:saliva")</f>
        <v>0</v>
      </c>
      <c r="H345" s="1">
        <f>IF(B345="", "", "UBERON:tongue")</f>
        <v>0</v>
      </c>
      <c r="I345" s="1">
        <f>IF(B345="", "", "tongue")</f>
        <v>0</v>
      </c>
      <c r="J345" s="1">
        <f>IF(B345="", "", "human oral metagenome")</f>
        <v>0</v>
      </c>
      <c r="K345" s="1">
        <f>IF(B345="", "", "447426")</f>
        <v>0</v>
      </c>
    </row>
    <row r="346" spans="1:11">
      <c r="A346">
        <f>IF(COUNTBLANK(B346:K346)&lt;&gt;COLUMNS(B346:K346),345,"")</f>
        <v>0</v>
      </c>
      <c r="C346" s="1">
        <f>IF(B346="", "", "animal secretion")</f>
        <v>0</v>
      </c>
      <c r="D346" s="1">
        <f>IF(B346="", "", "saliva")</f>
        <v>0</v>
      </c>
      <c r="E346" s="1">
        <f>IF(B346="", "", "human-oral")</f>
        <v>0</v>
      </c>
      <c r="F346" s="1">
        <f>IF(B346="", "", "UBERON:oral cavity")</f>
        <v>0</v>
      </c>
      <c r="G346" s="1">
        <f>IF(B346="", "", "UBERON:saliva")</f>
        <v>0</v>
      </c>
      <c r="H346" s="1">
        <f>IF(B346="", "", "UBERON:tongue")</f>
        <v>0</v>
      </c>
      <c r="I346" s="1">
        <f>IF(B346="", "", "tongue")</f>
        <v>0</v>
      </c>
      <c r="J346" s="1">
        <f>IF(B346="", "", "human oral metagenome")</f>
        <v>0</v>
      </c>
      <c r="K346" s="1">
        <f>IF(B346="", "", "447426")</f>
        <v>0</v>
      </c>
    </row>
    <row r="347" spans="1:11">
      <c r="A347">
        <f>IF(COUNTBLANK(B347:K347)&lt;&gt;COLUMNS(B347:K347),346,"")</f>
        <v>0</v>
      </c>
      <c r="C347" s="1">
        <f>IF(B347="", "", "animal secretion")</f>
        <v>0</v>
      </c>
      <c r="D347" s="1">
        <f>IF(B347="", "", "saliva")</f>
        <v>0</v>
      </c>
      <c r="E347" s="1">
        <f>IF(B347="", "", "human-oral")</f>
        <v>0</v>
      </c>
      <c r="F347" s="1">
        <f>IF(B347="", "", "UBERON:oral cavity")</f>
        <v>0</v>
      </c>
      <c r="G347" s="1">
        <f>IF(B347="", "", "UBERON:saliva")</f>
        <v>0</v>
      </c>
      <c r="H347" s="1">
        <f>IF(B347="", "", "UBERON:tongue")</f>
        <v>0</v>
      </c>
      <c r="I347" s="1">
        <f>IF(B347="", "", "tongue")</f>
        <v>0</v>
      </c>
      <c r="J347" s="1">
        <f>IF(B347="", "", "human oral metagenome")</f>
        <v>0</v>
      </c>
      <c r="K347" s="1">
        <f>IF(B347="", "", "447426")</f>
        <v>0</v>
      </c>
    </row>
    <row r="348" spans="1:11">
      <c r="A348">
        <f>IF(COUNTBLANK(B348:K348)&lt;&gt;COLUMNS(B348:K348),347,"")</f>
        <v>0</v>
      </c>
      <c r="C348" s="1">
        <f>IF(B348="", "", "animal secretion")</f>
        <v>0</v>
      </c>
      <c r="D348" s="1">
        <f>IF(B348="", "", "saliva")</f>
        <v>0</v>
      </c>
      <c r="E348" s="1">
        <f>IF(B348="", "", "human-oral")</f>
        <v>0</v>
      </c>
      <c r="F348" s="1">
        <f>IF(B348="", "", "UBERON:oral cavity")</f>
        <v>0</v>
      </c>
      <c r="G348" s="1">
        <f>IF(B348="", "", "UBERON:saliva")</f>
        <v>0</v>
      </c>
      <c r="H348" s="1">
        <f>IF(B348="", "", "UBERON:tongue")</f>
        <v>0</v>
      </c>
      <c r="I348" s="1">
        <f>IF(B348="", "", "tongue")</f>
        <v>0</v>
      </c>
      <c r="J348" s="1">
        <f>IF(B348="", "", "human oral metagenome")</f>
        <v>0</v>
      </c>
      <c r="K348" s="1">
        <f>IF(B348="", "", "447426")</f>
        <v>0</v>
      </c>
    </row>
    <row r="349" spans="1:11">
      <c r="A349">
        <f>IF(COUNTBLANK(B349:K349)&lt;&gt;COLUMNS(B349:K349),348,"")</f>
        <v>0</v>
      </c>
      <c r="C349" s="1">
        <f>IF(B349="", "", "animal secretion")</f>
        <v>0</v>
      </c>
      <c r="D349" s="1">
        <f>IF(B349="", "", "saliva")</f>
        <v>0</v>
      </c>
      <c r="E349" s="1">
        <f>IF(B349="", "", "human-oral")</f>
        <v>0</v>
      </c>
      <c r="F349" s="1">
        <f>IF(B349="", "", "UBERON:oral cavity")</f>
        <v>0</v>
      </c>
      <c r="G349" s="1">
        <f>IF(B349="", "", "UBERON:saliva")</f>
        <v>0</v>
      </c>
      <c r="H349" s="1">
        <f>IF(B349="", "", "UBERON:tongue")</f>
        <v>0</v>
      </c>
      <c r="I349" s="1">
        <f>IF(B349="", "", "tongue")</f>
        <v>0</v>
      </c>
      <c r="J349" s="1">
        <f>IF(B349="", "", "human oral metagenome")</f>
        <v>0</v>
      </c>
      <c r="K349" s="1">
        <f>IF(B349="", "", "447426")</f>
        <v>0</v>
      </c>
    </row>
    <row r="350" spans="1:11">
      <c r="A350">
        <f>IF(COUNTBLANK(B350:K350)&lt;&gt;COLUMNS(B350:K350),349,"")</f>
        <v>0</v>
      </c>
      <c r="C350" s="1">
        <f>IF(B350="", "", "animal secretion")</f>
        <v>0</v>
      </c>
      <c r="D350" s="1">
        <f>IF(B350="", "", "saliva")</f>
        <v>0</v>
      </c>
      <c r="E350" s="1">
        <f>IF(B350="", "", "human-oral")</f>
        <v>0</v>
      </c>
      <c r="F350" s="1">
        <f>IF(B350="", "", "UBERON:oral cavity")</f>
        <v>0</v>
      </c>
      <c r="G350" s="1">
        <f>IF(B350="", "", "UBERON:saliva")</f>
        <v>0</v>
      </c>
      <c r="H350" s="1">
        <f>IF(B350="", "", "UBERON:tongue")</f>
        <v>0</v>
      </c>
      <c r="I350" s="1">
        <f>IF(B350="", "", "tongue")</f>
        <v>0</v>
      </c>
      <c r="J350" s="1">
        <f>IF(B350="", "", "human oral metagenome")</f>
        <v>0</v>
      </c>
      <c r="K350" s="1">
        <f>IF(B350="", "", "447426")</f>
        <v>0</v>
      </c>
    </row>
    <row r="351" spans="1:11">
      <c r="A351">
        <f>IF(COUNTBLANK(B351:K351)&lt;&gt;COLUMNS(B351:K351),350,"")</f>
        <v>0</v>
      </c>
      <c r="C351" s="1">
        <f>IF(B351="", "", "animal secretion")</f>
        <v>0</v>
      </c>
      <c r="D351" s="1">
        <f>IF(B351="", "", "saliva")</f>
        <v>0</v>
      </c>
      <c r="E351" s="1">
        <f>IF(B351="", "", "human-oral")</f>
        <v>0</v>
      </c>
      <c r="F351" s="1">
        <f>IF(B351="", "", "UBERON:oral cavity")</f>
        <v>0</v>
      </c>
      <c r="G351" s="1">
        <f>IF(B351="", "", "UBERON:saliva")</f>
        <v>0</v>
      </c>
      <c r="H351" s="1">
        <f>IF(B351="", "", "UBERON:tongue")</f>
        <v>0</v>
      </c>
      <c r="I351" s="1">
        <f>IF(B351="", "", "tongue")</f>
        <v>0</v>
      </c>
      <c r="J351" s="1">
        <f>IF(B351="", "", "human oral metagenome")</f>
        <v>0</v>
      </c>
      <c r="K351" s="1">
        <f>IF(B351="", "", "447426")</f>
        <v>0</v>
      </c>
    </row>
    <row r="352" spans="1:11">
      <c r="A352">
        <f>IF(COUNTBLANK(B352:K352)&lt;&gt;COLUMNS(B352:K352),351,"")</f>
        <v>0</v>
      </c>
      <c r="C352" s="1">
        <f>IF(B352="", "", "animal secretion")</f>
        <v>0</v>
      </c>
      <c r="D352" s="1">
        <f>IF(B352="", "", "saliva")</f>
        <v>0</v>
      </c>
      <c r="E352" s="1">
        <f>IF(B352="", "", "human-oral")</f>
        <v>0</v>
      </c>
      <c r="F352" s="1">
        <f>IF(B352="", "", "UBERON:oral cavity")</f>
        <v>0</v>
      </c>
      <c r="G352" s="1">
        <f>IF(B352="", "", "UBERON:saliva")</f>
        <v>0</v>
      </c>
      <c r="H352" s="1">
        <f>IF(B352="", "", "UBERON:tongue")</f>
        <v>0</v>
      </c>
      <c r="I352" s="1">
        <f>IF(B352="", "", "tongue")</f>
        <v>0</v>
      </c>
      <c r="J352" s="1">
        <f>IF(B352="", "", "human oral metagenome")</f>
        <v>0</v>
      </c>
      <c r="K352" s="1">
        <f>IF(B352="", "", "447426")</f>
        <v>0</v>
      </c>
    </row>
    <row r="353" spans="1:11">
      <c r="A353">
        <f>IF(COUNTBLANK(B353:K353)&lt;&gt;COLUMNS(B353:K353),352,"")</f>
        <v>0</v>
      </c>
      <c r="C353" s="1">
        <f>IF(B353="", "", "animal secretion")</f>
        <v>0</v>
      </c>
      <c r="D353" s="1">
        <f>IF(B353="", "", "saliva")</f>
        <v>0</v>
      </c>
      <c r="E353" s="1">
        <f>IF(B353="", "", "human-oral")</f>
        <v>0</v>
      </c>
      <c r="F353" s="1">
        <f>IF(B353="", "", "UBERON:oral cavity")</f>
        <v>0</v>
      </c>
      <c r="G353" s="1">
        <f>IF(B353="", "", "UBERON:saliva")</f>
        <v>0</v>
      </c>
      <c r="H353" s="1">
        <f>IF(B353="", "", "UBERON:tongue")</f>
        <v>0</v>
      </c>
      <c r="I353" s="1">
        <f>IF(B353="", "", "tongue")</f>
        <v>0</v>
      </c>
      <c r="J353" s="1">
        <f>IF(B353="", "", "human oral metagenome")</f>
        <v>0</v>
      </c>
      <c r="K353" s="1">
        <f>IF(B353="", "", "447426")</f>
        <v>0</v>
      </c>
    </row>
    <row r="354" spans="1:11">
      <c r="A354">
        <f>IF(COUNTBLANK(B354:K354)&lt;&gt;COLUMNS(B354:K354),353,"")</f>
        <v>0</v>
      </c>
      <c r="C354" s="1">
        <f>IF(B354="", "", "animal secretion")</f>
        <v>0</v>
      </c>
      <c r="D354" s="1">
        <f>IF(B354="", "", "saliva")</f>
        <v>0</v>
      </c>
      <c r="E354" s="1">
        <f>IF(B354="", "", "human-oral")</f>
        <v>0</v>
      </c>
      <c r="F354" s="1">
        <f>IF(B354="", "", "UBERON:oral cavity")</f>
        <v>0</v>
      </c>
      <c r="G354" s="1">
        <f>IF(B354="", "", "UBERON:saliva")</f>
        <v>0</v>
      </c>
      <c r="H354" s="1">
        <f>IF(B354="", "", "UBERON:tongue")</f>
        <v>0</v>
      </c>
      <c r="I354" s="1">
        <f>IF(B354="", "", "tongue")</f>
        <v>0</v>
      </c>
      <c r="J354" s="1">
        <f>IF(B354="", "", "human oral metagenome")</f>
        <v>0</v>
      </c>
      <c r="K354" s="1">
        <f>IF(B354="", "", "447426")</f>
        <v>0</v>
      </c>
    </row>
    <row r="355" spans="1:11">
      <c r="A355">
        <f>IF(COUNTBLANK(B355:K355)&lt;&gt;COLUMNS(B355:K355),354,"")</f>
        <v>0</v>
      </c>
      <c r="C355" s="1">
        <f>IF(B355="", "", "animal secretion")</f>
        <v>0</v>
      </c>
      <c r="D355" s="1">
        <f>IF(B355="", "", "saliva")</f>
        <v>0</v>
      </c>
      <c r="E355" s="1">
        <f>IF(B355="", "", "human-oral")</f>
        <v>0</v>
      </c>
      <c r="F355" s="1">
        <f>IF(B355="", "", "UBERON:oral cavity")</f>
        <v>0</v>
      </c>
      <c r="G355" s="1">
        <f>IF(B355="", "", "UBERON:saliva")</f>
        <v>0</v>
      </c>
      <c r="H355" s="1">
        <f>IF(B355="", "", "UBERON:tongue")</f>
        <v>0</v>
      </c>
      <c r="I355" s="1">
        <f>IF(B355="", "", "tongue")</f>
        <v>0</v>
      </c>
      <c r="J355" s="1">
        <f>IF(B355="", "", "human oral metagenome")</f>
        <v>0</v>
      </c>
      <c r="K355" s="1">
        <f>IF(B355="", "", "447426")</f>
        <v>0</v>
      </c>
    </row>
    <row r="356" spans="1:11">
      <c r="A356">
        <f>IF(COUNTBLANK(B356:K356)&lt;&gt;COLUMNS(B356:K356),355,"")</f>
        <v>0</v>
      </c>
      <c r="C356" s="1">
        <f>IF(B356="", "", "animal secretion")</f>
        <v>0</v>
      </c>
      <c r="D356" s="1">
        <f>IF(B356="", "", "saliva")</f>
        <v>0</v>
      </c>
      <c r="E356" s="1">
        <f>IF(B356="", "", "human-oral")</f>
        <v>0</v>
      </c>
      <c r="F356" s="1">
        <f>IF(B356="", "", "UBERON:oral cavity")</f>
        <v>0</v>
      </c>
      <c r="G356" s="1">
        <f>IF(B356="", "", "UBERON:saliva")</f>
        <v>0</v>
      </c>
      <c r="H356" s="1">
        <f>IF(B356="", "", "UBERON:tongue")</f>
        <v>0</v>
      </c>
      <c r="I356" s="1">
        <f>IF(B356="", "", "tongue")</f>
        <v>0</v>
      </c>
      <c r="J356" s="1">
        <f>IF(B356="", "", "human oral metagenome")</f>
        <v>0</v>
      </c>
      <c r="K356" s="1">
        <f>IF(B356="", "", "447426")</f>
        <v>0</v>
      </c>
    </row>
    <row r="357" spans="1:11">
      <c r="A357">
        <f>IF(COUNTBLANK(B357:K357)&lt;&gt;COLUMNS(B357:K357),356,"")</f>
        <v>0</v>
      </c>
      <c r="C357" s="1">
        <f>IF(B357="", "", "animal secretion")</f>
        <v>0</v>
      </c>
      <c r="D357" s="1">
        <f>IF(B357="", "", "saliva")</f>
        <v>0</v>
      </c>
      <c r="E357" s="1">
        <f>IF(B357="", "", "human-oral")</f>
        <v>0</v>
      </c>
      <c r="F357" s="1">
        <f>IF(B357="", "", "UBERON:oral cavity")</f>
        <v>0</v>
      </c>
      <c r="G357" s="1">
        <f>IF(B357="", "", "UBERON:saliva")</f>
        <v>0</v>
      </c>
      <c r="H357" s="1">
        <f>IF(B357="", "", "UBERON:tongue")</f>
        <v>0</v>
      </c>
      <c r="I357" s="1">
        <f>IF(B357="", "", "tongue")</f>
        <v>0</v>
      </c>
      <c r="J357" s="1">
        <f>IF(B357="", "", "human oral metagenome")</f>
        <v>0</v>
      </c>
      <c r="K357" s="1">
        <f>IF(B357="", "", "447426")</f>
        <v>0</v>
      </c>
    </row>
    <row r="358" spans="1:11">
      <c r="A358">
        <f>IF(COUNTBLANK(B358:K358)&lt;&gt;COLUMNS(B358:K358),357,"")</f>
        <v>0</v>
      </c>
      <c r="C358" s="1">
        <f>IF(B358="", "", "animal secretion")</f>
        <v>0</v>
      </c>
      <c r="D358" s="1">
        <f>IF(B358="", "", "saliva")</f>
        <v>0</v>
      </c>
      <c r="E358" s="1">
        <f>IF(B358="", "", "human-oral")</f>
        <v>0</v>
      </c>
      <c r="F358" s="1">
        <f>IF(B358="", "", "UBERON:oral cavity")</f>
        <v>0</v>
      </c>
      <c r="G358" s="1">
        <f>IF(B358="", "", "UBERON:saliva")</f>
        <v>0</v>
      </c>
      <c r="H358" s="1">
        <f>IF(B358="", "", "UBERON:tongue")</f>
        <v>0</v>
      </c>
      <c r="I358" s="1">
        <f>IF(B358="", "", "tongue")</f>
        <v>0</v>
      </c>
      <c r="J358" s="1">
        <f>IF(B358="", "", "human oral metagenome")</f>
        <v>0</v>
      </c>
      <c r="K358" s="1">
        <f>IF(B358="", "", "447426")</f>
        <v>0</v>
      </c>
    </row>
    <row r="359" spans="1:11">
      <c r="A359">
        <f>IF(COUNTBLANK(B359:K359)&lt;&gt;COLUMNS(B359:K359),358,"")</f>
        <v>0</v>
      </c>
      <c r="C359" s="1">
        <f>IF(B359="", "", "animal secretion")</f>
        <v>0</v>
      </c>
      <c r="D359" s="1">
        <f>IF(B359="", "", "saliva")</f>
        <v>0</v>
      </c>
      <c r="E359" s="1">
        <f>IF(B359="", "", "human-oral")</f>
        <v>0</v>
      </c>
      <c r="F359" s="1">
        <f>IF(B359="", "", "UBERON:oral cavity")</f>
        <v>0</v>
      </c>
      <c r="G359" s="1">
        <f>IF(B359="", "", "UBERON:saliva")</f>
        <v>0</v>
      </c>
      <c r="H359" s="1">
        <f>IF(B359="", "", "UBERON:tongue")</f>
        <v>0</v>
      </c>
      <c r="I359" s="1">
        <f>IF(B359="", "", "tongue")</f>
        <v>0</v>
      </c>
      <c r="J359" s="1">
        <f>IF(B359="", "", "human oral metagenome")</f>
        <v>0</v>
      </c>
      <c r="K359" s="1">
        <f>IF(B359="", "", "447426")</f>
        <v>0</v>
      </c>
    </row>
    <row r="360" spans="1:11">
      <c r="A360">
        <f>IF(COUNTBLANK(B360:K360)&lt;&gt;COLUMNS(B360:K360),359,"")</f>
        <v>0</v>
      </c>
      <c r="C360" s="1">
        <f>IF(B360="", "", "animal secretion")</f>
        <v>0</v>
      </c>
      <c r="D360" s="1">
        <f>IF(B360="", "", "saliva")</f>
        <v>0</v>
      </c>
      <c r="E360" s="1">
        <f>IF(B360="", "", "human-oral")</f>
        <v>0</v>
      </c>
      <c r="F360" s="1">
        <f>IF(B360="", "", "UBERON:oral cavity")</f>
        <v>0</v>
      </c>
      <c r="G360" s="1">
        <f>IF(B360="", "", "UBERON:saliva")</f>
        <v>0</v>
      </c>
      <c r="H360" s="1">
        <f>IF(B360="", "", "UBERON:tongue")</f>
        <v>0</v>
      </c>
      <c r="I360" s="1">
        <f>IF(B360="", "", "tongue")</f>
        <v>0</v>
      </c>
      <c r="J360" s="1">
        <f>IF(B360="", "", "human oral metagenome")</f>
        <v>0</v>
      </c>
      <c r="K360" s="1">
        <f>IF(B360="", "", "447426")</f>
        <v>0</v>
      </c>
    </row>
    <row r="361" spans="1:11">
      <c r="A361">
        <f>IF(COUNTBLANK(B361:K361)&lt;&gt;COLUMNS(B361:K361),360,"")</f>
        <v>0</v>
      </c>
      <c r="C361" s="1">
        <f>IF(B361="", "", "animal secretion")</f>
        <v>0</v>
      </c>
      <c r="D361" s="1">
        <f>IF(B361="", "", "saliva")</f>
        <v>0</v>
      </c>
      <c r="E361" s="1">
        <f>IF(B361="", "", "human-oral")</f>
        <v>0</v>
      </c>
      <c r="F361" s="1">
        <f>IF(B361="", "", "UBERON:oral cavity")</f>
        <v>0</v>
      </c>
      <c r="G361" s="1">
        <f>IF(B361="", "", "UBERON:saliva")</f>
        <v>0</v>
      </c>
      <c r="H361" s="1">
        <f>IF(B361="", "", "UBERON:tongue")</f>
        <v>0</v>
      </c>
      <c r="I361" s="1">
        <f>IF(B361="", "", "tongue")</f>
        <v>0</v>
      </c>
      <c r="J361" s="1">
        <f>IF(B361="", "", "human oral metagenome")</f>
        <v>0</v>
      </c>
      <c r="K361" s="1">
        <f>IF(B361="", "", "447426")</f>
        <v>0</v>
      </c>
    </row>
    <row r="362" spans="1:11">
      <c r="A362">
        <f>IF(COUNTBLANK(B362:K362)&lt;&gt;COLUMNS(B362:K362),361,"")</f>
        <v>0</v>
      </c>
      <c r="C362" s="1">
        <f>IF(B362="", "", "animal secretion")</f>
        <v>0</v>
      </c>
      <c r="D362" s="1">
        <f>IF(B362="", "", "saliva")</f>
        <v>0</v>
      </c>
      <c r="E362" s="1">
        <f>IF(B362="", "", "human-oral")</f>
        <v>0</v>
      </c>
      <c r="F362" s="1">
        <f>IF(B362="", "", "UBERON:oral cavity")</f>
        <v>0</v>
      </c>
      <c r="G362" s="1">
        <f>IF(B362="", "", "UBERON:saliva")</f>
        <v>0</v>
      </c>
      <c r="H362" s="1">
        <f>IF(B362="", "", "UBERON:tongue")</f>
        <v>0</v>
      </c>
      <c r="I362" s="1">
        <f>IF(B362="", "", "tongue")</f>
        <v>0</v>
      </c>
      <c r="J362" s="1">
        <f>IF(B362="", "", "human oral metagenome")</f>
        <v>0</v>
      </c>
      <c r="K362" s="1">
        <f>IF(B362="", "", "447426")</f>
        <v>0</v>
      </c>
    </row>
    <row r="363" spans="1:11">
      <c r="A363">
        <f>IF(COUNTBLANK(B363:K363)&lt;&gt;COLUMNS(B363:K363),362,"")</f>
        <v>0</v>
      </c>
      <c r="C363" s="1">
        <f>IF(B363="", "", "animal secretion")</f>
        <v>0</v>
      </c>
      <c r="D363" s="1">
        <f>IF(B363="", "", "saliva")</f>
        <v>0</v>
      </c>
      <c r="E363" s="1">
        <f>IF(B363="", "", "human-oral")</f>
        <v>0</v>
      </c>
      <c r="F363" s="1">
        <f>IF(B363="", "", "UBERON:oral cavity")</f>
        <v>0</v>
      </c>
      <c r="G363" s="1">
        <f>IF(B363="", "", "UBERON:saliva")</f>
        <v>0</v>
      </c>
      <c r="H363" s="1">
        <f>IF(B363="", "", "UBERON:tongue")</f>
        <v>0</v>
      </c>
      <c r="I363" s="1">
        <f>IF(B363="", "", "tongue")</f>
        <v>0</v>
      </c>
      <c r="J363" s="1">
        <f>IF(B363="", "", "human oral metagenome")</f>
        <v>0</v>
      </c>
      <c r="K363" s="1">
        <f>IF(B363="", "", "447426")</f>
        <v>0</v>
      </c>
    </row>
    <row r="364" spans="1:11">
      <c r="A364">
        <f>IF(COUNTBLANK(B364:K364)&lt;&gt;COLUMNS(B364:K364),363,"")</f>
        <v>0</v>
      </c>
      <c r="C364" s="1">
        <f>IF(B364="", "", "animal secretion")</f>
        <v>0</v>
      </c>
      <c r="D364" s="1">
        <f>IF(B364="", "", "saliva")</f>
        <v>0</v>
      </c>
      <c r="E364" s="1">
        <f>IF(B364="", "", "human-oral")</f>
        <v>0</v>
      </c>
      <c r="F364" s="1">
        <f>IF(B364="", "", "UBERON:oral cavity")</f>
        <v>0</v>
      </c>
      <c r="G364" s="1">
        <f>IF(B364="", "", "UBERON:saliva")</f>
        <v>0</v>
      </c>
      <c r="H364" s="1">
        <f>IF(B364="", "", "UBERON:tongue")</f>
        <v>0</v>
      </c>
      <c r="I364" s="1">
        <f>IF(B364="", "", "tongue")</f>
        <v>0</v>
      </c>
      <c r="J364" s="1">
        <f>IF(B364="", "", "human oral metagenome")</f>
        <v>0</v>
      </c>
      <c r="K364" s="1">
        <f>IF(B364="", "", "447426")</f>
        <v>0</v>
      </c>
    </row>
    <row r="365" spans="1:11">
      <c r="A365">
        <f>IF(COUNTBLANK(B365:K365)&lt;&gt;COLUMNS(B365:K365),364,"")</f>
        <v>0</v>
      </c>
      <c r="C365" s="1">
        <f>IF(B365="", "", "animal secretion")</f>
        <v>0</v>
      </c>
      <c r="D365" s="1">
        <f>IF(B365="", "", "saliva")</f>
        <v>0</v>
      </c>
      <c r="E365" s="1">
        <f>IF(B365="", "", "human-oral")</f>
        <v>0</v>
      </c>
      <c r="F365" s="1">
        <f>IF(B365="", "", "UBERON:oral cavity")</f>
        <v>0</v>
      </c>
      <c r="G365" s="1">
        <f>IF(B365="", "", "UBERON:saliva")</f>
        <v>0</v>
      </c>
      <c r="H365" s="1">
        <f>IF(B365="", "", "UBERON:tongue")</f>
        <v>0</v>
      </c>
      <c r="I365" s="1">
        <f>IF(B365="", "", "tongue")</f>
        <v>0</v>
      </c>
      <c r="J365" s="1">
        <f>IF(B365="", "", "human oral metagenome")</f>
        <v>0</v>
      </c>
      <c r="K365" s="1">
        <f>IF(B365="", "", "447426")</f>
        <v>0</v>
      </c>
    </row>
    <row r="366" spans="1:11">
      <c r="A366">
        <f>IF(COUNTBLANK(B366:K366)&lt;&gt;COLUMNS(B366:K366),365,"")</f>
        <v>0</v>
      </c>
      <c r="C366" s="1">
        <f>IF(B366="", "", "animal secretion")</f>
        <v>0</v>
      </c>
      <c r="D366" s="1">
        <f>IF(B366="", "", "saliva")</f>
        <v>0</v>
      </c>
      <c r="E366" s="1">
        <f>IF(B366="", "", "human-oral")</f>
        <v>0</v>
      </c>
      <c r="F366" s="1">
        <f>IF(B366="", "", "UBERON:oral cavity")</f>
        <v>0</v>
      </c>
      <c r="G366" s="1">
        <f>IF(B366="", "", "UBERON:saliva")</f>
        <v>0</v>
      </c>
      <c r="H366" s="1">
        <f>IF(B366="", "", "UBERON:tongue")</f>
        <v>0</v>
      </c>
      <c r="I366" s="1">
        <f>IF(B366="", "", "tongue")</f>
        <v>0</v>
      </c>
      <c r="J366" s="1">
        <f>IF(B366="", "", "human oral metagenome")</f>
        <v>0</v>
      </c>
      <c r="K366" s="1">
        <f>IF(B366="", "", "447426")</f>
        <v>0</v>
      </c>
    </row>
    <row r="367" spans="1:11">
      <c r="A367">
        <f>IF(COUNTBLANK(B367:K367)&lt;&gt;COLUMNS(B367:K367),366,"")</f>
        <v>0</v>
      </c>
      <c r="C367" s="1">
        <f>IF(B367="", "", "animal secretion")</f>
        <v>0</v>
      </c>
      <c r="D367" s="1">
        <f>IF(B367="", "", "saliva")</f>
        <v>0</v>
      </c>
      <c r="E367" s="1">
        <f>IF(B367="", "", "human-oral")</f>
        <v>0</v>
      </c>
      <c r="F367" s="1">
        <f>IF(B367="", "", "UBERON:oral cavity")</f>
        <v>0</v>
      </c>
      <c r="G367" s="1">
        <f>IF(B367="", "", "UBERON:saliva")</f>
        <v>0</v>
      </c>
      <c r="H367" s="1">
        <f>IF(B367="", "", "UBERON:tongue")</f>
        <v>0</v>
      </c>
      <c r="I367" s="1">
        <f>IF(B367="", "", "tongue")</f>
        <v>0</v>
      </c>
      <c r="J367" s="1">
        <f>IF(B367="", "", "human oral metagenome")</f>
        <v>0</v>
      </c>
      <c r="K367" s="1">
        <f>IF(B367="", "", "447426")</f>
        <v>0</v>
      </c>
    </row>
    <row r="368" spans="1:11">
      <c r="A368">
        <f>IF(COUNTBLANK(B368:K368)&lt;&gt;COLUMNS(B368:K368),367,"")</f>
        <v>0</v>
      </c>
      <c r="C368" s="1">
        <f>IF(B368="", "", "animal secretion")</f>
        <v>0</v>
      </c>
      <c r="D368" s="1">
        <f>IF(B368="", "", "saliva")</f>
        <v>0</v>
      </c>
      <c r="E368" s="1">
        <f>IF(B368="", "", "human-oral")</f>
        <v>0</v>
      </c>
      <c r="F368" s="1">
        <f>IF(B368="", "", "UBERON:oral cavity")</f>
        <v>0</v>
      </c>
      <c r="G368" s="1">
        <f>IF(B368="", "", "UBERON:saliva")</f>
        <v>0</v>
      </c>
      <c r="H368" s="1">
        <f>IF(B368="", "", "UBERON:tongue")</f>
        <v>0</v>
      </c>
      <c r="I368" s="1">
        <f>IF(B368="", "", "tongue")</f>
        <v>0</v>
      </c>
      <c r="J368" s="1">
        <f>IF(B368="", "", "human oral metagenome")</f>
        <v>0</v>
      </c>
      <c r="K368" s="1">
        <f>IF(B368="", "", "447426")</f>
        <v>0</v>
      </c>
    </row>
    <row r="369" spans="1:11">
      <c r="A369">
        <f>IF(COUNTBLANK(B369:K369)&lt;&gt;COLUMNS(B369:K369),368,"")</f>
        <v>0</v>
      </c>
      <c r="C369" s="1">
        <f>IF(B369="", "", "animal secretion")</f>
        <v>0</v>
      </c>
      <c r="D369" s="1">
        <f>IF(B369="", "", "saliva")</f>
        <v>0</v>
      </c>
      <c r="E369" s="1">
        <f>IF(B369="", "", "human-oral")</f>
        <v>0</v>
      </c>
      <c r="F369" s="1">
        <f>IF(B369="", "", "UBERON:oral cavity")</f>
        <v>0</v>
      </c>
      <c r="G369" s="1">
        <f>IF(B369="", "", "UBERON:saliva")</f>
        <v>0</v>
      </c>
      <c r="H369" s="1">
        <f>IF(B369="", "", "UBERON:tongue")</f>
        <v>0</v>
      </c>
      <c r="I369" s="1">
        <f>IF(B369="", "", "tongue")</f>
        <v>0</v>
      </c>
      <c r="J369" s="1">
        <f>IF(B369="", "", "human oral metagenome")</f>
        <v>0</v>
      </c>
      <c r="K369" s="1">
        <f>IF(B369="", "", "447426")</f>
        <v>0</v>
      </c>
    </row>
    <row r="370" spans="1:11">
      <c r="A370">
        <f>IF(COUNTBLANK(B370:K370)&lt;&gt;COLUMNS(B370:K370),369,"")</f>
        <v>0</v>
      </c>
      <c r="C370" s="1">
        <f>IF(B370="", "", "animal secretion")</f>
        <v>0</v>
      </c>
      <c r="D370" s="1">
        <f>IF(B370="", "", "saliva")</f>
        <v>0</v>
      </c>
      <c r="E370" s="1">
        <f>IF(B370="", "", "human-oral")</f>
        <v>0</v>
      </c>
      <c r="F370" s="1">
        <f>IF(B370="", "", "UBERON:oral cavity")</f>
        <v>0</v>
      </c>
      <c r="G370" s="1">
        <f>IF(B370="", "", "UBERON:saliva")</f>
        <v>0</v>
      </c>
      <c r="H370" s="1">
        <f>IF(B370="", "", "UBERON:tongue")</f>
        <v>0</v>
      </c>
      <c r="I370" s="1">
        <f>IF(B370="", "", "tongue")</f>
        <v>0</v>
      </c>
      <c r="J370" s="1">
        <f>IF(B370="", "", "human oral metagenome")</f>
        <v>0</v>
      </c>
      <c r="K370" s="1">
        <f>IF(B370="", "", "447426")</f>
        <v>0</v>
      </c>
    </row>
    <row r="371" spans="1:11">
      <c r="A371">
        <f>IF(COUNTBLANK(B371:K371)&lt;&gt;COLUMNS(B371:K371),370,"")</f>
        <v>0</v>
      </c>
      <c r="C371" s="1">
        <f>IF(B371="", "", "animal secretion")</f>
        <v>0</v>
      </c>
      <c r="D371" s="1">
        <f>IF(B371="", "", "saliva")</f>
        <v>0</v>
      </c>
      <c r="E371" s="1">
        <f>IF(B371="", "", "human-oral")</f>
        <v>0</v>
      </c>
      <c r="F371" s="1">
        <f>IF(B371="", "", "UBERON:oral cavity")</f>
        <v>0</v>
      </c>
      <c r="G371" s="1">
        <f>IF(B371="", "", "UBERON:saliva")</f>
        <v>0</v>
      </c>
      <c r="H371" s="1">
        <f>IF(B371="", "", "UBERON:tongue")</f>
        <v>0</v>
      </c>
      <c r="I371" s="1">
        <f>IF(B371="", "", "tongue")</f>
        <v>0</v>
      </c>
      <c r="J371" s="1">
        <f>IF(B371="", "", "human oral metagenome")</f>
        <v>0</v>
      </c>
      <c r="K371" s="1">
        <f>IF(B371="", "", "447426")</f>
        <v>0</v>
      </c>
    </row>
    <row r="372" spans="1:11">
      <c r="A372">
        <f>IF(COUNTBLANK(B372:K372)&lt;&gt;COLUMNS(B372:K372),371,"")</f>
        <v>0</v>
      </c>
      <c r="C372" s="1">
        <f>IF(B372="", "", "animal secretion")</f>
        <v>0</v>
      </c>
      <c r="D372" s="1">
        <f>IF(B372="", "", "saliva")</f>
        <v>0</v>
      </c>
      <c r="E372" s="1">
        <f>IF(B372="", "", "human-oral")</f>
        <v>0</v>
      </c>
      <c r="F372" s="1">
        <f>IF(B372="", "", "UBERON:oral cavity")</f>
        <v>0</v>
      </c>
      <c r="G372" s="1">
        <f>IF(B372="", "", "UBERON:saliva")</f>
        <v>0</v>
      </c>
      <c r="H372" s="1">
        <f>IF(B372="", "", "UBERON:tongue")</f>
        <v>0</v>
      </c>
      <c r="I372" s="1">
        <f>IF(B372="", "", "tongue")</f>
        <v>0</v>
      </c>
      <c r="J372" s="1">
        <f>IF(B372="", "", "human oral metagenome")</f>
        <v>0</v>
      </c>
      <c r="K372" s="1">
        <f>IF(B372="", "", "447426")</f>
        <v>0</v>
      </c>
    </row>
    <row r="373" spans="1:11">
      <c r="A373">
        <f>IF(COUNTBLANK(B373:K373)&lt;&gt;COLUMNS(B373:K373),372,"")</f>
        <v>0</v>
      </c>
      <c r="C373" s="1">
        <f>IF(B373="", "", "animal secretion")</f>
        <v>0</v>
      </c>
      <c r="D373" s="1">
        <f>IF(B373="", "", "saliva")</f>
        <v>0</v>
      </c>
      <c r="E373" s="1">
        <f>IF(B373="", "", "human-oral")</f>
        <v>0</v>
      </c>
      <c r="F373" s="1">
        <f>IF(B373="", "", "UBERON:oral cavity")</f>
        <v>0</v>
      </c>
      <c r="G373" s="1">
        <f>IF(B373="", "", "UBERON:saliva")</f>
        <v>0</v>
      </c>
      <c r="H373" s="1">
        <f>IF(B373="", "", "UBERON:tongue")</f>
        <v>0</v>
      </c>
      <c r="I373" s="1">
        <f>IF(B373="", "", "tongue")</f>
        <v>0</v>
      </c>
      <c r="J373" s="1">
        <f>IF(B373="", "", "human oral metagenome")</f>
        <v>0</v>
      </c>
      <c r="K373" s="1">
        <f>IF(B373="", "", "447426")</f>
        <v>0</v>
      </c>
    </row>
    <row r="374" spans="1:11">
      <c r="A374">
        <f>IF(COUNTBLANK(B374:K374)&lt;&gt;COLUMNS(B374:K374),373,"")</f>
        <v>0</v>
      </c>
      <c r="C374" s="1">
        <f>IF(B374="", "", "animal secretion")</f>
        <v>0</v>
      </c>
      <c r="D374" s="1">
        <f>IF(B374="", "", "saliva")</f>
        <v>0</v>
      </c>
      <c r="E374" s="1">
        <f>IF(B374="", "", "human-oral")</f>
        <v>0</v>
      </c>
      <c r="F374" s="1">
        <f>IF(B374="", "", "UBERON:oral cavity")</f>
        <v>0</v>
      </c>
      <c r="G374" s="1">
        <f>IF(B374="", "", "UBERON:saliva")</f>
        <v>0</v>
      </c>
      <c r="H374" s="1">
        <f>IF(B374="", "", "UBERON:tongue")</f>
        <v>0</v>
      </c>
      <c r="I374" s="1">
        <f>IF(B374="", "", "tongue")</f>
        <v>0</v>
      </c>
      <c r="J374" s="1">
        <f>IF(B374="", "", "human oral metagenome")</f>
        <v>0</v>
      </c>
      <c r="K374" s="1">
        <f>IF(B374="", "", "447426")</f>
        <v>0</v>
      </c>
    </row>
    <row r="375" spans="1:11">
      <c r="A375">
        <f>IF(COUNTBLANK(B375:K375)&lt;&gt;COLUMNS(B375:K375),374,"")</f>
        <v>0</v>
      </c>
      <c r="C375" s="1">
        <f>IF(B375="", "", "animal secretion")</f>
        <v>0</v>
      </c>
      <c r="D375" s="1">
        <f>IF(B375="", "", "saliva")</f>
        <v>0</v>
      </c>
      <c r="E375" s="1">
        <f>IF(B375="", "", "human-oral")</f>
        <v>0</v>
      </c>
      <c r="F375" s="1">
        <f>IF(B375="", "", "UBERON:oral cavity")</f>
        <v>0</v>
      </c>
      <c r="G375" s="1">
        <f>IF(B375="", "", "UBERON:saliva")</f>
        <v>0</v>
      </c>
      <c r="H375" s="1">
        <f>IF(B375="", "", "UBERON:tongue")</f>
        <v>0</v>
      </c>
      <c r="I375" s="1">
        <f>IF(B375="", "", "tongue")</f>
        <v>0</v>
      </c>
      <c r="J375" s="1">
        <f>IF(B375="", "", "human oral metagenome")</f>
        <v>0</v>
      </c>
      <c r="K375" s="1">
        <f>IF(B375="", "", "447426")</f>
        <v>0</v>
      </c>
    </row>
    <row r="376" spans="1:11">
      <c r="A376">
        <f>IF(COUNTBLANK(B376:K376)&lt;&gt;COLUMNS(B376:K376),375,"")</f>
        <v>0</v>
      </c>
      <c r="C376" s="1">
        <f>IF(B376="", "", "animal secretion")</f>
        <v>0</v>
      </c>
      <c r="D376" s="1">
        <f>IF(B376="", "", "saliva")</f>
        <v>0</v>
      </c>
      <c r="E376" s="1">
        <f>IF(B376="", "", "human-oral")</f>
        <v>0</v>
      </c>
      <c r="F376" s="1">
        <f>IF(B376="", "", "UBERON:oral cavity")</f>
        <v>0</v>
      </c>
      <c r="G376" s="1">
        <f>IF(B376="", "", "UBERON:saliva")</f>
        <v>0</v>
      </c>
      <c r="H376" s="1">
        <f>IF(B376="", "", "UBERON:tongue")</f>
        <v>0</v>
      </c>
      <c r="I376" s="1">
        <f>IF(B376="", "", "tongue")</f>
        <v>0</v>
      </c>
      <c r="J376" s="1">
        <f>IF(B376="", "", "human oral metagenome")</f>
        <v>0</v>
      </c>
      <c r="K376" s="1">
        <f>IF(B376="", "", "447426")</f>
        <v>0</v>
      </c>
    </row>
    <row r="377" spans="1:11">
      <c r="A377">
        <f>IF(COUNTBLANK(B377:K377)&lt;&gt;COLUMNS(B377:K377),376,"")</f>
        <v>0</v>
      </c>
      <c r="C377" s="1">
        <f>IF(B377="", "", "animal secretion")</f>
        <v>0</v>
      </c>
      <c r="D377" s="1">
        <f>IF(B377="", "", "saliva")</f>
        <v>0</v>
      </c>
      <c r="E377" s="1">
        <f>IF(B377="", "", "human-oral")</f>
        <v>0</v>
      </c>
      <c r="F377" s="1">
        <f>IF(B377="", "", "UBERON:oral cavity")</f>
        <v>0</v>
      </c>
      <c r="G377" s="1">
        <f>IF(B377="", "", "UBERON:saliva")</f>
        <v>0</v>
      </c>
      <c r="H377" s="1">
        <f>IF(B377="", "", "UBERON:tongue")</f>
        <v>0</v>
      </c>
      <c r="I377" s="1">
        <f>IF(B377="", "", "tongue")</f>
        <v>0</v>
      </c>
      <c r="J377" s="1">
        <f>IF(B377="", "", "human oral metagenome")</f>
        <v>0</v>
      </c>
      <c r="K377" s="1">
        <f>IF(B377="", "", "447426")</f>
        <v>0</v>
      </c>
    </row>
    <row r="378" spans="1:11">
      <c r="A378">
        <f>IF(COUNTBLANK(B378:K378)&lt;&gt;COLUMNS(B378:K378),377,"")</f>
        <v>0</v>
      </c>
      <c r="C378" s="1">
        <f>IF(B378="", "", "animal secretion")</f>
        <v>0</v>
      </c>
      <c r="D378" s="1">
        <f>IF(B378="", "", "saliva")</f>
        <v>0</v>
      </c>
      <c r="E378" s="1">
        <f>IF(B378="", "", "human-oral")</f>
        <v>0</v>
      </c>
      <c r="F378" s="1">
        <f>IF(B378="", "", "UBERON:oral cavity")</f>
        <v>0</v>
      </c>
      <c r="G378" s="1">
        <f>IF(B378="", "", "UBERON:saliva")</f>
        <v>0</v>
      </c>
      <c r="H378" s="1">
        <f>IF(B378="", "", "UBERON:tongue")</f>
        <v>0</v>
      </c>
      <c r="I378" s="1">
        <f>IF(B378="", "", "tongue")</f>
        <v>0</v>
      </c>
      <c r="J378" s="1">
        <f>IF(B378="", "", "human oral metagenome")</f>
        <v>0</v>
      </c>
      <c r="K378" s="1">
        <f>IF(B378="", "", "447426")</f>
        <v>0</v>
      </c>
    </row>
    <row r="379" spans="1:11">
      <c r="A379">
        <f>IF(COUNTBLANK(B379:K379)&lt;&gt;COLUMNS(B379:K379),378,"")</f>
        <v>0</v>
      </c>
      <c r="C379" s="1">
        <f>IF(B379="", "", "animal secretion")</f>
        <v>0</v>
      </c>
      <c r="D379" s="1">
        <f>IF(B379="", "", "saliva")</f>
        <v>0</v>
      </c>
      <c r="E379" s="1">
        <f>IF(B379="", "", "human-oral")</f>
        <v>0</v>
      </c>
      <c r="F379" s="1">
        <f>IF(B379="", "", "UBERON:oral cavity")</f>
        <v>0</v>
      </c>
      <c r="G379" s="1">
        <f>IF(B379="", "", "UBERON:saliva")</f>
        <v>0</v>
      </c>
      <c r="H379" s="1">
        <f>IF(B379="", "", "UBERON:tongue")</f>
        <v>0</v>
      </c>
      <c r="I379" s="1">
        <f>IF(B379="", "", "tongue")</f>
        <v>0</v>
      </c>
      <c r="J379" s="1">
        <f>IF(B379="", "", "human oral metagenome")</f>
        <v>0</v>
      </c>
      <c r="K379" s="1">
        <f>IF(B379="", "", "447426")</f>
        <v>0</v>
      </c>
    </row>
    <row r="380" spans="1:11">
      <c r="A380">
        <f>IF(COUNTBLANK(B380:K380)&lt;&gt;COLUMNS(B380:K380),379,"")</f>
        <v>0</v>
      </c>
      <c r="C380" s="1">
        <f>IF(B380="", "", "animal secretion")</f>
        <v>0</v>
      </c>
      <c r="D380" s="1">
        <f>IF(B380="", "", "saliva")</f>
        <v>0</v>
      </c>
      <c r="E380" s="1">
        <f>IF(B380="", "", "human-oral")</f>
        <v>0</v>
      </c>
      <c r="F380" s="1">
        <f>IF(B380="", "", "UBERON:oral cavity")</f>
        <v>0</v>
      </c>
      <c r="G380" s="1">
        <f>IF(B380="", "", "UBERON:saliva")</f>
        <v>0</v>
      </c>
      <c r="H380" s="1">
        <f>IF(B380="", "", "UBERON:tongue")</f>
        <v>0</v>
      </c>
      <c r="I380" s="1">
        <f>IF(B380="", "", "tongue")</f>
        <v>0</v>
      </c>
      <c r="J380" s="1">
        <f>IF(B380="", "", "human oral metagenome")</f>
        <v>0</v>
      </c>
      <c r="K380" s="1">
        <f>IF(B380="", "", "447426")</f>
        <v>0</v>
      </c>
    </row>
    <row r="381" spans="1:11">
      <c r="A381">
        <f>IF(COUNTBLANK(B381:K381)&lt;&gt;COLUMNS(B381:K381),380,"")</f>
        <v>0</v>
      </c>
      <c r="C381" s="1">
        <f>IF(B381="", "", "animal secretion")</f>
        <v>0</v>
      </c>
      <c r="D381" s="1">
        <f>IF(B381="", "", "saliva")</f>
        <v>0</v>
      </c>
      <c r="E381" s="1">
        <f>IF(B381="", "", "human-oral")</f>
        <v>0</v>
      </c>
      <c r="F381" s="1">
        <f>IF(B381="", "", "UBERON:oral cavity")</f>
        <v>0</v>
      </c>
      <c r="G381" s="1">
        <f>IF(B381="", "", "UBERON:saliva")</f>
        <v>0</v>
      </c>
      <c r="H381" s="1">
        <f>IF(B381="", "", "UBERON:tongue")</f>
        <v>0</v>
      </c>
      <c r="I381" s="1">
        <f>IF(B381="", "", "tongue")</f>
        <v>0</v>
      </c>
      <c r="J381" s="1">
        <f>IF(B381="", "", "human oral metagenome")</f>
        <v>0</v>
      </c>
      <c r="K381" s="1">
        <f>IF(B381="", "", "447426")</f>
        <v>0</v>
      </c>
    </row>
    <row r="382" spans="1:11">
      <c r="A382">
        <f>IF(COUNTBLANK(B382:K382)&lt;&gt;COLUMNS(B382:K382),381,"")</f>
        <v>0</v>
      </c>
      <c r="C382" s="1">
        <f>IF(B382="", "", "animal secretion")</f>
        <v>0</v>
      </c>
      <c r="D382" s="1">
        <f>IF(B382="", "", "saliva")</f>
        <v>0</v>
      </c>
      <c r="E382" s="1">
        <f>IF(B382="", "", "human-oral")</f>
        <v>0</v>
      </c>
      <c r="F382" s="1">
        <f>IF(B382="", "", "UBERON:oral cavity")</f>
        <v>0</v>
      </c>
      <c r="G382" s="1">
        <f>IF(B382="", "", "UBERON:saliva")</f>
        <v>0</v>
      </c>
      <c r="H382" s="1">
        <f>IF(B382="", "", "UBERON:tongue")</f>
        <v>0</v>
      </c>
      <c r="I382" s="1">
        <f>IF(B382="", "", "tongue")</f>
        <v>0</v>
      </c>
      <c r="J382" s="1">
        <f>IF(B382="", "", "human oral metagenome")</f>
        <v>0</v>
      </c>
      <c r="K382" s="1">
        <f>IF(B382="", "", "447426")</f>
        <v>0</v>
      </c>
    </row>
    <row r="383" spans="1:11">
      <c r="A383">
        <f>IF(COUNTBLANK(B383:K383)&lt;&gt;COLUMNS(B383:K383),382,"")</f>
        <v>0</v>
      </c>
      <c r="C383" s="1">
        <f>IF(B383="", "", "animal secretion")</f>
        <v>0</v>
      </c>
      <c r="D383" s="1">
        <f>IF(B383="", "", "saliva")</f>
        <v>0</v>
      </c>
      <c r="E383" s="1">
        <f>IF(B383="", "", "human-oral")</f>
        <v>0</v>
      </c>
      <c r="F383" s="1">
        <f>IF(B383="", "", "UBERON:oral cavity")</f>
        <v>0</v>
      </c>
      <c r="G383" s="1">
        <f>IF(B383="", "", "UBERON:saliva")</f>
        <v>0</v>
      </c>
      <c r="H383" s="1">
        <f>IF(B383="", "", "UBERON:tongue")</f>
        <v>0</v>
      </c>
      <c r="I383" s="1">
        <f>IF(B383="", "", "tongue")</f>
        <v>0</v>
      </c>
      <c r="J383" s="1">
        <f>IF(B383="", "", "human oral metagenome")</f>
        <v>0</v>
      </c>
      <c r="K383" s="1">
        <f>IF(B383="", "", "447426")</f>
        <v>0</v>
      </c>
    </row>
    <row r="384" spans="1:11">
      <c r="A384">
        <f>IF(COUNTBLANK(B384:K384)&lt;&gt;COLUMNS(B384:K384),383,"")</f>
        <v>0</v>
      </c>
      <c r="C384" s="1">
        <f>IF(B384="", "", "animal secretion")</f>
        <v>0</v>
      </c>
      <c r="D384" s="1">
        <f>IF(B384="", "", "saliva")</f>
        <v>0</v>
      </c>
      <c r="E384" s="1">
        <f>IF(B384="", "", "human-oral")</f>
        <v>0</v>
      </c>
      <c r="F384" s="1">
        <f>IF(B384="", "", "UBERON:oral cavity")</f>
        <v>0</v>
      </c>
      <c r="G384" s="1">
        <f>IF(B384="", "", "UBERON:saliva")</f>
        <v>0</v>
      </c>
      <c r="H384" s="1">
        <f>IF(B384="", "", "UBERON:tongue")</f>
        <v>0</v>
      </c>
      <c r="I384" s="1">
        <f>IF(B384="", "", "tongue")</f>
        <v>0</v>
      </c>
      <c r="J384" s="1">
        <f>IF(B384="", "", "human oral metagenome")</f>
        <v>0</v>
      </c>
      <c r="K384" s="1">
        <f>IF(B384="", "", "447426")</f>
        <v>0</v>
      </c>
    </row>
    <row r="385" spans="1:11">
      <c r="A385">
        <f>IF(COUNTBLANK(B385:K385)&lt;&gt;COLUMNS(B385:K385),384,"")</f>
        <v>0</v>
      </c>
      <c r="C385" s="1">
        <f>IF(B385="", "", "animal secretion")</f>
        <v>0</v>
      </c>
      <c r="D385" s="1">
        <f>IF(B385="", "", "saliva")</f>
        <v>0</v>
      </c>
      <c r="E385" s="1">
        <f>IF(B385="", "", "human-oral")</f>
        <v>0</v>
      </c>
      <c r="F385" s="1">
        <f>IF(B385="", "", "UBERON:oral cavity")</f>
        <v>0</v>
      </c>
      <c r="G385" s="1">
        <f>IF(B385="", "", "UBERON:saliva")</f>
        <v>0</v>
      </c>
      <c r="H385" s="1">
        <f>IF(B385="", "", "UBERON:tongue")</f>
        <v>0</v>
      </c>
      <c r="I385" s="1">
        <f>IF(B385="", "", "tongue")</f>
        <v>0</v>
      </c>
      <c r="J385" s="1">
        <f>IF(B385="", "", "human oral metagenome")</f>
        <v>0</v>
      </c>
      <c r="K385" s="1">
        <f>IF(B385="", "", "447426")</f>
        <v>0</v>
      </c>
    </row>
    <row r="386" spans="1:11">
      <c r="A386">
        <f>IF(COUNTBLANK(B386:K386)&lt;&gt;COLUMNS(B386:K386),385,"")</f>
        <v>0</v>
      </c>
      <c r="C386" s="1">
        <f>IF(B386="", "", "animal secretion")</f>
        <v>0</v>
      </c>
      <c r="D386" s="1">
        <f>IF(B386="", "", "saliva")</f>
        <v>0</v>
      </c>
      <c r="E386" s="1">
        <f>IF(B386="", "", "human-oral")</f>
        <v>0</v>
      </c>
      <c r="F386" s="1">
        <f>IF(B386="", "", "UBERON:oral cavity")</f>
        <v>0</v>
      </c>
      <c r="G386" s="1">
        <f>IF(B386="", "", "UBERON:saliva")</f>
        <v>0</v>
      </c>
      <c r="H386" s="1">
        <f>IF(B386="", "", "UBERON:tongue")</f>
        <v>0</v>
      </c>
      <c r="I386" s="1">
        <f>IF(B386="", "", "tongue")</f>
        <v>0</v>
      </c>
      <c r="J386" s="1">
        <f>IF(B386="", "", "human oral metagenome")</f>
        <v>0</v>
      </c>
      <c r="K386" s="1">
        <f>IF(B386="", "", "447426")</f>
        <v>0</v>
      </c>
    </row>
    <row r="387" spans="1:11">
      <c r="A387">
        <f>IF(COUNTBLANK(B387:K387)&lt;&gt;COLUMNS(B387:K387),386,"")</f>
        <v>0</v>
      </c>
      <c r="C387" s="1">
        <f>IF(B387="", "", "animal secretion")</f>
        <v>0</v>
      </c>
      <c r="D387" s="1">
        <f>IF(B387="", "", "saliva")</f>
        <v>0</v>
      </c>
      <c r="E387" s="1">
        <f>IF(B387="", "", "human-oral")</f>
        <v>0</v>
      </c>
      <c r="F387" s="1">
        <f>IF(B387="", "", "UBERON:oral cavity")</f>
        <v>0</v>
      </c>
      <c r="G387" s="1">
        <f>IF(B387="", "", "UBERON:saliva")</f>
        <v>0</v>
      </c>
      <c r="H387" s="1">
        <f>IF(B387="", "", "UBERON:tongue")</f>
        <v>0</v>
      </c>
      <c r="I387" s="1">
        <f>IF(B387="", "", "tongue")</f>
        <v>0</v>
      </c>
      <c r="J387" s="1">
        <f>IF(B387="", "", "human oral metagenome")</f>
        <v>0</v>
      </c>
      <c r="K387" s="1">
        <f>IF(B387="", "", "447426")</f>
        <v>0</v>
      </c>
    </row>
    <row r="388" spans="1:11">
      <c r="A388">
        <f>IF(COUNTBLANK(B388:K388)&lt;&gt;COLUMNS(B388:K388),387,"")</f>
        <v>0</v>
      </c>
      <c r="C388" s="1">
        <f>IF(B388="", "", "animal secretion")</f>
        <v>0</v>
      </c>
      <c r="D388" s="1">
        <f>IF(B388="", "", "saliva")</f>
        <v>0</v>
      </c>
      <c r="E388" s="1">
        <f>IF(B388="", "", "human-oral")</f>
        <v>0</v>
      </c>
      <c r="F388" s="1">
        <f>IF(B388="", "", "UBERON:oral cavity")</f>
        <v>0</v>
      </c>
      <c r="G388" s="1">
        <f>IF(B388="", "", "UBERON:saliva")</f>
        <v>0</v>
      </c>
      <c r="H388" s="1">
        <f>IF(B388="", "", "UBERON:tongue")</f>
        <v>0</v>
      </c>
      <c r="I388" s="1">
        <f>IF(B388="", "", "tongue")</f>
        <v>0</v>
      </c>
      <c r="J388" s="1">
        <f>IF(B388="", "", "human oral metagenome")</f>
        <v>0</v>
      </c>
      <c r="K388" s="1">
        <f>IF(B388="", "", "447426")</f>
        <v>0</v>
      </c>
    </row>
    <row r="389" spans="1:11">
      <c r="A389">
        <f>IF(COUNTBLANK(B389:K389)&lt;&gt;COLUMNS(B389:K389),388,"")</f>
        <v>0</v>
      </c>
      <c r="C389" s="1">
        <f>IF(B389="", "", "animal secretion")</f>
        <v>0</v>
      </c>
      <c r="D389" s="1">
        <f>IF(B389="", "", "saliva")</f>
        <v>0</v>
      </c>
      <c r="E389" s="1">
        <f>IF(B389="", "", "human-oral")</f>
        <v>0</v>
      </c>
      <c r="F389" s="1">
        <f>IF(B389="", "", "UBERON:oral cavity")</f>
        <v>0</v>
      </c>
      <c r="G389" s="1">
        <f>IF(B389="", "", "UBERON:saliva")</f>
        <v>0</v>
      </c>
      <c r="H389" s="1">
        <f>IF(B389="", "", "UBERON:tongue")</f>
        <v>0</v>
      </c>
      <c r="I389" s="1">
        <f>IF(B389="", "", "tongue")</f>
        <v>0</v>
      </c>
      <c r="J389" s="1">
        <f>IF(B389="", "", "human oral metagenome")</f>
        <v>0</v>
      </c>
      <c r="K389" s="1">
        <f>IF(B389="", "", "447426")</f>
        <v>0</v>
      </c>
    </row>
    <row r="390" spans="1:11">
      <c r="A390">
        <f>IF(COUNTBLANK(B390:K390)&lt;&gt;COLUMNS(B390:K390),389,"")</f>
        <v>0</v>
      </c>
      <c r="C390" s="1">
        <f>IF(B390="", "", "animal secretion")</f>
        <v>0</v>
      </c>
      <c r="D390" s="1">
        <f>IF(B390="", "", "saliva")</f>
        <v>0</v>
      </c>
      <c r="E390" s="1">
        <f>IF(B390="", "", "human-oral")</f>
        <v>0</v>
      </c>
      <c r="F390" s="1">
        <f>IF(B390="", "", "UBERON:oral cavity")</f>
        <v>0</v>
      </c>
      <c r="G390" s="1">
        <f>IF(B390="", "", "UBERON:saliva")</f>
        <v>0</v>
      </c>
      <c r="H390" s="1">
        <f>IF(B390="", "", "UBERON:tongue")</f>
        <v>0</v>
      </c>
      <c r="I390" s="1">
        <f>IF(B390="", "", "tongue")</f>
        <v>0</v>
      </c>
      <c r="J390" s="1">
        <f>IF(B390="", "", "human oral metagenome")</f>
        <v>0</v>
      </c>
      <c r="K390" s="1">
        <f>IF(B390="", "", "447426")</f>
        <v>0</v>
      </c>
    </row>
    <row r="391" spans="1:11">
      <c r="A391">
        <f>IF(COUNTBLANK(B391:K391)&lt;&gt;COLUMNS(B391:K391),390,"")</f>
        <v>0</v>
      </c>
      <c r="C391" s="1">
        <f>IF(B391="", "", "animal secretion")</f>
        <v>0</v>
      </c>
      <c r="D391" s="1">
        <f>IF(B391="", "", "saliva")</f>
        <v>0</v>
      </c>
      <c r="E391" s="1">
        <f>IF(B391="", "", "human-oral")</f>
        <v>0</v>
      </c>
      <c r="F391" s="1">
        <f>IF(B391="", "", "UBERON:oral cavity")</f>
        <v>0</v>
      </c>
      <c r="G391" s="1">
        <f>IF(B391="", "", "UBERON:saliva")</f>
        <v>0</v>
      </c>
      <c r="H391" s="1">
        <f>IF(B391="", "", "UBERON:tongue")</f>
        <v>0</v>
      </c>
      <c r="I391" s="1">
        <f>IF(B391="", "", "tongue")</f>
        <v>0</v>
      </c>
      <c r="J391" s="1">
        <f>IF(B391="", "", "human oral metagenome")</f>
        <v>0</v>
      </c>
      <c r="K391" s="1">
        <f>IF(B391="", "", "447426")</f>
        <v>0</v>
      </c>
    </row>
    <row r="392" spans="1:11">
      <c r="A392">
        <f>IF(COUNTBLANK(B392:K392)&lt;&gt;COLUMNS(B392:K392),391,"")</f>
        <v>0</v>
      </c>
      <c r="C392" s="1">
        <f>IF(B392="", "", "animal secretion")</f>
        <v>0</v>
      </c>
      <c r="D392" s="1">
        <f>IF(B392="", "", "saliva")</f>
        <v>0</v>
      </c>
      <c r="E392" s="1">
        <f>IF(B392="", "", "human-oral")</f>
        <v>0</v>
      </c>
      <c r="F392" s="1">
        <f>IF(B392="", "", "UBERON:oral cavity")</f>
        <v>0</v>
      </c>
      <c r="G392" s="1">
        <f>IF(B392="", "", "UBERON:saliva")</f>
        <v>0</v>
      </c>
      <c r="H392" s="1">
        <f>IF(B392="", "", "UBERON:tongue")</f>
        <v>0</v>
      </c>
      <c r="I392" s="1">
        <f>IF(B392="", "", "tongue")</f>
        <v>0</v>
      </c>
      <c r="J392" s="1">
        <f>IF(B392="", "", "human oral metagenome")</f>
        <v>0</v>
      </c>
      <c r="K392" s="1">
        <f>IF(B392="", "", "447426")</f>
        <v>0</v>
      </c>
    </row>
    <row r="393" spans="1:11">
      <c r="A393">
        <f>IF(COUNTBLANK(B393:K393)&lt;&gt;COLUMNS(B393:K393),392,"")</f>
        <v>0</v>
      </c>
      <c r="C393" s="1">
        <f>IF(B393="", "", "animal secretion")</f>
        <v>0</v>
      </c>
      <c r="D393" s="1">
        <f>IF(B393="", "", "saliva")</f>
        <v>0</v>
      </c>
      <c r="E393" s="1">
        <f>IF(B393="", "", "human-oral")</f>
        <v>0</v>
      </c>
      <c r="F393" s="1">
        <f>IF(B393="", "", "UBERON:oral cavity")</f>
        <v>0</v>
      </c>
      <c r="G393" s="1">
        <f>IF(B393="", "", "UBERON:saliva")</f>
        <v>0</v>
      </c>
      <c r="H393" s="1">
        <f>IF(B393="", "", "UBERON:tongue")</f>
        <v>0</v>
      </c>
      <c r="I393" s="1">
        <f>IF(B393="", "", "tongue")</f>
        <v>0</v>
      </c>
      <c r="J393" s="1">
        <f>IF(B393="", "", "human oral metagenome")</f>
        <v>0</v>
      </c>
      <c r="K393" s="1">
        <f>IF(B393="", "", "447426")</f>
        <v>0</v>
      </c>
    </row>
    <row r="394" spans="1:11">
      <c r="A394">
        <f>IF(COUNTBLANK(B394:K394)&lt;&gt;COLUMNS(B394:K394),393,"")</f>
        <v>0</v>
      </c>
      <c r="C394" s="1">
        <f>IF(B394="", "", "animal secretion")</f>
        <v>0</v>
      </c>
      <c r="D394" s="1">
        <f>IF(B394="", "", "saliva")</f>
        <v>0</v>
      </c>
      <c r="E394" s="1">
        <f>IF(B394="", "", "human-oral")</f>
        <v>0</v>
      </c>
      <c r="F394" s="1">
        <f>IF(B394="", "", "UBERON:oral cavity")</f>
        <v>0</v>
      </c>
      <c r="G394" s="1">
        <f>IF(B394="", "", "UBERON:saliva")</f>
        <v>0</v>
      </c>
      <c r="H394" s="1">
        <f>IF(B394="", "", "UBERON:tongue")</f>
        <v>0</v>
      </c>
      <c r="I394" s="1">
        <f>IF(B394="", "", "tongue")</f>
        <v>0</v>
      </c>
      <c r="J394" s="1">
        <f>IF(B394="", "", "human oral metagenome")</f>
        <v>0</v>
      </c>
      <c r="K394" s="1">
        <f>IF(B394="", "", "447426")</f>
        <v>0</v>
      </c>
    </row>
    <row r="395" spans="1:11">
      <c r="A395">
        <f>IF(COUNTBLANK(B395:K395)&lt;&gt;COLUMNS(B395:K395),394,"")</f>
        <v>0</v>
      </c>
      <c r="C395" s="1">
        <f>IF(B395="", "", "animal secretion")</f>
        <v>0</v>
      </c>
      <c r="D395" s="1">
        <f>IF(B395="", "", "saliva")</f>
        <v>0</v>
      </c>
      <c r="E395" s="1">
        <f>IF(B395="", "", "human-oral")</f>
        <v>0</v>
      </c>
      <c r="F395" s="1">
        <f>IF(B395="", "", "UBERON:oral cavity")</f>
        <v>0</v>
      </c>
      <c r="G395" s="1">
        <f>IF(B395="", "", "UBERON:saliva")</f>
        <v>0</v>
      </c>
      <c r="H395" s="1">
        <f>IF(B395="", "", "UBERON:tongue")</f>
        <v>0</v>
      </c>
      <c r="I395" s="1">
        <f>IF(B395="", "", "tongue")</f>
        <v>0</v>
      </c>
      <c r="J395" s="1">
        <f>IF(B395="", "", "human oral metagenome")</f>
        <v>0</v>
      </c>
      <c r="K395" s="1">
        <f>IF(B395="", "", "447426")</f>
        <v>0</v>
      </c>
    </row>
    <row r="396" spans="1:11">
      <c r="A396">
        <f>IF(COUNTBLANK(B396:K396)&lt;&gt;COLUMNS(B396:K396),395,"")</f>
        <v>0</v>
      </c>
      <c r="C396" s="1">
        <f>IF(B396="", "", "animal secretion")</f>
        <v>0</v>
      </c>
      <c r="D396" s="1">
        <f>IF(B396="", "", "saliva")</f>
        <v>0</v>
      </c>
      <c r="E396" s="1">
        <f>IF(B396="", "", "human-oral")</f>
        <v>0</v>
      </c>
      <c r="F396" s="1">
        <f>IF(B396="", "", "UBERON:oral cavity")</f>
        <v>0</v>
      </c>
      <c r="G396" s="1">
        <f>IF(B396="", "", "UBERON:saliva")</f>
        <v>0</v>
      </c>
      <c r="H396" s="1">
        <f>IF(B396="", "", "UBERON:tongue")</f>
        <v>0</v>
      </c>
      <c r="I396" s="1">
        <f>IF(B396="", "", "tongue")</f>
        <v>0</v>
      </c>
      <c r="J396" s="1">
        <f>IF(B396="", "", "human oral metagenome")</f>
        <v>0</v>
      </c>
      <c r="K396" s="1">
        <f>IF(B396="", "", "447426")</f>
        <v>0</v>
      </c>
    </row>
    <row r="397" spans="1:11">
      <c r="A397">
        <f>IF(COUNTBLANK(B397:K397)&lt;&gt;COLUMNS(B397:K397),396,"")</f>
        <v>0</v>
      </c>
      <c r="C397" s="1">
        <f>IF(B397="", "", "animal secretion")</f>
        <v>0</v>
      </c>
      <c r="D397" s="1">
        <f>IF(B397="", "", "saliva")</f>
        <v>0</v>
      </c>
      <c r="E397" s="1">
        <f>IF(B397="", "", "human-oral")</f>
        <v>0</v>
      </c>
      <c r="F397" s="1">
        <f>IF(B397="", "", "UBERON:oral cavity")</f>
        <v>0</v>
      </c>
      <c r="G397" s="1">
        <f>IF(B397="", "", "UBERON:saliva")</f>
        <v>0</v>
      </c>
      <c r="H397" s="1">
        <f>IF(B397="", "", "UBERON:tongue")</f>
        <v>0</v>
      </c>
      <c r="I397" s="1">
        <f>IF(B397="", "", "tongue")</f>
        <v>0</v>
      </c>
      <c r="J397" s="1">
        <f>IF(B397="", "", "human oral metagenome")</f>
        <v>0</v>
      </c>
      <c r="K397" s="1">
        <f>IF(B397="", "", "447426")</f>
        <v>0</v>
      </c>
    </row>
    <row r="398" spans="1:11">
      <c r="A398">
        <f>IF(COUNTBLANK(B398:K398)&lt;&gt;COLUMNS(B398:K398),397,"")</f>
        <v>0</v>
      </c>
      <c r="C398" s="1">
        <f>IF(B398="", "", "animal secretion")</f>
        <v>0</v>
      </c>
      <c r="D398" s="1">
        <f>IF(B398="", "", "saliva")</f>
        <v>0</v>
      </c>
      <c r="E398" s="1">
        <f>IF(B398="", "", "human-oral")</f>
        <v>0</v>
      </c>
      <c r="F398" s="1">
        <f>IF(B398="", "", "UBERON:oral cavity")</f>
        <v>0</v>
      </c>
      <c r="G398" s="1">
        <f>IF(B398="", "", "UBERON:saliva")</f>
        <v>0</v>
      </c>
      <c r="H398" s="1">
        <f>IF(B398="", "", "UBERON:tongue")</f>
        <v>0</v>
      </c>
      <c r="I398" s="1">
        <f>IF(B398="", "", "tongue")</f>
        <v>0</v>
      </c>
      <c r="J398" s="1">
        <f>IF(B398="", "", "human oral metagenome")</f>
        <v>0</v>
      </c>
      <c r="K398" s="1">
        <f>IF(B398="", "", "447426")</f>
        <v>0</v>
      </c>
    </row>
    <row r="399" spans="1:11">
      <c r="A399">
        <f>IF(COUNTBLANK(B399:K399)&lt;&gt;COLUMNS(B399:K399),398,"")</f>
        <v>0</v>
      </c>
      <c r="C399" s="1">
        <f>IF(B399="", "", "animal secretion")</f>
        <v>0</v>
      </c>
      <c r="D399" s="1">
        <f>IF(B399="", "", "saliva")</f>
        <v>0</v>
      </c>
      <c r="E399" s="1">
        <f>IF(B399="", "", "human-oral")</f>
        <v>0</v>
      </c>
      <c r="F399" s="1">
        <f>IF(B399="", "", "UBERON:oral cavity")</f>
        <v>0</v>
      </c>
      <c r="G399" s="1">
        <f>IF(B399="", "", "UBERON:saliva")</f>
        <v>0</v>
      </c>
      <c r="H399" s="1">
        <f>IF(B399="", "", "UBERON:tongue")</f>
        <v>0</v>
      </c>
      <c r="I399" s="1">
        <f>IF(B399="", "", "tongue")</f>
        <v>0</v>
      </c>
      <c r="J399" s="1">
        <f>IF(B399="", "", "human oral metagenome")</f>
        <v>0</v>
      </c>
      <c r="K399" s="1">
        <f>IF(B399="", "", "447426")</f>
        <v>0</v>
      </c>
    </row>
    <row r="400" spans="1:11">
      <c r="A400">
        <f>IF(COUNTBLANK(B400:K400)&lt;&gt;COLUMNS(B400:K400),399,"")</f>
        <v>0</v>
      </c>
      <c r="C400" s="1">
        <f>IF(B400="", "", "animal secretion")</f>
        <v>0</v>
      </c>
      <c r="D400" s="1">
        <f>IF(B400="", "", "saliva")</f>
        <v>0</v>
      </c>
      <c r="E400" s="1">
        <f>IF(B400="", "", "human-oral")</f>
        <v>0</v>
      </c>
      <c r="F400" s="1">
        <f>IF(B400="", "", "UBERON:oral cavity")</f>
        <v>0</v>
      </c>
      <c r="G400" s="1">
        <f>IF(B400="", "", "UBERON:saliva")</f>
        <v>0</v>
      </c>
      <c r="H400" s="1">
        <f>IF(B400="", "", "UBERON:tongue")</f>
        <v>0</v>
      </c>
      <c r="I400" s="1">
        <f>IF(B400="", "", "tongue")</f>
        <v>0</v>
      </c>
      <c r="J400" s="1">
        <f>IF(B400="", "", "human oral metagenome")</f>
        <v>0</v>
      </c>
      <c r="K400" s="1">
        <f>IF(B400="", "", "447426")</f>
        <v>0</v>
      </c>
    </row>
    <row r="401" spans="1:11">
      <c r="A401">
        <f>IF(COUNTBLANK(B401:K401)&lt;&gt;COLUMNS(B401:K401),400,"")</f>
        <v>0</v>
      </c>
      <c r="C401" s="1">
        <f>IF(B401="", "", "animal secretion")</f>
        <v>0</v>
      </c>
      <c r="D401" s="1">
        <f>IF(B401="", "", "saliva")</f>
        <v>0</v>
      </c>
      <c r="E401" s="1">
        <f>IF(B401="", "", "human-oral")</f>
        <v>0</v>
      </c>
      <c r="F401" s="1">
        <f>IF(B401="", "", "UBERON:oral cavity")</f>
        <v>0</v>
      </c>
      <c r="G401" s="1">
        <f>IF(B401="", "", "UBERON:saliva")</f>
        <v>0</v>
      </c>
      <c r="H401" s="1">
        <f>IF(B401="", "", "UBERON:tongue")</f>
        <v>0</v>
      </c>
      <c r="I401" s="1">
        <f>IF(B401="", "", "tongue")</f>
        <v>0</v>
      </c>
      <c r="J401" s="1">
        <f>IF(B401="", "", "human oral metagenome")</f>
        <v>0</v>
      </c>
      <c r="K401" s="1">
        <f>IF(B401="", "", "447426")</f>
        <v>0</v>
      </c>
    </row>
    <row r="402" spans="1:11">
      <c r="A402">
        <f>IF(COUNTBLANK(B402:K402)&lt;&gt;COLUMNS(B402:K402),401,"")</f>
        <v>0</v>
      </c>
      <c r="C402" s="1">
        <f>IF(B402="", "", "animal secretion")</f>
        <v>0</v>
      </c>
      <c r="D402" s="1">
        <f>IF(B402="", "", "saliva")</f>
        <v>0</v>
      </c>
      <c r="E402" s="1">
        <f>IF(B402="", "", "human-oral")</f>
        <v>0</v>
      </c>
      <c r="F402" s="1">
        <f>IF(B402="", "", "UBERON:oral cavity")</f>
        <v>0</v>
      </c>
      <c r="G402" s="1">
        <f>IF(B402="", "", "UBERON:saliva")</f>
        <v>0</v>
      </c>
      <c r="H402" s="1">
        <f>IF(B402="", "", "UBERON:tongue")</f>
        <v>0</v>
      </c>
      <c r="I402" s="1">
        <f>IF(B402="", "", "tongue")</f>
        <v>0</v>
      </c>
      <c r="J402" s="1">
        <f>IF(B402="", "", "human oral metagenome")</f>
        <v>0</v>
      </c>
      <c r="K402" s="1">
        <f>IF(B402="", "", "447426")</f>
        <v>0</v>
      </c>
    </row>
    <row r="403" spans="1:11">
      <c r="A403">
        <f>IF(COUNTBLANK(B403:K403)&lt;&gt;COLUMNS(B403:K403),402,"")</f>
        <v>0</v>
      </c>
      <c r="C403" s="1">
        <f>IF(B403="", "", "animal secretion")</f>
        <v>0</v>
      </c>
      <c r="D403" s="1">
        <f>IF(B403="", "", "saliva")</f>
        <v>0</v>
      </c>
      <c r="E403" s="1">
        <f>IF(B403="", "", "human-oral")</f>
        <v>0</v>
      </c>
      <c r="F403" s="1">
        <f>IF(B403="", "", "UBERON:oral cavity")</f>
        <v>0</v>
      </c>
      <c r="G403" s="1">
        <f>IF(B403="", "", "UBERON:saliva")</f>
        <v>0</v>
      </c>
      <c r="H403" s="1">
        <f>IF(B403="", "", "UBERON:tongue")</f>
        <v>0</v>
      </c>
      <c r="I403" s="1">
        <f>IF(B403="", "", "tongue")</f>
        <v>0</v>
      </c>
      <c r="J403" s="1">
        <f>IF(B403="", "", "human oral metagenome")</f>
        <v>0</v>
      </c>
      <c r="K403" s="1">
        <f>IF(B403="", "", "447426")</f>
        <v>0</v>
      </c>
    </row>
    <row r="404" spans="1:11">
      <c r="A404">
        <f>IF(COUNTBLANK(B404:K404)&lt;&gt;COLUMNS(B404:K404),403,"")</f>
        <v>0</v>
      </c>
      <c r="C404" s="1">
        <f>IF(B404="", "", "animal secretion")</f>
        <v>0</v>
      </c>
      <c r="D404" s="1">
        <f>IF(B404="", "", "saliva")</f>
        <v>0</v>
      </c>
      <c r="E404" s="1">
        <f>IF(B404="", "", "human-oral")</f>
        <v>0</v>
      </c>
      <c r="F404" s="1">
        <f>IF(B404="", "", "UBERON:oral cavity")</f>
        <v>0</v>
      </c>
      <c r="G404" s="1">
        <f>IF(B404="", "", "UBERON:saliva")</f>
        <v>0</v>
      </c>
      <c r="H404" s="1">
        <f>IF(B404="", "", "UBERON:tongue")</f>
        <v>0</v>
      </c>
      <c r="I404" s="1">
        <f>IF(B404="", "", "tongue")</f>
        <v>0</v>
      </c>
      <c r="J404" s="1">
        <f>IF(B404="", "", "human oral metagenome")</f>
        <v>0</v>
      </c>
      <c r="K404" s="1">
        <f>IF(B404="", "", "447426")</f>
        <v>0</v>
      </c>
    </row>
    <row r="405" spans="1:11">
      <c r="A405">
        <f>IF(COUNTBLANK(B405:K405)&lt;&gt;COLUMNS(B405:K405),404,"")</f>
        <v>0</v>
      </c>
      <c r="C405" s="1">
        <f>IF(B405="", "", "animal secretion")</f>
        <v>0</v>
      </c>
      <c r="D405" s="1">
        <f>IF(B405="", "", "saliva")</f>
        <v>0</v>
      </c>
      <c r="E405" s="1">
        <f>IF(B405="", "", "human-oral")</f>
        <v>0</v>
      </c>
      <c r="F405" s="1">
        <f>IF(B405="", "", "UBERON:oral cavity")</f>
        <v>0</v>
      </c>
      <c r="G405" s="1">
        <f>IF(B405="", "", "UBERON:saliva")</f>
        <v>0</v>
      </c>
      <c r="H405" s="1">
        <f>IF(B405="", "", "UBERON:tongue")</f>
        <v>0</v>
      </c>
      <c r="I405" s="1">
        <f>IF(B405="", "", "tongue")</f>
        <v>0</v>
      </c>
      <c r="J405" s="1">
        <f>IF(B405="", "", "human oral metagenome")</f>
        <v>0</v>
      </c>
      <c r="K405" s="1">
        <f>IF(B405="", "", "447426")</f>
        <v>0</v>
      </c>
    </row>
    <row r="406" spans="1:11">
      <c r="A406">
        <f>IF(COUNTBLANK(B406:K406)&lt;&gt;COLUMNS(B406:K406),405,"")</f>
        <v>0</v>
      </c>
      <c r="C406" s="1">
        <f>IF(B406="", "", "animal secretion")</f>
        <v>0</v>
      </c>
      <c r="D406" s="1">
        <f>IF(B406="", "", "saliva")</f>
        <v>0</v>
      </c>
      <c r="E406" s="1">
        <f>IF(B406="", "", "human-oral")</f>
        <v>0</v>
      </c>
      <c r="F406" s="1">
        <f>IF(B406="", "", "UBERON:oral cavity")</f>
        <v>0</v>
      </c>
      <c r="G406" s="1">
        <f>IF(B406="", "", "UBERON:saliva")</f>
        <v>0</v>
      </c>
      <c r="H406" s="1">
        <f>IF(B406="", "", "UBERON:tongue")</f>
        <v>0</v>
      </c>
      <c r="I406" s="1">
        <f>IF(B406="", "", "tongue")</f>
        <v>0</v>
      </c>
      <c r="J406" s="1">
        <f>IF(B406="", "", "human oral metagenome")</f>
        <v>0</v>
      </c>
      <c r="K406" s="1">
        <f>IF(B406="", "", "447426")</f>
        <v>0</v>
      </c>
    </row>
    <row r="407" spans="1:11">
      <c r="A407">
        <f>IF(COUNTBLANK(B407:K407)&lt;&gt;COLUMNS(B407:K407),406,"")</f>
        <v>0</v>
      </c>
      <c r="C407" s="1">
        <f>IF(B407="", "", "animal secretion")</f>
        <v>0</v>
      </c>
      <c r="D407" s="1">
        <f>IF(B407="", "", "saliva")</f>
        <v>0</v>
      </c>
      <c r="E407" s="1">
        <f>IF(B407="", "", "human-oral")</f>
        <v>0</v>
      </c>
      <c r="F407" s="1">
        <f>IF(B407="", "", "UBERON:oral cavity")</f>
        <v>0</v>
      </c>
      <c r="G407" s="1">
        <f>IF(B407="", "", "UBERON:saliva")</f>
        <v>0</v>
      </c>
      <c r="H407" s="1">
        <f>IF(B407="", "", "UBERON:tongue")</f>
        <v>0</v>
      </c>
      <c r="I407" s="1">
        <f>IF(B407="", "", "tongue")</f>
        <v>0</v>
      </c>
      <c r="J407" s="1">
        <f>IF(B407="", "", "human oral metagenome")</f>
        <v>0</v>
      </c>
      <c r="K407" s="1">
        <f>IF(B407="", "", "447426")</f>
        <v>0</v>
      </c>
    </row>
    <row r="408" spans="1:11">
      <c r="A408">
        <f>IF(COUNTBLANK(B408:K408)&lt;&gt;COLUMNS(B408:K408),407,"")</f>
        <v>0</v>
      </c>
      <c r="C408" s="1">
        <f>IF(B408="", "", "animal secretion")</f>
        <v>0</v>
      </c>
      <c r="D408" s="1">
        <f>IF(B408="", "", "saliva")</f>
        <v>0</v>
      </c>
      <c r="E408" s="1">
        <f>IF(B408="", "", "human-oral")</f>
        <v>0</v>
      </c>
      <c r="F408" s="1">
        <f>IF(B408="", "", "UBERON:oral cavity")</f>
        <v>0</v>
      </c>
      <c r="G408" s="1">
        <f>IF(B408="", "", "UBERON:saliva")</f>
        <v>0</v>
      </c>
      <c r="H408" s="1">
        <f>IF(B408="", "", "UBERON:tongue")</f>
        <v>0</v>
      </c>
      <c r="I408" s="1">
        <f>IF(B408="", "", "tongue")</f>
        <v>0</v>
      </c>
      <c r="J408" s="1">
        <f>IF(B408="", "", "human oral metagenome")</f>
        <v>0</v>
      </c>
      <c r="K408" s="1">
        <f>IF(B408="", "", "447426")</f>
        <v>0</v>
      </c>
    </row>
    <row r="409" spans="1:11">
      <c r="A409">
        <f>IF(COUNTBLANK(B409:K409)&lt;&gt;COLUMNS(B409:K409),408,"")</f>
        <v>0</v>
      </c>
      <c r="C409" s="1">
        <f>IF(B409="", "", "animal secretion")</f>
        <v>0</v>
      </c>
      <c r="D409" s="1">
        <f>IF(B409="", "", "saliva")</f>
        <v>0</v>
      </c>
      <c r="E409" s="1">
        <f>IF(B409="", "", "human-oral")</f>
        <v>0</v>
      </c>
      <c r="F409" s="1">
        <f>IF(B409="", "", "UBERON:oral cavity")</f>
        <v>0</v>
      </c>
      <c r="G409" s="1">
        <f>IF(B409="", "", "UBERON:saliva")</f>
        <v>0</v>
      </c>
      <c r="H409" s="1">
        <f>IF(B409="", "", "UBERON:tongue")</f>
        <v>0</v>
      </c>
      <c r="I409" s="1">
        <f>IF(B409="", "", "tongue")</f>
        <v>0</v>
      </c>
      <c r="J409" s="1">
        <f>IF(B409="", "", "human oral metagenome")</f>
        <v>0</v>
      </c>
      <c r="K409" s="1">
        <f>IF(B409="", "", "447426")</f>
        <v>0</v>
      </c>
    </row>
    <row r="410" spans="1:11">
      <c r="A410">
        <f>IF(COUNTBLANK(B410:K410)&lt;&gt;COLUMNS(B410:K410),409,"")</f>
        <v>0</v>
      </c>
      <c r="C410" s="1">
        <f>IF(B410="", "", "animal secretion")</f>
        <v>0</v>
      </c>
      <c r="D410" s="1">
        <f>IF(B410="", "", "saliva")</f>
        <v>0</v>
      </c>
      <c r="E410" s="1">
        <f>IF(B410="", "", "human-oral")</f>
        <v>0</v>
      </c>
      <c r="F410" s="1">
        <f>IF(B410="", "", "UBERON:oral cavity")</f>
        <v>0</v>
      </c>
      <c r="G410" s="1">
        <f>IF(B410="", "", "UBERON:saliva")</f>
        <v>0</v>
      </c>
      <c r="H410" s="1">
        <f>IF(B410="", "", "UBERON:tongue")</f>
        <v>0</v>
      </c>
      <c r="I410" s="1">
        <f>IF(B410="", "", "tongue")</f>
        <v>0</v>
      </c>
      <c r="J410" s="1">
        <f>IF(B410="", "", "human oral metagenome")</f>
        <v>0</v>
      </c>
      <c r="K410" s="1">
        <f>IF(B410="", "", "447426")</f>
        <v>0</v>
      </c>
    </row>
    <row r="411" spans="1:11">
      <c r="A411">
        <f>IF(COUNTBLANK(B411:K411)&lt;&gt;COLUMNS(B411:K411),410,"")</f>
        <v>0</v>
      </c>
      <c r="C411" s="1">
        <f>IF(B411="", "", "animal secretion")</f>
        <v>0</v>
      </c>
      <c r="D411" s="1">
        <f>IF(B411="", "", "saliva")</f>
        <v>0</v>
      </c>
      <c r="E411" s="1">
        <f>IF(B411="", "", "human-oral")</f>
        <v>0</v>
      </c>
      <c r="F411" s="1">
        <f>IF(B411="", "", "UBERON:oral cavity")</f>
        <v>0</v>
      </c>
      <c r="G411" s="1">
        <f>IF(B411="", "", "UBERON:saliva")</f>
        <v>0</v>
      </c>
      <c r="H411" s="1">
        <f>IF(B411="", "", "UBERON:tongue")</f>
        <v>0</v>
      </c>
      <c r="I411" s="1">
        <f>IF(B411="", "", "tongue")</f>
        <v>0</v>
      </c>
      <c r="J411" s="1">
        <f>IF(B411="", "", "human oral metagenome")</f>
        <v>0</v>
      </c>
      <c r="K411" s="1">
        <f>IF(B411="", "", "447426")</f>
        <v>0</v>
      </c>
    </row>
    <row r="412" spans="1:11">
      <c r="A412">
        <f>IF(COUNTBLANK(B412:K412)&lt;&gt;COLUMNS(B412:K412),411,"")</f>
        <v>0</v>
      </c>
      <c r="C412" s="1">
        <f>IF(B412="", "", "animal secretion")</f>
        <v>0</v>
      </c>
      <c r="D412" s="1">
        <f>IF(B412="", "", "saliva")</f>
        <v>0</v>
      </c>
      <c r="E412" s="1">
        <f>IF(B412="", "", "human-oral")</f>
        <v>0</v>
      </c>
      <c r="F412" s="1">
        <f>IF(B412="", "", "UBERON:oral cavity")</f>
        <v>0</v>
      </c>
      <c r="G412" s="1">
        <f>IF(B412="", "", "UBERON:saliva")</f>
        <v>0</v>
      </c>
      <c r="H412" s="1">
        <f>IF(B412="", "", "UBERON:tongue")</f>
        <v>0</v>
      </c>
      <c r="I412" s="1">
        <f>IF(B412="", "", "tongue")</f>
        <v>0</v>
      </c>
      <c r="J412" s="1">
        <f>IF(B412="", "", "human oral metagenome")</f>
        <v>0</v>
      </c>
      <c r="K412" s="1">
        <f>IF(B412="", "", "447426")</f>
        <v>0</v>
      </c>
    </row>
    <row r="413" spans="1:11">
      <c r="A413">
        <f>IF(COUNTBLANK(B413:K413)&lt;&gt;COLUMNS(B413:K413),412,"")</f>
        <v>0</v>
      </c>
      <c r="C413" s="1">
        <f>IF(B413="", "", "animal secretion")</f>
        <v>0</v>
      </c>
      <c r="D413" s="1">
        <f>IF(B413="", "", "saliva")</f>
        <v>0</v>
      </c>
      <c r="E413" s="1">
        <f>IF(B413="", "", "human-oral")</f>
        <v>0</v>
      </c>
      <c r="F413" s="1">
        <f>IF(B413="", "", "UBERON:oral cavity")</f>
        <v>0</v>
      </c>
      <c r="G413" s="1">
        <f>IF(B413="", "", "UBERON:saliva")</f>
        <v>0</v>
      </c>
      <c r="H413" s="1">
        <f>IF(B413="", "", "UBERON:tongue")</f>
        <v>0</v>
      </c>
      <c r="I413" s="1">
        <f>IF(B413="", "", "tongue")</f>
        <v>0</v>
      </c>
      <c r="J413" s="1">
        <f>IF(B413="", "", "human oral metagenome")</f>
        <v>0</v>
      </c>
      <c r="K413" s="1">
        <f>IF(B413="", "", "447426")</f>
        <v>0</v>
      </c>
    </row>
    <row r="414" spans="1:11">
      <c r="A414">
        <f>IF(COUNTBLANK(B414:K414)&lt;&gt;COLUMNS(B414:K414),413,"")</f>
        <v>0</v>
      </c>
      <c r="C414" s="1">
        <f>IF(B414="", "", "animal secretion")</f>
        <v>0</v>
      </c>
      <c r="D414" s="1">
        <f>IF(B414="", "", "saliva")</f>
        <v>0</v>
      </c>
      <c r="E414" s="1">
        <f>IF(B414="", "", "human-oral")</f>
        <v>0</v>
      </c>
      <c r="F414" s="1">
        <f>IF(B414="", "", "UBERON:oral cavity")</f>
        <v>0</v>
      </c>
      <c r="G414" s="1">
        <f>IF(B414="", "", "UBERON:saliva")</f>
        <v>0</v>
      </c>
      <c r="H414" s="1">
        <f>IF(B414="", "", "UBERON:tongue")</f>
        <v>0</v>
      </c>
      <c r="I414" s="1">
        <f>IF(B414="", "", "tongue")</f>
        <v>0</v>
      </c>
      <c r="J414" s="1">
        <f>IF(B414="", "", "human oral metagenome")</f>
        <v>0</v>
      </c>
      <c r="K414" s="1">
        <f>IF(B414="", "", "447426")</f>
        <v>0</v>
      </c>
    </row>
    <row r="415" spans="1:11">
      <c r="A415">
        <f>IF(COUNTBLANK(B415:K415)&lt;&gt;COLUMNS(B415:K415),414,"")</f>
        <v>0</v>
      </c>
      <c r="C415" s="1">
        <f>IF(B415="", "", "animal secretion")</f>
        <v>0</v>
      </c>
      <c r="D415" s="1">
        <f>IF(B415="", "", "saliva")</f>
        <v>0</v>
      </c>
      <c r="E415" s="1">
        <f>IF(B415="", "", "human-oral")</f>
        <v>0</v>
      </c>
      <c r="F415" s="1">
        <f>IF(B415="", "", "UBERON:oral cavity")</f>
        <v>0</v>
      </c>
      <c r="G415" s="1">
        <f>IF(B415="", "", "UBERON:saliva")</f>
        <v>0</v>
      </c>
      <c r="H415" s="1">
        <f>IF(B415="", "", "UBERON:tongue")</f>
        <v>0</v>
      </c>
      <c r="I415" s="1">
        <f>IF(B415="", "", "tongue")</f>
        <v>0</v>
      </c>
      <c r="J415" s="1">
        <f>IF(B415="", "", "human oral metagenome")</f>
        <v>0</v>
      </c>
      <c r="K415" s="1">
        <f>IF(B415="", "", "447426")</f>
        <v>0</v>
      </c>
    </row>
    <row r="416" spans="1:11">
      <c r="A416">
        <f>IF(COUNTBLANK(B416:K416)&lt;&gt;COLUMNS(B416:K416),415,"")</f>
        <v>0</v>
      </c>
      <c r="C416" s="1">
        <f>IF(B416="", "", "animal secretion")</f>
        <v>0</v>
      </c>
      <c r="D416" s="1">
        <f>IF(B416="", "", "saliva")</f>
        <v>0</v>
      </c>
      <c r="E416" s="1">
        <f>IF(B416="", "", "human-oral")</f>
        <v>0</v>
      </c>
      <c r="F416" s="1">
        <f>IF(B416="", "", "UBERON:oral cavity")</f>
        <v>0</v>
      </c>
      <c r="G416" s="1">
        <f>IF(B416="", "", "UBERON:saliva")</f>
        <v>0</v>
      </c>
      <c r="H416" s="1">
        <f>IF(B416="", "", "UBERON:tongue")</f>
        <v>0</v>
      </c>
      <c r="I416" s="1">
        <f>IF(B416="", "", "tongue")</f>
        <v>0</v>
      </c>
      <c r="J416" s="1">
        <f>IF(B416="", "", "human oral metagenome")</f>
        <v>0</v>
      </c>
      <c r="K416" s="1">
        <f>IF(B416="", "", "447426")</f>
        <v>0</v>
      </c>
    </row>
    <row r="417" spans="1:11">
      <c r="A417">
        <f>IF(COUNTBLANK(B417:K417)&lt;&gt;COLUMNS(B417:K417),416,"")</f>
        <v>0</v>
      </c>
      <c r="C417" s="1">
        <f>IF(B417="", "", "animal secretion")</f>
        <v>0</v>
      </c>
      <c r="D417" s="1">
        <f>IF(B417="", "", "saliva")</f>
        <v>0</v>
      </c>
      <c r="E417" s="1">
        <f>IF(B417="", "", "human-oral")</f>
        <v>0</v>
      </c>
      <c r="F417" s="1">
        <f>IF(B417="", "", "UBERON:oral cavity")</f>
        <v>0</v>
      </c>
      <c r="G417" s="1">
        <f>IF(B417="", "", "UBERON:saliva")</f>
        <v>0</v>
      </c>
      <c r="H417" s="1">
        <f>IF(B417="", "", "UBERON:tongue")</f>
        <v>0</v>
      </c>
      <c r="I417" s="1">
        <f>IF(B417="", "", "tongue")</f>
        <v>0</v>
      </c>
      <c r="J417" s="1">
        <f>IF(B417="", "", "human oral metagenome")</f>
        <v>0</v>
      </c>
      <c r="K417" s="1">
        <f>IF(B417="", "", "447426")</f>
        <v>0</v>
      </c>
    </row>
    <row r="418" spans="1:11">
      <c r="A418">
        <f>IF(COUNTBLANK(B418:K418)&lt;&gt;COLUMNS(B418:K418),417,"")</f>
        <v>0</v>
      </c>
      <c r="C418" s="1">
        <f>IF(B418="", "", "animal secretion")</f>
        <v>0</v>
      </c>
      <c r="D418" s="1">
        <f>IF(B418="", "", "saliva")</f>
        <v>0</v>
      </c>
      <c r="E418" s="1">
        <f>IF(B418="", "", "human-oral")</f>
        <v>0</v>
      </c>
      <c r="F418" s="1">
        <f>IF(B418="", "", "UBERON:oral cavity")</f>
        <v>0</v>
      </c>
      <c r="G418" s="1">
        <f>IF(B418="", "", "UBERON:saliva")</f>
        <v>0</v>
      </c>
      <c r="H418" s="1">
        <f>IF(B418="", "", "UBERON:tongue")</f>
        <v>0</v>
      </c>
      <c r="I418" s="1">
        <f>IF(B418="", "", "tongue")</f>
        <v>0</v>
      </c>
      <c r="J418" s="1">
        <f>IF(B418="", "", "human oral metagenome")</f>
        <v>0</v>
      </c>
      <c r="K418" s="1">
        <f>IF(B418="", "", "447426")</f>
        <v>0</v>
      </c>
    </row>
    <row r="419" spans="1:11">
      <c r="A419">
        <f>IF(COUNTBLANK(B419:K419)&lt;&gt;COLUMNS(B419:K419),418,"")</f>
        <v>0</v>
      </c>
      <c r="C419" s="1">
        <f>IF(B419="", "", "animal secretion")</f>
        <v>0</v>
      </c>
      <c r="D419" s="1">
        <f>IF(B419="", "", "saliva")</f>
        <v>0</v>
      </c>
      <c r="E419" s="1">
        <f>IF(B419="", "", "human-oral")</f>
        <v>0</v>
      </c>
      <c r="F419" s="1">
        <f>IF(B419="", "", "UBERON:oral cavity")</f>
        <v>0</v>
      </c>
      <c r="G419" s="1">
        <f>IF(B419="", "", "UBERON:saliva")</f>
        <v>0</v>
      </c>
      <c r="H419" s="1">
        <f>IF(B419="", "", "UBERON:tongue")</f>
        <v>0</v>
      </c>
      <c r="I419" s="1">
        <f>IF(B419="", "", "tongue")</f>
        <v>0</v>
      </c>
      <c r="J419" s="1">
        <f>IF(B419="", "", "human oral metagenome")</f>
        <v>0</v>
      </c>
      <c r="K419" s="1">
        <f>IF(B419="", "", "447426")</f>
        <v>0</v>
      </c>
    </row>
    <row r="420" spans="1:11">
      <c r="A420">
        <f>IF(COUNTBLANK(B420:K420)&lt;&gt;COLUMNS(B420:K420),419,"")</f>
        <v>0</v>
      </c>
      <c r="C420" s="1">
        <f>IF(B420="", "", "animal secretion")</f>
        <v>0</v>
      </c>
      <c r="D420" s="1">
        <f>IF(B420="", "", "saliva")</f>
        <v>0</v>
      </c>
      <c r="E420" s="1">
        <f>IF(B420="", "", "human-oral")</f>
        <v>0</v>
      </c>
      <c r="F420" s="1">
        <f>IF(B420="", "", "UBERON:oral cavity")</f>
        <v>0</v>
      </c>
      <c r="G420" s="1">
        <f>IF(B420="", "", "UBERON:saliva")</f>
        <v>0</v>
      </c>
      <c r="H420" s="1">
        <f>IF(B420="", "", "UBERON:tongue")</f>
        <v>0</v>
      </c>
      <c r="I420" s="1">
        <f>IF(B420="", "", "tongue")</f>
        <v>0</v>
      </c>
      <c r="J420" s="1">
        <f>IF(B420="", "", "human oral metagenome")</f>
        <v>0</v>
      </c>
      <c r="K420" s="1">
        <f>IF(B420="", "", "447426")</f>
        <v>0</v>
      </c>
    </row>
    <row r="421" spans="1:11">
      <c r="A421">
        <f>IF(COUNTBLANK(B421:K421)&lt;&gt;COLUMNS(B421:K421),420,"")</f>
        <v>0</v>
      </c>
      <c r="C421" s="1">
        <f>IF(B421="", "", "animal secretion")</f>
        <v>0</v>
      </c>
      <c r="D421" s="1">
        <f>IF(B421="", "", "saliva")</f>
        <v>0</v>
      </c>
      <c r="E421" s="1">
        <f>IF(B421="", "", "human-oral")</f>
        <v>0</v>
      </c>
      <c r="F421" s="1">
        <f>IF(B421="", "", "UBERON:oral cavity")</f>
        <v>0</v>
      </c>
      <c r="G421" s="1">
        <f>IF(B421="", "", "UBERON:saliva")</f>
        <v>0</v>
      </c>
      <c r="H421" s="1">
        <f>IF(B421="", "", "UBERON:tongue")</f>
        <v>0</v>
      </c>
      <c r="I421" s="1">
        <f>IF(B421="", "", "tongue")</f>
        <v>0</v>
      </c>
      <c r="J421" s="1">
        <f>IF(B421="", "", "human oral metagenome")</f>
        <v>0</v>
      </c>
      <c r="K421" s="1">
        <f>IF(B421="", "", "447426")</f>
        <v>0</v>
      </c>
    </row>
    <row r="422" spans="1:11">
      <c r="A422">
        <f>IF(COUNTBLANK(B422:K422)&lt;&gt;COLUMNS(B422:K422),421,"")</f>
        <v>0</v>
      </c>
      <c r="C422" s="1">
        <f>IF(B422="", "", "animal secretion")</f>
        <v>0</v>
      </c>
      <c r="D422" s="1">
        <f>IF(B422="", "", "saliva")</f>
        <v>0</v>
      </c>
      <c r="E422" s="1">
        <f>IF(B422="", "", "human-oral")</f>
        <v>0</v>
      </c>
      <c r="F422" s="1">
        <f>IF(B422="", "", "UBERON:oral cavity")</f>
        <v>0</v>
      </c>
      <c r="G422" s="1">
        <f>IF(B422="", "", "UBERON:saliva")</f>
        <v>0</v>
      </c>
      <c r="H422" s="1">
        <f>IF(B422="", "", "UBERON:tongue")</f>
        <v>0</v>
      </c>
      <c r="I422" s="1">
        <f>IF(B422="", "", "tongue")</f>
        <v>0</v>
      </c>
      <c r="J422" s="1">
        <f>IF(B422="", "", "human oral metagenome")</f>
        <v>0</v>
      </c>
      <c r="K422" s="1">
        <f>IF(B422="", "", "447426")</f>
        <v>0</v>
      </c>
    </row>
    <row r="423" spans="1:11">
      <c r="A423">
        <f>IF(COUNTBLANK(B423:K423)&lt;&gt;COLUMNS(B423:K423),422,"")</f>
        <v>0</v>
      </c>
      <c r="C423" s="1">
        <f>IF(B423="", "", "animal secretion")</f>
        <v>0</v>
      </c>
      <c r="D423" s="1">
        <f>IF(B423="", "", "saliva")</f>
        <v>0</v>
      </c>
      <c r="E423" s="1">
        <f>IF(B423="", "", "human-oral")</f>
        <v>0</v>
      </c>
      <c r="F423" s="1">
        <f>IF(B423="", "", "UBERON:oral cavity")</f>
        <v>0</v>
      </c>
      <c r="G423" s="1">
        <f>IF(B423="", "", "UBERON:saliva")</f>
        <v>0</v>
      </c>
      <c r="H423" s="1">
        <f>IF(B423="", "", "UBERON:tongue")</f>
        <v>0</v>
      </c>
      <c r="I423" s="1">
        <f>IF(B423="", "", "tongue")</f>
        <v>0</v>
      </c>
      <c r="J423" s="1">
        <f>IF(B423="", "", "human oral metagenome")</f>
        <v>0</v>
      </c>
      <c r="K423" s="1">
        <f>IF(B423="", "", "447426")</f>
        <v>0</v>
      </c>
    </row>
    <row r="424" spans="1:11">
      <c r="A424">
        <f>IF(COUNTBLANK(B424:K424)&lt;&gt;COLUMNS(B424:K424),423,"")</f>
        <v>0</v>
      </c>
      <c r="C424" s="1">
        <f>IF(B424="", "", "animal secretion")</f>
        <v>0</v>
      </c>
      <c r="D424" s="1">
        <f>IF(B424="", "", "saliva")</f>
        <v>0</v>
      </c>
      <c r="E424" s="1">
        <f>IF(B424="", "", "human-oral")</f>
        <v>0</v>
      </c>
      <c r="F424" s="1">
        <f>IF(B424="", "", "UBERON:oral cavity")</f>
        <v>0</v>
      </c>
      <c r="G424" s="1">
        <f>IF(B424="", "", "UBERON:saliva")</f>
        <v>0</v>
      </c>
      <c r="H424" s="1">
        <f>IF(B424="", "", "UBERON:tongue")</f>
        <v>0</v>
      </c>
      <c r="I424" s="1">
        <f>IF(B424="", "", "tongue")</f>
        <v>0</v>
      </c>
      <c r="J424" s="1">
        <f>IF(B424="", "", "human oral metagenome")</f>
        <v>0</v>
      </c>
      <c r="K424" s="1">
        <f>IF(B424="", "", "447426")</f>
        <v>0</v>
      </c>
    </row>
    <row r="425" spans="1:11">
      <c r="A425">
        <f>IF(COUNTBLANK(B425:K425)&lt;&gt;COLUMNS(B425:K425),424,"")</f>
        <v>0</v>
      </c>
      <c r="C425" s="1">
        <f>IF(B425="", "", "animal secretion")</f>
        <v>0</v>
      </c>
      <c r="D425" s="1">
        <f>IF(B425="", "", "saliva")</f>
        <v>0</v>
      </c>
      <c r="E425" s="1">
        <f>IF(B425="", "", "human-oral")</f>
        <v>0</v>
      </c>
      <c r="F425" s="1">
        <f>IF(B425="", "", "UBERON:oral cavity")</f>
        <v>0</v>
      </c>
      <c r="G425" s="1">
        <f>IF(B425="", "", "UBERON:saliva")</f>
        <v>0</v>
      </c>
      <c r="H425" s="1">
        <f>IF(B425="", "", "UBERON:tongue")</f>
        <v>0</v>
      </c>
      <c r="I425" s="1">
        <f>IF(B425="", "", "tongue")</f>
        <v>0</v>
      </c>
      <c r="J425" s="1">
        <f>IF(B425="", "", "human oral metagenome")</f>
        <v>0</v>
      </c>
      <c r="K425" s="1">
        <f>IF(B425="", "", "447426")</f>
        <v>0</v>
      </c>
    </row>
    <row r="426" spans="1:11">
      <c r="A426">
        <f>IF(COUNTBLANK(B426:K426)&lt;&gt;COLUMNS(B426:K426),425,"")</f>
        <v>0</v>
      </c>
      <c r="C426" s="1">
        <f>IF(B426="", "", "animal secretion")</f>
        <v>0</v>
      </c>
      <c r="D426" s="1">
        <f>IF(B426="", "", "saliva")</f>
        <v>0</v>
      </c>
      <c r="E426" s="1">
        <f>IF(B426="", "", "human-oral")</f>
        <v>0</v>
      </c>
      <c r="F426" s="1">
        <f>IF(B426="", "", "UBERON:oral cavity")</f>
        <v>0</v>
      </c>
      <c r="G426" s="1">
        <f>IF(B426="", "", "UBERON:saliva")</f>
        <v>0</v>
      </c>
      <c r="H426" s="1">
        <f>IF(B426="", "", "UBERON:tongue")</f>
        <v>0</v>
      </c>
      <c r="I426" s="1">
        <f>IF(B426="", "", "tongue")</f>
        <v>0</v>
      </c>
      <c r="J426" s="1">
        <f>IF(B426="", "", "human oral metagenome")</f>
        <v>0</v>
      </c>
      <c r="K426" s="1">
        <f>IF(B426="", "", "447426")</f>
        <v>0</v>
      </c>
    </row>
    <row r="427" spans="1:11">
      <c r="A427">
        <f>IF(COUNTBLANK(B427:K427)&lt;&gt;COLUMNS(B427:K427),426,"")</f>
        <v>0</v>
      </c>
      <c r="C427" s="1">
        <f>IF(B427="", "", "animal secretion")</f>
        <v>0</v>
      </c>
      <c r="D427" s="1">
        <f>IF(B427="", "", "saliva")</f>
        <v>0</v>
      </c>
      <c r="E427" s="1">
        <f>IF(B427="", "", "human-oral")</f>
        <v>0</v>
      </c>
      <c r="F427" s="1">
        <f>IF(B427="", "", "UBERON:oral cavity")</f>
        <v>0</v>
      </c>
      <c r="G427" s="1">
        <f>IF(B427="", "", "UBERON:saliva")</f>
        <v>0</v>
      </c>
      <c r="H427" s="1">
        <f>IF(B427="", "", "UBERON:tongue")</f>
        <v>0</v>
      </c>
      <c r="I427" s="1">
        <f>IF(B427="", "", "tongue")</f>
        <v>0</v>
      </c>
      <c r="J427" s="1">
        <f>IF(B427="", "", "human oral metagenome")</f>
        <v>0</v>
      </c>
      <c r="K427" s="1">
        <f>IF(B427="", "", "447426")</f>
        <v>0</v>
      </c>
    </row>
    <row r="428" spans="1:11">
      <c r="A428">
        <f>IF(COUNTBLANK(B428:K428)&lt;&gt;COLUMNS(B428:K428),427,"")</f>
        <v>0</v>
      </c>
      <c r="C428" s="1">
        <f>IF(B428="", "", "animal secretion")</f>
        <v>0</v>
      </c>
      <c r="D428" s="1">
        <f>IF(B428="", "", "saliva")</f>
        <v>0</v>
      </c>
      <c r="E428" s="1">
        <f>IF(B428="", "", "human-oral")</f>
        <v>0</v>
      </c>
      <c r="F428" s="1">
        <f>IF(B428="", "", "UBERON:oral cavity")</f>
        <v>0</v>
      </c>
      <c r="G428" s="1">
        <f>IF(B428="", "", "UBERON:saliva")</f>
        <v>0</v>
      </c>
      <c r="H428" s="1">
        <f>IF(B428="", "", "UBERON:tongue")</f>
        <v>0</v>
      </c>
      <c r="I428" s="1">
        <f>IF(B428="", "", "tongue")</f>
        <v>0</v>
      </c>
      <c r="J428" s="1">
        <f>IF(B428="", "", "human oral metagenome")</f>
        <v>0</v>
      </c>
      <c r="K428" s="1">
        <f>IF(B428="", "", "447426")</f>
        <v>0</v>
      </c>
    </row>
    <row r="429" spans="1:11">
      <c r="A429">
        <f>IF(COUNTBLANK(B429:K429)&lt;&gt;COLUMNS(B429:K429),428,"")</f>
        <v>0</v>
      </c>
      <c r="C429" s="1">
        <f>IF(B429="", "", "animal secretion")</f>
        <v>0</v>
      </c>
      <c r="D429" s="1">
        <f>IF(B429="", "", "saliva")</f>
        <v>0</v>
      </c>
      <c r="E429" s="1">
        <f>IF(B429="", "", "human-oral")</f>
        <v>0</v>
      </c>
      <c r="F429" s="1">
        <f>IF(B429="", "", "UBERON:oral cavity")</f>
        <v>0</v>
      </c>
      <c r="G429" s="1">
        <f>IF(B429="", "", "UBERON:saliva")</f>
        <v>0</v>
      </c>
      <c r="H429" s="1">
        <f>IF(B429="", "", "UBERON:tongue")</f>
        <v>0</v>
      </c>
      <c r="I429" s="1">
        <f>IF(B429="", "", "tongue")</f>
        <v>0</v>
      </c>
      <c r="J429" s="1">
        <f>IF(B429="", "", "human oral metagenome")</f>
        <v>0</v>
      </c>
      <c r="K429" s="1">
        <f>IF(B429="", "", "447426")</f>
        <v>0</v>
      </c>
    </row>
    <row r="430" spans="1:11">
      <c r="A430">
        <f>IF(COUNTBLANK(B430:K430)&lt;&gt;COLUMNS(B430:K430),429,"")</f>
        <v>0</v>
      </c>
      <c r="C430" s="1">
        <f>IF(B430="", "", "animal secretion")</f>
        <v>0</v>
      </c>
      <c r="D430" s="1">
        <f>IF(B430="", "", "saliva")</f>
        <v>0</v>
      </c>
      <c r="E430" s="1">
        <f>IF(B430="", "", "human-oral")</f>
        <v>0</v>
      </c>
      <c r="F430" s="1">
        <f>IF(B430="", "", "UBERON:oral cavity")</f>
        <v>0</v>
      </c>
      <c r="G430" s="1">
        <f>IF(B430="", "", "UBERON:saliva")</f>
        <v>0</v>
      </c>
      <c r="H430" s="1">
        <f>IF(B430="", "", "UBERON:tongue")</f>
        <v>0</v>
      </c>
      <c r="I430" s="1">
        <f>IF(B430="", "", "tongue")</f>
        <v>0</v>
      </c>
      <c r="J430" s="1">
        <f>IF(B430="", "", "human oral metagenome")</f>
        <v>0</v>
      </c>
      <c r="K430" s="1">
        <f>IF(B430="", "", "447426")</f>
        <v>0</v>
      </c>
    </row>
    <row r="431" spans="1:11">
      <c r="A431">
        <f>IF(COUNTBLANK(B431:K431)&lt;&gt;COLUMNS(B431:K431),430,"")</f>
        <v>0</v>
      </c>
      <c r="C431" s="1">
        <f>IF(B431="", "", "animal secretion")</f>
        <v>0</v>
      </c>
      <c r="D431" s="1">
        <f>IF(B431="", "", "saliva")</f>
        <v>0</v>
      </c>
      <c r="E431" s="1">
        <f>IF(B431="", "", "human-oral")</f>
        <v>0</v>
      </c>
      <c r="F431" s="1">
        <f>IF(B431="", "", "UBERON:oral cavity")</f>
        <v>0</v>
      </c>
      <c r="G431" s="1">
        <f>IF(B431="", "", "UBERON:saliva")</f>
        <v>0</v>
      </c>
      <c r="H431" s="1">
        <f>IF(B431="", "", "UBERON:tongue")</f>
        <v>0</v>
      </c>
      <c r="I431" s="1">
        <f>IF(B431="", "", "tongue")</f>
        <v>0</v>
      </c>
      <c r="J431" s="1">
        <f>IF(B431="", "", "human oral metagenome")</f>
        <v>0</v>
      </c>
      <c r="K431" s="1">
        <f>IF(B431="", "", "447426")</f>
        <v>0</v>
      </c>
    </row>
    <row r="432" spans="1:11">
      <c r="A432">
        <f>IF(COUNTBLANK(B432:K432)&lt;&gt;COLUMNS(B432:K432),431,"")</f>
        <v>0</v>
      </c>
      <c r="C432" s="1">
        <f>IF(B432="", "", "animal secretion")</f>
        <v>0</v>
      </c>
      <c r="D432" s="1">
        <f>IF(B432="", "", "saliva")</f>
        <v>0</v>
      </c>
      <c r="E432" s="1">
        <f>IF(B432="", "", "human-oral")</f>
        <v>0</v>
      </c>
      <c r="F432" s="1">
        <f>IF(B432="", "", "UBERON:oral cavity")</f>
        <v>0</v>
      </c>
      <c r="G432" s="1">
        <f>IF(B432="", "", "UBERON:saliva")</f>
        <v>0</v>
      </c>
      <c r="H432" s="1">
        <f>IF(B432="", "", "UBERON:tongue")</f>
        <v>0</v>
      </c>
      <c r="I432" s="1">
        <f>IF(B432="", "", "tongue")</f>
        <v>0</v>
      </c>
      <c r="J432" s="1">
        <f>IF(B432="", "", "human oral metagenome")</f>
        <v>0</v>
      </c>
      <c r="K432" s="1">
        <f>IF(B432="", "", "447426")</f>
        <v>0</v>
      </c>
    </row>
    <row r="433" spans="1:11">
      <c r="A433">
        <f>IF(COUNTBLANK(B433:K433)&lt;&gt;COLUMNS(B433:K433),432,"")</f>
        <v>0</v>
      </c>
      <c r="C433" s="1">
        <f>IF(B433="", "", "animal secretion")</f>
        <v>0</v>
      </c>
      <c r="D433" s="1">
        <f>IF(B433="", "", "saliva")</f>
        <v>0</v>
      </c>
      <c r="E433" s="1">
        <f>IF(B433="", "", "human-oral")</f>
        <v>0</v>
      </c>
      <c r="F433" s="1">
        <f>IF(B433="", "", "UBERON:oral cavity")</f>
        <v>0</v>
      </c>
      <c r="G433" s="1">
        <f>IF(B433="", "", "UBERON:saliva")</f>
        <v>0</v>
      </c>
      <c r="H433" s="1">
        <f>IF(B433="", "", "UBERON:tongue")</f>
        <v>0</v>
      </c>
      <c r="I433" s="1">
        <f>IF(B433="", "", "tongue")</f>
        <v>0</v>
      </c>
      <c r="J433" s="1">
        <f>IF(B433="", "", "human oral metagenome")</f>
        <v>0</v>
      </c>
      <c r="K433" s="1">
        <f>IF(B433="", "", "447426")</f>
        <v>0</v>
      </c>
    </row>
    <row r="434" spans="1:11">
      <c r="A434">
        <f>IF(COUNTBLANK(B434:K434)&lt;&gt;COLUMNS(B434:K434),433,"")</f>
        <v>0</v>
      </c>
      <c r="C434" s="1">
        <f>IF(B434="", "", "animal secretion")</f>
        <v>0</v>
      </c>
      <c r="D434" s="1">
        <f>IF(B434="", "", "saliva")</f>
        <v>0</v>
      </c>
      <c r="E434" s="1">
        <f>IF(B434="", "", "human-oral")</f>
        <v>0</v>
      </c>
      <c r="F434" s="1">
        <f>IF(B434="", "", "UBERON:oral cavity")</f>
        <v>0</v>
      </c>
      <c r="G434" s="1">
        <f>IF(B434="", "", "UBERON:saliva")</f>
        <v>0</v>
      </c>
      <c r="H434" s="1">
        <f>IF(B434="", "", "UBERON:tongue")</f>
        <v>0</v>
      </c>
      <c r="I434" s="1">
        <f>IF(B434="", "", "tongue")</f>
        <v>0</v>
      </c>
      <c r="J434" s="1">
        <f>IF(B434="", "", "human oral metagenome")</f>
        <v>0</v>
      </c>
      <c r="K434" s="1">
        <f>IF(B434="", "", "447426")</f>
        <v>0</v>
      </c>
    </row>
    <row r="435" spans="1:11">
      <c r="A435">
        <f>IF(COUNTBLANK(B435:K435)&lt;&gt;COLUMNS(B435:K435),434,"")</f>
        <v>0</v>
      </c>
      <c r="C435" s="1">
        <f>IF(B435="", "", "animal secretion")</f>
        <v>0</v>
      </c>
      <c r="D435" s="1">
        <f>IF(B435="", "", "saliva")</f>
        <v>0</v>
      </c>
      <c r="E435" s="1">
        <f>IF(B435="", "", "human-oral")</f>
        <v>0</v>
      </c>
      <c r="F435" s="1">
        <f>IF(B435="", "", "UBERON:oral cavity")</f>
        <v>0</v>
      </c>
      <c r="G435" s="1">
        <f>IF(B435="", "", "UBERON:saliva")</f>
        <v>0</v>
      </c>
      <c r="H435" s="1">
        <f>IF(B435="", "", "UBERON:tongue")</f>
        <v>0</v>
      </c>
      <c r="I435" s="1">
        <f>IF(B435="", "", "tongue")</f>
        <v>0</v>
      </c>
      <c r="J435" s="1">
        <f>IF(B435="", "", "human oral metagenome")</f>
        <v>0</v>
      </c>
      <c r="K435" s="1">
        <f>IF(B435="", "", "447426")</f>
        <v>0</v>
      </c>
    </row>
    <row r="436" spans="1:11">
      <c r="A436">
        <f>IF(COUNTBLANK(B436:K436)&lt;&gt;COLUMNS(B436:K436),435,"")</f>
        <v>0</v>
      </c>
      <c r="C436" s="1">
        <f>IF(B436="", "", "animal secretion")</f>
        <v>0</v>
      </c>
      <c r="D436" s="1">
        <f>IF(B436="", "", "saliva")</f>
        <v>0</v>
      </c>
      <c r="E436" s="1">
        <f>IF(B436="", "", "human-oral")</f>
        <v>0</v>
      </c>
      <c r="F436" s="1">
        <f>IF(B436="", "", "UBERON:oral cavity")</f>
        <v>0</v>
      </c>
      <c r="G436" s="1">
        <f>IF(B436="", "", "UBERON:saliva")</f>
        <v>0</v>
      </c>
      <c r="H436" s="1">
        <f>IF(B436="", "", "UBERON:tongue")</f>
        <v>0</v>
      </c>
      <c r="I436" s="1">
        <f>IF(B436="", "", "tongue")</f>
        <v>0</v>
      </c>
      <c r="J436" s="1">
        <f>IF(B436="", "", "human oral metagenome")</f>
        <v>0</v>
      </c>
      <c r="K436" s="1">
        <f>IF(B436="", "", "447426")</f>
        <v>0</v>
      </c>
    </row>
    <row r="437" spans="1:11">
      <c r="A437">
        <f>IF(COUNTBLANK(B437:K437)&lt;&gt;COLUMNS(B437:K437),436,"")</f>
        <v>0</v>
      </c>
      <c r="C437" s="1">
        <f>IF(B437="", "", "animal secretion")</f>
        <v>0</v>
      </c>
      <c r="D437" s="1">
        <f>IF(B437="", "", "saliva")</f>
        <v>0</v>
      </c>
      <c r="E437" s="1">
        <f>IF(B437="", "", "human-oral")</f>
        <v>0</v>
      </c>
      <c r="F437" s="1">
        <f>IF(B437="", "", "UBERON:oral cavity")</f>
        <v>0</v>
      </c>
      <c r="G437" s="1">
        <f>IF(B437="", "", "UBERON:saliva")</f>
        <v>0</v>
      </c>
      <c r="H437" s="1">
        <f>IF(B437="", "", "UBERON:tongue")</f>
        <v>0</v>
      </c>
      <c r="I437" s="1">
        <f>IF(B437="", "", "tongue")</f>
        <v>0</v>
      </c>
      <c r="J437" s="1">
        <f>IF(B437="", "", "human oral metagenome")</f>
        <v>0</v>
      </c>
      <c r="K437" s="1">
        <f>IF(B437="", "", "447426")</f>
        <v>0</v>
      </c>
    </row>
    <row r="438" spans="1:11">
      <c r="A438">
        <f>IF(COUNTBLANK(B438:K438)&lt;&gt;COLUMNS(B438:K438),437,"")</f>
        <v>0</v>
      </c>
      <c r="C438" s="1">
        <f>IF(B438="", "", "animal secretion")</f>
        <v>0</v>
      </c>
      <c r="D438" s="1">
        <f>IF(B438="", "", "saliva")</f>
        <v>0</v>
      </c>
      <c r="E438" s="1">
        <f>IF(B438="", "", "human-oral")</f>
        <v>0</v>
      </c>
      <c r="F438" s="1">
        <f>IF(B438="", "", "UBERON:oral cavity")</f>
        <v>0</v>
      </c>
      <c r="G438" s="1">
        <f>IF(B438="", "", "UBERON:saliva")</f>
        <v>0</v>
      </c>
      <c r="H438" s="1">
        <f>IF(B438="", "", "UBERON:tongue")</f>
        <v>0</v>
      </c>
      <c r="I438" s="1">
        <f>IF(B438="", "", "tongue")</f>
        <v>0</v>
      </c>
      <c r="J438" s="1">
        <f>IF(B438="", "", "human oral metagenome")</f>
        <v>0</v>
      </c>
      <c r="K438" s="1">
        <f>IF(B438="", "", "447426")</f>
        <v>0</v>
      </c>
    </row>
    <row r="439" spans="1:11">
      <c r="A439">
        <f>IF(COUNTBLANK(B439:K439)&lt;&gt;COLUMNS(B439:K439),438,"")</f>
        <v>0</v>
      </c>
      <c r="C439" s="1">
        <f>IF(B439="", "", "animal secretion")</f>
        <v>0</v>
      </c>
      <c r="D439" s="1">
        <f>IF(B439="", "", "saliva")</f>
        <v>0</v>
      </c>
      <c r="E439" s="1">
        <f>IF(B439="", "", "human-oral")</f>
        <v>0</v>
      </c>
      <c r="F439" s="1">
        <f>IF(B439="", "", "UBERON:oral cavity")</f>
        <v>0</v>
      </c>
      <c r="G439" s="1">
        <f>IF(B439="", "", "UBERON:saliva")</f>
        <v>0</v>
      </c>
      <c r="H439" s="1">
        <f>IF(B439="", "", "UBERON:tongue")</f>
        <v>0</v>
      </c>
      <c r="I439" s="1">
        <f>IF(B439="", "", "tongue")</f>
        <v>0</v>
      </c>
      <c r="J439" s="1">
        <f>IF(B439="", "", "human oral metagenome")</f>
        <v>0</v>
      </c>
      <c r="K439" s="1">
        <f>IF(B439="", "", "447426")</f>
        <v>0</v>
      </c>
    </row>
    <row r="440" spans="1:11">
      <c r="A440">
        <f>IF(COUNTBLANK(B440:K440)&lt;&gt;COLUMNS(B440:K440),439,"")</f>
        <v>0</v>
      </c>
      <c r="C440" s="1">
        <f>IF(B440="", "", "animal secretion")</f>
        <v>0</v>
      </c>
      <c r="D440" s="1">
        <f>IF(B440="", "", "saliva")</f>
        <v>0</v>
      </c>
      <c r="E440" s="1">
        <f>IF(B440="", "", "human-oral")</f>
        <v>0</v>
      </c>
      <c r="F440" s="1">
        <f>IF(B440="", "", "UBERON:oral cavity")</f>
        <v>0</v>
      </c>
      <c r="G440" s="1">
        <f>IF(B440="", "", "UBERON:saliva")</f>
        <v>0</v>
      </c>
      <c r="H440" s="1">
        <f>IF(B440="", "", "UBERON:tongue")</f>
        <v>0</v>
      </c>
      <c r="I440" s="1">
        <f>IF(B440="", "", "tongue")</f>
        <v>0</v>
      </c>
      <c r="J440" s="1">
        <f>IF(B440="", "", "human oral metagenome")</f>
        <v>0</v>
      </c>
      <c r="K440" s="1">
        <f>IF(B440="", "", "447426")</f>
        <v>0</v>
      </c>
    </row>
    <row r="441" spans="1:11">
      <c r="A441">
        <f>IF(COUNTBLANK(B441:K441)&lt;&gt;COLUMNS(B441:K441),440,"")</f>
        <v>0</v>
      </c>
      <c r="C441" s="1">
        <f>IF(B441="", "", "animal secretion")</f>
        <v>0</v>
      </c>
      <c r="D441" s="1">
        <f>IF(B441="", "", "saliva")</f>
        <v>0</v>
      </c>
      <c r="E441" s="1">
        <f>IF(B441="", "", "human-oral")</f>
        <v>0</v>
      </c>
      <c r="F441" s="1">
        <f>IF(B441="", "", "UBERON:oral cavity")</f>
        <v>0</v>
      </c>
      <c r="G441" s="1">
        <f>IF(B441="", "", "UBERON:saliva")</f>
        <v>0</v>
      </c>
      <c r="H441" s="1">
        <f>IF(B441="", "", "UBERON:tongue")</f>
        <v>0</v>
      </c>
      <c r="I441" s="1">
        <f>IF(B441="", "", "tongue")</f>
        <v>0</v>
      </c>
      <c r="J441" s="1">
        <f>IF(B441="", "", "human oral metagenome")</f>
        <v>0</v>
      </c>
      <c r="K441" s="1">
        <f>IF(B441="", "", "447426")</f>
        <v>0</v>
      </c>
    </row>
    <row r="442" spans="1:11">
      <c r="A442">
        <f>IF(COUNTBLANK(B442:K442)&lt;&gt;COLUMNS(B442:K442),441,"")</f>
        <v>0</v>
      </c>
      <c r="C442" s="1">
        <f>IF(B442="", "", "animal secretion")</f>
        <v>0</v>
      </c>
      <c r="D442" s="1">
        <f>IF(B442="", "", "saliva")</f>
        <v>0</v>
      </c>
      <c r="E442" s="1">
        <f>IF(B442="", "", "human-oral")</f>
        <v>0</v>
      </c>
      <c r="F442" s="1">
        <f>IF(B442="", "", "UBERON:oral cavity")</f>
        <v>0</v>
      </c>
      <c r="G442" s="1">
        <f>IF(B442="", "", "UBERON:saliva")</f>
        <v>0</v>
      </c>
      <c r="H442" s="1">
        <f>IF(B442="", "", "UBERON:tongue")</f>
        <v>0</v>
      </c>
      <c r="I442" s="1">
        <f>IF(B442="", "", "tongue")</f>
        <v>0</v>
      </c>
      <c r="J442" s="1">
        <f>IF(B442="", "", "human oral metagenome")</f>
        <v>0</v>
      </c>
      <c r="K442" s="1">
        <f>IF(B442="", "", "447426")</f>
        <v>0</v>
      </c>
    </row>
    <row r="443" spans="1:11">
      <c r="A443">
        <f>IF(COUNTBLANK(B443:K443)&lt;&gt;COLUMNS(B443:K443),442,"")</f>
        <v>0</v>
      </c>
      <c r="C443" s="1">
        <f>IF(B443="", "", "animal secretion")</f>
        <v>0</v>
      </c>
      <c r="D443" s="1">
        <f>IF(B443="", "", "saliva")</f>
        <v>0</v>
      </c>
      <c r="E443" s="1">
        <f>IF(B443="", "", "human-oral")</f>
        <v>0</v>
      </c>
      <c r="F443" s="1">
        <f>IF(B443="", "", "UBERON:oral cavity")</f>
        <v>0</v>
      </c>
      <c r="G443" s="1">
        <f>IF(B443="", "", "UBERON:saliva")</f>
        <v>0</v>
      </c>
      <c r="H443" s="1">
        <f>IF(B443="", "", "UBERON:tongue")</f>
        <v>0</v>
      </c>
      <c r="I443" s="1">
        <f>IF(B443="", "", "tongue")</f>
        <v>0</v>
      </c>
      <c r="J443" s="1">
        <f>IF(B443="", "", "human oral metagenome")</f>
        <v>0</v>
      </c>
      <c r="K443" s="1">
        <f>IF(B443="", "", "447426")</f>
        <v>0</v>
      </c>
    </row>
    <row r="444" spans="1:11">
      <c r="A444">
        <f>IF(COUNTBLANK(B444:K444)&lt;&gt;COLUMNS(B444:K444),443,"")</f>
        <v>0</v>
      </c>
      <c r="C444" s="1">
        <f>IF(B444="", "", "animal secretion")</f>
        <v>0</v>
      </c>
      <c r="D444" s="1">
        <f>IF(B444="", "", "saliva")</f>
        <v>0</v>
      </c>
      <c r="E444" s="1">
        <f>IF(B444="", "", "human-oral")</f>
        <v>0</v>
      </c>
      <c r="F444" s="1">
        <f>IF(B444="", "", "UBERON:oral cavity")</f>
        <v>0</v>
      </c>
      <c r="G444" s="1">
        <f>IF(B444="", "", "UBERON:saliva")</f>
        <v>0</v>
      </c>
      <c r="H444" s="1">
        <f>IF(B444="", "", "UBERON:tongue")</f>
        <v>0</v>
      </c>
      <c r="I444" s="1">
        <f>IF(B444="", "", "tongue")</f>
        <v>0</v>
      </c>
      <c r="J444" s="1">
        <f>IF(B444="", "", "human oral metagenome")</f>
        <v>0</v>
      </c>
      <c r="K444" s="1">
        <f>IF(B444="", "", "447426")</f>
        <v>0</v>
      </c>
    </row>
    <row r="445" spans="1:11">
      <c r="A445">
        <f>IF(COUNTBLANK(B445:K445)&lt;&gt;COLUMNS(B445:K445),444,"")</f>
        <v>0</v>
      </c>
      <c r="C445" s="1">
        <f>IF(B445="", "", "animal secretion")</f>
        <v>0</v>
      </c>
      <c r="D445" s="1">
        <f>IF(B445="", "", "saliva")</f>
        <v>0</v>
      </c>
      <c r="E445" s="1">
        <f>IF(B445="", "", "human-oral")</f>
        <v>0</v>
      </c>
      <c r="F445" s="1">
        <f>IF(B445="", "", "UBERON:oral cavity")</f>
        <v>0</v>
      </c>
      <c r="G445" s="1">
        <f>IF(B445="", "", "UBERON:saliva")</f>
        <v>0</v>
      </c>
      <c r="H445" s="1">
        <f>IF(B445="", "", "UBERON:tongue")</f>
        <v>0</v>
      </c>
      <c r="I445" s="1">
        <f>IF(B445="", "", "tongue")</f>
        <v>0</v>
      </c>
      <c r="J445" s="1">
        <f>IF(B445="", "", "human oral metagenome")</f>
        <v>0</v>
      </c>
      <c r="K445" s="1">
        <f>IF(B445="", "", "447426")</f>
        <v>0</v>
      </c>
    </row>
    <row r="446" spans="1:11">
      <c r="A446">
        <f>IF(COUNTBLANK(B446:K446)&lt;&gt;COLUMNS(B446:K446),445,"")</f>
        <v>0</v>
      </c>
      <c r="C446" s="1">
        <f>IF(B446="", "", "animal secretion")</f>
        <v>0</v>
      </c>
      <c r="D446" s="1">
        <f>IF(B446="", "", "saliva")</f>
        <v>0</v>
      </c>
      <c r="E446" s="1">
        <f>IF(B446="", "", "human-oral")</f>
        <v>0</v>
      </c>
      <c r="F446" s="1">
        <f>IF(B446="", "", "UBERON:oral cavity")</f>
        <v>0</v>
      </c>
      <c r="G446" s="1">
        <f>IF(B446="", "", "UBERON:saliva")</f>
        <v>0</v>
      </c>
      <c r="H446" s="1">
        <f>IF(B446="", "", "UBERON:tongue")</f>
        <v>0</v>
      </c>
      <c r="I446" s="1">
        <f>IF(B446="", "", "tongue")</f>
        <v>0</v>
      </c>
      <c r="J446" s="1">
        <f>IF(B446="", "", "human oral metagenome")</f>
        <v>0</v>
      </c>
      <c r="K446" s="1">
        <f>IF(B446="", "", "447426")</f>
        <v>0</v>
      </c>
    </row>
    <row r="447" spans="1:11">
      <c r="A447">
        <f>IF(COUNTBLANK(B447:K447)&lt;&gt;COLUMNS(B447:K447),446,"")</f>
        <v>0</v>
      </c>
      <c r="C447" s="1">
        <f>IF(B447="", "", "animal secretion")</f>
        <v>0</v>
      </c>
      <c r="D447" s="1">
        <f>IF(B447="", "", "saliva")</f>
        <v>0</v>
      </c>
      <c r="E447" s="1">
        <f>IF(B447="", "", "human-oral")</f>
        <v>0</v>
      </c>
      <c r="F447" s="1">
        <f>IF(B447="", "", "UBERON:oral cavity")</f>
        <v>0</v>
      </c>
      <c r="G447" s="1">
        <f>IF(B447="", "", "UBERON:saliva")</f>
        <v>0</v>
      </c>
      <c r="H447" s="1">
        <f>IF(B447="", "", "UBERON:tongue")</f>
        <v>0</v>
      </c>
      <c r="I447" s="1">
        <f>IF(B447="", "", "tongue")</f>
        <v>0</v>
      </c>
      <c r="J447" s="1">
        <f>IF(B447="", "", "human oral metagenome")</f>
        <v>0</v>
      </c>
      <c r="K447" s="1">
        <f>IF(B447="", "", "447426")</f>
        <v>0</v>
      </c>
    </row>
    <row r="448" spans="1:11">
      <c r="A448">
        <f>IF(COUNTBLANK(B448:K448)&lt;&gt;COLUMNS(B448:K448),447,"")</f>
        <v>0</v>
      </c>
      <c r="C448" s="1">
        <f>IF(B448="", "", "animal secretion")</f>
        <v>0</v>
      </c>
      <c r="D448" s="1">
        <f>IF(B448="", "", "saliva")</f>
        <v>0</v>
      </c>
      <c r="E448" s="1">
        <f>IF(B448="", "", "human-oral")</f>
        <v>0</v>
      </c>
      <c r="F448" s="1">
        <f>IF(B448="", "", "UBERON:oral cavity")</f>
        <v>0</v>
      </c>
      <c r="G448" s="1">
        <f>IF(B448="", "", "UBERON:saliva")</f>
        <v>0</v>
      </c>
      <c r="H448" s="1">
        <f>IF(B448="", "", "UBERON:tongue")</f>
        <v>0</v>
      </c>
      <c r="I448" s="1">
        <f>IF(B448="", "", "tongue")</f>
        <v>0</v>
      </c>
      <c r="J448" s="1">
        <f>IF(B448="", "", "human oral metagenome")</f>
        <v>0</v>
      </c>
      <c r="K448" s="1">
        <f>IF(B448="", "", "447426")</f>
        <v>0</v>
      </c>
    </row>
    <row r="449" spans="1:11">
      <c r="A449">
        <f>IF(COUNTBLANK(B449:K449)&lt;&gt;COLUMNS(B449:K449),448,"")</f>
        <v>0</v>
      </c>
      <c r="C449" s="1">
        <f>IF(B449="", "", "animal secretion")</f>
        <v>0</v>
      </c>
      <c r="D449" s="1">
        <f>IF(B449="", "", "saliva")</f>
        <v>0</v>
      </c>
      <c r="E449" s="1">
        <f>IF(B449="", "", "human-oral")</f>
        <v>0</v>
      </c>
      <c r="F449" s="1">
        <f>IF(B449="", "", "UBERON:oral cavity")</f>
        <v>0</v>
      </c>
      <c r="G449" s="1">
        <f>IF(B449="", "", "UBERON:saliva")</f>
        <v>0</v>
      </c>
      <c r="H449" s="1">
        <f>IF(B449="", "", "UBERON:tongue")</f>
        <v>0</v>
      </c>
      <c r="I449" s="1">
        <f>IF(B449="", "", "tongue")</f>
        <v>0</v>
      </c>
      <c r="J449" s="1">
        <f>IF(B449="", "", "human oral metagenome")</f>
        <v>0</v>
      </c>
      <c r="K449" s="1">
        <f>IF(B449="", "", "447426")</f>
        <v>0</v>
      </c>
    </row>
    <row r="450" spans="1:11">
      <c r="A450">
        <f>IF(COUNTBLANK(B450:K450)&lt;&gt;COLUMNS(B450:K450),449,"")</f>
        <v>0</v>
      </c>
      <c r="C450" s="1">
        <f>IF(B450="", "", "animal secretion")</f>
        <v>0</v>
      </c>
      <c r="D450" s="1">
        <f>IF(B450="", "", "saliva")</f>
        <v>0</v>
      </c>
      <c r="E450" s="1">
        <f>IF(B450="", "", "human-oral")</f>
        <v>0</v>
      </c>
      <c r="F450" s="1">
        <f>IF(B450="", "", "UBERON:oral cavity")</f>
        <v>0</v>
      </c>
      <c r="G450" s="1">
        <f>IF(B450="", "", "UBERON:saliva")</f>
        <v>0</v>
      </c>
      <c r="H450" s="1">
        <f>IF(B450="", "", "UBERON:tongue")</f>
        <v>0</v>
      </c>
      <c r="I450" s="1">
        <f>IF(B450="", "", "tongue")</f>
        <v>0</v>
      </c>
      <c r="J450" s="1">
        <f>IF(B450="", "", "human oral metagenome")</f>
        <v>0</v>
      </c>
      <c r="K450" s="1">
        <f>IF(B450="", "", "447426")</f>
        <v>0</v>
      </c>
    </row>
    <row r="451" spans="1:11">
      <c r="A451">
        <f>IF(COUNTBLANK(B451:K451)&lt;&gt;COLUMNS(B451:K451),450,"")</f>
        <v>0</v>
      </c>
      <c r="C451" s="1">
        <f>IF(B451="", "", "animal secretion")</f>
        <v>0</v>
      </c>
      <c r="D451" s="1">
        <f>IF(B451="", "", "saliva")</f>
        <v>0</v>
      </c>
      <c r="E451" s="1">
        <f>IF(B451="", "", "human-oral")</f>
        <v>0</v>
      </c>
      <c r="F451" s="1">
        <f>IF(B451="", "", "UBERON:oral cavity")</f>
        <v>0</v>
      </c>
      <c r="G451" s="1">
        <f>IF(B451="", "", "UBERON:saliva")</f>
        <v>0</v>
      </c>
      <c r="H451" s="1">
        <f>IF(B451="", "", "UBERON:tongue")</f>
        <v>0</v>
      </c>
      <c r="I451" s="1">
        <f>IF(B451="", "", "tongue")</f>
        <v>0</v>
      </c>
      <c r="J451" s="1">
        <f>IF(B451="", "", "human oral metagenome")</f>
        <v>0</v>
      </c>
      <c r="K451" s="1">
        <f>IF(B451="", "", "447426")</f>
        <v>0</v>
      </c>
    </row>
    <row r="452" spans="1:11">
      <c r="A452">
        <f>IF(COUNTBLANK(B452:K452)&lt;&gt;COLUMNS(B452:K452),451,"")</f>
        <v>0</v>
      </c>
      <c r="C452" s="1">
        <f>IF(B452="", "", "animal secretion")</f>
        <v>0</v>
      </c>
      <c r="D452" s="1">
        <f>IF(B452="", "", "saliva")</f>
        <v>0</v>
      </c>
      <c r="E452" s="1">
        <f>IF(B452="", "", "human-oral")</f>
        <v>0</v>
      </c>
      <c r="F452" s="1">
        <f>IF(B452="", "", "UBERON:oral cavity")</f>
        <v>0</v>
      </c>
      <c r="G452" s="1">
        <f>IF(B452="", "", "UBERON:saliva")</f>
        <v>0</v>
      </c>
      <c r="H452" s="1">
        <f>IF(B452="", "", "UBERON:tongue")</f>
        <v>0</v>
      </c>
      <c r="I452" s="1">
        <f>IF(B452="", "", "tongue")</f>
        <v>0</v>
      </c>
      <c r="J452" s="1">
        <f>IF(B452="", "", "human oral metagenome")</f>
        <v>0</v>
      </c>
      <c r="K452" s="1">
        <f>IF(B452="", "", "447426")</f>
        <v>0</v>
      </c>
    </row>
    <row r="453" spans="1:11">
      <c r="A453">
        <f>IF(COUNTBLANK(B453:K453)&lt;&gt;COLUMNS(B453:K453),452,"")</f>
        <v>0</v>
      </c>
      <c r="C453" s="1">
        <f>IF(B453="", "", "animal secretion")</f>
        <v>0</v>
      </c>
      <c r="D453" s="1">
        <f>IF(B453="", "", "saliva")</f>
        <v>0</v>
      </c>
      <c r="E453" s="1">
        <f>IF(B453="", "", "human-oral")</f>
        <v>0</v>
      </c>
      <c r="F453" s="1">
        <f>IF(B453="", "", "UBERON:oral cavity")</f>
        <v>0</v>
      </c>
      <c r="G453" s="1">
        <f>IF(B453="", "", "UBERON:saliva")</f>
        <v>0</v>
      </c>
      <c r="H453" s="1">
        <f>IF(B453="", "", "UBERON:tongue")</f>
        <v>0</v>
      </c>
      <c r="I453" s="1">
        <f>IF(B453="", "", "tongue")</f>
        <v>0</v>
      </c>
      <c r="J453" s="1">
        <f>IF(B453="", "", "human oral metagenome")</f>
        <v>0</v>
      </c>
      <c r="K453" s="1">
        <f>IF(B453="", "", "447426")</f>
        <v>0</v>
      </c>
    </row>
    <row r="454" spans="1:11">
      <c r="A454">
        <f>IF(COUNTBLANK(B454:K454)&lt;&gt;COLUMNS(B454:K454),453,"")</f>
        <v>0</v>
      </c>
      <c r="C454" s="1">
        <f>IF(B454="", "", "animal secretion")</f>
        <v>0</v>
      </c>
      <c r="D454" s="1">
        <f>IF(B454="", "", "saliva")</f>
        <v>0</v>
      </c>
      <c r="E454" s="1">
        <f>IF(B454="", "", "human-oral")</f>
        <v>0</v>
      </c>
      <c r="F454" s="1">
        <f>IF(B454="", "", "UBERON:oral cavity")</f>
        <v>0</v>
      </c>
      <c r="G454" s="1">
        <f>IF(B454="", "", "UBERON:saliva")</f>
        <v>0</v>
      </c>
      <c r="H454" s="1">
        <f>IF(B454="", "", "UBERON:tongue")</f>
        <v>0</v>
      </c>
      <c r="I454" s="1">
        <f>IF(B454="", "", "tongue")</f>
        <v>0</v>
      </c>
      <c r="J454" s="1">
        <f>IF(B454="", "", "human oral metagenome")</f>
        <v>0</v>
      </c>
      <c r="K454" s="1">
        <f>IF(B454="", "", "447426")</f>
        <v>0</v>
      </c>
    </row>
    <row r="455" spans="1:11">
      <c r="A455">
        <f>IF(COUNTBLANK(B455:K455)&lt;&gt;COLUMNS(B455:K455),454,"")</f>
        <v>0</v>
      </c>
      <c r="C455" s="1">
        <f>IF(B455="", "", "animal secretion")</f>
        <v>0</v>
      </c>
      <c r="D455" s="1">
        <f>IF(B455="", "", "saliva")</f>
        <v>0</v>
      </c>
      <c r="E455" s="1">
        <f>IF(B455="", "", "human-oral")</f>
        <v>0</v>
      </c>
      <c r="F455" s="1">
        <f>IF(B455="", "", "UBERON:oral cavity")</f>
        <v>0</v>
      </c>
      <c r="G455" s="1">
        <f>IF(B455="", "", "UBERON:saliva")</f>
        <v>0</v>
      </c>
      <c r="H455" s="1">
        <f>IF(B455="", "", "UBERON:tongue")</f>
        <v>0</v>
      </c>
      <c r="I455" s="1">
        <f>IF(B455="", "", "tongue")</f>
        <v>0</v>
      </c>
      <c r="J455" s="1">
        <f>IF(B455="", "", "human oral metagenome")</f>
        <v>0</v>
      </c>
      <c r="K455" s="1">
        <f>IF(B455="", "", "447426")</f>
        <v>0</v>
      </c>
    </row>
    <row r="456" spans="1:11">
      <c r="A456">
        <f>IF(COUNTBLANK(B456:K456)&lt;&gt;COLUMNS(B456:K456),455,"")</f>
        <v>0</v>
      </c>
      <c r="C456" s="1">
        <f>IF(B456="", "", "animal secretion")</f>
        <v>0</v>
      </c>
      <c r="D456" s="1">
        <f>IF(B456="", "", "saliva")</f>
        <v>0</v>
      </c>
      <c r="E456" s="1">
        <f>IF(B456="", "", "human-oral")</f>
        <v>0</v>
      </c>
      <c r="F456" s="1">
        <f>IF(B456="", "", "UBERON:oral cavity")</f>
        <v>0</v>
      </c>
      <c r="G456" s="1">
        <f>IF(B456="", "", "UBERON:saliva")</f>
        <v>0</v>
      </c>
      <c r="H456" s="1">
        <f>IF(B456="", "", "UBERON:tongue")</f>
        <v>0</v>
      </c>
      <c r="I456" s="1">
        <f>IF(B456="", "", "tongue")</f>
        <v>0</v>
      </c>
      <c r="J456" s="1">
        <f>IF(B456="", "", "human oral metagenome")</f>
        <v>0</v>
      </c>
      <c r="K456" s="1">
        <f>IF(B456="", "", "447426")</f>
        <v>0</v>
      </c>
    </row>
    <row r="457" spans="1:11">
      <c r="A457">
        <f>IF(COUNTBLANK(B457:K457)&lt;&gt;COLUMNS(B457:K457),456,"")</f>
        <v>0</v>
      </c>
      <c r="C457" s="1">
        <f>IF(B457="", "", "animal secretion")</f>
        <v>0</v>
      </c>
      <c r="D457" s="1">
        <f>IF(B457="", "", "saliva")</f>
        <v>0</v>
      </c>
      <c r="E457" s="1">
        <f>IF(B457="", "", "human-oral")</f>
        <v>0</v>
      </c>
      <c r="F457" s="1">
        <f>IF(B457="", "", "UBERON:oral cavity")</f>
        <v>0</v>
      </c>
      <c r="G457" s="1">
        <f>IF(B457="", "", "UBERON:saliva")</f>
        <v>0</v>
      </c>
      <c r="H457" s="1">
        <f>IF(B457="", "", "UBERON:tongue")</f>
        <v>0</v>
      </c>
      <c r="I457" s="1">
        <f>IF(B457="", "", "tongue")</f>
        <v>0</v>
      </c>
      <c r="J457" s="1">
        <f>IF(B457="", "", "human oral metagenome")</f>
        <v>0</v>
      </c>
      <c r="K457" s="1">
        <f>IF(B457="", "", "447426")</f>
        <v>0</v>
      </c>
    </row>
    <row r="458" spans="1:11">
      <c r="A458">
        <f>IF(COUNTBLANK(B458:K458)&lt;&gt;COLUMNS(B458:K458),457,"")</f>
        <v>0</v>
      </c>
      <c r="C458" s="1">
        <f>IF(B458="", "", "animal secretion")</f>
        <v>0</v>
      </c>
      <c r="D458" s="1">
        <f>IF(B458="", "", "saliva")</f>
        <v>0</v>
      </c>
      <c r="E458" s="1">
        <f>IF(B458="", "", "human-oral")</f>
        <v>0</v>
      </c>
      <c r="F458" s="1">
        <f>IF(B458="", "", "UBERON:oral cavity")</f>
        <v>0</v>
      </c>
      <c r="G458" s="1">
        <f>IF(B458="", "", "UBERON:saliva")</f>
        <v>0</v>
      </c>
      <c r="H458" s="1">
        <f>IF(B458="", "", "UBERON:tongue")</f>
        <v>0</v>
      </c>
      <c r="I458" s="1">
        <f>IF(B458="", "", "tongue")</f>
        <v>0</v>
      </c>
      <c r="J458" s="1">
        <f>IF(B458="", "", "human oral metagenome")</f>
        <v>0</v>
      </c>
      <c r="K458" s="1">
        <f>IF(B458="", "", "447426")</f>
        <v>0</v>
      </c>
    </row>
    <row r="459" spans="1:11">
      <c r="A459">
        <f>IF(COUNTBLANK(B459:K459)&lt;&gt;COLUMNS(B459:K459),458,"")</f>
        <v>0</v>
      </c>
      <c r="C459" s="1">
        <f>IF(B459="", "", "animal secretion")</f>
        <v>0</v>
      </c>
      <c r="D459" s="1">
        <f>IF(B459="", "", "saliva")</f>
        <v>0</v>
      </c>
      <c r="E459" s="1">
        <f>IF(B459="", "", "human-oral")</f>
        <v>0</v>
      </c>
      <c r="F459" s="1">
        <f>IF(B459="", "", "UBERON:oral cavity")</f>
        <v>0</v>
      </c>
      <c r="G459" s="1">
        <f>IF(B459="", "", "UBERON:saliva")</f>
        <v>0</v>
      </c>
      <c r="H459" s="1">
        <f>IF(B459="", "", "UBERON:tongue")</f>
        <v>0</v>
      </c>
      <c r="I459" s="1">
        <f>IF(B459="", "", "tongue")</f>
        <v>0</v>
      </c>
      <c r="J459" s="1">
        <f>IF(B459="", "", "human oral metagenome")</f>
        <v>0</v>
      </c>
      <c r="K459" s="1">
        <f>IF(B459="", "", "447426")</f>
        <v>0</v>
      </c>
    </row>
    <row r="460" spans="1:11">
      <c r="A460">
        <f>IF(COUNTBLANK(B460:K460)&lt;&gt;COLUMNS(B460:K460),459,"")</f>
        <v>0</v>
      </c>
      <c r="C460" s="1">
        <f>IF(B460="", "", "animal secretion")</f>
        <v>0</v>
      </c>
      <c r="D460" s="1">
        <f>IF(B460="", "", "saliva")</f>
        <v>0</v>
      </c>
      <c r="E460" s="1">
        <f>IF(B460="", "", "human-oral")</f>
        <v>0</v>
      </c>
      <c r="F460" s="1">
        <f>IF(B460="", "", "UBERON:oral cavity")</f>
        <v>0</v>
      </c>
      <c r="G460" s="1">
        <f>IF(B460="", "", "UBERON:saliva")</f>
        <v>0</v>
      </c>
      <c r="H460" s="1">
        <f>IF(B460="", "", "UBERON:tongue")</f>
        <v>0</v>
      </c>
      <c r="I460" s="1">
        <f>IF(B460="", "", "tongue")</f>
        <v>0</v>
      </c>
      <c r="J460" s="1">
        <f>IF(B460="", "", "human oral metagenome")</f>
        <v>0</v>
      </c>
      <c r="K460" s="1">
        <f>IF(B460="", "", "447426")</f>
        <v>0</v>
      </c>
    </row>
    <row r="461" spans="1:11">
      <c r="A461">
        <f>IF(COUNTBLANK(B461:K461)&lt;&gt;COLUMNS(B461:K461),460,"")</f>
        <v>0</v>
      </c>
      <c r="C461" s="1">
        <f>IF(B461="", "", "animal secretion")</f>
        <v>0</v>
      </c>
      <c r="D461" s="1">
        <f>IF(B461="", "", "saliva")</f>
        <v>0</v>
      </c>
      <c r="E461" s="1">
        <f>IF(B461="", "", "human-oral")</f>
        <v>0</v>
      </c>
      <c r="F461" s="1">
        <f>IF(B461="", "", "UBERON:oral cavity")</f>
        <v>0</v>
      </c>
      <c r="G461" s="1">
        <f>IF(B461="", "", "UBERON:saliva")</f>
        <v>0</v>
      </c>
      <c r="H461" s="1">
        <f>IF(B461="", "", "UBERON:tongue")</f>
        <v>0</v>
      </c>
      <c r="I461" s="1">
        <f>IF(B461="", "", "tongue")</f>
        <v>0</v>
      </c>
      <c r="J461" s="1">
        <f>IF(B461="", "", "human oral metagenome")</f>
        <v>0</v>
      </c>
      <c r="K461" s="1">
        <f>IF(B461="", "", "447426")</f>
        <v>0</v>
      </c>
    </row>
    <row r="462" spans="1:11">
      <c r="A462">
        <f>IF(COUNTBLANK(B462:K462)&lt;&gt;COLUMNS(B462:K462),461,"")</f>
        <v>0</v>
      </c>
      <c r="C462" s="1">
        <f>IF(B462="", "", "animal secretion")</f>
        <v>0</v>
      </c>
      <c r="D462" s="1">
        <f>IF(B462="", "", "saliva")</f>
        <v>0</v>
      </c>
      <c r="E462" s="1">
        <f>IF(B462="", "", "human-oral")</f>
        <v>0</v>
      </c>
      <c r="F462" s="1">
        <f>IF(B462="", "", "UBERON:oral cavity")</f>
        <v>0</v>
      </c>
      <c r="G462" s="1">
        <f>IF(B462="", "", "UBERON:saliva")</f>
        <v>0</v>
      </c>
      <c r="H462" s="1">
        <f>IF(B462="", "", "UBERON:tongue")</f>
        <v>0</v>
      </c>
      <c r="I462" s="1">
        <f>IF(B462="", "", "tongue")</f>
        <v>0</v>
      </c>
      <c r="J462" s="1">
        <f>IF(B462="", "", "human oral metagenome")</f>
        <v>0</v>
      </c>
      <c r="K462" s="1">
        <f>IF(B462="", "", "447426")</f>
        <v>0</v>
      </c>
    </row>
    <row r="463" spans="1:11">
      <c r="A463">
        <f>IF(COUNTBLANK(B463:K463)&lt;&gt;COLUMNS(B463:K463),462,"")</f>
        <v>0</v>
      </c>
      <c r="C463" s="1">
        <f>IF(B463="", "", "animal secretion")</f>
        <v>0</v>
      </c>
      <c r="D463" s="1">
        <f>IF(B463="", "", "saliva")</f>
        <v>0</v>
      </c>
      <c r="E463" s="1">
        <f>IF(B463="", "", "human-oral")</f>
        <v>0</v>
      </c>
      <c r="F463" s="1">
        <f>IF(B463="", "", "UBERON:oral cavity")</f>
        <v>0</v>
      </c>
      <c r="G463" s="1">
        <f>IF(B463="", "", "UBERON:saliva")</f>
        <v>0</v>
      </c>
      <c r="H463" s="1">
        <f>IF(B463="", "", "UBERON:tongue")</f>
        <v>0</v>
      </c>
      <c r="I463" s="1">
        <f>IF(B463="", "", "tongue")</f>
        <v>0</v>
      </c>
      <c r="J463" s="1">
        <f>IF(B463="", "", "human oral metagenome")</f>
        <v>0</v>
      </c>
      <c r="K463" s="1">
        <f>IF(B463="", "", "447426")</f>
        <v>0</v>
      </c>
    </row>
    <row r="464" spans="1:11">
      <c r="A464">
        <f>IF(COUNTBLANK(B464:K464)&lt;&gt;COLUMNS(B464:K464),463,"")</f>
        <v>0</v>
      </c>
      <c r="C464" s="1">
        <f>IF(B464="", "", "animal secretion")</f>
        <v>0</v>
      </c>
      <c r="D464" s="1">
        <f>IF(B464="", "", "saliva")</f>
        <v>0</v>
      </c>
      <c r="E464" s="1">
        <f>IF(B464="", "", "human-oral")</f>
        <v>0</v>
      </c>
      <c r="F464" s="1">
        <f>IF(B464="", "", "UBERON:oral cavity")</f>
        <v>0</v>
      </c>
      <c r="G464" s="1">
        <f>IF(B464="", "", "UBERON:saliva")</f>
        <v>0</v>
      </c>
      <c r="H464" s="1">
        <f>IF(B464="", "", "UBERON:tongue")</f>
        <v>0</v>
      </c>
      <c r="I464" s="1">
        <f>IF(B464="", "", "tongue")</f>
        <v>0</v>
      </c>
      <c r="J464" s="1">
        <f>IF(B464="", "", "human oral metagenome")</f>
        <v>0</v>
      </c>
      <c r="K464" s="1">
        <f>IF(B464="", "", "447426")</f>
        <v>0</v>
      </c>
    </row>
    <row r="465" spans="1:11">
      <c r="A465">
        <f>IF(COUNTBLANK(B465:K465)&lt;&gt;COLUMNS(B465:K465),464,"")</f>
        <v>0</v>
      </c>
      <c r="C465" s="1">
        <f>IF(B465="", "", "animal secretion")</f>
        <v>0</v>
      </c>
      <c r="D465" s="1">
        <f>IF(B465="", "", "saliva")</f>
        <v>0</v>
      </c>
      <c r="E465" s="1">
        <f>IF(B465="", "", "human-oral")</f>
        <v>0</v>
      </c>
      <c r="F465" s="1">
        <f>IF(B465="", "", "UBERON:oral cavity")</f>
        <v>0</v>
      </c>
      <c r="G465" s="1">
        <f>IF(B465="", "", "UBERON:saliva")</f>
        <v>0</v>
      </c>
      <c r="H465" s="1">
        <f>IF(B465="", "", "UBERON:tongue")</f>
        <v>0</v>
      </c>
      <c r="I465" s="1">
        <f>IF(B465="", "", "tongue")</f>
        <v>0</v>
      </c>
      <c r="J465" s="1">
        <f>IF(B465="", "", "human oral metagenome")</f>
        <v>0</v>
      </c>
      <c r="K465" s="1">
        <f>IF(B465="", "", "447426")</f>
        <v>0</v>
      </c>
    </row>
    <row r="466" spans="1:11">
      <c r="A466">
        <f>IF(COUNTBLANK(B466:K466)&lt;&gt;COLUMNS(B466:K466),465,"")</f>
        <v>0</v>
      </c>
      <c r="C466" s="1">
        <f>IF(B466="", "", "animal secretion")</f>
        <v>0</v>
      </c>
      <c r="D466" s="1">
        <f>IF(B466="", "", "saliva")</f>
        <v>0</v>
      </c>
      <c r="E466" s="1">
        <f>IF(B466="", "", "human-oral")</f>
        <v>0</v>
      </c>
      <c r="F466" s="1">
        <f>IF(B466="", "", "UBERON:oral cavity")</f>
        <v>0</v>
      </c>
      <c r="G466" s="1">
        <f>IF(B466="", "", "UBERON:saliva")</f>
        <v>0</v>
      </c>
      <c r="H466" s="1">
        <f>IF(B466="", "", "UBERON:tongue")</f>
        <v>0</v>
      </c>
      <c r="I466" s="1">
        <f>IF(B466="", "", "tongue")</f>
        <v>0</v>
      </c>
      <c r="J466" s="1">
        <f>IF(B466="", "", "human oral metagenome")</f>
        <v>0</v>
      </c>
      <c r="K466" s="1">
        <f>IF(B466="", "", "447426")</f>
        <v>0</v>
      </c>
    </row>
    <row r="467" spans="1:11">
      <c r="A467">
        <f>IF(COUNTBLANK(B467:K467)&lt;&gt;COLUMNS(B467:K467),466,"")</f>
        <v>0</v>
      </c>
      <c r="C467" s="1">
        <f>IF(B467="", "", "animal secretion")</f>
        <v>0</v>
      </c>
      <c r="D467" s="1">
        <f>IF(B467="", "", "saliva")</f>
        <v>0</v>
      </c>
      <c r="E467" s="1">
        <f>IF(B467="", "", "human-oral")</f>
        <v>0</v>
      </c>
      <c r="F467" s="1">
        <f>IF(B467="", "", "UBERON:oral cavity")</f>
        <v>0</v>
      </c>
      <c r="G467" s="1">
        <f>IF(B467="", "", "UBERON:saliva")</f>
        <v>0</v>
      </c>
      <c r="H467" s="1">
        <f>IF(B467="", "", "UBERON:tongue")</f>
        <v>0</v>
      </c>
      <c r="I467" s="1">
        <f>IF(B467="", "", "tongue")</f>
        <v>0</v>
      </c>
      <c r="J467" s="1">
        <f>IF(B467="", "", "human oral metagenome")</f>
        <v>0</v>
      </c>
      <c r="K467" s="1">
        <f>IF(B467="", "", "447426")</f>
        <v>0</v>
      </c>
    </row>
    <row r="468" spans="1:11">
      <c r="A468">
        <f>IF(COUNTBLANK(B468:K468)&lt;&gt;COLUMNS(B468:K468),467,"")</f>
        <v>0</v>
      </c>
      <c r="C468" s="1">
        <f>IF(B468="", "", "animal secretion")</f>
        <v>0</v>
      </c>
      <c r="D468" s="1">
        <f>IF(B468="", "", "saliva")</f>
        <v>0</v>
      </c>
      <c r="E468" s="1">
        <f>IF(B468="", "", "human-oral")</f>
        <v>0</v>
      </c>
      <c r="F468" s="1">
        <f>IF(B468="", "", "UBERON:oral cavity")</f>
        <v>0</v>
      </c>
      <c r="G468" s="1">
        <f>IF(B468="", "", "UBERON:saliva")</f>
        <v>0</v>
      </c>
      <c r="H468" s="1">
        <f>IF(B468="", "", "UBERON:tongue")</f>
        <v>0</v>
      </c>
      <c r="I468" s="1">
        <f>IF(B468="", "", "tongue")</f>
        <v>0</v>
      </c>
      <c r="J468" s="1">
        <f>IF(B468="", "", "human oral metagenome")</f>
        <v>0</v>
      </c>
      <c r="K468" s="1">
        <f>IF(B468="", "", "447426")</f>
        <v>0</v>
      </c>
    </row>
    <row r="469" spans="1:11">
      <c r="A469">
        <f>IF(COUNTBLANK(B469:K469)&lt;&gt;COLUMNS(B469:K469),468,"")</f>
        <v>0</v>
      </c>
      <c r="C469" s="1">
        <f>IF(B469="", "", "animal secretion")</f>
        <v>0</v>
      </c>
      <c r="D469" s="1">
        <f>IF(B469="", "", "saliva")</f>
        <v>0</v>
      </c>
      <c r="E469" s="1">
        <f>IF(B469="", "", "human-oral")</f>
        <v>0</v>
      </c>
      <c r="F469" s="1">
        <f>IF(B469="", "", "UBERON:oral cavity")</f>
        <v>0</v>
      </c>
      <c r="G469" s="1">
        <f>IF(B469="", "", "UBERON:saliva")</f>
        <v>0</v>
      </c>
      <c r="H469" s="1">
        <f>IF(B469="", "", "UBERON:tongue")</f>
        <v>0</v>
      </c>
      <c r="I469" s="1">
        <f>IF(B469="", "", "tongue")</f>
        <v>0</v>
      </c>
      <c r="J469" s="1">
        <f>IF(B469="", "", "human oral metagenome")</f>
        <v>0</v>
      </c>
      <c r="K469" s="1">
        <f>IF(B469="", "", "447426")</f>
        <v>0</v>
      </c>
    </row>
    <row r="470" spans="1:11">
      <c r="A470">
        <f>IF(COUNTBLANK(B470:K470)&lt;&gt;COLUMNS(B470:K470),469,"")</f>
        <v>0</v>
      </c>
      <c r="C470" s="1">
        <f>IF(B470="", "", "animal secretion")</f>
        <v>0</v>
      </c>
      <c r="D470" s="1">
        <f>IF(B470="", "", "saliva")</f>
        <v>0</v>
      </c>
      <c r="E470" s="1">
        <f>IF(B470="", "", "human-oral")</f>
        <v>0</v>
      </c>
      <c r="F470" s="1">
        <f>IF(B470="", "", "UBERON:oral cavity")</f>
        <v>0</v>
      </c>
      <c r="G470" s="1">
        <f>IF(B470="", "", "UBERON:saliva")</f>
        <v>0</v>
      </c>
      <c r="H470" s="1">
        <f>IF(B470="", "", "UBERON:tongue")</f>
        <v>0</v>
      </c>
      <c r="I470" s="1">
        <f>IF(B470="", "", "tongue")</f>
        <v>0</v>
      </c>
      <c r="J470" s="1">
        <f>IF(B470="", "", "human oral metagenome")</f>
        <v>0</v>
      </c>
      <c r="K470" s="1">
        <f>IF(B470="", "", "447426")</f>
        <v>0</v>
      </c>
    </row>
    <row r="471" spans="1:11">
      <c r="A471">
        <f>IF(COUNTBLANK(B471:K471)&lt;&gt;COLUMNS(B471:K471),470,"")</f>
        <v>0</v>
      </c>
      <c r="C471" s="1">
        <f>IF(B471="", "", "animal secretion")</f>
        <v>0</v>
      </c>
      <c r="D471" s="1">
        <f>IF(B471="", "", "saliva")</f>
        <v>0</v>
      </c>
      <c r="E471" s="1">
        <f>IF(B471="", "", "human-oral")</f>
        <v>0</v>
      </c>
      <c r="F471" s="1">
        <f>IF(B471="", "", "UBERON:oral cavity")</f>
        <v>0</v>
      </c>
      <c r="G471" s="1">
        <f>IF(B471="", "", "UBERON:saliva")</f>
        <v>0</v>
      </c>
      <c r="H471" s="1">
        <f>IF(B471="", "", "UBERON:tongue")</f>
        <v>0</v>
      </c>
      <c r="I471" s="1">
        <f>IF(B471="", "", "tongue")</f>
        <v>0</v>
      </c>
      <c r="J471" s="1">
        <f>IF(B471="", "", "human oral metagenome")</f>
        <v>0</v>
      </c>
      <c r="K471" s="1">
        <f>IF(B471="", "", "447426")</f>
        <v>0</v>
      </c>
    </row>
    <row r="472" spans="1:11">
      <c r="A472">
        <f>IF(COUNTBLANK(B472:K472)&lt;&gt;COLUMNS(B472:K472),471,"")</f>
        <v>0</v>
      </c>
      <c r="C472" s="1">
        <f>IF(B472="", "", "animal secretion")</f>
        <v>0</v>
      </c>
      <c r="D472" s="1">
        <f>IF(B472="", "", "saliva")</f>
        <v>0</v>
      </c>
      <c r="E472" s="1">
        <f>IF(B472="", "", "human-oral")</f>
        <v>0</v>
      </c>
      <c r="F472" s="1">
        <f>IF(B472="", "", "UBERON:oral cavity")</f>
        <v>0</v>
      </c>
      <c r="G472" s="1">
        <f>IF(B472="", "", "UBERON:saliva")</f>
        <v>0</v>
      </c>
      <c r="H472" s="1">
        <f>IF(B472="", "", "UBERON:tongue")</f>
        <v>0</v>
      </c>
      <c r="I472" s="1">
        <f>IF(B472="", "", "tongue")</f>
        <v>0</v>
      </c>
      <c r="J472" s="1">
        <f>IF(B472="", "", "human oral metagenome")</f>
        <v>0</v>
      </c>
      <c r="K472" s="1">
        <f>IF(B472="", "", "447426")</f>
        <v>0</v>
      </c>
    </row>
    <row r="473" spans="1:11">
      <c r="A473">
        <f>IF(COUNTBLANK(B473:K473)&lt;&gt;COLUMNS(B473:K473),472,"")</f>
        <v>0</v>
      </c>
      <c r="C473" s="1">
        <f>IF(B473="", "", "animal secretion")</f>
        <v>0</v>
      </c>
      <c r="D473" s="1">
        <f>IF(B473="", "", "saliva")</f>
        <v>0</v>
      </c>
      <c r="E473" s="1">
        <f>IF(B473="", "", "human-oral")</f>
        <v>0</v>
      </c>
      <c r="F473" s="1">
        <f>IF(B473="", "", "UBERON:oral cavity")</f>
        <v>0</v>
      </c>
      <c r="G473" s="1">
        <f>IF(B473="", "", "UBERON:saliva")</f>
        <v>0</v>
      </c>
      <c r="H473" s="1">
        <f>IF(B473="", "", "UBERON:tongue")</f>
        <v>0</v>
      </c>
      <c r="I473" s="1">
        <f>IF(B473="", "", "tongue")</f>
        <v>0</v>
      </c>
      <c r="J473" s="1">
        <f>IF(B473="", "", "human oral metagenome")</f>
        <v>0</v>
      </c>
      <c r="K473" s="1">
        <f>IF(B473="", "", "447426")</f>
        <v>0</v>
      </c>
    </row>
    <row r="474" spans="1:11">
      <c r="A474">
        <f>IF(COUNTBLANK(B474:K474)&lt;&gt;COLUMNS(B474:K474),473,"")</f>
        <v>0</v>
      </c>
      <c r="C474" s="1">
        <f>IF(B474="", "", "animal secretion")</f>
        <v>0</v>
      </c>
      <c r="D474" s="1">
        <f>IF(B474="", "", "saliva")</f>
        <v>0</v>
      </c>
      <c r="E474" s="1">
        <f>IF(B474="", "", "human-oral")</f>
        <v>0</v>
      </c>
      <c r="F474" s="1">
        <f>IF(B474="", "", "UBERON:oral cavity")</f>
        <v>0</v>
      </c>
      <c r="G474" s="1">
        <f>IF(B474="", "", "UBERON:saliva")</f>
        <v>0</v>
      </c>
      <c r="H474" s="1">
        <f>IF(B474="", "", "UBERON:tongue")</f>
        <v>0</v>
      </c>
      <c r="I474" s="1">
        <f>IF(B474="", "", "tongue")</f>
        <v>0</v>
      </c>
      <c r="J474" s="1">
        <f>IF(B474="", "", "human oral metagenome")</f>
        <v>0</v>
      </c>
      <c r="K474" s="1">
        <f>IF(B474="", "", "447426")</f>
        <v>0</v>
      </c>
    </row>
    <row r="475" spans="1:11">
      <c r="A475">
        <f>IF(COUNTBLANK(B475:K475)&lt;&gt;COLUMNS(B475:K475),474,"")</f>
        <v>0</v>
      </c>
      <c r="C475" s="1">
        <f>IF(B475="", "", "animal secretion")</f>
        <v>0</v>
      </c>
      <c r="D475" s="1">
        <f>IF(B475="", "", "saliva")</f>
        <v>0</v>
      </c>
      <c r="E475" s="1">
        <f>IF(B475="", "", "human-oral")</f>
        <v>0</v>
      </c>
      <c r="F475" s="1">
        <f>IF(B475="", "", "UBERON:oral cavity")</f>
        <v>0</v>
      </c>
      <c r="G475" s="1">
        <f>IF(B475="", "", "UBERON:saliva")</f>
        <v>0</v>
      </c>
      <c r="H475" s="1">
        <f>IF(B475="", "", "UBERON:tongue")</f>
        <v>0</v>
      </c>
      <c r="I475" s="1">
        <f>IF(B475="", "", "tongue")</f>
        <v>0</v>
      </c>
      <c r="J475" s="1">
        <f>IF(B475="", "", "human oral metagenome")</f>
        <v>0</v>
      </c>
      <c r="K475" s="1">
        <f>IF(B475="", "", "447426")</f>
        <v>0</v>
      </c>
    </row>
    <row r="476" spans="1:11">
      <c r="A476">
        <f>IF(COUNTBLANK(B476:K476)&lt;&gt;COLUMNS(B476:K476),475,"")</f>
        <v>0</v>
      </c>
      <c r="C476" s="1">
        <f>IF(B476="", "", "animal secretion")</f>
        <v>0</v>
      </c>
      <c r="D476" s="1">
        <f>IF(B476="", "", "saliva")</f>
        <v>0</v>
      </c>
      <c r="E476" s="1">
        <f>IF(B476="", "", "human-oral")</f>
        <v>0</v>
      </c>
      <c r="F476" s="1">
        <f>IF(B476="", "", "UBERON:oral cavity")</f>
        <v>0</v>
      </c>
      <c r="G476" s="1">
        <f>IF(B476="", "", "UBERON:saliva")</f>
        <v>0</v>
      </c>
      <c r="H476" s="1">
        <f>IF(B476="", "", "UBERON:tongue")</f>
        <v>0</v>
      </c>
      <c r="I476" s="1">
        <f>IF(B476="", "", "tongue")</f>
        <v>0</v>
      </c>
      <c r="J476" s="1">
        <f>IF(B476="", "", "human oral metagenome")</f>
        <v>0</v>
      </c>
      <c r="K476" s="1">
        <f>IF(B476="", "", "447426")</f>
        <v>0</v>
      </c>
    </row>
    <row r="477" spans="1:11">
      <c r="A477">
        <f>IF(COUNTBLANK(B477:K477)&lt;&gt;COLUMNS(B477:K477),476,"")</f>
        <v>0</v>
      </c>
      <c r="C477" s="1">
        <f>IF(B477="", "", "animal secretion")</f>
        <v>0</v>
      </c>
      <c r="D477" s="1">
        <f>IF(B477="", "", "saliva")</f>
        <v>0</v>
      </c>
      <c r="E477" s="1">
        <f>IF(B477="", "", "human-oral")</f>
        <v>0</v>
      </c>
      <c r="F477" s="1">
        <f>IF(B477="", "", "UBERON:oral cavity")</f>
        <v>0</v>
      </c>
      <c r="G477" s="1">
        <f>IF(B477="", "", "UBERON:saliva")</f>
        <v>0</v>
      </c>
      <c r="H477" s="1">
        <f>IF(B477="", "", "UBERON:tongue")</f>
        <v>0</v>
      </c>
      <c r="I477" s="1">
        <f>IF(B477="", "", "tongue")</f>
        <v>0</v>
      </c>
      <c r="J477" s="1">
        <f>IF(B477="", "", "human oral metagenome")</f>
        <v>0</v>
      </c>
      <c r="K477" s="1">
        <f>IF(B477="", "", "447426")</f>
        <v>0</v>
      </c>
    </row>
    <row r="478" spans="1:11">
      <c r="A478">
        <f>IF(COUNTBLANK(B478:K478)&lt;&gt;COLUMNS(B478:K478),477,"")</f>
        <v>0</v>
      </c>
      <c r="C478" s="1">
        <f>IF(B478="", "", "animal secretion")</f>
        <v>0</v>
      </c>
      <c r="D478" s="1">
        <f>IF(B478="", "", "saliva")</f>
        <v>0</v>
      </c>
      <c r="E478" s="1">
        <f>IF(B478="", "", "human-oral")</f>
        <v>0</v>
      </c>
      <c r="F478" s="1">
        <f>IF(B478="", "", "UBERON:oral cavity")</f>
        <v>0</v>
      </c>
      <c r="G478" s="1">
        <f>IF(B478="", "", "UBERON:saliva")</f>
        <v>0</v>
      </c>
      <c r="H478" s="1">
        <f>IF(B478="", "", "UBERON:tongue")</f>
        <v>0</v>
      </c>
      <c r="I478" s="1">
        <f>IF(B478="", "", "tongue")</f>
        <v>0</v>
      </c>
      <c r="J478" s="1">
        <f>IF(B478="", "", "human oral metagenome")</f>
        <v>0</v>
      </c>
      <c r="K478" s="1">
        <f>IF(B478="", "", "447426")</f>
        <v>0</v>
      </c>
    </row>
    <row r="479" spans="1:11">
      <c r="A479">
        <f>IF(COUNTBLANK(B479:K479)&lt;&gt;COLUMNS(B479:K479),478,"")</f>
        <v>0</v>
      </c>
      <c r="C479" s="1">
        <f>IF(B479="", "", "animal secretion")</f>
        <v>0</v>
      </c>
      <c r="D479" s="1">
        <f>IF(B479="", "", "saliva")</f>
        <v>0</v>
      </c>
      <c r="E479" s="1">
        <f>IF(B479="", "", "human-oral")</f>
        <v>0</v>
      </c>
      <c r="F479" s="1">
        <f>IF(B479="", "", "UBERON:oral cavity")</f>
        <v>0</v>
      </c>
      <c r="G479" s="1">
        <f>IF(B479="", "", "UBERON:saliva")</f>
        <v>0</v>
      </c>
      <c r="H479" s="1">
        <f>IF(B479="", "", "UBERON:tongue")</f>
        <v>0</v>
      </c>
      <c r="I479" s="1">
        <f>IF(B479="", "", "tongue")</f>
        <v>0</v>
      </c>
      <c r="J479" s="1">
        <f>IF(B479="", "", "human oral metagenome")</f>
        <v>0</v>
      </c>
      <c r="K479" s="1">
        <f>IF(B479="", "", "447426")</f>
        <v>0</v>
      </c>
    </row>
    <row r="480" spans="1:11">
      <c r="A480">
        <f>IF(COUNTBLANK(B480:K480)&lt;&gt;COLUMNS(B480:K480),479,"")</f>
        <v>0</v>
      </c>
      <c r="C480" s="1">
        <f>IF(B480="", "", "animal secretion")</f>
        <v>0</v>
      </c>
      <c r="D480" s="1">
        <f>IF(B480="", "", "saliva")</f>
        <v>0</v>
      </c>
      <c r="E480" s="1">
        <f>IF(B480="", "", "human-oral")</f>
        <v>0</v>
      </c>
      <c r="F480" s="1">
        <f>IF(B480="", "", "UBERON:oral cavity")</f>
        <v>0</v>
      </c>
      <c r="G480" s="1">
        <f>IF(B480="", "", "UBERON:saliva")</f>
        <v>0</v>
      </c>
      <c r="H480" s="1">
        <f>IF(B480="", "", "UBERON:tongue")</f>
        <v>0</v>
      </c>
      <c r="I480" s="1">
        <f>IF(B480="", "", "tongue")</f>
        <v>0</v>
      </c>
      <c r="J480" s="1">
        <f>IF(B480="", "", "human oral metagenome")</f>
        <v>0</v>
      </c>
      <c r="K480" s="1">
        <f>IF(B480="", "", "447426")</f>
        <v>0</v>
      </c>
    </row>
    <row r="481" spans="1:11">
      <c r="A481">
        <f>IF(COUNTBLANK(B481:K481)&lt;&gt;COLUMNS(B481:K481),480,"")</f>
        <v>0</v>
      </c>
      <c r="C481" s="1">
        <f>IF(B481="", "", "animal secretion")</f>
        <v>0</v>
      </c>
      <c r="D481" s="1">
        <f>IF(B481="", "", "saliva")</f>
        <v>0</v>
      </c>
      <c r="E481" s="1">
        <f>IF(B481="", "", "human-oral")</f>
        <v>0</v>
      </c>
      <c r="F481" s="1">
        <f>IF(B481="", "", "UBERON:oral cavity")</f>
        <v>0</v>
      </c>
      <c r="G481" s="1">
        <f>IF(B481="", "", "UBERON:saliva")</f>
        <v>0</v>
      </c>
      <c r="H481" s="1">
        <f>IF(B481="", "", "UBERON:tongue")</f>
        <v>0</v>
      </c>
      <c r="I481" s="1">
        <f>IF(B481="", "", "tongue")</f>
        <v>0</v>
      </c>
      <c r="J481" s="1">
        <f>IF(B481="", "", "human oral metagenome")</f>
        <v>0</v>
      </c>
      <c r="K481" s="1">
        <f>IF(B481="", "", "447426")</f>
        <v>0</v>
      </c>
    </row>
    <row r="482" spans="1:11">
      <c r="A482">
        <f>IF(COUNTBLANK(B482:K482)&lt;&gt;COLUMNS(B482:K482),481,"")</f>
        <v>0</v>
      </c>
      <c r="C482" s="1">
        <f>IF(B482="", "", "animal secretion")</f>
        <v>0</v>
      </c>
      <c r="D482" s="1">
        <f>IF(B482="", "", "saliva")</f>
        <v>0</v>
      </c>
      <c r="E482" s="1">
        <f>IF(B482="", "", "human-oral")</f>
        <v>0</v>
      </c>
      <c r="F482" s="1">
        <f>IF(B482="", "", "UBERON:oral cavity")</f>
        <v>0</v>
      </c>
      <c r="G482" s="1">
        <f>IF(B482="", "", "UBERON:saliva")</f>
        <v>0</v>
      </c>
      <c r="H482" s="1">
        <f>IF(B482="", "", "UBERON:tongue")</f>
        <v>0</v>
      </c>
      <c r="I482" s="1">
        <f>IF(B482="", "", "tongue")</f>
        <v>0</v>
      </c>
      <c r="J482" s="1">
        <f>IF(B482="", "", "human oral metagenome")</f>
        <v>0</v>
      </c>
      <c r="K482" s="1">
        <f>IF(B482="", "", "447426")</f>
        <v>0</v>
      </c>
    </row>
    <row r="483" spans="1:11">
      <c r="A483">
        <f>IF(COUNTBLANK(B483:K483)&lt;&gt;COLUMNS(B483:K483),482,"")</f>
        <v>0</v>
      </c>
      <c r="C483" s="1">
        <f>IF(B483="", "", "animal secretion")</f>
        <v>0</v>
      </c>
      <c r="D483" s="1">
        <f>IF(B483="", "", "saliva")</f>
        <v>0</v>
      </c>
      <c r="E483" s="1">
        <f>IF(B483="", "", "human-oral")</f>
        <v>0</v>
      </c>
      <c r="F483" s="1">
        <f>IF(B483="", "", "UBERON:oral cavity")</f>
        <v>0</v>
      </c>
      <c r="G483" s="1">
        <f>IF(B483="", "", "UBERON:saliva")</f>
        <v>0</v>
      </c>
      <c r="H483" s="1">
        <f>IF(B483="", "", "UBERON:tongue")</f>
        <v>0</v>
      </c>
      <c r="I483" s="1">
        <f>IF(B483="", "", "tongue")</f>
        <v>0</v>
      </c>
      <c r="J483" s="1">
        <f>IF(B483="", "", "human oral metagenome")</f>
        <v>0</v>
      </c>
      <c r="K483" s="1">
        <f>IF(B483="", "", "447426")</f>
        <v>0</v>
      </c>
    </row>
    <row r="484" spans="1:11">
      <c r="A484">
        <f>IF(COUNTBLANK(B484:K484)&lt;&gt;COLUMNS(B484:K484),483,"")</f>
        <v>0</v>
      </c>
      <c r="C484" s="1">
        <f>IF(B484="", "", "animal secretion")</f>
        <v>0</v>
      </c>
      <c r="D484" s="1">
        <f>IF(B484="", "", "saliva")</f>
        <v>0</v>
      </c>
      <c r="E484" s="1">
        <f>IF(B484="", "", "human-oral")</f>
        <v>0</v>
      </c>
      <c r="F484" s="1">
        <f>IF(B484="", "", "UBERON:oral cavity")</f>
        <v>0</v>
      </c>
      <c r="G484" s="1">
        <f>IF(B484="", "", "UBERON:saliva")</f>
        <v>0</v>
      </c>
      <c r="H484" s="1">
        <f>IF(B484="", "", "UBERON:tongue")</f>
        <v>0</v>
      </c>
      <c r="I484" s="1">
        <f>IF(B484="", "", "tongue")</f>
        <v>0</v>
      </c>
      <c r="J484" s="1">
        <f>IF(B484="", "", "human oral metagenome")</f>
        <v>0</v>
      </c>
      <c r="K484" s="1">
        <f>IF(B484="", "", "447426")</f>
        <v>0</v>
      </c>
    </row>
    <row r="485" spans="1:11">
      <c r="A485">
        <f>IF(COUNTBLANK(B485:K485)&lt;&gt;COLUMNS(B485:K485),484,"")</f>
        <v>0</v>
      </c>
      <c r="C485" s="1">
        <f>IF(B485="", "", "animal secretion")</f>
        <v>0</v>
      </c>
      <c r="D485" s="1">
        <f>IF(B485="", "", "saliva")</f>
        <v>0</v>
      </c>
      <c r="E485" s="1">
        <f>IF(B485="", "", "human-oral")</f>
        <v>0</v>
      </c>
      <c r="F485" s="1">
        <f>IF(B485="", "", "UBERON:oral cavity")</f>
        <v>0</v>
      </c>
      <c r="G485" s="1">
        <f>IF(B485="", "", "UBERON:saliva")</f>
        <v>0</v>
      </c>
      <c r="H485" s="1">
        <f>IF(B485="", "", "UBERON:tongue")</f>
        <v>0</v>
      </c>
      <c r="I485" s="1">
        <f>IF(B485="", "", "tongue")</f>
        <v>0</v>
      </c>
      <c r="J485" s="1">
        <f>IF(B485="", "", "human oral metagenome")</f>
        <v>0</v>
      </c>
      <c r="K485" s="1">
        <f>IF(B485="", "", "447426")</f>
        <v>0</v>
      </c>
    </row>
    <row r="486" spans="1:11">
      <c r="A486">
        <f>IF(COUNTBLANK(B486:K486)&lt;&gt;COLUMNS(B486:K486),485,"")</f>
        <v>0</v>
      </c>
      <c r="C486" s="1">
        <f>IF(B486="", "", "animal secretion")</f>
        <v>0</v>
      </c>
      <c r="D486" s="1">
        <f>IF(B486="", "", "saliva")</f>
        <v>0</v>
      </c>
      <c r="E486" s="1">
        <f>IF(B486="", "", "human-oral")</f>
        <v>0</v>
      </c>
      <c r="F486" s="1">
        <f>IF(B486="", "", "UBERON:oral cavity")</f>
        <v>0</v>
      </c>
      <c r="G486" s="1">
        <f>IF(B486="", "", "UBERON:saliva")</f>
        <v>0</v>
      </c>
      <c r="H486" s="1">
        <f>IF(B486="", "", "UBERON:tongue")</f>
        <v>0</v>
      </c>
      <c r="I486" s="1">
        <f>IF(B486="", "", "tongue")</f>
        <v>0</v>
      </c>
      <c r="J486" s="1">
        <f>IF(B486="", "", "human oral metagenome")</f>
        <v>0</v>
      </c>
      <c r="K486" s="1">
        <f>IF(B486="", "", "447426")</f>
        <v>0</v>
      </c>
    </row>
    <row r="487" spans="1:11">
      <c r="A487">
        <f>IF(COUNTBLANK(B487:K487)&lt;&gt;COLUMNS(B487:K487),486,"")</f>
        <v>0</v>
      </c>
      <c r="C487" s="1">
        <f>IF(B487="", "", "animal secretion")</f>
        <v>0</v>
      </c>
      <c r="D487" s="1">
        <f>IF(B487="", "", "saliva")</f>
        <v>0</v>
      </c>
      <c r="E487" s="1">
        <f>IF(B487="", "", "human-oral")</f>
        <v>0</v>
      </c>
      <c r="F487" s="1">
        <f>IF(B487="", "", "UBERON:oral cavity")</f>
        <v>0</v>
      </c>
      <c r="G487" s="1">
        <f>IF(B487="", "", "UBERON:saliva")</f>
        <v>0</v>
      </c>
      <c r="H487" s="1">
        <f>IF(B487="", "", "UBERON:tongue")</f>
        <v>0</v>
      </c>
      <c r="I487" s="1">
        <f>IF(B487="", "", "tongue")</f>
        <v>0</v>
      </c>
      <c r="J487" s="1">
        <f>IF(B487="", "", "human oral metagenome")</f>
        <v>0</v>
      </c>
      <c r="K487" s="1">
        <f>IF(B487="", "", "447426")</f>
        <v>0</v>
      </c>
    </row>
    <row r="488" spans="1:11">
      <c r="A488">
        <f>IF(COUNTBLANK(B488:K488)&lt;&gt;COLUMNS(B488:K488),487,"")</f>
        <v>0</v>
      </c>
      <c r="C488" s="1">
        <f>IF(B488="", "", "animal secretion")</f>
        <v>0</v>
      </c>
      <c r="D488" s="1">
        <f>IF(B488="", "", "saliva")</f>
        <v>0</v>
      </c>
      <c r="E488" s="1">
        <f>IF(B488="", "", "human-oral")</f>
        <v>0</v>
      </c>
      <c r="F488" s="1">
        <f>IF(B488="", "", "UBERON:oral cavity")</f>
        <v>0</v>
      </c>
      <c r="G488" s="1">
        <f>IF(B488="", "", "UBERON:saliva")</f>
        <v>0</v>
      </c>
      <c r="H488" s="1">
        <f>IF(B488="", "", "UBERON:tongue")</f>
        <v>0</v>
      </c>
      <c r="I488" s="1">
        <f>IF(B488="", "", "tongue")</f>
        <v>0</v>
      </c>
      <c r="J488" s="1">
        <f>IF(B488="", "", "human oral metagenome")</f>
        <v>0</v>
      </c>
      <c r="K488" s="1">
        <f>IF(B488="", "", "447426")</f>
        <v>0</v>
      </c>
    </row>
    <row r="489" spans="1:11">
      <c r="A489">
        <f>IF(COUNTBLANK(B489:K489)&lt;&gt;COLUMNS(B489:K489),488,"")</f>
        <v>0</v>
      </c>
      <c r="C489" s="1">
        <f>IF(B489="", "", "animal secretion")</f>
        <v>0</v>
      </c>
      <c r="D489" s="1">
        <f>IF(B489="", "", "saliva")</f>
        <v>0</v>
      </c>
      <c r="E489" s="1">
        <f>IF(B489="", "", "human-oral")</f>
        <v>0</v>
      </c>
      <c r="F489" s="1">
        <f>IF(B489="", "", "UBERON:oral cavity")</f>
        <v>0</v>
      </c>
      <c r="G489" s="1">
        <f>IF(B489="", "", "UBERON:saliva")</f>
        <v>0</v>
      </c>
      <c r="H489" s="1">
        <f>IF(B489="", "", "UBERON:tongue")</f>
        <v>0</v>
      </c>
      <c r="I489" s="1">
        <f>IF(B489="", "", "tongue")</f>
        <v>0</v>
      </c>
      <c r="J489" s="1">
        <f>IF(B489="", "", "human oral metagenome")</f>
        <v>0</v>
      </c>
      <c r="K489" s="1">
        <f>IF(B489="", "", "447426")</f>
        <v>0</v>
      </c>
    </row>
    <row r="490" spans="1:11">
      <c r="A490">
        <f>IF(COUNTBLANK(B490:K490)&lt;&gt;COLUMNS(B490:K490),489,"")</f>
        <v>0</v>
      </c>
      <c r="C490" s="1">
        <f>IF(B490="", "", "animal secretion")</f>
        <v>0</v>
      </c>
      <c r="D490" s="1">
        <f>IF(B490="", "", "saliva")</f>
        <v>0</v>
      </c>
      <c r="E490" s="1">
        <f>IF(B490="", "", "human-oral")</f>
        <v>0</v>
      </c>
      <c r="F490" s="1">
        <f>IF(B490="", "", "UBERON:oral cavity")</f>
        <v>0</v>
      </c>
      <c r="G490" s="1">
        <f>IF(B490="", "", "UBERON:saliva")</f>
        <v>0</v>
      </c>
      <c r="H490" s="1">
        <f>IF(B490="", "", "UBERON:tongue")</f>
        <v>0</v>
      </c>
      <c r="I490" s="1">
        <f>IF(B490="", "", "tongue")</f>
        <v>0</v>
      </c>
      <c r="J490" s="1">
        <f>IF(B490="", "", "human oral metagenome")</f>
        <v>0</v>
      </c>
      <c r="K490" s="1">
        <f>IF(B490="", "", "447426")</f>
        <v>0</v>
      </c>
    </row>
    <row r="491" spans="1:11">
      <c r="A491">
        <f>IF(COUNTBLANK(B491:K491)&lt;&gt;COLUMNS(B491:K491),490,"")</f>
        <v>0</v>
      </c>
      <c r="C491" s="1">
        <f>IF(B491="", "", "animal secretion")</f>
        <v>0</v>
      </c>
      <c r="D491" s="1">
        <f>IF(B491="", "", "saliva")</f>
        <v>0</v>
      </c>
      <c r="E491" s="1">
        <f>IF(B491="", "", "human-oral")</f>
        <v>0</v>
      </c>
      <c r="F491" s="1">
        <f>IF(B491="", "", "UBERON:oral cavity")</f>
        <v>0</v>
      </c>
      <c r="G491" s="1">
        <f>IF(B491="", "", "UBERON:saliva")</f>
        <v>0</v>
      </c>
      <c r="H491" s="1">
        <f>IF(B491="", "", "UBERON:tongue")</f>
        <v>0</v>
      </c>
      <c r="I491" s="1">
        <f>IF(B491="", "", "tongue")</f>
        <v>0</v>
      </c>
      <c r="J491" s="1">
        <f>IF(B491="", "", "human oral metagenome")</f>
        <v>0</v>
      </c>
      <c r="K491" s="1">
        <f>IF(B491="", "", "447426")</f>
        <v>0</v>
      </c>
    </row>
    <row r="492" spans="1:11">
      <c r="A492">
        <f>IF(COUNTBLANK(B492:K492)&lt;&gt;COLUMNS(B492:K492),491,"")</f>
        <v>0</v>
      </c>
      <c r="C492" s="1">
        <f>IF(B492="", "", "animal secretion")</f>
        <v>0</v>
      </c>
      <c r="D492" s="1">
        <f>IF(B492="", "", "saliva")</f>
        <v>0</v>
      </c>
      <c r="E492" s="1">
        <f>IF(B492="", "", "human-oral")</f>
        <v>0</v>
      </c>
      <c r="F492" s="1">
        <f>IF(B492="", "", "UBERON:oral cavity")</f>
        <v>0</v>
      </c>
      <c r="G492" s="1">
        <f>IF(B492="", "", "UBERON:saliva")</f>
        <v>0</v>
      </c>
      <c r="H492" s="1">
        <f>IF(B492="", "", "UBERON:tongue")</f>
        <v>0</v>
      </c>
      <c r="I492" s="1">
        <f>IF(B492="", "", "tongue")</f>
        <v>0</v>
      </c>
      <c r="J492" s="1">
        <f>IF(B492="", "", "human oral metagenome")</f>
        <v>0</v>
      </c>
      <c r="K492" s="1">
        <f>IF(B492="", "", "447426")</f>
        <v>0</v>
      </c>
    </row>
    <row r="493" spans="1:11">
      <c r="A493">
        <f>IF(COUNTBLANK(B493:K493)&lt;&gt;COLUMNS(B493:K493),492,"")</f>
        <v>0</v>
      </c>
      <c r="C493" s="1">
        <f>IF(B493="", "", "animal secretion")</f>
        <v>0</v>
      </c>
      <c r="D493" s="1">
        <f>IF(B493="", "", "saliva")</f>
        <v>0</v>
      </c>
      <c r="E493" s="1">
        <f>IF(B493="", "", "human-oral")</f>
        <v>0</v>
      </c>
      <c r="F493" s="1">
        <f>IF(B493="", "", "UBERON:oral cavity")</f>
        <v>0</v>
      </c>
      <c r="G493" s="1">
        <f>IF(B493="", "", "UBERON:saliva")</f>
        <v>0</v>
      </c>
      <c r="H493" s="1">
        <f>IF(B493="", "", "UBERON:tongue")</f>
        <v>0</v>
      </c>
      <c r="I493" s="1">
        <f>IF(B493="", "", "tongue")</f>
        <v>0</v>
      </c>
      <c r="J493" s="1">
        <f>IF(B493="", "", "human oral metagenome")</f>
        <v>0</v>
      </c>
      <c r="K493" s="1">
        <f>IF(B493="", "", "447426")</f>
        <v>0</v>
      </c>
    </row>
    <row r="494" spans="1:11">
      <c r="A494">
        <f>IF(COUNTBLANK(B494:K494)&lt;&gt;COLUMNS(B494:K494),493,"")</f>
        <v>0</v>
      </c>
      <c r="C494" s="1">
        <f>IF(B494="", "", "animal secretion")</f>
        <v>0</v>
      </c>
      <c r="D494" s="1">
        <f>IF(B494="", "", "saliva")</f>
        <v>0</v>
      </c>
      <c r="E494" s="1">
        <f>IF(B494="", "", "human-oral")</f>
        <v>0</v>
      </c>
      <c r="F494" s="1">
        <f>IF(B494="", "", "UBERON:oral cavity")</f>
        <v>0</v>
      </c>
      <c r="G494" s="1">
        <f>IF(B494="", "", "UBERON:saliva")</f>
        <v>0</v>
      </c>
      <c r="H494" s="1">
        <f>IF(B494="", "", "UBERON:tongue")</f>
        <v>0</v>
      </c>
      <c r="I494" s="1">
        <f>IF(B494="", "", "tongue")</f>
        <v>0</v>
      </c>
      <c r="J494" s="1">
        <f>IF(B494="", "", "human oral metagenome")</f>
        <v>0</v>
      </c>
      <c r="K494" s="1">
        <f>IF(B494="", "", "447426")</f>
        <v>0</v>
      </c>
    </row>
    <row r="495" spans="1:11">
      <c r="A495">
        <f>IF(COUNTBLANK(B495:K495)&lt;&gt;COLUMNS(B495:K495),494,"")</f>
        <v>0</v>
      </c>
      <c r="C495" s="1">
        <f>IF(B495="", "", "animal secretion")</f>
        <v>0</v>
      </c>
      <c r="D495" s="1">
        <f>IF(B495="", "", "saliva")</f>
        <v>0</v>
      </c>
      <c r="E495" s="1">
        <f>IF(B495="", "", "human-oral")</f>
        <v>0</v>
      </c>
      <c r="F495" s="1">
        <f>IF(B495="", "", "UBERON:oral cavity")</f>
        <v>0</v>
      </c>
      <c r="G495" s="1">
        <f>IF(B495="", "", "UBERON:saliva")</f>
        <v>0</v>
      </c>
      <c r="H495" s="1">
        <f>IF(B495="", "", "UBERON:tongue")</f>
        <v>0</v>
      </c>
      <c r="I495" s="1">
        <f>IF(B495="", "", "tongue")</f>
        <v>0</v>
      </c>
      <c r="J495" s="1">
        <f>IF(B495="", "", "human oral metagenome")</f>
        <v>0</v>
      </c>
      <c r="K495" s="1">
        <f>IF(B495="", "", "447426")</f>
        <v>0</v>
      </c>
    </row>
    <row r="496" spans="1:11">
      <c r="A496">
        <f>IF(COUNTBLANK(B496:K496)&lt;&gt;COLUMNS(B496:K496),495,"")</f>
        <v>0</v>
      </c>
      <c r="C496" s="1">
        <f>IF(B496="", "", "animal secretion")</f>
        <v>0</v>
      </c>
      <c r="D496" s="1">
        <f>IF(B496="", "", "saliva")</f>
        <v>0</v>
      </c>
      <c r="E496" s="1">
        <f>IF(B496="", "", "human-oral")</f>
        <v>0</v>
      </c>
      <c r="F496" s="1">
        <f>IF(B496="", "", "UBERON:oral cavity")</f>
        <v>0</v>
      </c>
      <c r="G496" s="1">
        <f>IF(B496="", "", "UBERON:saliva")</f>
        <v>0</v>
      </c>
      <c r="H496" s="1">
        <f>IF(B496="", "", "UBERON:tongue")</f>
        <v>0</v>
      </c>
      <c r="I496" s="1">
        <f>IF(B496="", "", "tongue")</f>
        <v>0</v>
      </c>
      <c r="J496" s="1">
        <f>IF(B496="", "", "human oral metagenome")</f>
        <v>0</v>
      </c>
      <c r="K496" s="1">
        <f>IF(B496="", "", "447426")</f>
        <v>0</v>
      </c>
    </row>
    <row r="497" spans="1:11">
      <c r="A497">
        <f>IF(COUNTBLANK(B497:K497)&lt;&gt;COLUMNS(B497:K497),496,"")</f>
        <v>0</v>
      </c>
      <c r="C497" s="1">
        <f>IF(B497="", "", "animal secretion")</f>
        <v>0</v>
      </c>
      <c r="D497" s="1">
        <f>IF(B497="", "", "saliva")</f>
        <v>0</v>
      </c>
      <c r="E497" s="1">
        <f>IF(B497="", "", "human-oral")</f>
        <v>0</v>
      </c>
      <c r="F497" s="1">
        <f>IF(B497="", "", "UBERON:oral cavity")</f>
        <v>0</v>
      </c>
      <c r="G497" s="1">
        <f>IF(B497="", "", "UBERON:saliva")</f>
        <v>0</v>
      </c>
      <c r="H497" s="1">
        <f>IF(B497="", "", "UBERON:tongue")</f>
        <v>0</v>
      </c>
      <c r="I497" s="1">
        <f>IF(B497="", "", "tongue")</f>
        <v>0</v>
      </c>
      <c r="J497" s="1">
        <f>IF(B497="", "", "human oral metagenome")</f>
        <v>0</v>
      </c>
      <c r="K497" s="1">
        <f>IF(B497="", "", "447426")</f>
        <v>0</v>
      </c>
    </row>
    <row r="498" spans="1:11">
      <c r="A498">
        <f>IF(COUNTBLANK(B498:K498)&lt;&gt;COLUMNS(B498:K498),497,"")</f>
        <v>0</v>
      </c>
      <c r="C498" s="1">
        <f>IF(B498="", "", "animal secretion")</f>
        <v>0</v>
      </c>
      <c r="D498" s="1">
        <f>IF(B498="", "", "saliva")</f>
        <v>0</v>
      </c>
      <c r="E498" s="1">
        <f>IF(B498="", "", "human-oral")</f>
        <v>0</v>
      </c>
      <c r="F498" s="1">
        <f>IF(B498="", "", "UBERON:oral cavity")</f>
        <v>0</v>
      </c>
      <c r="G498" s="1">
        <f>IF(B498="", "", "UBERON:saliva")</f>
        <v>0</v>
      </c>
      <c r="H498" s="1">
        <f>IF(B498="", "", "UBERON:tongue")</f>
        <v>0</v>
      </c>
      <c r="I498" s="1">
        <f>IF(B498="", "", "tongue")</f>
        <v>0</v>
      </c>
      <c r="J498" s="1">
        <f>IF(B498="", "", "human oral metagenome")</f>
        <v>0</v>
      </c>
      <c r="K498" s="1">
        <f>IF(B498="", "", "447426")</f>
        <v>0</v>
      </c>
    </row>
    <row r="499" spans="1:11">
      <c r="A499">
        <f>IF(COUNTBLANK(B499:K499)&lt;&gt;COLUMNS(B499:K499),498,"")</f>
        <v>0</v>
      </c>
      <c r="C499" s="1">
        <f>IF(B499="", "", "animal secretion")</f>
        <v>0</v>
      </c>
      <c r="D499" s="1">
        <f>IF(B499="", "", "saliva")</f>
        <v>0</v>
      </c>
      <c r="E499" s="1">
        <f>IF(B499="", "", "human-oral")</f>
        <v>0</v>
      </c>
      <c r="F499" s="1">
        <f>IF(B499="", "", "UBERON:oral cavity")</f>
        <v>0</v>
      </c>
      <c r="G499" s="1">
        <f>IF(B499="", "", "UBERON:saliva")</f>
        <v>0</v>
      </c>
      <c r="H499" s="1">
        <f>IF(B499="", "", "UBERON:tongue")</f>
        <v>0</v>
      </c>
      <c r="I499" s="1">
        <f>IF(B499="", "", "tongue")</f>
        <v>0</v>
      </c>
      <c r="J499" s="1">
        <f>IF(B499="", "", "human oral metagenome")</f>
        <v>0</v>
      </c>
      <c r="K499" s="1">
        <f>IF(B499="", "", "447426")</f>
        <v>0</v>
      </c>
    </row>
    <row r="500" spans="1:11">
      <c r="A500">
        <f>IF(COUNTBLANK(B500:K500)&lt;&gt;COLUMNS(B500:K500),499,"")</f>
        <v>0</v>
      </c>
      <c r="C500" s="1">
        <f>IF(B500="", "", "animal secretion")</f>
        <v>0</v>
      </c>
      <c r="D500" s="1">
        <f>IF(B500="", "", "saliva")</f>
        <v>0</v>
      </c>
      <c r="E500" s="1">
        <f>IF(B500="", "", "human-oral")</f>
        <v>0</v>
      </c>
      <c r="F500" s="1">
        <f>IF(B500="", "", "UBERON:oral cavity")</f>
        <v>0</v>
      </c>
      <c r="G500" s="1">
        <f>IF(B500="", "", "UBERON:saliva")</f>
        <v>0</v>
      </c>
      <c r="H500" s="1">
        <f>IF(B500="", "", "UBERON:tongue")</f>
        <v>0</v>
      </c>
      <c r="I500" s="1">
        <f>IF(B500="", "", "tongue")</f>
        <v>0</v>
      </c>
      <c r="J500" s="1">
        <f>IF(B500="", "", "human oral metagenome")</f>
        <v>0</v>
      </c>
      <c r="K500" s="1">
        <f>IF(B500="", "", "447426")</f>
        <v>0</v>
      </c>
    </row>
    <row r="501" spans="1:11">
      <c r="A501">
        <f>IF(COUNTBLANK(B501:K501)&lt;&gt;COLUMNS(B501:K501),500,"")</f>
        <v>0</v>
      </c>
      <c r="C501" s="1">
        <f>IF(B501="", "", "animal secretion")</f>
        <v>0</v>
      </c>
      <c r="D501" s="1">
        <f>IF(B501="", "", "saliva")</f>
        <v>0</v>
      </c>
      <c r="E501" s="1">
        <f>IF(B501="", "", "human-oral")</f>
        <v>0</v>
      </c>
      <c r="F501" s="1">
        <f>IF(B501="", "", "UBERON:oral cavity")</f>
        <v>0</v>
      </c>
      <c r="G501" s="1">
        <f>IF(B501="", "", "UBERON:saliva")</f>
        <v>0</v>
      </c>
      <c r="H501" s="1">
        <f>IF(B501="", "", "UBERON:tongue")</f>
        <v>0</v>
      </c>
      <c r="I501" s="1">
        <f>IF(B501="", "", "tongue")</f>
        <v>0</v>
      </c>
      <c r="J501" s="1">
        <f>IF(B501="", "", "human oral metagenome")</f>
        <v>0</v>
      </c>
      <c r="K501" s="1">
        <f>IF(B501="", "", "447426")</f>
        <v>0</v>
      </c>
    </row>
    <row r="502" spans="1:11">
      <c r="A502">
        <f>IF(COUNTBLANK(B502:K502)&lt;&gt;COLUMNS(B502:K502),501,"")</f>
        <v>0</v>
      </c>
      <c r="C502" s="1">
        <f>IF(B502="", "", "animal secretion")</f>
        <v>0</v>
      </c>
      <c r="D502" s="1">
        <f>IF(B502="", "", "saliva")</f>
        <v>0</v>
      </c>
      <c r="E502" s="1">
        <f>IF(B502="", "", "human-oral")</f>
        <v>0</v>
      </c>
      <c r="F502" s="1">
        <f>IF(B502="", "", "UBERON:oral cavity")</f>
        <v>0</v>
      </c>
      <c r="G502" s="1">
        <f>IF(B502="", "", "UBERON:saliva")</f>
        <v>0</v>
      </c>
      <c r="H502" s="1">
        <f>IF(B502="", "", "UBERON:tongue")</f>
        <v>0</v>
      </c>
      <c r="I502" s="1">
        <f>IF(B502="", "", "tongue")</f>
        <v>0</v>
      </c>
      <c r="J502" s="1">
        <f>IF(B502="", "", "human oral metagenome")</f>
        <v>0</v>
      </c>
      <c r="K502" s="1">
        <f>IF(B502="", "", "447426")</f>
        <v>0</v>
      </c>
    </row>
    <row r="503" spans="1:11">
      <c r="A503">
        <f>IF(COUNTBLANK(B503:K503)&lt;&gt;COLUMNS(B503:K503),502,"")</f>
        <v>0</v>
      </c>
      <c r="C503" s="1">
        <f>IF(B503="", "", "animal secretion")</f>
        <v>0</v>
      </c>
      <c r="D503" s="1">
        <f>IF(B503="", "", "saliva")</f>
        <v>0</v>
      </c>
      <c r="E503" s="1">
        <f>IF(B503="", "", "human-oral")</f>
        <v>0</v>
      </c>
      <c r="F503" s="1">
        <f>IF(B503="", "", "UBERON:oral cavity")</f>
        <v>0</v>
      </c>
      <c r="G503" s="1">
        <f>IF(B503="", "", "UBERON:saliva")</f>
        <v>0</v>
      </c>
      <c r="H503" s="1">
        <f>IF(B503="", "", "UBERON:tongue")</f>
        <v>0</v>
      </c>
      <c r="I503" s="1">
        <f>IF(B503="", "", "tongue")</f>
        <v>0</v>
      </c>
      <c r="J503" s="1">
        <f>IF(B503="", "", "human oral metagenome")</f>
        <v>0</v>
      </c>
      <c r="K503" s="1">
        <f>IF(B503="", "", "447426")</f>
        <v>0</v>
      </c>
    </row>
    <row r="504" spans="1:11">
      <c r="A504">
        <f>IF(COUNTBLANK(B504:K504)&lt;&gt;COLUMNS(B504:K504),503,"")</f>
        <v>0</v>
      </c>
      <c r="C504" s="1">
        <f>IF(B504="", "", "animal secretion")</f>
        <v>0</v>
      </c>
      <c r="D504" s="1">
        <f>IF(B504="", "", "saliva")</f>
        <v>0</v>
      </c>
      <c r="E504" s="1">
        <f>IF(B504="", "", "human-oral")</f>
        <v>0</v>
      </c>
      <c r="F504" s="1">
        <f>IF(B504="", "", "UBERON:oral cavity")</f>
        <v>0</v>
      </c>
      <c r="G504" s="1">
        <f>IF(B504="", "", "UBERON:saliva")</f>
        <v>0</v>
      </c>
      <c r="H504" s="1">
        <f>IF(B504="", "", "UBERON:tongue")</f>
        <v>0</v>
      </c>
      <c r="I504" s="1">
        <f>IF(B504="", "", "tongue")</f>
        <v>0</v>
      </c>
      <c r="J504" s="1">
        <f>IF(B504="", "", "human oral metagenome")</f>
        <v>0</v>
      </c>
      <c r="K504" s="1">
        <f>IF(B504="", "", "447426")</f>
        <v>0</v>
      </c>
    </row>
    <row r="505" spans="1:11">
      <c r="A505">
        <f>IF(COUNTBLANK(B505:K505)&lt;&gt;COLUMNS(B505:K505),504,"")</f>
        <v>0</v>
      </c>
      <c r="C505" s="1">
        <f>IF(B505="", "", "animal secretion")</f>
        <v>0</v>
      </c>
      <c r="D505" s="1">
        <f>IF(B505="", "", "saliva")</f>
        <v>0</v>
      </c>
      <c r="E505" s="1">
        <f>IF(B505="", "", "human-oral")</f>
        <v>0</v>
      </c>
      <c r="F505" s="1">
        <f>IF(B505="", "", "UBERON:oral cavity")</f>
        <v>0</v>
      </c>
      <c r="G505" s="1">
        <f>IF(B505="", "", "UBERON:saliva")</f>
        <v>0</v>
      </c>
      <c r="H505" s="1">
        <f>IF(B505="", "", "UBERON:tongue")</f>
        <v>0</v>
      </c>
      <c r="I505" s="1">
        <f>IF(B505="", "", "tongue")</f>
        <v>0</v>
      </c>
      <c r="J505" s="1">
        <f>IF(B505="", "", "human oral metagenome")</f>
        <v>0</v>
      </c>
      <c r="K505" s="1">
        <f>IF(B505="", "", "447426")</f>
        <v>0</v>
      </c>
    </row>
    <row r="506" spans="1:11">
      <c r="A506">
        <f>IF(COUNTBLANK(B506:K506)&lt;&gt;COLUMNS(B506:K506),505,"")</f>
        <v>0</v>
      </c>
      <c r="C506" s="1">
        <f>IF(B506="", "", "animal secretion")</f>
        <v>0</v>
      </c>
      <c r="D506" s="1">
        <f>IF(B506="", "", "saliva")</f>
        <v>0</v>
      </c>
      <c r="E506" s="1">
        <f>IF(B506="", "", "human-oral")</f>
        <v>0</v>
      </c>
      <c r="F506" s="1">
        <f>IF(B506="", "", "UBERON:oral cavity")</f>
        <v>0</v>
      </c>
      <c r="G506" s="1">
        <f>IF(B506="", "", "UBERON:saliva")</f>
        <v>0</v>
      </c>
      <c r="H506" s="1">
        <f>IF(B506="", "", "UBERON:tongue")</f>
        <v>0</v>
      </c>
      <c r="I506" s="1">
        <f>IF(B506="", "", "tongue")</f>
        <v>0</v>
      </c>
      <c r="J506" s="1">
        <f>IF(B506="", "", "human oral metagenome")</f>
        <v>0</v>
      </c>
      <c r="K506" s="1">
        <f>IF(B506="", "", "447426")</f>
        <v>0</v>
      </c>
    </row>
    <row r="507" spans="1:11">
      <c r="A507">
        <f>IF(COUNTBLANK(B507:K507)&lt;&gt;COLUMNS(B507:K507),506,"")</f>
        <v>0</v>
      </c>
      <c r="C507" s="1">
        <f>IF(B507="", "", "animal secretion")</f>
        <v>0</v>
      </c>
      <c r="D507" s="1">
        <f>IF(B507="", "", "saliva")</f>
        <v>0</v>
      </c>
      <c r="E507" s="1">
        <f>IF(B507="", "", "human-oral")</f>
        <v>0</v>
      </c>
      <c r="F507" s="1">
        <f>IF(B507="", "", "UBERON:oral cavity")</f>
        <v>0</v>
      </c>
      <c r="G507" s="1">
        <f>IF(B507="", "", "UBERON:saliva")</f>
        <v>0</v>
      </c>
      <c r="H507" s="1">
        <f>IF(B507="", "", "UBERON:tongue")</f>
        <v>0</v>
      </c>
      <c r="I507" s="1">
        <f>IF(B507="", "", "tongue")</f>
        <v>0</v>
      </c>
      <c r="J507" s="1">
        <f>IF(B507="", "", "human oral metagenome")</f>
        <v>0</v>
      </c>
      <c r="K507" s="1">
        <f>IF(B507="", "", "447426")</f>
        <v>0</v>
      </c>
    </row>
    <row r="508" spans="1:11">
      <c r="A508">
        <f>IF(COUNTBLANK(B508:K508)&lt;&gt;COLUMNS(B508:K508),507,"")</f>
        <v>0</v>
      </c>
      <c r="C508" s="1">
        <f>IF(B508="", "", "animal secretion")</f>
        <v>0</v>
      </c>
      <c r="D508" s="1">
        <f>IF(B508="", "", "saliva")</f>
        <v>0</v>
      </c>
      <c r="E508" s="1">
        <f>IF(B508="", "", "human-oral")</f>
        <v>0</v>
      </c>
      <c r="F508" s="1">
        <f>IF(B508="", "", "UBERON:oral cavity")</f>
        <v>0</v>
      </c>
      <c r="G508" s="1">
        <f>IF(B508="", "", "UBERON:saliva")</f>
        <v>0</v>
      </c>
      <c r="H508" s="1">
        <f>IF(B508="", "", "UBERON:tongue")</f>
        <v>0</v>
      </c>
      <c r="I508" s="1">
        <f>IF(B508="", "", "tongue")</f>
        <v>0</v>
      </c>
      <c r="J508" s="1">
        <f>IF(B508="", "", "human oral metagenome")</f>
        <v>0</v>
      </c>
      <c r="K508" s="1">
        <f>IF(B508="", "", "447426")</f>
        <v>0</v>
      </c>
    </row>
    <row r="509" spans="1:11">
      <c r="A509">
        <f>IF(COUNTBLANK(B509:K509)&lt;&gt;COLUMNS(B509:K509),508,"")</f>
        <v>0</v>
      </c>
      <c r="C509" s="1">
        <f>IF(B509="", "", "animal secretion")</f>
        <v>0</v>
      </c>
      <c r="D509" s="1">
        <f>IF(B509="", "", "saliva")</f>
        <v>0</v>
      </c>
      <c r="E509" s="1">
        <f>IF(B509="", "", "human-oral")</f>
        <v>0</v>
      </c>
      <c r="F509" s="1">
        <f>IF(B509="", "", "UBERON:oral cavity")</f>
        <v>0</v>
      </c>
      <c r="G509" s="1">
        <f>IF(B509="", "", "UBERON:saliva")</f>
        <v>0</v>
      </c>
      <c r="H509" s="1">
        <f>IF(B509="", "", "UBERON:tongue")</f>
        <v>0</v>
      </c>
      <c r="I509" s="1">
        <f>IF(B509="", "", "tongue")</f>
        <v>0</v>
      </c>
      <c r="J509" s="1">
        <f>IF(B509="", "", "human oral metagenome")</f>
        <v>0</v>
      </c>
      <c r="K509" s="1">
        <f>IF(B509="", "", "447426")</f>
        <v>0</v>
      </c>
    </row>
    <row r="510" spans="1:11">
      <c r="A510">
        <f>IF(COUNTBLANK(B510:K510)&lt;&gt;COLUMNS(B510:K510),509,"")</f>
        <v>0</v>
      </c>
      <c r="C510" s="1">
        <f>IF(B510="", "", "animal secretion")</f>
        <v>0</v>
      </c>
      <c r="D510" s="1">
        <f>IF(B510="", "", "saliva")</f>
        <v>0</v>
      </c>
      <c r="E510" s="1">
        <f>IF(B510="", "", "human-oral")</f>
        <v>0</v>
      </c>
      <c r="F510" s="1">
        <f>IF(B510="", "", "UBERON:oral cavity")</f>
        <v>0</v>
      </c>
      <c r="G510" s="1">
        <f>IF(B510="", "", "UBERON:saliva")</f>
        <v>0</v>
      </c>
      <c r="H510" s="1">
        <f>IF(B510="", "", "UBERON:tongue")</f>
        <v>0</v>
      </c>
      <c r="I510" s="1">
        <f>IF(B510="", "", "tongue")</f>
        <v>0</v>
      </c>
      <c r="J510" s="1">
        <f>IF(B510="", "", "human oral metagenome")</f>
        <v>0</v>
      </c>
      <c r="K510" s="1">
        <f>IF(B510="", "", "447426")</f>
        <v>0</v>
      </c>
    </row>
    <row r="511" spans="1:11">
      <c r="A511">
        <f>IF(COUNTBLANK(B511:K511)&lt;&gt;COLUMNS(B511:K511),510,"")</f>
        <v>0</v>
      </c>
      <c r="C511" s="1">
        <f>IF(B511="", "", "animal secretion")</f>
        <v>0</v>
      </c>
      <c r="D511" s="1">
        <f>IF(B511="", "", "saliva")</f>
        <v>0</v>
      </c>
      <c r="E511" s="1">
        <f>IF(B511="", "", "human-oral")</f>
        <v>0</v>
      </c>
      <c r="F511" s="1">
        <f>IF(B511="", "", "UBERON:oral cavity")</f>
        <v>0</v>
      </c>
      <c r="G511" s="1">
        <f>IF(B511="", "", "UBERON:saliva")</f>
        <v>0</v>
      </c>
      <c r="H511" s="1">
        <f>IF(B511="", "", "UBERON:tongue")</f>
        <v>0</v>
      </c>
      <c r="I511" s="1">
        <f>IF(B511="", "", "tongue")</f>
        <v>0</v>
      </c>
      <c r="J511" s="1">
        <f>IF(B511="", "", "human oral metagenome")</f>
        <v>0</v>
      </c>
      <c r="K511" s="1">
        <f>IF(B511="", "", "447426")</f>
        <v>0</v>
      </c>
    </row>
    <row r="512" spans="1:11">
      <c r="A512">
        <f>IF(COUNTBLANK(B512:K512)&lt;&gt;COLUMNS(B512:K512),511,"")</f>
        <v>0</v>
      </c>
      <c r="C512" s="1">
        <f>IF(B512="", "", "animal secretion")</f>
        <v>0</v>
      </c>
      <c r="D512" s="1">
        <f>IF(B512="", "", "saliva")</f>
        <v>0</v>
      </c>
      <c r="E512" s="1">
        <f>IF(B512="", "", "human-oral")</f>
        <v>0</v>
      </c>
      <c r="F512" s="1">
        <f>IF(B512="", "", "UBERON:oral cavity")</f>
        <v>0</v>
      </c>
      <c r="G512" s="1">
        <f>IF(B512="", "", "UBERON:saliva")</f>
        <v>0</v>
      </c>
      <c r="H512" s="1">
        <f>IF(B512="", "", "UBERON:tongue")</f>
        <v>0</v>
      </c>
      <c r="I512" s="1">
        <f>IF(B512="", "", "tongue")</f>
        <v>0</v>
      </c>
      <c r="J512" s="1">
        <f>IF(B512="", "", "human oral metagenome")</f>
        <v>0</v>
      </c>
      <c r="K512" s="1">
        <f>IF(B512="", "", "447426")</f>
        <v>0</v>
      </c>
    </row>
    <row r="513" spans="1:11">
      <c r="A513">
        <f>IF(COUNTBLANK(B513:K513)&lt;&gt;COLUMNS(B513:K513),512,"")</f>
        <v>0</v>
      </c>
      <c r="C513" s="1">
        <f>IF(B513="", "", "animal secretion")</f>
        <v>0</v>
      </c>
      <c r="D513" s="1">
        <f>IF(B513="", "", "saliva")</f>
        <v>0</v>
      </c>
      <c r="E513" s="1">
        <f>IF(B513="", "", "human-oral")</f>
        <v>0</v>
      </c>
      <c r="F513" s="1">
        <f>IF(B513="", "", "UBERON:oral cavity")</f>
        <v>0</v>
      </c>
      <c r="G513" s="1">
        <f>IF(B513="", "", "UBERON:saliva")</f>
        <v>0</v>
      </c>
      <c r="H513" s="1">
        <f>IF(B513="", "", "UBERON:tongue")</f>
        <v>0</v>
      </c>
      <c r="I513" s="1">
        <f>IF(B513="", "", "tongue")</f>
        <v>0</v>
      </c>
      <c r="J513" s="1">
        <f>IF(B513="", "", "human oral metagenome")</f>
        <v>0</v>
      </c>
      <c r="K513" s="1">
        <f>IF(B513="", "", "447426")</f>
        <v>0</v>
      </c>
    </row>
    <row r="514" spans="1:11">
      <c r="A514">
        <f>IF(COUNTBLANK(B514:K514)&lt;&gt;COLUMNS(B514:K514),513,"")</f>
        <v>0</v>
      </c>
      <c r="C514" s="1">
        <f>IF(B514="", "", "animal secretion")</f>
        <v>0</v>
      </c>
      <c r="D514" s="1">
        <f>IF(B514="", "", "saliva")</f>
        <v>0</v>
      </c>
      <c r="E514" s="1">
        <f>IF(B514="", "", "human-oral")</f>
        <v>0</v>
      </c>
      <c r="F514" s="1">
        <f>IF(B514="", "", "UBERON:oral cavity")</f>
        <v>0</v>
      </c>
      <c r="G514" s="1">
        <f>IF(B514="", "", "UBERON:saliva")</f>
        <v>0</v>
      </c>
      <c r="H514" s="1">
        <f>IF(B514="", "", "UBERON:tongue")</f>
        <v>0</v>
      </c>
      <c r="I514" s="1">
        <f>IF(B514="", "", "tongue")</f>
        <v>0</v>
      </c>
      <c r="J514" s="1">
        <f>IF(B514="", "", "human oral metagenome")</f>
        <v>0</v>
      </c>
      <c r="K514" s="1">
        <f>IF(B514="", "", "447426")</f>
        <v>0</v>
      </c>
    </row>
    <row r="515" spans="1:11">
      <c r="A515">
        <f>IF(COUNTBLANK(B515:K515)&lt;&gt;COLUMNS(B515:K515),514,"")</f>
        <v>0</v>
      </c>
      <c r="C515" s="1">
        <f>IF(B515="", "", "animal secretion")</f>
        <v>0</v>
      </c>
      <c r="D515" s="1">
        <f>IF(B515="", "", "saliva")</f>
        <v>0</v>
      </c>
      <c r="E515" s="1">
        <f>IF(B515="", "", "human-oral")</f>
        <v>0</v>
      </c>
      <c r="F515" s="1">
        <f>IF(B515="", "", "UBERON:oral cavity")</f>
        <v>0</v>
      </c>
      <c r="G515" s="1">
        <f>IF(B515="", "", "UBERON:saliva")</f>
        <v>0</v>
      </c>
      <c r="H515" s="1">
        <f>IF(B515="", "", "UBERON:tongue")</f>
        <v>0</v>
      </c>
      <c r="I515" s="1">
        <f>IF(B515="", "", "tongue")</f>
        <v>0</v>
      </c>
      <c r="J515" s="1">
        <f>IF(B515="", "", "human oral metagenome")</f>
        <v>0</v>
      </c>
      <c r="K515" s="1">
        <f>IF(B515="", "", "447426")</f>
        <v>0</v>
      </c>
    </row>
    <row r="516" spans="1:11">
      <c r="A516">
        <f>IF(COUNTBLANK(B516:K516)&lt;&gt;COLUMNS(B516:K516),515,"")</f>
        <v>0</v>
      </c>
      <c r="C516" s="1">
        <f>IF(B516="", "", "animal secretion")</f>
        <v>0</v>
      </c>
      <c r="D516" s="1">
        <f>IF(B516="", "", "saliva")</f>
        <v>0</v>
      </c>
      <c r="E516" s="1">
        <f>IF(B516="", "", "human-oral")</f>
        <v>0</v>
      </c>
      <c r="F516" s="1">
        <f>IF(B516="", "", "UBERON:oral cavity")</f>
        <v>0</v>
      </c>
      <c r="G516" s="1">
        <f>IF(B516="", "", "UBERON:saliva")</f>
        <v>0</v>
      </c>
      <c r="H516" s="1">
        <f>IF(B516="", "", "UBERON:tongue")</f>
        <v>0</v>
      </c>
      <c r="I516" s="1">
        <f>IF(B516="", "", "tongue")</f>
        <v>0</v>
      </c>
      <c r="J516" s="1">
        <f>IF(B516="", "", "human oral metagenome")</f>
        <v>0</v>
      </c>
      <c r="K516" s="1">
        <f>IF(B516="", "", "447426")</f>
        <v>0</v>
      </c>
    </row>
    <row r="517" spans="1:11">
      <c r="A517">
        <f>IF(COUNTBLANK(B517:K517)&lt;&gt;COLUMNS(B517:K517),516,"")</f>
        <v>0</v>
      </c>
      <c r="C517" s="1">
        <f>IF(B517="", "", "animal secretion")</f>
        <v>0</v>
      </c>
      <c r="D517" s="1">
        <f>IF(B517="", "", "saliva")</f>
        <v>0</v>
      </c>
      <c r="E517" s="1">
        <f>IF(B517="", "", "human-oral")</f>
        <v>0</v>
      </c>
      <c r="F517" s="1">
        <f>IF(B517="", "", "UBERON:oral cavity")</f>
        <v>0</v>
      </c>
      <c r="G517" s="1">
        <f>IF(B517="", "", "UBERON:saliva")</f>
        <v>0</v>
      </c>
      <c r="H517" s="1">
        <f>IF(B517="", "", "UBERON:tongue")</f>
        <v>0</v>
      </c>
      <c r="I517" s="1">
        <f>IF(B517="", "", "tongue")</f>
        <v>0</v>
      </c>
      <c r="J517" s="1">
        <f>IF(B517="", "", "human oral metagenome")</f>
        <v>0</v>
      </c>
      <c r="K517" s="1">
        <f>IF(B517="", "", "447426")</f>
        <v>0</v>
      </c>
    </row>
    <row r="518" spans="1:11">
      <c r="A518">
        <f>IF(COUNTBLANK(B518:K518)&lt;&gt;COLUMNS(B518:K518),517,"")</f>
        <v>0</v>
      </c>
      <c r="C518" s="1">
        <f>IF(B518="", "", "animal secretion")</f>
        <v>0</v>
      </c>
      <c r="D518" s="1">
        <f>IF(B518="", "", "saliva")</f>
        <v>0</v>
      </c>
      <c r="E518" s="1">
        <f>IF(B518="", "", "human-oral")</f>
        <v>0</v>
      </c>
      <c r="F518" s="1">
        <f>IF(B518="", "", "UBERON:oral cavity")</f>
        <v>0</v>
      </c>
      <c r="G518" s="1">
        <f>IF(B518="", "", "UBERON:saliva")</f>
        <v>0</v>
      </c>
      <c r="H518" s="1">
        <f>IF(B518="", "", "UBERON:tongue")</f>
        <v>0</v>
      </c>
      <c r="I518" s="1">
        <f>IF(B518="", "", "tongue")</f>
        <v>0</v>
      </c>
      <c r="J518" s="1">
        <f>IF(B518="", "", "human oral metagenome")</f>
        <v>0</v>
      </c>
      <c r="K518" s="1">
        <f>IF(B518="", "", "447426")</f>
        <v>0</v>
      </c>
    </row>
    <row r="519" spans="1:11">
      <c r="A519">
        <f>IF(COUNTBLANK(B519:K519)&lt;&gt;COLUMNS(B519:K519),518,"")</f>
        <v>0</v>
      </c>
      <c r="C519" s="1">
        <f>IF(B519="", "", "animal secretion")</f>
        <v>0</v>
      </c>
      <c r="D519" s="1">
        <f>IF(B519="", "", "saliva")</f>
        <v>0</v>
      </c>
      <c r="E519" s="1">
        <f>IF(B519="", "", "human-oral")</f>
        <v>0</v>
      </c>
      <c r="F519" s="1">
        <f>IF(B519="", "", "UBERON:oral cavity")</f>
        <v>0</v>
      </c>
      <c r="G519" s="1">
        <f>IF(B519="", "", "UBERON:saliva")</f>
        <v>0</v>
      </c>
      <c r="H519" s="1">
        <f>IF(B519="", "", "UBERON:tongue")</f>
        <v>0</v>
      </c>
      <c r="I519" s="1">
        <f>IF(B519="", "", "tongue")</f>
        <v>0</v>
      </c>
      <c r="J519" s="1">
        <f>IF(B519="", "", "human oral metagenome")</f>
        <v>0</v>
      </c>
      <c r="K519" s="1">
        <f>IF(B519="", "", "447426")</f>
        <v>0</v>
      </c>
    </row>
    <row r="520" spans="1:11">
      <c r="A520">
        <f>IF(COUNTBLANK(B520:K520)&lt;&gt;COLUMNS(B520:K520),519,"")</f>
        <v>0</v>
      </c>
      <c r="C520" s="1">
        <f>IF(B520="", "", "animal secretion")</f>
        <v>0</v>
      </c>
      <c r="D520" s="1">
        <f>IF(B520="", "", "saliva")</f>
        <v>0</v>
      </c>
      <c r="E520" s="1">
        <f>IF(B520="", "", "human-oral")</f>
        <v>0</v>
      </c>
      <c r="F520" s="1">
        <f>IF(B520="", "", "UBERON:oral cavity")</f>
        <v>0</v>
      </c>
      <c r="G520" s="1">
        <f>IF(B520="", "", "UBERON:saliva")</f>
        <v>0</v>
      </c>
      <c r="H520" s="1">
        <f>IF(B520="", "", "UBERON:tongue")</f>
        <v>0</v>
      </c>
      <c r="I520" s="1">
        <f>IF(B520="", "", "tongue")</f>
        <v>0</v>
      </c>
      <c r="J520" s="1">
        <f>IF(B520="", "", "human oral metagenome")</f>
        <v>0</v>
      </c>
      <c r="K520" s="1">
        <f>IF(B520="", "", "447426")</f>
        <v>0</v>
      </c>
    </row>
    <row r="521" spans="1:11">
      <c r="A521">
        <f>IF(COUNTBLANK(B521:K521)&lt;&gt;COLUMNS(B521:K521),520,"")</f>
        <v>0</v>
      </c>
      <c r="C521" s="1">
        <f>IF(B521="", "", "animal secretion")</f>
        <v>0</v>
      </c>
      <c r="D521" s="1">
        <f>IF(B521="", "", "saliva")</f>
        <v>0</v>
      </c>
      <c r="E521" s="1">
        <f>IF(B521="", "", "human-oral")</f>
        <v>0</v>
      </c>
      <c r="F521" s="1">
        <f>IF(B521="", "", "UBERON:oral cavity")</f>
        <v>0</v>
      </c>
      <c r="G521" s="1">
        <f>IF(B521="", "", "UBERON:saliva")</f>
        <v>0</v>
      </c>
      <c r="H521" s="1">
        <f>IF(B521="", "", "UBERON:tongue")</f>
        <v>0</v>
      </c>
      <c r="I521" s="1">
        <f>IF(B521="", "", "tongue")</f>
        <v>0</v>
      </c>
      <c r="J521" s="1">
        <f>IF(B521="", "", "human oral metagenome")</f>
        <v>0</v>
      </c>
      <c r="K521" s="1">
        <f>IF(B521="", "", "447426")</f>
        <v>0</v>
      </c>
    </row>
    <row r="522" spans="1:11">
      <c r="A522">
        <f>IF(COUNTBLANK(B522:K522)&lt;&gt;COLUMNS(B522:K522),521,"")</f>
        <v>0</v>
      </c>
      <c r="C522" s="1">
        <f>IF(B522="", "", "animal secretion")</f>
        <v>0</v>
      </c>
      <c r="D522" s="1">
        <f>IF(B522="", "", "saliva")</f>
        <v>0</v>
      </c>
      <c r="E522" s="1">
        <f>IF(B522="", "", "human-oral")</f>
        <v>0</v>
      </c>
      <c r="F522" s="1">
        <f>IF(B522="", "", "UBERON:oral cavity")</f>
        <v>0</v>
      </c>
      <c r="G522" s="1">
        <f>IF(B522="", "", "UBERON:saliva")</f>
        <v>0</v>
      </c>
      <c r="H522" s="1">
        <f>IF(B522="", "", "UBERON:tongue")</f>
        <v>0</v>
      </c>
      <c r="I522" s="1">
        <f>IF(B522="", "", "tongue")</f>
        <v>0</v>
      </c>
      <c r="J522" s="1">
        <f>IF(B522="", "", "human oral metagenome")</f>
        <v>0</v>
      </c>
      <c r="K522" s="1">
        <f>IF(B522="", "", "447426")</f>
        <v>0</v>
      </c>
    </row>
    <row r="523" spans="1:11">
      <c r="A523">
        <f>IF(COUNTBLANK(B523:K523)&lt;&gt;COLUMNS(B523:K523),522,"")</f>
        <v>0</v>
      </c>
      <c r="C523" s="1">
        <f>IF(B523="", "", "animal secretion")</f>
        <v>0</v>
      </c>
      <c r="D523" s="1">
        <f>IF(B523="", "", "saliva")</f>
        <v>0</v>
      </c>
      <c r="E523" s="1">
        <f>IF(B523="", "", "human-oral")</f>
        <v>0</v>
      </c>
      <c r="F523" s="1">
        <f>IF(B523="", "", "UBERON:oral cavity")</f>
        <v>0</v>
      </c>
      <c r="G523" s="1">
        <f>IF(B523="", "", "UBERON:saliva")</f>
        <v>0</v>
      </c>
      <c r="H523" s="1">
        <f>IF(B523="", "", "UBERON:tongue")</f>
        <v>0</v>
      </c>
      <c r="I523" s="1">
        <f>IF(B523="", "", "tongue")</f>
        <v>0</v>
      </c>
      <c r="J523" s="1">
        <f>IF(B523="", "", "human oral metagenome")</f>
        <v>0</v>
      </c>
      <c r="K523" s="1">
        <f>IF(B523="", "", "447426")</f>
        <v>0</v>
      </c>
    </row>
    <row r="524" spans="1:11">
      <c r="A524">
        <f>IF(COUNTBLANK(B524:K524)&lt;&gt;COLUMNS(B524:K524),523,"")</f>
        <v>0</v>
      </c>
      <c r="C524" s="1">
        <f>IF(B524="", "", "animal secretion")</f>
        <v>0</v>
      </c>
      <c r="D524" s="1">
        <f>IF(B524="", "", "saliva")</f>
        <v>0</v>
      </c>
      <c r="E524" s="1">
        <f>IF(B524="", "", "human-oral")</f>
        <v>0</v>
      </c>
      <c r="F524" s="1">
        <f>IF(B524="", "", "UBERON:oral cavity")</f>
        <v>0</v>
      </c>
      <c r="G524" s="1">
        <f>IF(B524="", "", "UBERON:saliva")</f>
        <v>0</v>
      </c>
      <c r="H524" s="1">
        <f>IF(B524="", "", "UBERON:tongue")</f>
        <v>0</v>
      </c>
      <c r="I524" s="1">
        <f>IF(B524="", "", "tongue")</f>
        <v>0</v>
      </c>
      <c r="J524" s="1">
        <f>IF(B524="", "", "human oral metagenome")</f>
        <v>0</v>
      </c>
      <c r="K524" s="1">
        <f>IF(B524="", "", "447426")</f>
        <v>0</v>
      </c>
    </row>
    <row r="525" spans="1:11">
      <c r="A525">
        <f>IF(COUNTBLANK(B525:K525)&lt;&gt;COLUMNS(B525:K525),524,"")</f>
        <v>0</v>
      </c>
      <c r="C525" s="1">
        <f>IF(B525="", "", "animal secretion")</f>
        <v>0</v>
      </c>
      <c r="D525" s="1">
        <f>IF(B525="", "", "saliva")</f>
        <v>0</v>
      </c>
      <c r="E525" s="1">
        <f>IF(B525="", "", "human-oral")</f>
        <v>0</v>
      </c>
      <c r="F525" s="1">
        <f>IF(B525="", "", "UBERON:oral cavity")</f>
        <v>0</v>
      </c>
      <c r="G525" s="1">
        <f>IF(B525="", "", "UBERON:saliva")</f>
        <v>0</v>
      </c>
      <c r="H525" s="1">
        <f>IF(B525="", "", "UBERON:tongue")</f>
        <v>0</v>
      </c>
      <c r="I525" s="1">
        <f>IF(B525="", "", "tongue")</f>
        <v>0</v>
      </c>
      <c r="J525" s="1">
        <f>IF(B525="", "", "human oral metagenome")</f>
        <v>0</v>
      </c>
      <c r="K525" s="1">
        <f>IF(B525="", "", "447426")</f>
        <v>0</v>
      </c>
    </row>
    <row r="526" spans="1:11">
      <c r="A526">
        <f>IF(COUNTBLANK(B526:K526)&lt;&gt;COLUMNS(B526:K526),525,"")</f>
        <v>0</v>
      </c>
      <c r="C526" s="1">
        <f>IF(B526="", "", "animal secretion")</f>
        <v>0</v>
      </c>
      <c r="D526" s="1">
        <f>IF(B526="", "", "saliva")</f>
        <v>0</v>
      </c>
      <c r="E526" s="1">
        <f>IF(B526="", "", "human-oral")</f>
        <v>0</v>
      </c>
      <c r="F526" s="1">
        <f>IF(B526="", "", "UBERON:oral cavity")</f>
        <v>0</v>
      </c>
      <c r="G526" s="1">
        <f>IF(B526="", "", "UBERON:saliva")</f>
        <v>0</v>
      </c>
      <c r="H526" s="1">
        <f>IF(B526="", "", "UBERON:tongue")</f>
        <v>0</v>
      </c>
      <c r="I526" s="1">
        <f>IF(B526="", "", "tongue")</f>
        <v>0</v>
      </c>
      <c r="J526" s="1">
        <f>IF(B526="", "", "human oral metagenome")</f>
        <v>0</v>
      </c>
      <c r="K526" s="1">
        <f>IF(B526="", "", "447426")</f>
        <v>0</v>
      </c>
    </row>
    <row r="527" spans="1:11">
      <c r="A527">
        <f>IF(COUNTBLANK(B527:K527)&lt;&gt;COLUMNS(B527:K527),526,"")</f>
        <v>0</v>
      </c>
      <c r="C527" s="1">
        <f>IF(B527="", "", "animal secretion")</f>
        <v>0</v>
      </c>
      <c r="D527" s="1">
        <f>IF(B527="", "", "saliva")</f>
        <v>0</v>
      </c>
      <c r="E527" s="1">
        <f>IF(B527="", "", "human-oral")</f>
        <v>0</v>
      </c>
      <c r="F527" s="1">
        <f>IF(B527="", "", "UBERON:oral cavity")</f>
        <v>0</v>
      </c>
      <c r="G527" s="1">
        <f>IF(B527="", "", "UBERON:saliva")</f>
        <v>0</v>
      </c>
      <c r="H527" s="1">
        <f>IF(B527="", "", "UBERON:tongue")</f>
        <v>0</v>
      </c>
      <c r="I527" s="1">
        <f>IF(B527="", "", "tongue")</f>
        <v>0</v>
      </c>
      <c r="J527" s="1">
        <f>IF(B527="", "", "human oral metagenome")</f>
        <v>0</v>
      </c>
      <c r="K527" s="1">
        <f>IF(B527="", "", "447426")</f>
        <v>0</v>
      </c>
    </row>
    <row r="528" spans="1:11">
      <c r="A528">
        <f>IF(COUNTBLANK(B528:K528)&lt;&gt;COLUMNS(B528:K528),527,"")</f>
        <v>0</v>
      </c>
      <c r="C528" s="1">
        <f>IF(B528="", "", "animal secretion")</f>
        <v>0</v>
      </c>
      <c r="D528" s="1">
        <f>IF(B528="", "", "saliva")</f>
        <v>0</v>
      </c>
      <c r="E528" s="1">
        <f>IF(B528="", "", "human-oral")</f>
        <v>0</v>
      </c>
      <c r="F528" s="1">
        <f>IF(B528="", "", "UBERON:oral cavity")</f>
        <v>0</v>
      </c>
      <c r="G528" s="1">
        <f>IF(B528="", "", "UBERON:saliva")</f>
        <v>0</v>
      </c>
      <c r="H528" s="1">
        <f>IF(B528="", "", "UBERON:tongue")</f>
        <v>0</v>
      </c>
      <c r="I528" s="1">
        <f>IF(B528="", "", "tongue")</f>
        <v>0</v>
      </c>
      <c r="J528" s="1">
        <f>IF(B528="", "", "human oral metagenome")</f>
        <v>0</v>
      </c>
      <c r="K528" s="1">
        <f>IF(B528="", "", "447426")</f>
        <v>0</v>
      </c>
    </row>
    <row r="529" spans="1:11">
      <c r="A529">
        <f>IF(COUNTBLANK(B529:K529)&lt;&gt;COLUMNS(B529:K529),528,"")</f>
        <v>0</v>
      </c>
      <c r="C529" s="1">
        <f>IF(B529="", "", "animal secretion")</f>
        <v>0</v>
      </c>
      <c r="D529" s="1">
        <f>IF(B529="", "", "saliva")</f>
        <v>0</v>
      </c>
      <c r="E529" s="1">
        <f>IF(B529="", "", "human-oral")</f>
        <v>0</v>
      </c>
      <c r="F529" s="1">
        <f>IF(B529="", "", "UBERON:oral cavity")</f>
        <v>0</v>
      </c>
      <c r="G529" s="1">
        <f>IF(B529="", "", "UBERON:saliva")</f>
        <v>0</v>
      </c>
      <c r="H529" s="1">
        <f>IF(B529="", "", "UBERON:tongue")</f>
        <v>0</v>
      </c>
      <c r="I529" s="1">
        <f>IF(B529="", "", "tongue")</f>
        <v>0</v>
      </c>
      <c r="J529" s="1">
        <f>IF(B529="", "", "human oral metagenome")</f>
        <v>0</v>
      </c>
      <c r="K529" s="1">
        <f>IF(B529="", "", "447426")</f>
        <v>0</v>
      </c>
    </row>
    <row r="530" spans="1:11">
      <c r="A530">
        <f>IF(COUNTBLANK(B530:K530)&lt;&gt;COLUMNS(B530:K530),529,"")</f>
        <v>0</v>
      </c>
      <c r="C530" s="1">
        <f>IF(B530="", "", "animal secretion")</f>
        <v>0</v>
      </c>
      <c r="D530" s="1">
        <f>IF(B530="", "", "saliva")</f>
        <v>0</v>
      </c>
      <c r="E530" s="1">
        <f>IF(B530="", "", "human-oral")</f>
        <v>0</v>
      </c>
      <c r="F530" s="1">
        <f>IF(B530="", "", "UBERON:oral cavity")</f>
        <v>0</v>
      </c>
      <c r="G530" s="1">
        <f>IF(B530="", "", "UBERON:saliva")</f>
        <v>0</v>
      </c>
      <c r="H530" s="1">
        <f>IF(B530="", "", "UBERON:tongue")</f>
        <v>0</v>
      </c>
      <c r="I530" s="1">
        <f>IF(B530="", "", "tongue")</f>
        <v>0</v>
      </c>
      <c r="J530" s="1">
        <f>IF(B530="", "", "human oral metagenome")</f>
        <v>0</v>
      </c>
      <c r="K530" s="1">
        <f>IF(B530="", "", "447426")</f>
        <v>0</v>
      </c>
    </row>
    <row r="531" spans="1:11">
      <c r="A531">
        <f>IF(COUNTBLANK(B531:K531)&lt;&gt;COLUMNS(B531:K531),530,"")</f>
        <v>0</v>
      </c>
      <c r="C531" s="1">
        <f>IF(B531="", "", "animal secretion")</f>
        <v>0</v>
      </c>
      <c r="D531" s="1">
        <f>IF(B531="", "", "saliva")</f>
        <v>0</v>
      </c>
      <c r="E531" s="1">
        <f>IF(B531="", "", "human-oral")</f>
        <v>0</v>
      </c>
      <c r="F531" s="1">
        <f>IF(B531="", "", "UBERON:oral cavity")</f>
        <v>0</v>
      </c>
      <c r="G531" s="1">
        <f>IF(B531="", "", "UBERON:saliva")</f>
        <v>0</v>
      </c>
      <c r="H531" s="1">
        <f>IF(B531="", "", "UBERON:tongue")</f>
        <v>0</v>
      </c>
      <c r="I531" s="1">
        <f>IF(B531="", "", "tongue")</f>
        <v>0</v>
      </c>
      <c r="J531" s="1">
        <f>IF(B531="", "", "human oral metagenome")</f>
        <v>0</v>
      </c>
      <c r="K531" s="1">
        <f>IF(B531="", "", "447426")</f>
        <v>0</v>
      </c>
    </row>
    <row r="532" spans="1:11">
      <c r="A532">
        <f>IF(COUNTBLANK(B532:K532)&lt;&gt;COLUMNS(B532:K532),531,"")</f>
        <v>0</v>
      </c>
      <c r="C532" s="1">
        <f>IF(B532="", "", "animal secretion")</f>
        <v>0</v>
      </c>
      <c r="D532" s="1">
        <f>IF(B532="", "", "saliva")</f>
        <v>0</v>
      </c>
      <c r="E532" s="1">
        <f>IF(B532="", "", "human-oral")</f>
        <v>0</v>
      </c>
      <c r="F532" s="1">
        <f>IF(B532="", "", "UBERON:oral cavity")</f>
        <v>0</v>
      </c>
      <c r="G532" s="1">
        <f>IF(B532="", "", "UBERON:saliva")</f>
        <v>0</v>
      </c>
      <c r="H532" s="1">
        <f>IF(B532="", "", "UBERON:tongue")</f>
        <v>0</v>
      </c>
      <c r="I532" s="1">
        <f>IF(B532="", "", "tongue")</f>
        <v>0</v>
      </c>
      <c r="J532" s="1">
        <f>IF(B532="", "", "human oral metagenome")</f>
        <v>0</v>
      </c>
      <c r="K532" s="1">
        <f>IF(B532="", "", "447426")</f>
        <v>0</v>
      </c>
    </row>
    <row r="533" spans="1:11">
      <c r="A533">
        <f>IF(COUNTBLANK(B533:K533)&lt;&gt;COLUMNS(B533:K533),532,"")</f>
        <v>0</v>
      </c>
      <c r="C533" s="1">
        <f>IF(B533="", "", "animal secretion")</f>
        <v>0</v>
      </c>
      <c r="D533" s="1">
        <f>IF(B533="", "", "saliva")</f>
        <v>0</v>
      </c>
      <c r="E533" s="1">
        <f>IF(B533="", "", "human-oral")</f>
        <v>0</v>
      </c>
      <c r="F533" s="1">
        <f>IF(B533="", "", "UBERON:oral cavity")</f>
        <v>0</v>
      </c>
      <c r="G533" s="1">
        <f>IF(B533="", "", "UBERON:saliva")</f>
        <v>0</v>
      </c>
      <c r="H533" s="1">
        <f>IF(B533="", "", "UBERON:tongue")</f>
        <v>0</v>
      </c>
      <c r="I533" s="1">
        <f>IF(B533="", "", "tongue")</f>
        <v>0</v>
      </c>
      <c r="J533" s="1">
        <f>IF(B533="", "", "human oral metagenome")</f>
        <v>0</v>
      </c>
      <c r="K533" s="1">
        <f>IF(B533="", "", "447426")</f>
        <v>0</v>
      </c>
    </row>
    <row r="534" spans="1:11">
      <c r="A534">
        <f>IF(COUNTBLANK(B534:K534)&lt;&gt;COLUMNS(B534:K534),533,"")</f>
        <v>0</v>
      </c>
      <c r="C534" s="1">
        <f>IF(B534="", "", "animal secretion")</f>
        <v>0</v>
      </c>
      <c r="D534" s="1">
        <f>IF(B534="", "", "saliva")</f>
        <v>0</v>
      </c>
      <c r="E534" s="1">
        <f>IF(B534="", "", "human-oral")</f>
        <v>0</v>
      </c>
      <c r="F534" s="1">
        <f>IF(B534="", "", "UBERON:oral cavity")</f>
        <v>0</v>
      </c>
      <c r="G534" s="1">
        <f>IF(B534="", "", "UBERON:saliva")</f>
        <v>0</v>
      </c>
      <c r="H534" s="1">
        <f>IF(B534="", "", "UBERON:tongue")</f>
        <v>0</v>
      </c>
      <c r="I534" s="1">
        <f>IF(B534="", "", "tongue")</f>
        <v>0</v>
      </c>
      <c r="J534" s="1">
        <f>IF(B534="", "", "human oral metagenome")</f>
        <v>0</v>
      </c>
      <c r="K534" s="1">
        <f>IF(B534="", "", "447426")</f>
        <v>0</v>
      </c>
    </row>
    <row r="535" spans="1:11">
      <c r="A535">
        <f>IF(COUNTBLANK(B535:K535)&lt;&gt;COLUMNS(B535:K535),534,"")</f>
        <v>0</v>
      </c>
      <c r="C535" s="1">
        <f>IF(B535="", "", "animal secretion")</f>
        <v>0</v>
      </c>
      <c r="D535" s="1">
        <f>IF(B535="", "", "saliva")</f>
        <v>0</v>
      </c>
      <c r="E535" s="1">
        <f>IF(B535="", "", "human-oral")</f>
        <v>0</v>
      </c>
      <c r="F535" s="1">
        <f>IF(B535="", "", "UBERON:oral cavity")</f>
        <v>0</v>
      </c>
      <c r="G535" s="1">
        <f>IF(B535="", "", "UBERON:saliva")</f>
        <v>0</v>
      </c>
      <c r="H535" s="1">
        <f>IF(B535="", "", "UBERON:tongue")</f>
        <v>0</v>
      </c>
      <c r="I535" s="1">
        <f>IF(B535="", "", "tongue")</f>
        <v>0</v>
      </c>
      <c r="J535" s="1">
        <f>IF(B535="", "", "human oral metagenome")</f>
        <v>0</v>
      </c>
      <c r="K535" s="1">
        <f>IF(B535="", "", "447426")</f>
        <v>0</v>
      </c>
    </row>
    <row r="536" spans="1:11">
      <c r="A536">
        <f>IF(COUNTBLANK(B536:K536)&lt;&gt;COLUMNS(B536:K536),535,"")</f>
        <v>0</v>
      </c>
      <c r="C536" s="1">
        <f>IF(B536="", "", "animal secretion")</f>
        <v>0</v>
      </c>
      <c r="D536" s="1">
        <f>IF(B536="", "", "saliva")</f>
        <v>0</v>
      </c>
      <c r="E536" s="1">
        <f>IF(B536="", "", "human-oral")</f>
        <v>0</v>
      </c>
      <c r="F536" s="1">
        <f>IF(B536="", "", "UBERON:oral cavity")</f>
        <v>0</v>
      </c>
      <c r="G536" s="1">
        <f>IF(B536="", "", "UBERON:saliva")</f>
        <v>0</v>
      </c>
      <c r="H536" s="1">
        <f>IF(B536="", "", "UBERON:tongue")</f>
        <v>0</v>
      </c>
      <c r="I536" s="1">
        <f>IF(B536="", "", "tongue")</f>
        <v>0</v>
      </c>
      <c r="J536" s="1">
        <f>IF(B536="", "", "human oral metagenome")</f>
        <v>0</v>
      </c>
      <c r="K536" s="1">
        <f>IF(B536="", "", "447426")</f>
        <v>0</v>
      </c>
    </row>
    <row r="537" spans="1:11">
      <c r="A537">
        <f>IF(COUNTBLANK(B537:K537)&lt;&gt;COLUMNS(B537:K537),536,"")</f>
        <v>0</v>
      </c>
      <c r="C537" s="1">
        <f>IF(B537="", "", "animal secretion")</f>
        <v>0</v>
      </c>
      <c r="D537" s="1">
        <f>IF(B537="", "", "saliva")</f>
        <v>0</v>
      </c>
      <c r="E537" s="1">
        <f>IF(B537="", "", "human-oral")</f>
        <v>0</v>
      </c>
      <c r="F537" s="1">
        <f>IF(B537="", "", "UBERON:oral cavity")</f>
        <v>0</v>
      </c>
      <c r="G537" s="1">
        <f>IF(B537="", "", "UBERON:saliva")</f>
        <v>0</v>
      </c>
      <c r="H537" s="1">
        <f>IF(B537="", "", "UBERON:tongue")</f>
        <v>0</v>
      </c>
      <c r="I537" s="1">
        <f>IF(B537="", "", "tongue")</f>
        <v>0</v>
      </c>
      <c r="J537" s="1">
        <f>IF(B537="", "", "human oral metagenome")</f>
        <v>0</v>
      </c>
      <c r="K537" s="1">
        <f>IF(B537="", "", "447426")</f>
        <v>0</v>
      </c>
    </row>
    <row r="538" spans="1:11">
      <c r="A538">
        <f>IF(COUNTBLANK(B538:K538)&lt;&gt;COLUMNS(B538:K538),537,"")</f>
        <v>0</v>
      </c>
      <c r="C538" s="1">
        <f>IF(B538="", "", "animal secretion")</f>
        <v>0</v>
      </c>
      <c r="D538" s="1">
        <f>IF(B538="", "", "saliva")</f>
        <v>0</v>
      </c>
      <c r="E538" s="1">
        <f>IF(B538="", "", "human-oral")</f>
        <v>0</v>
      </c>
      <c r="F538" s="1">
        <f>IF(B538="", "", "UBERON:oral cavity")</f>
        <v>0</v>
      </c>
      <c r="G538" s="1">
        <f>IF(B538="", "", "UBERON:saliva")</f>
        <v>0</v>
      </c>
      <c r="H538" s="1">
        <f>IF(B538="", "", "UBERON:tongue")</f>
        <v>0</v>
      </c>
      <c r="I538" s="1">
        <f>IF(B538="", "", "tongue")</f>
        <v>0</v>
      </c>
      <c r="J538" s="1">
        <f>IF(B538="", "", "human oral metagenome")</f>
        <v>0</v>
      </c>
      <c r="K538" s="1">
        <f>IF(B538="", "", "447426")</f>
        <v>0</v>
      </c>
    </row>
    <row r="539" spans="1:11">
      <c r="A539">
        <f>IF(COUNTBLANK(B539:K539)&lt;&gt;COLUMNS(B539:K539),538,"")</f>
        <v>0</v>
      </c>
      <c r="C539" s="1">
        <f>IF(B539="", "", "animal secretion")</f>
        <v>0</v>
      </c>
      <c r="D539" s="1">
        <f>IF(B539="", "", "saliva")</f>
        <v>0</v>
      </c>
      <c r="E539" s="1">
        <f>IF(B539="", "", "human-oral")</f>
        <v>0</v>
      </c>
      <c r="F539" s="1">
        <f>IF(B539="", "", "UBERON:oral cavity")</f>
        <v>0</v>
      </c>
      <c r="G539" s="1">
        <f>IF(B539="", "", "UBERON:saliva")</f>
        <v>0</v>
      </c>
      <c r="H539" s="1">
        <f>IF(B539="", "", "UBERON:tongue")</f>
        <v>0</v>
      </c>
      <c r="I539" s="1">
        <f>IF(B539="", "", "tongue")</f>
        <v>0</v>
      </c>
      <c r="J539" s="1">
        <f>IF(B539="", "", "human oral metagenome")</f>
        <v>0</v>
      </c>
      <c r="K539" s="1">
        <f>IF(B539="", "", "447426")</f>
        <v>0</v>
      </c>
    </row>
    <row r="540" spans="1:11">
      <c r="A540">
        <f>IF(COUNTBLANK(B540:K540)&lt;&gt;COLUMNS(B540:K540),539,"")</f>
        <v>0</v>
      </c>
      <c r="C540" s="1">
        <f>IF(B540="", "", "animal secretion")</f>
        <v>0</v>
      </c>
      <c r="D540" s="1">
        <f>IF(B540="", "", "saliva")</f>
        <v>0</v>
      </c>
      <c r="E540" s="1">
        <f>IF(B540="", "", "human-oral")</f>
        <v>0</v>
      </c>
      <c r="F540" s="1">
        <f>IF(B540="", "", "UBERON:oral cavity")</f>
        <v>0</v>
      </c>
      <c r="G540" s="1">
        <f>IF(B540="", "", "UBERON:saliva")</f>
        <v>0</v>
      </c>
      <c r="H540" s="1">
        <f>IF(B540="", "", "UBERON:tongue")</f>
        <v>0</v>
      </c>
      <c r="I540" s="1">
        <f>IF(B540="", "", "tongue")</f>
        <v>0</v>
      </c>
      <c r="J540" s="1">
        <f>IF(B540="", "", "human oral metagenome")</f>
        <v>0</v>
      </c>
      <c r="K540" s="1">
        <f>IF(B540="", "", "447426")</f>
        <v>0</v>
      </c>
    </row>
    <row r="541" spans="1:11">
      <c r="A541">
        <f>IF(COUNTBLANK(B541:K541)&lt;&gt;COLUMNS(B541:K541),540,"")</f>
        <v>0</v>
      </c>
      <c r="C541" s="1">
        <f>IF(B541="", "", "animal secretion")</f>
        <v>0</v>
      </c>
      <c r="D541" s="1">
        <f>IF(B541="", "", "saliva")</f>
        <v>0</v>
      </c>
      <c r="E541" s="1">
        <f>IF(B541="", "", "human-oral")</f>
        <v>0</v>
      </c>
      <c r="F541" s="1">
        <f>IF(B541="", "", "UBERON:oral cavity")</f>
        <v>0</v>
      </c>
      <c r="G541" s="1">
        <f>IF(B541="", "", "UBERON:saliva")</f>
        <v>0</v>
      </c>
      <c r="H541" s="1">
        <f>IF(B541="", "", "UBERON:tongue")</f>
        <v>0</v>
      </c>
      <c r="I541" s="1">
        <f>IF(B541="", "", "tongue")</f>
        <v>0</v>
      </c>
      <c r="J541" s="1">
        <f>IF(B541="", "", "human oral metagenome")</f>
        <v>0</v>
      </c>
      <c r="K541" s="1">
        <f>IF(B541="", "", "447426")</f>
        <v>0</v>
      </c>
    </row>
    <row r="542" spans="1:11">
      <c r="A542">
        <f>IF(COUNTBLANK(B542:K542)&lt;&gt;COLUMNS(B542:K542),541,"")</f>
        <v>0</v>
      </c>
      <c r="C542" s="1">
        <f>IF(B542="", "", "animal secretion")</f>
        <v>0</v>
      </c>
      <c r="D542" s="1">
        <f>IF(B542="", "", "saliva")</f>
        <v>0</v>
      </c>
      <c r="E542" s="1">
        <f>IF(B542="", "", "human-oral")</f>
        <v>0</v>
      </c>
      <c r="F542" s="1">
        <f>IF(B542="", "", "UBERON:oral cavity")</f>
        <v>0</v>
      </c>
      <c r="G542" s="1">
        <f>IF(B542="", "", "UBERON:saliva")</f>
        <v>0</v>
      </c>
      <c r="H542" s="1">
        <f>IF(B542="", "", "UBERON:tongue")</f>
        <v>0</v>
      </c>
      <c r="I542" s="1">
        <f>IF(B542="", "", "tongue")</f>
        <v>0</v>
      </c>
      <c r="J542" s="1">
        <f>IF(B542="", "", "human oral metagenome")</f>
        <v>0</v>
      </c>
      <c r="K542" s="1">
        <f>IF(B542="", "", "447426")</f>
        <v>0</v>
      </c>
    </row>
    <row r="543" spans="1:11">
      <c r="A543">
        <f>IF(COUNTBLANK(B543:K543)&lt;&gt;COLUMNS(B543:K543),542,"")</f>
        <v>0</v>
      </c>
      <c r="C543" s="1">
        <f>IF(B543="", "", "animal secretion")</f>
        <v>0</v>
      </c>
      <c r="D543" s="1">
        <f>IF(B543="", "", "saliva")</f>
        <v>0</v>
      </c>
      <c r="E543" s="1">
        <f>IF(B543="", "", "human-oral")</f>
        <v>0</v>
      </c>
      <c r="F543" s="1">
        <f>IF(B543="", "", "UBERON:oral cavity")</f>
        <v>0</v>
      </c>
      <c r="G543" s="1">
        <f>IF(B543="", "", "UBERON:saliva")</f>
        <v>0</v>
      </c>
      <c r="H543" s="1">
        <f>IF(B543="", "", "UBERON:tongue")</f>
        <v>0</v>
      </c>
      <c r="I543" s="1">
        <f>IF(B543="", "", "tongue")</f>
        <v>0</v>
      </c>
      <c r="J543" s="1">
        <f>IF(B543="", "", "human oral metagenome")</f>
        <v>0</v>
      </c>
      <c r="K543" s="1">
        <f>IF(B543="", "", "447426")</f>
        <v>0</v>
      </c>
    </row>
    <row r="544" spans="1:11">
      <c r="A544">
        <f>IF(COUNTBLANK(B544:K544)&lt;&gt;COLUMNS(B544:K544),543,"")</f>
        <v>0</v>
      </c>
      <c r="C544" s="1">
        <f>IF(B544="", "", "animal secretion")</f>
        <v>0</v>
      </c>
      <c r="D544" s="1">
        <f>IF(B544="", "", "saliva")</f>
        <v>0</v>
      </c>
      <c r="E544" s="1">
        <f>IF(B544="", "", "human-oral")</f>
        <v>0</v>
      </c>
      <c r="F544" s="1">
        <f>IF(B544="", "", "UBERON:oral cavity")</f>
        <v>0</v>
      </c>
      <c r="G544" s="1">
        <f>IF(B544="", "", "UBERON:saliva")</f>
        <v>0</v>
      </c>
      <c r="H544" s="1">
        <f>IF(B544="", "", "UBERON:tongue")</f>
        <v>0</v>
      </c>
      <c r="I544" s="1">
        <f>IF(B544="", "", "tongue")</f>
        <v>0</v>
      </c>
      <c r="J544" s="1">
        <f>IF(B544="", "", "human oral metagenome")</f>
        <v>0</v>
      </c>
      <c r="K544" s="1">
        <f>IF(B544="", "", "447426")</f>
        <v>0</v>
      </c>
    </row>
    <row r="545" spans="1:11">
      <c r="A545">
        <f>IF(COUNTBLANK(B545:K545)&lt;&gt;COLUMNS(B545:K545),544,"")</f>
        <v>0</v>
      </c>
      <c r="C545" s="1">
        <f>IF(B545="", "", "animal secretion")</f>
        <v>0</v>
      </c>
      <c r="D545" s="1">
        <f>IF(B545="", "", "saliva")</f>
        <v>0</v>
      </c>
      <c r="E545" s="1">
        <f>IF(B545="", "", "human-oral")</f>
        <v>0</v>
      </c>
      <c r="F545" s="1">
        <f>IF(B545="", "", "UBERON:oral cavity")</f>
        <v>0</v>
      </c>
      <c r="G545" s="1">
        <f>IF(B545="", "", "UBERON:saliva")</f>
        <v>0</v>
      </c>
      <c r="H545" s="1">
        <f>IF(B545="", "", "UBERON:tongue")</f>
        <v>0</v>
      </c>
      <c r="I545" s="1">
        <f>IF(B545="", "", "tongue")</f>
        <v>0</v>
      </c>
      <c r="J545" s="1">
        <f>IF(B545="", "", "human oral metagenome")</f>
        <v>0</v>
      </c>
      <c r="K545" s="1">
        <f>IF(B545="", "", "447426")</f>
        <v>0</v>
      </c>
    </row>
    <row r="546" spans="1:11">
      <c r="A546">
        <f>IF(COUNTBLANK(B546:K546)&lt;&gt;COLUMNS(B546:K546),545,"")</f>
        <v>0</v>
      </c>
      <c r="C546" s="1">
        <f>IF(B546="", "", "animal secretion")</f>
        <v>0</v>
      </c>
      <c r="D546" s="1">
        <f>IF(B546="", "", "saliva")</f>
        <v>0</v>
      </c>
      <c r="E546" s="1">
        <f>IF(B546="", "", "human-oral")</f>
        <v>0</v>
      </c>
      <c r="F546" s="1">
        <f>IF(B546="", "", "UBERON:oral cavity")</f>
        <v>0</v>
      </c>
      <c r="G546" s="1">
        <f>IF(B546="", "", "UBERON:saliva")</f>
        <v>0</v>
      </c>
      <c r="H546" s="1">
        <f>IF(B546="", "", "UBERON:tongue")</f>
        <v>0</v>
      </c>
      <c r="I546" s="1">
        <f>IF(B546="", "", "tongue")</f>
        <v>0</v>
      </c>
      <c r="J546" s="1">
        <f>IF(B546="", "", "human oral metagenome")</f>
        <v>0</v>
      </c>
      <c r="K546" s="1">
        <f>IF(B546="", "", "447426")</f>
        <v>0</v>
      </c>
    </row>
    <row r="547" spans="1:11">
      <c r="A547">
        <f>IF(COUNTBLANK(B547:K547)&lt;&gt;COLUMNS(B547:K547),546,"")</f>
        <v>0</v>
      </c>
      <c r="C547" s="1">
        <f>IF(B547="", "", "animal secretion")</f>
        <v>0</v>
      </c>
      <c r="D547" s="1">
        <f>IF(B547="", "", "saliva")</f>
        <v>0</v>
      </c>
      <c r="E547" s="1">
        <f>IF(B547="", "", "human-oral")</f>
        <v>0</v>
      </c>
      <c r="F547" s="1">
        <f>IF(B547="", "", "UBERON:oral cavity")</f>
        <v>0</v>
      </c>
      <c r="G547" s="1">
        <f>IF(B547="", "", "UBERON:saliva")</f>
        <v>0</v>
      </c>
      <c r="H547" s="1">
        <f>IF(B547="", "", "UBERON:tongue")</f>
        <v>0</v>
      </c>
      <c r="I547" s="1">
        <f>IF(B547="", "", "tongue")</f>
        <v>0</v>
      </c>
      <c r="J547" s="1">
        <f>IF(B547="", "", "human oral metagenome")</f>
        <v>0</v>
      </c>
      <c r="K547" s="1">
        <f>IF(B547="", "", "447426")</f>
        <v>0</v>
      </c>
    </row>
    <row r="548" spans="1:11">
      <c r="A548">
        <f>IF(COUNTBLANK(B548:K548)&lt;&gt;COLUMNS(B548:K548),547,"")</f>
        <v>0</v>
      </c>
      <c r="C548" s="1">
        <f>IF(B548="", "", "animal secretion")</f>
        <v>0</v>
      </c>
      <c r="D548" s="1">
        <f>IF(B548="", "", "saliva")</f>
        <v>0</v>
      </c>
      <c r="E548" s="1">
        <f>IF(B548="", "", "human-oral")</f>
        <v>0</v>
      </c>
      <c r="F548" s="1">
        <f>IF(B548="", "", "UBERON:oral cavity")</f>
        <v>0</v>
      </c>
      <c r="G548" s="1">
        <f>IF(B548="", "", "UBERON:saliva")</f>
        <v>0</v>
      </c>
      <c r="H548" s="1">
        <f>IF(B548="", "", "UBERON:tongue")</f>
        <v>0</v>
      </c>
      <c r="I548" s="1">
        <f>IF(B548="", "", "tongue")</f>
        <v>0</v>
      </c>
      <c r="J548" s="1">
        <f>IF(B548="", "", "human oral metagenome")</f>
        <v>0</v>
      </c>
      <c r="K548" s="1">
        <f>IF(B548="", "", "447426")</f>
        <v>0</v>
      </c>
    </row>
    <row r="549" spans="1:11">
      <c r="A549">
        <f>IF(COUNTBLANK(B549:K549)&lt;&gt;COLUMNS(B549:K549),548,"")</f>
        <v>0</v>
      </c>
      <c r="C549" s="1">
        <f>IF(B549="", "", "animal secretion")</f>
        <v>0</v>
      </c>
      <c r="D549" s="1">
        <f>IF(B549="", "", "saliva")</f>
        <v>0</v>
      </c>
      <c r="E549" s="1">
        <f>IF(B549="", "", "human-oral")</f>
        <v>0</v>
      </c>
      <c r="F549" s="1">
        <f>IF(B549="", "", "UBERON:oral cavity")</f>
        <v>0</v>
      </c>
      <c r="G549" s="1">
        <f>IF(B549="", "", "UBERON:saliva")</f>
        <v>0</v>
      </c>
      <c r="H549" s="1">
        <f>IF(B549="", "", "UBERON:tongue")</f>
        <v>0</v>
      </c>
      <c r="I549" s="1">
        <f>IF(B549="", "", "tongue")</f>
        <v>0</v>
      </c>
      <c r="J549" s="1">
        <f>IF(B549="", "", "human oral metagenome")</f>
        <v>0</v>
      </c>
      <c r="K549" s="1">
        <f>IF(B549="", "", "447426")</f>
        <v>0</v>
      </c>
    </row>
    <row r="550" spans="1:11">
      <c r="A550">
        <f>IF(COUNTBLANK(B550:K550)&lt;&gt;COLUMNS(B550:K550),549,"")</f>
        <v>0</v>
      </c>
      <c r="C550" s="1">
        <f>IF(B550="", "", "animal secretion")</f>
        <v>0</v>
      </c>
      <c r="D550" s="1">
        <f>IF(B550="", "", "saliva")</f>
        <v>0</v>
      </c>
      <c r="E550" s="1">
        <f>IF(B550="", "", "human-oral")</f>
        <v>0</v>
      </c>
      <c r="F550" s="1">
        <f>IF(B550="", "", "UBERON:oral cavity")</f>
        <v>0</v>
      </c>
      <c r="G550" s="1">
        <f>IF(B550="", "", "UBERON:saliva")</f>
        <v>0</v>
      </c>
      <c r="H550" s="1">
        <f>IF(B550="", "", "UBERON:tongue")</f>
        <v>0</v>
      </c>
      <c r="I550" s="1">
        <f>IF(B550="", "", "tongue")</f>
        <v>0</v>
      </c>
      <c r="J550" s="1">
        <f>IF(B550="", "", "human oral metagenome")</f>
        <v>0</v>
      </c>
      <c r="K550" s="1">
        <f>IF(B550="", "", "447426")</f>
        <v>0</v>
      </c>
    </row>
    <row r="551" spans="1:11">
      <c r="A551">
        <f>IF(COUNTBLANK(B551:K551)&lt;&gt;COLUMNS(B551:K551),550,"")</f>
        <v>0</v>
      </c>
      <c r="C551" s="1">
        <f>IF(B551="", "", "animal secretion")</f>
        <v>0</v>
      </c>
      <c r="D551" s="1">
        <f>IF(B551="", "", "saliva")</f>
        <v>0</v>
      </c>
      <c r="E551" s="1">
        <f>IF(B551="", "", "human-oral")</f>
        <v>0</v>
      </c>
      <c r="F551" s="1">
        <f>IF(B551="", "", "UBERON:oral cavity")</f>
        <v>0</v>
      </c>
      <c r="G551" s="1">
        <f>IF(B551="", "", "UBERON:saliva")</f>
        <v>0</v>
      </c>
      <c r="H551" s="1">
        <f>IF(B551="", "", "UBERON:tongue")</f>
        <v>0</v>
      </c>
      <c r="I551" s="1">
        <f>IF(B551="", "", "tongue")</f>
        <v>0</v>
      </c>
      <c r="J551" s="1">
        <f>IF(B551="", "", "human oral metagenome")</f>
        <v>0</v>
      </c>
      <c r="K551" s="1">
        <f>IF(B551="", "", "447426")</f>
        <v>0</v>
      </c>
    </row>
    <row r="552" spans="1:11">
      <c r="A552">
        <f>IF(COUNTBLANK(B552:K552)&lt;&gt;COLUMNS(B552:K552),551,"")</f>
        <v>0</v>
      </c>
      <c r="C552" s="1">
        <f>IF(B552="", "", "animal secretion")</f>
        <v>0</v>
      </c>
      <c r="D552" s="1">
        <f>IF(B552="", "", "saliva")</f>
        <v>0</v>
      </c>
      <c r="E552" s="1">
        <f>IF(B552="", "", "human-oral")</f>
        <v>0</v>
      </c>
      <c r="F552" s="1">
        <f>IF(B552="", "", "UBERON:oral cavity")</f>
        <v>0</v>
      </c>
      <c r="G552" s="1">
        <f>IF(B552="", "", "UBERON:saliva")</f>
        <v>0</v>
      </c>
      <c r="H552" s="1">
        <f>IF(B552="", "", "UBERON:tongue")</f>
        <v>0</v>
      </c>
      <c r="I552" s="1">
        <f>IF(B552="", "", "tongue")</f>
        <v>0</v>
      </c>
      <c r="J552" s="1">
        <f>IF(B552="", "", "human oral metagenome")</f>
        <v>0</v>
      </c>
      <c r="K552" s="1">
        <f>IF(B552="", "", "447426")</f>
        <v>0</v>
      </c>
    </row>
    <row r="553" spans="1:11">
      <c r="A553">
        <f>IF(COUNTBLANK(B553:K553)&lt;&gt;COLUMNS(B553:K553),552,"")</f>
        <v>0</v>
      </c>
      <c r="C553" s="1">
        <f>IF(B553="", "", "animal secretion")</f>
        <v>0</v>
      </c>
      <c r="D553" s="1">
        <f>IF(B553="", "", "saliva")</f>
        <v>0</v>
      </c>
      <c r="E553" s="1">
        <f>IF(B553="", "", "human-oral")</f>
        <v>0</v>
      </c>
      <c r="F553" s="1">
        <f>IF(B553="", "", "UBERON:oral cavity")</f>
        <v>0</v>
      </c>
      <c r="G553" s="1">
        <f>IF(B553="", "", "UBERON:saliva")</f>
        <v>0</v>
      </c>
      <c r="H553" s="1">
        <f>IF(B553="", "", "UBERON:tongue")</f>
        <v>0</v>
      </c>
      <c r="I553" s="1">
        <f>IF(B553="", "", "tongue")</f>
        <v>0</v>
      </c>
      <c r="J553" s="1">
        <f>IF(B553="", "", "human oral metagenome")</f>
        <v>0</v>
      </c>
      <c r="K553" s="1">
        <f>IF(B553="", "", "447426")</f>
        <v>0</v>
      </c>
    </row>
    <row r="554" spans="1:11">
      <c r="A554">
        <f>IF(COUNTBLANK(B554:K554)&lt;&gt;COLUMNS(B554:K554),553,"")</f>
        <v>0</v>
      </c>
      <c r="C554" s="1">
        <f>IF(B554="", "", "animal secretion")</f>
        <v>0</v>
      </c>
      <c r="D554" s="1">
        <f>IF(B554="", "", "saliva")</f>
        <v>0</v>
      </c>
      <c r="E554" s="1">
        <f>IF(B554="", "", "human-oral")</f>
        <v>0</v>
      </c>
      <c r="F554" s="1">
        <f>IF(B554="", "", "UBERON:oral cavity")</f>
        <v>0</v>
      </c>
      <c r="G554" s="1">
        <f>IF(B554="", "", "UBERON:saliva")</f>
        <v>0</v>
      </c>
      <c r="H554" s="1">
        <f>IF(B554="", "", "UBERON:tongue")</f>
        <v>0</v>
      </c>
      <c r="I554" s="1">
        <f>IF(B554="", "", "tongue")</f>
        <v>0</v>
      </c>
      <c r="J554" s="1">
        <f>IF(B554="", "", "human oral metagenome")</f>
        <v>0</v>
      </c>
      <c r="K554" s="1">
        <f>IF(B554="", "", "447426")</f>
        <v>0</v>
      </c>
    </row>
    <row r="555" spans="1:11">
      <c r="A555">
        <f>IF(COUNTBLANK(B555:K555)&lt;&gt;COLUMNS(B555:K555),554,"")</f>
        <v>0</v>
      </c>
      <c r="C555" s="1">
        <f>IF(B555="", "", "animal secretion")</f>
        <v>0</v>
      </c>
      <c r="D555" s="1">
        <f>IF(B555="", "", "saliva")</f>
        <v>0</v>
      </c>
      <c r="E555" s="1">
        <f>IF(B555="", "", "human-oral")</f>
        <v>0</v>
      </c>
      <c r="F555" s="1">
        <f>IF(B555="", "", "UBERON:oral cavity")</f>
        <v>0</v>
      </c>
      <c r="G555" s="1">
        <f>IF(B555="", "", "UBERON:saliva")</f>
        <v>0</v>
      </c>
      <c r="H555" s="1">
        <f>IF(B555="", "", "UBERON:tongue")</f>
        <v>0</v>
      </c>
      <c r="I555" s="1">
        <f>IF(B555="", "", "tongue")</f>
        <v>0</v>
      </c>
      <c r="J555" s="1">
        <f>IF(B555="", "", "human oral metagenome")</f>
        <v>0</v>
      </c>
      <c r="K555" s="1">
        <f>IF(B555="", "", "447426")</f>
        <v>0</v>
      </c>
    </row>
    <row r="556" spans="1:11">
      <c r="A556">
        <f>IF(COUNTBLANK(B556:K556)&lt;&gt;COLUMNS(B556:K556),555,"")</f>
        <v>0</v>
      </c>
      <c r="C556" s="1">
        <f>IF(B556="", "", "animal secretion")</f>
        <v>0</v>
      </c>
      <c r="D556" s="1">
        <f>IF(B556="", "", "saliva")</f>
        <v>0</v>
      </c>
      <c r="E556" s="1">
        <f>IF(B556="", "", "human-oral")</f>
        <v>0</v>
      </c>
      <c r="F556" s="1">
        <f>IF(B556="", "", "UBERON:oral cavity")</f>
        <v>0</v>
      </c>
      <c r="G556" s="1">
        <f>IF(B556="", "", "UBERON:saliva")</f>
        <v>0</v>
      </c>
      <c r="H556" s="1">
        <f>IF(B556="", "", "UBERON:tongue")</f>
        <v>0</v>
      </c>
      <c r="I556" s="1">
        <f>IF(B556="", "", "tongue")</f>
        <v>0</v>
      </c>
      <c r="J556" s="1">
        <f>IF(B556="", "", "human oral metagenome")</f>
        <v>0</v>
      </c>
      <c r="K556" s="1">
        <f>IF(B556="", "", "447426")</f>
        <v>0</v>
      </c>
    </row>
    <row r="557" spans="1:11">
      <c r="A557">
        <f>IF(COUNTBLANK(B557:K557)&lt;&gt;COLUMNS(B557:K557),556,"")</f>
        <v>0</v>
      </c>
      <c r="C557" s="1">
        <f>IF(B557="", "", "animal secretion")</f>
        <v>0</v>
      </c>
      <c r="D557" s="1">
        <f>IF(B557="", "", "saliva")</f>
        <v>0</v>
      </c>
      <c r="E557" s="1">
        <f>IF(B557="", "", "human-oral")</f>
        <v>0</v>
      </c>
      <c r="F557" s="1">
        <f>IF(B557="", "", "UBERON:oral cavity")</f>
        <v>0</v>
      </c>
      <c r="G557" s="1">
        <f>IF(B557="", "", "UBERON:saliva")</f>
        <v>0</v>
      </c>
      <c r="H557" s="1">
        <f>IF(B557="", "", "UBERON:tongue")</f>
        <v>0</v>
      </c>
      <c r="I557" s="1">
        <f>IF(B557="", "", "tongue")</f>
        <v>0</v>
      </c>
      <c r="J557" s="1">
        <f>IF(B557="", "", "human oral metagenome")</f>
        <v>0</v>
      </c>
      <c r="K557" s="1">
        <f>IF(B557="", "", "447426")</f>
        <v>0</v>
      </c>
    </row>
    <row r="558" spans="1:11">
      <c r="A558">
        <f>IF(COUNTBLANK(B558:K558)&lt;&gt;COLUMNS(B558:K558),557,"")</f>
        <v>0</v>
      </c>
      <c r="C558" s="1">
        <f>IF(B558="", "", "animal secretion")</f>
        <v>0</v>
      </c>
      <c r="D558" s="1">
        <f>IF(B558="", "", "saliva")</f>
        <v>0</v>
      </c>
      <c r="E558" s="1">
        <f>IF(B558="", "", "human-oral")</f>
        <v>0</v>
      </c>
      <c r="F558" s="1">
        <f>IF(B558="", "", "UBERON:oral cavity")</f>
        <v>0</v>
      </c>
      <c r="G558" s="1">
        <f>IF(B558="", "", "UBERON:saliva")</f>
        <v>0</v>
      </c>
      <c r="H558" s="1">
        <f>IF(B558="", "", "UBERON:tongue")</f>
        <v>0</v>
      </c>
      <c r="I558" s="1">
        <f>IF(B558="", "", "tongue")</f>
        <v>0</v>
      </c>
      <c r="J558" s="1">
        <f>IF(B558="", "", "human oral metagenome")</f>
        <v>0</v>
      </c>
      <c r="K558" s="1">
        <f>IF(B558="", "", "447426")</f>
        <v>0</v>
      </c>
    </row>
    <row r="559" spans="1:11">
      <c r="A559">
        <f>IF(COUNTBLANK(B559:K559)&lt;&gt;COLUMNS(B559:K559),558,"")</f>
        <v>0</v>
      </c>
      <c r="C559" s="1">
        <f>IF(B559="", "", "animal secretion")</f>
        <v>0</v>
      </c>
      <c r="D559" s="1">
        <f>IF(B559="", "", "saliva")</f>
        <v>0</v>
      </c>
      <c r="E559" s="1">
        <f>IF(B559="", "", "human-oral")</f>
        <v>0</v>
      </c>
      <c r="F559" s="1">
        <f>IF(B559="", "", "UBERON:oral cavity")</f>
        <v>0</v>
      </c>
      <c r="G559" s="1">
        <f>IF(B559="", "", "UBERON:saliva")</f>
        <v>0</v>
      </c>
      <c r="H559" s="1">
        <f>IF(B559="", "", "UBERON:tongue")</f>
        <v>0</v>
      </c>
      <c r="I559" s="1">
        <f>IF(B559="", "", "tongue")</f>
        <v>0</v>
      </c>
      <c r="J559" s="1">
        <f>IF(B559="", "", "human oral metagenome")</f>
        <v>0</v>
      </c>
      <c r="K559" s="1">
        <f>IF(B559="", "", "447426")</f>
        <v>0</v>
      </c>
    </row>
    <row r="560" spans="1:11">
      <c r="A560">
        <f>IF(COUNTBLANK(B560:K560)&lt;&gt;COLUMNS(B560:K560),559,"")</f>
        <v>0</v>
      </c>
      <c r="C560" s="1">
        <f>IF(B560="", "", "animal secretion")</f>
        <v>0</v>
      </c>
      <c r="D560" s="1">
        <f>IF(B560="", "", "saliva")</f>
        <v>0</v>
      </c>
      <c r="E560" s="1">
        <f>IF(B560="", "", "human-oral")</f>
        <v>0</v>
      </c>
      <c r="F560" s="1">
        <f>IF(B560="", "", "UBERON:oral cavity")</f>
        <v>0</v>
      </c>
      <c r="G560" s="1">
        <f>IF(B560="", "", "UBERON:saliva")</f>
        <v>0</v>
      </c>
      <c r="H560" s="1">
        <f>IF(B560="", "", "UBERON:tongue")</f>
        <v>0</v>
      </c>
      <c r="I560" s="1">
        <f>IF(B560="", "", "tongue")</f>
        <v>0</v>
      </c>
      <c r="J560" s="1">
        <f>IF(B560="", "", "human oral metagenome")</f>
        <v>0</v>
      </c>
      <c r="K560" s="1">
        <f>IF(B560="", "", "447426")</f>
        <v>0</v>
      </c>
    </row>
    <row r="561" spans="1:11">
      <c r="A561">
        <f>IF(COUNTBLANK(B561:K561)&lt;&gt;COLUMNS(B561:K561),560,"")</f>
        <v>0</v>
      </c>
      <c r="C561" s="1">
        <f>IF(B561="", "", "animal secretion")</f>
        <v>0</v>
      </c>
      <c r="D561" s="1">
        <f>IF(B561="", "", "saliva")</f>
        <v>0</v>
      </c>
      <c r="E561" s="1">
        <f>IF(B561="", "", "human-oral")</f>
        <v>0</v>
      </c>
      <c r="F561" s="1">
        <f>IF(B561="", "", "UBERON:oral cavity")</f>
        <v>0</v>
      </c>
      <c r="G561" s="1">
        <f>IF(B561="", "", "UBERON:saliva")</f>
        <v>0</v>
      </c>
      <c r="H561" s="1">
        <f>IF(B561="", "", "UBERON:tongue")</f>
        <v>0</v>
      </c>
      <c r="I561" s="1">
        <f>IF(B561="", "", "tongue")</f>
        <v>0</v>
      </c>
      <c r="J561" s="1">
        <f>IF(B561="", "", "human oral metagenome")</f>
        <v>0</v>
      </c>
      <c r="K561" s="1">
        <f>IF(B561="", "", "447426")</f>
        <v>0</v>
      </c>
    </row>
    <row r="562" spans="1:11">
      <c r="A562">
        <f>IF(COUNTBLANK(B562:K562)&lt;&gt;COLUMNS(B562:K562),561,"")</f>
        <v>0</v>
      </c>
      <c r="C562" s="1">
        <f>IF(B562="", "", "animal secretion")</f>
        <v>0</v>
      </c>
      <c r="D562" s="1">
        <f>IF(B562="", "", "saliva")</f>
        <v>0</v>
      </c>
      <c r="E562" s="1">
        <f>IF(B562="", "", "human-oral")</f>
        <v>0</v>
      </c>
      <c r="F562" s="1">
        <f>IF(B562="", "", "UBERON:oral cavity")</f>
        <v>0</v>
      </c>
      <c r="G562" s="1">
        <f>IF(B562="", "", "UBERON:saliva")</f>
        <v>0</v>
      </c>
      <c r="H562" s="1">
        <f>IF(B562="", "", "UBERON:tongue")</f>
        <v>0</v>
      </c>
      <c r="I562" s="1">
        <f>IF(B562="", "", "tongue")</f>
        <v>0</v>
      </c>
      <c r="J562" s="1">
        <f>IF(B562="", "", "human oral metagenome")</f>
        <v>0</v>
      </c>
      <c r="K562" s="1">
        <f>IF(B562="", "", "447426")</f>
        <v>0</v>
      </c>
    </row>
    <row r="563" spans="1:11">
      <c r="A563">
        <f>IF(COUNTBLANK(B563:K563)&lt;&gt;COLUMNS(B563:K563),562,"")</f>
        <v>0</v>
      </c>
      <c r="C563" s="1">
        <f>IF(B563="", "", "animal secretion")</f>
        <v>0</v>
      </c>
      <c r="D563" s="1">
        <f>IF(B563="", "", "saliva")</f>
        <v>0</v>
      </c>
      <c r="E563" s="1">
        <f>IF(B563="", "", "human-oral")</f>
        <v>0</v>
      </c>
      <c r="F563" s="1">
        <f>IF(B563="", "", "UBERON:oral cavity")</f>
        <v>0</v>
      </c>
      <c r="G563" s="1">
        <f>IF(B563="", "", "UBERON:saliva")</f>
        <v>0</v>
      </c>
      <c r="H563" s="1">
        <f>IF(B563="", "", "UBERON:tongue")</f>
        <v>0</v>
      </c>
      <c r="I563" s="1">
        <f>IF(B563="", "", "tongue")</f>
        <v>0</v>
      </c>
      <c r="J563" s="1">
        <f>IF(B563="", "", "human oral metagenome")</f>
        <v>0</v>
      </c>
      <c r="K563" s="1">
        <f>IF(B563="", "", "447426")</f>
        <v>0</v>
      </c>
    </row>
    <row r="564" spans="1:11">
      <c r="A564">
        <f>IF(COUNTBLANK(B564:K564)&lt;&gt;COLUMNS(B564:K564),563,"")</f>
        <v>0</v>
      </c>
      <c r="C564" s="1">
        <f>IF(B564="", "", "animal secretion")</f>
        <v>0</v>
      </c>
      <c r="D564" s="1">
        <f>IF(B564="", "", "saliva")</f>
        <v>0</v>
      </c>
      <c r="E564" s="1">
        <f>IF(B564="", "", "human-oral")</f>
        <v>0</v>
      </c>
      <c r="F564" s="1">
        <f>IF(B564="", "", "UBERON:oral cavity")</f>
        <v>0</v>
      </c>
      <c r="G564" s="1">
        <f>IF(B564="", "", "UBERON:saliva")</f>
        <v>0</v>
      </c>
      <c r="H564" s="1">
        <f>IF(B564="", "", "UBERON:tongue")</f>
        <v>0</v>
      </c>
      <c r="I564" s="1">
        <f>IF(B564="", "", "tongue")</f>
        <v>0</v>
      </c>
      <c r="J564" s="1">
        <f>IF(B564="", "", "human oral metagenome")</f>
        <v>0</v>
      </c>
      <c r="K564" s="1">
        <f>IF(B564="", "", "447426")</f>
        <v>0</v>
      </c>
    </row>
    <row r="565" spans="1:11">
      <c r="A565">
        <f>IF(COUNTBLANK(B565:K565)&lt;&gt;COLUMNS(B565:K565),564,"")</f>
        <v>0</v>
      </c>
      <c r="C565" s="1">
        <f>IF(B565="", "", "animal secretion")</f>
        <v>0</v>
      </c>
      <c r="D565" s="1">
        <f>IF(B565="", "", "saliva")</f>
        <v>0</v>
      </c>
      <c r="E565" s="1">
        <f>IF(B565="", "", "human-oral")</f>
        <v>0</v>
      </c>
      <c r="F565" s="1">
        <f>IF(B565="", "", "UBERON:oral cavity")</f>
        <v>0</v>
      </c>
      <c r="G565" s="1">
        <f>IF(B565="", "", "UBERON:saliva")</f>
        <v>0</v>
      </c>
      <c r="H565" s="1">
        <f>IF(B565="", "", "UBERON:tongue")</f>
        <v>0</v>
      </c>
      <c r="I565" s="1">
        <f>IF(B565="", "", "tongue")</f>
        <v>0</v>
      </c>
      <c r="J565" s="1">
        <f>IF(B565="", "", "human oral metagenome")</f>
        <v>0</v>
      </c>
      <c r="K565" s="1">
        <f>IF(B565="", "", "447426")</f>
        <v>0</v>
      </c>
    </row>
    <row r="566" spans="1:11">
      <c r="A566">
        <f>IF(COUNTBLANK(B566:K566)&lt;&gt;COLUMNS(B566:K566),565,"")</f>
        <v>0</v>
      </c>
      <c r="C566" s="1">
        <f>IF(B566="", "", "animal secretion")</f>
        <v>0</v>
      </c>
      <c r="D566" s="1">
        <f>IF(B566="", "", "saliva")</f>
        <v>0</v>
      </c>
      <c r="E566" s="1">
        <f>IF(B566="", "", "human-oral")</f>
        <v>0</v>
      </c>
      <c r="F566" s="1">
        <f>IF(B566="", "", "UBERON:oral cavity")</f>
        <v>0</v>
      </c>
      <c r="G566" s="1">
        <f>IF(B566="", "", "UBERON:saliva")</f>
        <v>0</v>
      </c>
      <c r="H566" s="1">
        <f>IF(B566="", "", "UBERON:tongue")</f>
        <v>0</v>
      </c>
      <c r="I566" s="1">
        <f>IF(B566="", "", "tongue")</f>
        <v>0</v>
      </c>
      <c r="J566" s="1">
        <f>IF(B566="", "", "human oral metagenome")</f>
        <v>0</v>
      </c>
      <c r="K566" s="1">
        <f>IF(B566="", "", "447426")</f>
        <v>0</v>
      </c>
    </row>
    <row r="567" spans="1:11">
      <c r="A567">
        <f>IF(COUNTBLANK(B567:K567)&lt;&gt;COLUMNS(B567:K567),566,"")</f>
        <v>0</v>
      </c>
      <c r="C567" s="1">
        <f>IF(B567="", "", "animal secretion")</f>
        <v>0</v>
      </c>
      <c r="D567" s="1">
        <f>IF(B567="", "", "saliva")</f>
        <v>0</v>
      </c>
      <c r="E567" s="1">
        <f>IF(B567="", "", "human-oral")</f>
        <v>0</v>
      </c>
      <c r="F567" s="1">
        <f>IF(B567="", "", "UBERON:oral cavity")</f>
        <v>0</v>
      </c>
      <c r="G567" s="1">
        <f>IF(B567="", "", "UBERON:saliva")</f>
        <v>0</v>
      </c>
      <c r="H567" s="1">
        <f>IF(B567="", "", "UBERON:tongue")</f>
        <v>0</v>
      </c>
      <c r="I567" s="1">
        <f>IF(B567="", "", "tongue")</f>
        <v>0</v>
      </c>
      <c r="J567" s="1">
        <f>IF(B567="", "", "human oral metagenome")</f>
        <v>0</v>
      </c>
      <c r="K567" s="1">
        <f>IF(B567="", "", "447426")</f>
        <v>0</v>
      </c>
    </row>
    <row r="568" spans="1:11">
      <c r="A568">
        <f>IF(COUNTBLANK(B568:K568)&lt;&gt;COLUMNS(B568:K568),567,"")</f>
        <v>0</v>
      </c>
      <c r="C568" s="1">
        <f>IF(B568="", "", "animal secretion")</f>
        <v>0</v>
      </c>
      <c r="D568" s="1">
        <f>IF(B568="", "", "saliva")</f>
        <v>0</v>
      </c>
      <c r="E568" s="1">
        <f>IF(B568="", "", "human-oral")</f>
        <v>0</v>
      </c>
      <c r="F568" s="1">
        <f>IF(B568="", "", "UBERON:oral cavity")</f>
        <v>0</v>
      </c>
      <c r="G568" s="1">
        <f>IF(B568="", "", "UBERON:saliva")</f>
        <v>0</v>
      </c>
      <c r="H568" s="1">
        <f>IF(B568="", "", "UBERON:tongue")</f>
        <v>0</v>
      </c>
      <c r="I568" s="1">
        <f>IF(B568="", "", "tongue")</f>
        <v>0</v>
      </c>
      <c r="J568" s="1">
        <f>IF(B568="", "", "human oral metagenome")</f>
        <v>0</v>
      </c>
      <c r="K568" s="1">
        <f>IF(B568="", "", "447426")</f>
        <v>0</v>
      </c>
    </row>
    <row r="569" spans="1:11">
      <c r="A569">
        <f>IF(COUNTBLANK(B569:K569)&lt;&gt;COLUMNS(B569:K569),568,"")</f>
        <v>0</v>
      </c>
      <c r="C569" s="1">
        <f>IF(B569="", "", "animal secretion")</f>
        <v>0</v>
      </c>
      <c r="D569" s="1">
        <f>IF(B569="", "", "saliva")</f>
        <v>0</v>
      </c>
      <c r="E569" s="1">
        <f>IF(B569="", "", "human-oral")</f>
        <v>0</v>
      </c>
      <c r="F569" s="1">
        <f>IF(B569="", "", "UBERON:oral cavity")</f>
        <v>0</v>
      </c>
      <c r="G569" s="1">
        <f>IF(B569="", "", "UBERON:saliva")</f>
        <v>0</v>
      </c>
      <c r="H569" s="1">
        <f>IF(B569="", "", "UBERON:tongue")</f>
        <v>0</v>
      </c>
      <c r="I569" s="1">
        <f>IF(B569="", "", "tongue")</f>
        <v>0</v>
      </c>
      <c r="J569" s="1">
        <f>IF(B569="", "", "human oral metagenome")</f>
        <v>0</v>
      </c>
      <c r="K569" s="1">
        <f>IF(B569="", "", "447426")</f>
        <v>0</v>
      </c>
    </row>
    <row r="570" spans="1:11">
      <c r="A570">
        <f>IF(COUNTBLANK(B570:K570)&lt;&gt;COLUMNS(B570:K570),569,"")</f>
        <v>0</v>
      </c>
      <c r="C570" s="1">
        <f>IF(B570="", "", "animal secretion")</f>
        <v>0</v>
      </c>
      <c r="D570" s="1">
        <f>IF(B570="", "", "saliva")</f>
        <v>0</v>
      </c>
      <c r="E570" s="1">
        <f>IF(B570="", "", "human-oral")</f>
        <v>0</v>
      </c>
      <c r="F570" s="1">
        <f>IF(B570="", "", "UBERON:oral cavity")</f>
        <v>0</v>
      </c>
      <c r="G570" s="1">
        <f>IF(B570="", "", "UBERON:saliva")</f>
        <v>0</v>
      </c>
      <c r="H570" s="1">
        <f>IF(B570="", "", "UBERON:tongue")</f>
        <v>0</v>
      </c>
      <c r="I570" s="1">
        <f>IF(B570="", "", "tongue")</f>
        <v>0</v>
      </c>
      <c r="J570" s="1">
        <f>IF(B570="", "", "human oral metagenome")</f>
        <v>0</v>
      </c>
      <c r="K570" s="1">
        <f>IF(B570="", "", "447426")</f>
        <v>0</v>
      </c>
    </row>
    <row r="571" spans="1:11">
      <c r="A571">
        <f>IF(COUNTBLANK(B571:K571)&lt;&gt;COLUMNS(B571:K571),570,"")</f>
        <v>0</v>
      </c>
      <c r="C571" s="1">
        <f>IF(B571="", "", "animal secretion")</f>
        <v>0</v>
      </c>
      <c r="D571" s="1">
        <f>IF(B571="", "", "saliva")</f>
        <v>0</v>
      </c>
      <c r="E571" s="1">
        <f>IF(B571="", "", "human-oral")</f>
        <v>0</v>
      </c>
      <c r="F571" s="1">
        <f>IF(B571="", "", "UBERON:oral cavity")</f>
        <v>0</v>
      </c>
      <c r="G571" s="1">
        <f>IF(B571="", "", "UBERON:saliva")</f>
        <v>0</v>
      </c>
      <c r="H571" s="1">
        <f>IF(B571="", "", "UBERON:tongue")</f>
        <v>0</v>
      </c>
      <c r="I571" s="1">
        <f>IF(B571="", "", "tongue")</f>
        <v>0</v>
      </c>
      <c r="J571" s="1">
        <f>IF(B571="", "", "human oral metagenome")</f>
        <v>0</v>
      </c>
      <c r="K571" s="1">
        <f>IF(B571="", "", "447426")</f>
        <v>0</v>
      </c>
    </row>
    <row r="572" spans="1:11">
      <c r="A572">
        <f>IF(COUNTBLANK(B572:K572)&lt;&gt;COLUMNS(B572:K572),571,"")</f>
        <v>0</v>
      </c>
      <c r="C572" s="1">
        <f>IF(B572="", "", "animal secretion")</f>
        <v>0</v>
      </c>
      <c r="D572" s="1">
        <f>IF(B572="", "", "saliva")</f>
        <v>0</v>
      </c>
      <c r="E572" s="1">
        <f>IF(B572="", "", "human-oral")</f>
        <v>0</v>
      </c>
      <c r="F572" s="1">
        <f>IF(B572="", "", "UBERON:oral cavity")</f>
        <v>0</v>
      </c>
      <c r="G572" s="1">
        <f>IF(B572="", "", "UBERON:saliva")</f>
        <v>0</v>
      </c>
      <c r="H572" s="1">
        <f>IF(B572="", "", "UBERON:tongue")</f>
        <v>0</v>
      </c>
      <c r="I572" s="1">
        <f>IF(B572="", "", "tongue")</f>
        <v>0</v>
      </c>
      <c r="J572" s="1">
        <f>IF(B572="", "", "human oral metagenome")</f>
        <v>0</v>
      </c>
      <c r="K572" s="1">
        <f>IF(B572="", "", "447426")</f>
        <v>0</v>
      </c>
    </row>
    <row r="573" spans="1:11">
      <c r="A573">
        <f>IF(COUNTBLANK(B573:K573)&lt;&gt;COLUMNS(B573:K573),572,"")</f>
        <v>0</v>
      </c>
      <c r="C573" s="1">
        <f>IF(B573="", "", "animal secretion")</f>
        <v>0</v>
      </c>
      <c r="D573" s="1">
        <f>IF(B573="", "", "saliva")</f>
        <v>0</v>
      </c>
      <c r="E573" s="1">
        <f>IF(B573="", "", "human-oral")</f>
        <v>0</v>
      </c>
      <c r="F573" s="1">
        <f>IF(B573="", "", "UBERON:oral cavity")</f>
        <v>0</v>
      </c>
      <c r="G573" s="1">
        <f>IF(B573="", "", "UBERON:saliva")</f>
        <v>0</v>
      </c>
      <c r="H573" s="1">
        <f>IF(B573="", "", "UBERON:tongue")</f>
        <v>0</v>
      </c>
      <c r="I573" s="1">
        <f>IF(B573="", "", "tongue")</f>
        <v>0</v>
      </c>
      <c r="J573" s="1">
        <f>IF(B573="", "", "human oral metagenome")</f>
        <v>0</v>
      </c>
      <c r="K573" s="1">
        <f>IF(B573="", "", "447426")</f>
        <v>0</v>
      </c>
    </row>
    <row r="574" spans="1:11">
      <c r="A574">
        <f>IF(COUNTBLANK(B574:K574)&lt;&gt;COLUMNS(B574:K574),573,"")</f>
        <v>0</v>
      </c>
      <c r="C574" s="1">
        <f>IF(B574="", "", "animal secretion")</f>
        <v>0</v>
      </c>
      <c r="D574" s="1">
        <f>IF(B574="", "", "saliva")</f>
        <v>0</v>
      </c>
      <c r="E574" s="1">
        <f>IF(B574="", "", "human-oral")</f>
        <v>0</v>
      </c>
      <c r="F574" s="1">
        <f>IF(B574="", "", "UBERON:oral cavity")</f>
        <v>0</v>
      </c>
      <c r="G574" s="1">
        <f>IF(B574="", "", "UBERON:saliva")</f>
        <v>0</v>
      </c>
      <c r="H574" s="1">
        <f>IF(B574="", "", "UBERON:tongue")</f>
        <v>0</v>
      </c>
      <c r="I574" s="1">
        <f>IF(B574="", "", "tongue")</f>
        <v>0</v>
      </c>
      <c r="J574" s="1">
        <f>IF(B574="", "", "human oral metagenome")</f>
        <v>0</v>
      </c>
      <c r="K574" s="1">
        <f>IF(B574="", "", "447426")</f>
        <v>0</v>
      </c>
    </row>
    <row r="575" spans="1:11">
      <c r="A575">
        <f>IF(COUNTBLANK(B575:K575)&lt;&gt;COLUMNS(B575:K575),574,"")</f>
        <v>0</v>
      </c>
      <c r="C575" s="1">
        <f>IF(B575="", "", "animal secretion")</f>
        <v>0</v>
      </c>
      <c r="D575" s="1">
        <f>IF(B575="", "", "saliva")</f>
        <v>0</v>
      </c>
      <c r="E575" s="1">
        <f>IF(B575="", "", "human-oral")</f>
        <v>0</v>
      </c>
      <c r="F575" s="1">
        <f>IF(B575="", "", "UBERON:oral cavity")</f>
        <v>0</v>
      </c>
      <c r="G575" s="1">
        <f>IF(B575="", "", "UBERON:saliva")</f>
        <v>0</v>
      </c>
      <c r="H575" s="1">
        <f>IF(B575="", "", "UBERON:tongue")</f>
        <v>0</v>
      </c>
      <c r="I575" s="1">
        <f>IF(B575="", "", "tongue")</f>
        <v>0</v>
      </c>
      <c r="J575" s="1">
        <f>IF(B575="", "", "human oral metagenome")</f>
        <v>0</v>
      </c>
      <c r="K575" s="1">
        <f>IF(B575="", "", "447426")</f>
        <v>0</v>
      </c>
    </row>
    <row r="576" spans="1:11">
      <c r="A576">
        <f>IF(COUNTBLANK(B576:K576)&lt;&gt;COLUMNS(B576:K576),575,"")</f>
        <v>0</v>
      </c>
      <c r="C576" s="1">
        <f>IF(B576="", "", "animal secretion")</f>
        <v>0</v>
      </c>
      <c r="D576" s="1">
        <f>IF(B576="", "", "saliva")</f>
        <v>0</v>
      </c>
      <c r="E576" s="1">
        <f>IF(B576="", "", "human-oral")</f>
        <v>0</v>
      </c>
      <c r="F576" s="1">
        <f>IF(B576="", "", "UBERON:oral cavity")</f>
        <v>0</v>
      </c>
      <c r="G576" s="1">
        <f>IF(B576="", "", "UBERON:saliva")</f>
        <v>0</v>
      </c>
      <c r="H576" s="1">
        <f>IF(B576="", "", "UBERON:tongue")</f>
        <v>0</v>
      </c>
      <c r="I576" s="1">
        <f>IF(B576="", "", "tongue")</f>
        <v>0</v>
      </c>
      <c r="J576" s="1">
        <f>IF(B576="", "", "human oral metagenome")</f>
        <v>0</v>
      </c>
      <c r="K576" s="1">
        <f>IF(B576="", "", "447426")</f>
        <v>0</v>
      </c>
    </row>
    <row r="577" spans="1:11">
      <c r="A577">
        <f>IF(COUNTBLANK(B577:K577)&lt;&gt;COLUMNS(B577:K577),576,"")</f>
        <v>0</v>
      </c>
      <c r="C577" s="1">
        <f>IF(B577="", "", "animal secretion")</f>
        <v>0</v>
      </c>
      <c r="D577" s="1">
        <f>IF(B577="", "", "saliva")</f>
        <v>0</v>
      </c>
      <c r="E577" s="1">
        <f>IF(B577="", "", "human-oral")</f>
        <v>0</v>
      </c>
      <c r="F577" s="1">
        <f>IF(B577="", "", "UBERON:oral cavity")</f>
        <v>0</v>
      </c>
      <c r="G577" s="1">
        <f>IF(B577="", "", "UBERON:saliva")</f>
        <v>0</v>
      </c>
      <c r="H577" s="1">
        <f>IF(B577="", "", "UBERON:tongue")</f>
        <v>0</v>
      </c>
      <c r="I577" s="1">
        <f>IF(B577="", "", "tongue")</f>
        <v>0</v>
      </c>
      <c r="J577" s="1">
        <f>IF(B577="", "", "human oral metagenome")</f>
        <v>0</v>
      </c>
      <c r="K577" s="1">
        <f>IF(B577="", "", "447426")</f>
        <v>0</v>
      </c>
    </row>
    <row r="578" spans="1:11">
      <c r="A578">
        <f>IF(COUNTBLANK(B578:K578)&lt;&gt;COLUMNS(B578:K578),577,"")</f>
        <v>0</v>
      </c>
      <c r="C578" s="1">
        <f>IF(B578="", "", "animal secretion")</f>
        <v>0</v>
      </c>
      <c r="D578" s="1">
        <f>IF(B578="", "", "saliva")</f>
        <v>0</v>
      </c>
      <c r="E578" s="1">
        <f>IF(B578="", "", "human-oral")</f>
        <v>0</v>
      </c>
      <c r="F578" s="1">
        <f>IF(B578="", "", "UBERON:oral cavity")</f>
        <v>0</v>
      </c>
      <c r="G578" s="1">
        <f>IF(B578="", "", "UBERON:saliva")</f>
        <v>0</v>
      </c>
      <c r="H578" s="1">
        <f>IF(B578="", "", "UBERON:tongue")</f>
        <v>0</v>
      </c>
      <c r="I578" s="1">
        <f>IF(B578="", "", "tongue")</f>
        <v>0</v>
      </c>
      <c r="J578" s="1">
        <f>IF(B578="", "", "human oral metagenome")</f>
        <v>0</v>
      </c>
      <c r="K578" s="1">
        <f>IF(B578="", "", "447426")</f>
        <v>0</v>
      </c>
    </row>
    <row r="579" spans="1:11">
      <c r="A579">
        <f>IF(COUNTBLANK(B579:K579)&lt;&gt;COLUMNS(B579:K579),578,"")</f>
        <v>0</v>
      </c>
      <c r="C579" s="1">
        <f>IF(B579="", "", "animal secretion")</f>
        <v>0</v>
      </c>
      <c r="D579" s="1">
        <f>IF(B579="", "", "saliva")</f>
        <v>0</v>
      </c>
      <c r="E579" s="1">
        <f>IF(B579="", "", "human-oral")</f>
        <v>0</v>
      </c>
      <c r="F579" s="1">
        <f>IF(B579="", "", "UBERON:oral cavity")</f>
        <v>0</v>
      </c>
      <c r="G579" s="1">
        <f>IF(B579="", "", "UBERON:saliva")</f>
        <v>0</v>
      </c>
      <c r="H579" s="1">
        <f>IF(B579="", "", "UBERON:tongue")</f>
        <v>0</v>
      </c>
      <c r="I579" s="1">
        <f>IF(B579="", "", "tongue")</f>
        <v>0</v>
      </c>
      <c r="J579" s="1">
        <f>IF(B579="", "", "human oral metagenome")</f>
        <v>0</v>
      </c>
      <c r="K579" s="1">
        <f>IF(B579="", "", "447426")</f>
        <v>0</v>
      </c>
    </row>
    <row r="580" spans="1:11">
      <c r="A580">
        <f>IF(COUNTBLANK(B580:K580)&lt;&gt;COLUMNS(B580:K580),579,"")</f>
        <v>0</v>
      </c>
      <c r="C580" s="1">
        <f>IF(B580="", "", "animal secretion")</f>
        <v>0</v>
      </c>
      <c r="D580" s="1">
        <f>IF(B580="", "", "saliva")</f>
        <v>0</v>
      </c>
      <c r="E580" s="1">
        <f>IF(B580="", "", "human-oral")</f>
        <v>0</v>
      </c>
      <c r="F580" s="1">
        <f>IF(B580="", "", "UBERON:oral cavity")</f>
        <v>0</v>
      </c>
      <c r="G580" s="1">
        <f>IF(B580="", "", "UBERON:saliva")</f>
        <v>0</v>
      </c>
      <c r="H580" s="1">
        <f>IF(B580="", "", "UBERON:tongue")</f>
        <v>0</v>
      </c>
      <c r="I580" s="1">
        <f>IF(B580="", "", "tongue")</f>
        <v>0</v>
      </c>
      <c r="J580" s="1">
        <f>IF(B580="", "", "human oral metagenome")</f>
        <v>0</v>
      </c>
      <c r="K580" s="1">
        <f>IF(B580="", "", "447426")</f>
        <v>0</v>
      </c>
    </row>
    <row r="581" spans="1:11">
      <c r="A581">
        <f>IF(COUNTBLANK(B581:K581)&lt;&gt;COLUMNS(B581:K581),580,"")</f>
        <v>0</v>
      </c>
      <c r="C581" s="1">
        <f>IF(B581="", "", "animal secretion")</f>
        <v>0</v>
      </c>
      <c r="D581" s="1">
        <f>IF(B581="", "", "saliva")</f>
        <v>0</v>
      </c>
      <c r="E581" s="1">
        <f>IF(B581="", "", "human-oral")</f>
        <v>0</v>
      </c>
      <c r="F581" s="1">
        <f>IF(B581="", "", "UBERON:oral cavity")</f>
        <v>0</v>
      </c>
      <c r="G581" s="1">
        <f>IF(B581="", "", "UBERON:saliva")</f>
        <v>0</v>
      </c>
      <c r="H581" s="1">
        <f>IF(B581="", "", "UBERON:tongue")</f>
        <v>0</v>
      </c>
      <c r="I581" s="1">
        <f>IF(B581="", "", "tongue")</f>
        <v>0</v>
      </c>
      <c r="J581" s="1">
        <f>IF(B581="", "", "human oral metagenome")</f>
        <v>0</v>
      </c>
      <c r="K581" s="1">
        <f>IF(B581="", "", "447426")</f>
        <v>0</v>
      </c>
    </row>
    <row r="582" spans="1:11">
      <c r="A582">
        <f>IF(COUNTBLANK(B582:K582)&lt;&gt;COLUMNS(B582:K582),581,"")</f>
        <v>0</v>
      </c>
      <c r="C582" s="1">
        <f>IF(B582="", "", "animal secretion")</f>
        <v>0</v>
      </c>
      <c r="D582" s="1">
        <f>IF(B582="", "", "saliva")</f>
        <v>0</v>
      </c>
      <c r="E582" s="1">
        <f>IF(B582="", "", "human-oral")</f>
        <v>0</v>
      </c>
      <c r="F582" s="1">
        <f>IF(B582="", "", "UBERON:oral cavity")</f>
        <v>0</v>
      </c>
      <c r="G582" s="1">
        <f>IF(B582="", "", "UBERON:saliva")</f>
        <v>0</v>
      </c>
      <c r="H582" s="1">
        <f>IF(B582="", "", "UBERON:tongue")</f>
        <v>0</v>
      </c>
      <c r="I582" s="1">
        <f>IF(B582="", "", "tongue")</f>
        <v>0</v>
      </c>
      <c r="J582" s="1">
        <f>IF(B582="", "", "human oral metagenome")</f>
        <v>0</v>
      </c>
      <c r="K582" s="1">
        <f>IF(B582="", "", "447426")</f>
        <v>0</v>
      </c>
    </row>
    <row r="583" spans="1:11">
      <c r="A583">
        <f>IF(COUNTBLANK(B583:K583)&lt;&gt;COLUMNS(B583:K583),582,"")</f>
        <v>0</v>
      </c>
      <c r="C583" s="1">
        <f>IF(B583="", "", "animal secretion")</f>
        <v>0</v>
      </c>
      <c r="D583" s="1">
        <f>IF(B583="", "", "saliva")</f>
        <v>0</v>
      </c>
      <c r="E583" s="1">
        <f>IF(B583="", "", "human-oral")</f>
        <v>0</v>
      </c>
      <c r="F583" s="1">
        <f>IF(B583="", "", "UBERON:oral cavity")</f>
        <v>0</v>
      </c>
      <c r="G583" s="1">
        <f>IF(B583="", "", "UBERON:saliva")</f>
        <v>0</v>
      </c>
      <c r="H583" s="1">
        <f>IF(B583="", "", "UBERON:tongue")</f>
        <v>0</v>
      </c>
      <c r="I583" s="1">
        <f>IF(B583="", "", "tongue")</f>
        <v>0</v>
      </c>
      <c r="J583" s="1">
        <f>IF(B583="", "", "human oral metagenome")</f>
        <v>0</v>
      </c>
      <c r="K583" s="1">
        <f>IF(B583="", "", "447426")</f>
        <v>0</v>
      </c>
    </row>
    <row r="584" spans="1:11">
      <c r="A584">
        <f>IF(COUNTBLANK(B584:K584)&lt;&gt;COLUMNS(B584:K584),583,"")</f>
        <v>0</v>
      </c>
      <c r="C584" s="1">
        <f>IF(B584="", "", "animal secretion")</f>
        <v>0</v>
      </c>
      <c r="D584" s="1">
        <f>IF(B584="", "", "saliva")</f>
        <v>0</v>
      </c>
      <c r="E584" s="1">
        <f>IF(B584="", "", "human-oral")</f>
        <v>0</v>
      </c>
      <c r="F584" s="1">
        <f>IF(B584="", "", "UBERON:oral cavity")</f>
        <v>0</v>
      </c>
      <c r="G584" s="1">
        <f>IF(B584="", "", "UBERON:saliva")</f>
        <v>0</v>
      </c>
      <c r="H584" s="1">
        <f>IF(B584="", "", "UBERON:tongue")</f>
        <v>0</v>
      </c>
      <c r="I584" s="1">
        <f>IF(B584="", "", "tongue")</f>
        <v>0</v>
      </c>
      <c r="J584" s="1">
        <f>IF(B584="", "", "human oral metagenome")</f>
        <v>0</v>
      </c>
      <c r="K584" s="1">
        <f>IF(B584="", "", "447426")</f>
        <v>0</v>
      </c>
    </row>
    <row r="585" spans="1:11">
      <c r="A585">
        <f>IF(COUNTBLANK(B585:K585)&lt;&gt;COLUMNS(B585:K585),584,"")</f>
        <v>0</v>
      </c>
      <c r="C585" s="1">
        <f>IF(B585="", "", "animal secretion")</f>
        <v>0</v>
      </c>
      <c r="D585" s="1">
        <f>IF(B585="", "", "saliva")</f>
        <v>0</v>
      </c>
      <c r="E585" s="1">
        <f>IF(B585="", "", "human-oral")</f>
        <v>0</v>
      </c>
      <c r="F585" s="1">
        <f>IF(B585="", "", "UBERON:oral cavity")</f>
        <v>0</v>
      </c>
      <c r="G585" s="1">
        <f>IF(B585="", "", "UBERON:saliva")</f>
        <v>0</v>
      </c>
      <c r="H585" s="1">
        <f>IF(B585="", "", "UBERON:tongue")</f>
        <v>0</v>
      </c>
      <c r="I585" s="1">
        <f>IF(B585="", "", "tongue")</f>
        <v>0</v>
      </c>
      <c r="J585" s="1">
        <f>IF(B585="", "", "human oral metagenome")</f>
        <v>0</v>
      </c>
      <c r="K585" s="1">
        <f>IF(B585="", "", "447426")</f>
        <v>0</v>
      </c>
    </row>
    <row r="586" spans="1:11">
      <c r="A586">
        <f>IF(COUNTBLANK(B586:K586)&lt;&gt;COLUMNS(B586:K586),585,"")</f>
        <v>0</v>
      </c>
      <c r="C586" s="1">
        <f>IF(B586="", "", "animal secretion")</f>
        <v>0</v>
      </c>
      <c r="D586" s="1">
        <f>IF(B586="", "", "saliva")</f>
        <v>0</v>
      </c>
      <c r="E586" s="1">
        <f>IF(B586="", "", "human-oral")</f>
        <v>0</v>
      </c>
      <c r="F586" s="1">
        <f>IF(B586="", "", "UBERON:oral cavity")</f>
        <v>0</v>
      </c>
      <c r="G586" s="1">
        <f>IF(B586="", "", "UBERON:saliva")</f>
        <v>0</v>
      </c>
      <c r="H586" s="1">
        <f>IF(B586="", "", "UBERON:tongue")</f>
        <v>0</v>
      </c>
      <c r="I586" s="1">
        <f>IF(B586="", "", "tongue")</f>
        <v>0</v>
      </c>
      <c r="J586" s="1">
        <f>IF(B586="", "", "human oral metagenome")</f>
        <v>0</v>
      </c>
      <c r="K586" s="1">
        <f>IF(B586="", "", "447426")</f>
        <v>0</v>
      </c>
    </row>
    <row r="587" spans="1:11">
      <c r="A587">
        <f>IF(COUNTBLANK(B587:K587)&lt;&gt;COLUMNS(B587:K587),586,"")</f>
        <v>0</v>
      </c>
      <c r="C587" s="1">
        <f>IF(B587="", "", "animal secretion")</f>
        <v>0</v>
      </c>
      <c r="D587" s="1">
        <f>IF(B587="", "", "saliva")</f>
        <v>0</v>
      </c>
      <c r="E587" s="1">
        <f>IF(B587="", "", "human-oral")</f>
        <v>0</v>
      </c>
      <c r="F587" s="1">
        <f>IF(B587="", "", "UBERON:oral cavity")</f>
        <v>0</v>
      </c>
      <c r="G587" s="1">
        <f>IF(B587="", "", "UBERON:saliva")</f>
        <v>0</v>
      </c>
      <c r="H587" s="1">
        <f>IF(B587="", "", "UBERON:tongue")</f>
        <v>0</v>
      </c>
      <c r="I587" s="1">
        <f>IF(B587="", "", "tongue")</f>
        <v>0</v>
      </c>
      <c r="J587" s="1">
        <f>IF(B587="", "", "human oral metagenome")</f>
        <v>0</v>
      </c>
      <c r="K587" s="1">
        <f>IF(B587="", "", "447426")</f>
        <v>0</v>
      </c>
    </row>
    <row r="588" spans="1:11">
      <c r="A588">
        <f>IF(COUNTBLANK(B588:K588)&lt;&gt;COLUMNS(B588:K588),587,"")</f>
        <v>0</v>
      </c>
      <c r="C588" s="1">
        <f>IF(B588="", "", "animal secretion")</f>
        <v>0</v>
      </c>
      <c r="D588" s="1">
        <f>IF(B588="", "", "saliva")</f>
        <v>0</v>
      </c>
      <c r="E588" s="1">
        <f>IF(B588="", "", "human-oral")</f>
        <v>0</v>
      </c>
      <c r="F588" s="1">
        <f>IF(B588="", "", "UBERON:oral cavity")</f>
        <v>0</v>
      </c>
      <c r="G588" s="1">
        <f>IF(B588="", "", "UBERON:saliva")</f>
        <v>0</v>
      </c>
      <c r="H588" s="1">
        <f>IF(B588="", "", "UBERON:tongue")</f>
        <v>0</v>
      </c>
      <c r="I588" s="1">
        <f>IF(B588="", "", "tongue")</f>
        <v>0</v>
      </c>
      <c r="J588" s="1">
        <f>IF(B588="", "", "human oral metagenome")</f>
        <v>0</v>
      </c>
      <c r="K588" s="1">
        <f>IF(B588="", "", "447426")</f>
        <v>0</v>
      </c>
    </row>
    <row r="589" spans="1:11">
      <c r="A589">
        <f>IF(COUNTBLANK(B589:K589)&lt;&gt;COLUMNS(B589:K589),588,"")</f>
        <v>0</v>
      </c>
      <c r="C589" s="1">
        <f>IF(B589="", "", "animal secretion")</f>
        <v>0</v>
      </c>
      <c r="D589" s="1">
        <f>IF(B589="", "", "saliva")</f>
        <v>0</v>
      </c>
      <c r="E589" s="1">
        <f>IF(B589="", "", "human-oral")</f>
        <v>0</v>
      </c>
      <c r="F589" s="1">
        <f>IF(B589="", "", "UBERON:oral cavity")</f>
        <v>0</v>
      </c>
      <c r="G589" s="1">
        <f>IF(B589="", "", "UBERON:saliva")</f>
        <v>0</v>
      </c>
      <c r="H589" s="1">
        <f>IF(B589="", "", "UBERON:tongue")</f>
        <v>0</v>
      </c>
      <c r="I589" s="1">
        <f>IF(B589="", "", "tongue")</f>
        <v>0</v>
      </c>
      <c r="J589" s="1">
        <f>IF(B589="", "", "human oral metagenome")</f>
        <v>0</v>
      </c>
      <c r="K589" s="1">
        <f>IF(B589="", "", "447426")</f>
        <v>0</v>
      </c>
    </row>
    <row r="590" spans="1:11">
      <c r="A590">
        <f>IF(COUNTBLANK(B590:K590)&lt;&gt;COLUMNS(B590:K590),589,"")</f>
        <v>0</v>
      </c>
      <c r="C590" s="1">
        <f>IF(B590="", "", "animal secretion")</f>
        <v>0</v>
      </c>
      <c r="D590" s="1">
        <f>IF(B590="", "", "saliva")</f>
        <v>0</v>
      </c>
      <c r="E590" s="1">
        <f>IF(B590="", "", "human-oral")</f>
        <v>0</v>
      </c>
      <c r="F590" s="1">
        <f>IF(B590="", "", "UBERON:oral cavity")</f>
        <v>0</v>
      </c>
      <c r="G590" s="1">
        <f>IF(B590="", "", "UBERON:saliva")</f>
        <v>0</v>
      </c>
      <c r="H590" s="1">
        <f>IF(B590="", "", "UBERON:tongue")</f>
        <v>0</v>
      </c>
      <c r="I590" s="1">
        <f>IF(B590="", "", "tongue")</f>
        <v>0</v>
      </c>
      <c r="J590" s="1">
        <f>IF(B590="", "", "human oral metagenome")</f>
        <v>0</v>
      </c>
      <c r="K590" s="1">
        <f>IF(B590="", "", "447426")</f>
        <v>0</v>
      </c>
    </row>
    <row r="591" spans="1:11">
      <c r="A591">
        <f>IF(COUNTBLANK(B591:K591)&lt;&gt;COLUMNS(B591:K591),590,"")</f>
        <v>0</v>
      </c>
      <c r="C591" s="1">
        <f>IF(B591="", "", "animal secretion")</f>
        <v>0</v>
      </c>
      <c r="D591" s="1">
        <f>IF(B591="", "", "saliva")</f>
        <v>0</v>
      </c>
      <c r="E591" s="1">
        <f>IF(B591="", "", "human-oral")</f>
        <v>0</v>
      </c>
      <c r="F591" s="1">
        <f>IF(B591="", "", "UBERON:oral cavity")</f>
        <v>0</v>
      </c>
      <c r="G591" s="1">
        <f>IF(B591="", "", "UBERON:saliva")</f>
        <v>0</v>
      </c>
      <c r="H591" s="1">
        <f>IF(B591="", "", "UBERON:tongue")</f>
        <v>0</v>
      </c>
      <c r="I591" s="1">
        <f>IF(B591="", "", "tongue")</f>
        <v>0</v>
      </c>
      <c r="J591" s="1">
        <f>IF(B591="", "", "human oral metagenome")</f>
        <v>0</v>
      </c>
      <c r="K591" s="1">
        <f>IF(B591="", "", "447426")</f>
        <v>0</v>
      </c>
    </row>
    <row r="592" spans="1:11">
      <c r="A592">
        <f>IF(COUNTBLANK(B592:K592)&lt;&gt;COLUMNS(B592:K592),591,"")</f>
        <v>0</v>
      </c>
      <c r="C592" s="1">
        <f>IF(B592="", "", "animal secretion")</f>
        <v>0</v>
      </c>
      <c r="D592" s="1">
        <f>IF(B592="", "", "saliva")</f>
        <v>0</v>
      </c>
      <c r="E592" s="1">
        <f>IF(B592="", "", "human-oral")</f>
        <v>0</v>
      </c>
      <c r="F592" s="1">
        <f>IF(B592="", "", "UBERON:oral cavity")</f>
        <v>0</v>
      </c>
      <c r="G592" s="1">
        <f>IF(B592="", "", "UBERON:saliva")</f>
        <v>0</v>
      </c>
      <c r="H592" s="1">
        <f>IF(B592="", "", "UBERON:tongue")</f>
        <v>0</v>
      </c>
      <c r="I592" s="1">
        <f>IF(B592="", "", "tongue")</f>
        <v>0</v>
      </c>
      <c r="J592" s="1">
        <f>IF(B592="", "", "human oral metagenome")</f>
        <v>0</v>
      </c>
      <c r="K592" s="1">
        <f>IF(B592="", "", "447426")</f>
        <v>0</v>
      </c>
    </row>
    <row r="593" spans="1:11">
      <c r="A593">
        <f>IF(COUNTBLANK(B593:K593)&lt;&gt;COLUMNS(B593:K593),592,"")</f>
        <v>0</v>
      </c>
      <c r="C593" s="1">
        <f>IF(B593="", "", "animal secretion")</f>
        <v>0</v>
      </c>
      <c r="D593" s="1">
        <f>IF(B593="", "", "saliva")</f>
        <v>0</v>
      </c>
      <c r="E593" s="1">
        <f>IF(B593="", "", "human-oral")</f>
        <v>0</v>
      </c>
      <c r="F593" s="1">
        <f>IF(B593="", "", "UBERON:oral cavity")</f>
        <v>0</v>
      </c>
      <c r="G593" s="1">
        <f>IF(B593="", "", "UBERON:saliva")</f>
        <v>0</v>
      </c>
      <c r="H593" s="1">
        <f>IF(B593="", "", "UBERON:tongue")</f>
        <v>0</v>
      </c>
      <c r="I593" s="1">
        <f>IF(B593="", "", "tongue")</f>
        <v>0</v>
      </c>
      <c r="J593" s="1">
        <f>IF(B593="", "", "human oral metagenome")</f>
        <v>0</v>
      </c>
      <c r="K593" s="1">
        <f>IF(B593="", "", "447426")</f>
        <v>0</v>
      </c>
    </row>
    <row r="594" spans="1:11">
      <c r="A594">
        <f>IF(COUNTBLANK(B594:K594)&lt;&gt;COLUMNS(B594:K594),593,"")</f>
        <v>0</v>
      </c>
      <c r="C594" s="1">
        <f>IF(B594="", "", "animal secretion")</f>
        <v>0</v>
      </c>
      <c r="D594" s="1">
        <f>IF(B594="", "", "saliva")</f>
        <v>0</v>
      </c>
      <c r="E594" s="1">
        <f>IF(B594="", "", "human-oral")</f>
        <v>0</v>
      </c>
      <c r="F594" s="1">
        <f>IF(B594="", "", "UBERON:oral cavity")</f>
        <v>0</v>
      </c>
      <c r="G594" s="1">
        <f>IF(B594="", "", "UBERON:saliva")</f>
        <v>0</v>
      </c>
      <c r="H594" s="1">
        <f>IF(B594="", "", "UBERON:tongue")</f>
        <v>0</v>
      </c>
      <c r="I594" s="1">
        <f>IF(B594="", "", "tongue")</f>
        <v>0</v>
      </c>
      <c r="J594" s="1">
        <f>IF(B594="", "", "human oral metagenome")</f>
        <v>0</v>
      </c>
      <c r="K594" s="1">
        <f>IF(B594="", "", "447426")</f>
        <v>0</v>
      </c>
    </row>
    <row r="595" spans="1:11">
      <c r="A595">
        <f>IF(COUNTBLANK(B595:K595)&lt;&gt;COLUMNS(B595:K595),594,"")</f>
        <v>0</v>
      </c>
      <c r="C595" s="1">
        <f>IF(B595="", "", "animal secretion")</f>
        <v>0</v>
      </c>
      <c r="D595" s="1">
        <f>IF(B595="", "", "saliva")</f>
        <v>0</v>
      </c>
      <c r="E595" s="1">
        <f>IF(B595="", "", "human-oral")</f>
        <v>0</v>
      </c>
      <c r="F595" s="1">
        <f>IF(B595="", "", "UBERON:oral cavity")</f>
        <v>0</v>
      </c>
      <c r="G595" s="1">
        <f>IF(B595="", "", "UBERON:saliva")</f>
        <v>0</v>
      </c>
      <c r="H595" s="1">
        <f>IF(B595="", "", "UBERON:tongue")</f>
        <v>0</v>
      </c>
      <c r="I595" s="1">
        <f>IF(B595="", "", "tongue")</f>
        <v>0</v>
      </c>
      <c r="J595" s="1">
        <f>IF(B595="", "", "human oral metagenome")</f>
        <v>0</v>
      </c>
      <c r="K595" s="1">
        <f>IF(B595="", "", "447426")</f>
        <v>0</v>
      </c>
    </row>
    <row r="596" spans="1:11">
      <c r="A596">
        <f>IF(COUNTBLANK(B596:K596)&lt;&gt;COLUMNS(B596:K596),595,"")</f>
        <v>0</v>
      </c>
      <c r="C596" s="1">
        <f>IF(B596="", "", "animal secretion")</f>
        <v>0</v>
      </c>
      <c r="D596" s="1">
        <f>IF(B596="", "", "saliva")</f>
        <v>0</v>
      </c>
      <c r="E596" s="1">
        <f>IF(B596="", "", "human-oral")</f>
        <v>0</v>
      </c>
      <c r="F596" s="1">
        <f>IF(B596="", "", "UBERON:oral cavity")</f>
        <v>0</v>
      </c>
      <c r="G596" s="1">
        <f>IF(B596="", "", "UBERON:saliva")</f>
        <v>0</v>
      </c>
      <c r="H596" s="1">
        <f>IF(B596="", "", "UBERON:tongue")</f>
        <v>0</v>
      </c>
      <c r="I596" s="1">
        <f>IF(B596="", "", "tongue")</f>
        <v>0</v>
      </c>
      <c r="J596" s="1">
        <f>IF(B596="", "", "human oral metagenome")</f>
        <v>0</v>
      </c>
      <c r="K596" s="1">
        <f>IF(B596="", "", "447426")</f>
        <v>0</v>
      </c>
    </row>
    <row r="597" spans="1:11">
      <c r="A597">
        <f>IF(COUNTBLANK(B597:K597)&lt;&gt;COLUMNS(B597:K597),596,"")</f>
        <v>0</v>
      </c>
      <c r="C597" s="1">
        <f>IF(B597="", "", "animal secretion")</f>
        <v>0</v>
      </c>
      <c r="D597" s="1">
        <f>IF(B597="", "", "saliva")</f>
        <v>0</v>
      </c>
      <c r="E597" s="1">
        <f>IF(B597="", "", "human-oral")</f>
        <v>0</v>
      </c>
      <c r="F597" s="1">
        <f>IF(B597="", "", "UBERON:oral cavity")</f>
        <v>0</v>
      </c>
      <c r="G597" s="1">
        <f>IF(B597="", "", "UBERON:saliva")</f>
        <v>0</v>
      </c>
      <c r="H597" s="1">
        <f>IF(B597="", "", "UBERON:tongue")</f>
        <v>0</v>
      </c>
      <c r="I597" s="1">
        <f>IF(B597="", "", "tongue")</f>
        <v>0</v>
      </c>
      <c r="J597" s="1">
        <f>IF(B597="", "", "human oral metagenome")</f>
        <v>0</v>
      </c>
      <c r="K597" s="1">
        <f>IF(B597="", "", "447426")</f>
        <v>0</v>
      </c>
    </row>
    <row r="598" spans="1:11">
      <c r="A598">
        <f>IF(COUNTBLANK(B598:K598)&lt;&gt;COLUMNS(B598:K598),597,"")</f>
        <v>0</v>
      </c>
      <c r="C598" s="1">
        <f>IF(B598="", "", "animal secretion")</f>
        <v>0</v>
      </c>
      <c r="D598" s="1">
        <f>IF(B598="", "", "saliva")</f>
        <v>0</v>
      </c>
      <c r="E598" s="1">
        <f>IF(B598="", "", "human-oral")</f>
        <v>0</v>
      </c>
      <c r="F598" s="1">
        <f>IF(B598="", "", "UBERON:oral cavity")</f>
        <v>0</v>
      </c>
      <c r="G598" s="1">
        <f>IF(B598="", "", "UBERON:saliva")</f>
        <v>0</v>
      </c>
      <c r="H598" s="1">
        <f>IF(B598="", "", "UBERON:tongue")</f>
        <v>0</v>
      </c>
      <c r="I598" s="1">
        <f>IF(B598="", "", "tongue")</f>
        <v>0</v>
      </c>
      <c r="J598" s="1">
        <f>IF(B598="", "", "human oral metagenome")</f>
        <v>0</v>
      </c>
      <c r="K598" s="1">
        <f>IF(B598="", "", "447426")</f>
        <v>0</v>
      </c>
    </row>
    <row r="599" spans="1:11">
      <c r="A599">
        <f>IF(COUNTBLANK(B599:K599)&lt;&gt;COLUMNS(B599:K599),598,"")</f>
        <v>0</v>
      </c>
      <c r="C599" s="1">
        <f>IF(B599="", "", "animal secretion")</f>
        <v>0</v>
      </c>
      <c r="D599" s="1">
        <f>IF(B599="", "", "saliva")</f>
        <v>0</v>
      </c>
      <c r="E599" s="1">
        <f>IF(B599="", "", "human-oral")</f>
        <v>0</v>
      </c>
      <c r="F599" s="1">
        <f>IF(B599="", "", "UBERON:oral cavity")</f>
        <v>0</v>
      </c>
      <c r="G599" s="1">
        <f>IF(B599="", "", "UBERON:saliva")</f>
        <v>0</v>
      </c>
      <c r="H599" s="1">
        <f>IF(B599="", "", "UBERON:tongue")</f>
        <v>0</v>
      </c>
      <c r="I599" s="1">
        <f>IF(B599="", "", "tongue")</f>
        <v>0</v>
      </c>
      <c r="J599" s="1">
        <f>IF(B599="", "", "human oral metagenome")</f>
        <v>0</v>
      </c>
      <c r="K599" s="1">
        <f>IF(B599="", "", "447426")</f>
        <v>0</v>
      </c>
    </row>
    <row r="600" spans="1:11">
      <c r="A600">
        <f>IF(COUNTBLANK(B600:K600)&lt;&gt;COLUMNS(B600:K600),599,"")</f>
        <v>0</v>
      </c>
      <c r="C600" s="1">
        <f>IF(B600="", "", "animal secretion")</f>
        <v>0</v>
      </c>
      <c r="D600" s="1">
        <f>IF(B600="", "", "saliva")</f>
        <v>0</v>
      </c>
      <c r="E600" s="1">
        <f>IF(B600="", "", "human-oral")</f>
        <v>0</v>
      </c>
      <c r="F600" s="1">
        <f>IF(B600="", "", "UBERON:oral cavity")</f>
        <v>0</v>
      </c>
      <c r="G600" s="1">
        <f>IF(B600="", "", "UBERON:saliva")</f>
        <v>0</v>
      </c>
      <c r="H600" s="1">
        <f>IF(B600="", "", "UBERON:tongue")</f>
        <v>0</v>
      </c>
      <c r="I600" s="1">
        <f>IF(B600="", "", "tongue")</f>
        <v>0</v>
      </c>
      <c r="J600" s="1">
        <f>IF(B600="", "", "human oral metagenome")</f>
        <v>0</v>
      </c>
      <c r="K600" s="1">
        <f>IF(B600="", "", "447426")</f>
        <v>0</v>
      </c>
    </row>
    <row r="601" spans="1:11">
      <c r="A601">
        <f>IF(COUNTBLANK(B601:K601)&lt;&gt;COLUMNS(B601:K601),600,"")</f>
        <v>0</v>
      </c>
      <c r="C601" s="1">
        <f>IF(B601="", "", "animal secretion")</f>
        <v>0</v>
      </c>
      <c r="D601" s="1">
        <f>IF(B601="", "", "saliva")</f>
        <v>0</v>
      </c>
      <c r="E601" s="1">
        <f>IF(B601="", "", "human-oral")</f>
        <v>0</v>
      </c>
      <c r="F601" s="1">
        <f>IF(B601="", "", "UBERON:oral cavity")</f>
        <v>0</v>
      </c>
      <c r="G601" s="1">
        <f>IF(B601="", "", "UBERON:saliva")</f>
        <v>0</v>
      </c>
      <c r="H601" s="1">
        <f>IF(B601="", "", "UBERON:tongue")</f>
        <v>0</v>
      </c>
      <c r="I601" s="1">
        <f>IF(B601="", "", "tongue")</f>
        <v>0</v>
      </c>
      <c r="J601" s="1">
        <f>IF(B601="", "", "human oral metagenome")</f>
        <v>0</v>
      </c>
      <c r="K601" s="1">
        <f>IF(B601="", "", "447426")</f>
        <v>0</v>
      </c>
    </row>
    <row r="602" spans="1:11">
      <c r="A602">
        <f>IF(COUNTBLANK(B602:K602)&lt;&gt;COLUMNS(B602:K602),601,"")</f>
        <v>0</v>
      </c>
      <c r="C602" s="1">
        <f>IF(B602="", "", "animal secretion")</f>
        <v>0</v>
      </c>
      <c r="D602" s="1">
        <f>IF(B602="", "", "saliva")</f>
        <v>0</v>
      </c>
      <c r="E602" s="1">
        <f>IF(B602="", "", "human-oral")</f>
        <v>0</v>
      </c>
      <c r="F602" s="1">
        <f>IF(B602="", "", "UBERON:oral cavity")</f>
        <v>0</v>
      </c>
      <c r="G602" s="1">
        <f>IF(B602="", "", "UBERON:saliva")</f>
        <v>0</v>
      </c>
      <c r="H602" s="1">
        <f>IF(B602="", "", "UBERON:tongue")</f>
        <v>0</v>
      </c>
      <c r="I602" s="1">
        <f>IF(B602="", "", "tongue")</f>
        <v>0</v>
      </c>
      <c r="J602" s="1">
        <f>IF(B602="", "", "human oral metagenome")</f>
        <v>0</v>
      </c>
      <c r="K602" s="1">
        <f>IF(B602="", "", "447426")</f>
        <v>0</v>
      </c>
    </row>
    <row r="603" spans="1:11">
      <c r="A603">
        <f>IF(COUNTBLANK(B603:K603)&lt;&gt;COLUMNS(B603:K603),602,"")</f>
        <v>0</v>
      </c>
      <c r="C603" s="1">
        <f>IF(B603="", "", "animal secretion")</f>
        <v>0</v>
      </c>
      <c r="D603" s="1">
        <f>IF(B603="", "", "saliva")</f>
        <v>0</v>
      </c>
      <c r="E603" s="1">
        <f>IF(B603="", "", "human-oral")</f>
        <v>0</v>
      </c>
      <c r="F603" s="1">
        <f>IF(B603="", "", "UBERON:oral cavity")</f>
        <v>0</v>
      </c>
      <c r="G603" s="1">
        <f>IF(B603="", "", "UBERON:saliva")</f>
        <v>0</v>
      </c>
      <c r="H603" s="1">
        <f>IF(B603="", "", "UBERON:tongue")</f>
        <v>0</v>
      </c>
      <c r="I603" s="1">
        <f>IF(B603="", "", "tongue")</f>
        <v>0</v>
      </c>
      <c r="J603" s="1">
        <f>IF(B603="", "", "human oral metagenome")</f>
        <v>0</v>
      </c>
      <c r="K603" s="1">
        <f>IF(B603="", "", "447426")</f>
        <v>0</v>
      </c>
    </row>
    <row r="604" spans="1:11">
      <c r="A604">
        <f>IF(COUNTBLANK(B604:K604)&lt;&gt;COLUMNS(B604:K604),603,"")</f>
        <v>0</v>
      </c>
      <c r="C604" s="1">
        <f>IF(B604="", "", "animal secretion")</f>
        <v>0</v>
      </c>
      <c r="D604" s="1">
        <f>IF(B604="", "", "saliva")</f>
        <v>0</v>
      </c>
      <c r="E604" s="1">
        <f>IF(B604="", "", "human-oral")</f>
        <v>0</v>
      </c>
      <c r="F604" s="1">
        <f>IF(B604="", "", "UBERON:oral cavity")</f>
        <v>0</v>
      </c>
      <c r="G604" s="1">
        <f>IF(B604="", "", "UBERON:saliva")</f>
        <v>0</v>
      </c>
      <c r="H604" s="1">
        <f>IF(B604="", "", "UBERON:tongue")</f>
        <v>0</v>
      </c>
      <c r="I604" s="1">
        <f>IF(B604="", "", "tongue")</f>
        <v>0</v>
      </c>
      <c r="J604" s="1">
        <f>IF(B604="", "", "human oral metagenome")</f>
        <v>0</v>
      </c>
      <c r="K604" s="1">
        <f>IF(B604="", "", "447426")</f>
        <v>0</v>
      </c>
    </row>
    <row r="605" spans="1:11">
      <c r="A605">
        <f>IF(COUNTBLANK(B605:K605)&lt;&gt;COLUMNS(B605:K605),604,"")</f>
        <v>0</v>
      </c>
      <c r="C605" s="1">
        <f>IF(B605="", "", "animal secretion")</f>
        <v>0</v>
      </c>
      <c r="D605" s="1">
        <f>IF(B605="", "", "saliva")</f>
        <v>0</v>
      </c>
      <c r="E605" s="1">
        <f>IF(B605="", "", "human-oral")</f>
        <v>0</v>
      </c>
      <c r="F605" s="1">
        <f>IF(B605="", "", "UBERON:oral cavity")</f>
        <v>0</v>
      </c>
      <c r="G605" s="1">
        <f>IF(B605="", "", "UBERON:saliva")</f>
        <v>0</v>
      </c>
      <c r="H605" s="1">
        <f>IF(B605="", "", "UBERON:tongue")</f>
        <v>0</v>
      </c>
      <c r="I605" s="1">
        <f>IF(B605="", "", "tongue")</f>
        <v>0</v>
      </c>
      <c r="J605" s="1">
        <f>IF(B605="", "", "human oral metagenome")</f>
        <v>0</v>
      </c>
      <c r="K605" s="1">
        <f>IF(B605="", "", "447426")</f>
        <v>0</v>
      </c>
    </row>
    <row r="606" spans="1:11">
      <c r="A606">
        <f>IF(COUNTBLANK(B606:K606)&lt;&gt;COLUMNS(B606:K606),605,"")</f>
        <v>0</v>
      </c>
      <c r="C606" s="1">
        <f>IF(B606="", "", "animal secretion")</f>
        <v>0</v>
      </c>
      <c r="D606" s="1">
        <f>IF(B606="", "", "saliva")</f>
        <v>0</v>
      </c>
      <c r="E606" s="1">
        <f>IF(B606="", "", "human-oral")</f>
        <v>0</v>
      </c>
      <c r="F606" s="1">
        <f>IF(B606="", "", "UBERON:oral cavity")</f>
        <v>0</v>
      </c>
      <c r="G606" s="1">
        <f>IF(B606="", "", "UBERON:saliva")</f>
        <v>0</v>
      </c>
      <c r="H606" s="1">
        <f>IF(B606="", "", "UBERON:tongue")</f>
        <v>0</v>
      </c>
      <c r="I606" s="1">
        <f>IF(B606="", "", "tongue")</f>
        <v>0</v>
      </c>
      <c r="J606" s="1">
        <f>IF(B606="", "", "human oral metagenome")</f>
        <v>0</v>
      </c>
      <c r="K606" s="1">
        <f>IF(B606="", "", "447426")</f>
        <v>0</v>
      </c>
    </row>
    <row r="607" spans="1:11">
      <c r="A607">
        <f>IF(COUNTBLANK(B607:K607)&lt;&gt;COLUMNS(B607:K607),606,"")</f>
        <v>0</v>
      </c>
      <c r="C607" s="1">
        <f>IF(B607="", "", "animal secretion")</f>
        <v>0</v>
      </c>
      <c r="D607" s="1">
        <f>IF(B607="", "", "saliva")</f>
        <v>0</v>
      </c>
      <c r="E607" s="1">
        <f>IF(B607="", "", "human-oral")</f>
        <v>0</v>
      </c>
      <c r="F607" s="1">
        <f>IF(B607="", "", "UBERON:oral cavity")</f>
        <v>0</v>
      </c>
      <c r="G607" s="1">
        <f>IF(B607="", "", "UBERON:saliva")</f>
        <v>0</v>
      </c>
      <c r="H607" s="1">
        <f>IF(B607="", "", "UBERON:tongue")</f>
        <v>0</v>
      </c>
      <c r="I607" s="1">
        <f>IF(B607="", "", "tongue")</f>
        <v>0</v>
      </c>
      <c r="J607" s="1">
        <f>IF(B607="", "", "human oral metagenome")</f>
        <v>0</v>
      </c>
      <c r="K607" s="1">
        <f>IF(B607="", "", "447426")</f>
        <v>0</v>
      </c>
    </row>
    <row r="608" spans="1:11">
      <c r="A608">
        <f>IF(COUNTBLANK(B608:K608)&lt;&gt;COLUMNS(B608:K608),607,"")</f>
        <v>0</v>
      </c>
      <c r="C608" s="1">
        <f>IF(B608="", "", "animal secretion")</f>
        <v>0</v>
      </c>
      <c r="D608" s="1">
        <f>IF(B608="", "", "saliva")</f>
        <v>0</v>
      </c>
      <c r="E608" s="1">
        <f>IF(B608="", "", "human-oral")</f>
        <v>0</v>
      </c>
      <c r="F608" s="1">
        <f>IF(B608="", "", "UBERON:oral cavity")</f>
        <v>0</v>
      </c>
      <c r="G608" s="1">
        <f>IF(B608="", "", "UBERON:saliva")</f>
        <v>0</v>
      </c>
      <c r="H608" s="1">
        <f>IF(B608="", "", "UBERON:tongue")</f>
        <v>0</v>
      </c>
      <c r="I608" s="1">
        <f>IF(B608="", "", "tongue")</f>
        <v>0</v>
      </c>
      <c r="J608" s="1">
        <f>IF(B608="", "", "human oral metagenome")</f>
        <v>0</v>
      </c>
      <c r="K608" s="1">
        <f>IF(B608="", "", "447426")</f>
        <v>0</v>
      </c>
    </row>
    <row r="609" spans="1:11">
      <c r="A609">
        <f>IF(COUNTBLANK(B609:K609)&lt;&gt;COLUMNS(B609:K609),608,"")</f>
        <v>0</v>
      </c>
      <c r="C609" s="1">
        <f>IF(B609="", "", "animal secretion")</f>
        <v>0</v>
      </c>
      <c r="D609" s="1">
        <f>IF(B609="", "", "saliva")</f>
        <v>0</v>
      </c>
      <c r="E609" s="1">
        <f>IF(B609="", "", "human-oral")</f>
        <v>0</v>
      </c>
      <c r="F609" s="1">
        <f>IF(B609="", "", "UBERON:oral cavity")</f>
        <v>0</v>
      </c>
      <c r="G609" s="1">
        <f>IF(B609="", "", "UBERON:saliva")</f>
        <v>0</v>
      </c>
      <c r="H609" s="1">
        <f>IF(B609="", "", "UBERON:tongue")</f>
        <v>0</v>
      </c>
      <c r="I609" s="1">
        <f>IF(B609="", "", "tongue")</f>
        <v>0</v>
      </c>
      <c r="J609" s="1">
        <f>IF(B609="", "", "human oral metagenome")</f>
        <v>0</v>
      </c>
      <c r="K609" s="1">
        <f>IF(B609="", "", "447426")</f>
        <v>0</v>
      </c>
    </row>
    <row r="610" spans="1:11">
      <c r="A610">
        <f>IF(COUNTBLANK(B610:K610)&lt;&gt;COLUMNS(B610:K610),609,"")</f>
        <v>0</v>
      </c>
      <c r="C610" s="1">
        <f>IF(B610="", "", "animal secretion")</f>
        <v>0</v>
      </c>
      <c r="D610" s="1">
        <f>IF(B610="", "", "saliva")</f>
        <v>0</v>
      </c>
      <c r="E610" s="1">
        <f>IF(B610="", "", "human-oral")</f>
        <v>0</v>
      </c>
      <c r="F610" s="1">
        <f>IF(B610="", "", "UBERON:oral cavity")</f>
        <v>0</v>
      </c>
      <c r="G610" s="1">
        <f>IF(B610="", "", "UBERON:saliva")</f>
        <v>0</v>
      </c>
      <c r="H610" s="1">
        <f>IF(B610="", "", "UBERON:tongue")</f>
        <v>0</v>
      </c>
      <c r="I610" s="1">
        <f>IF(B610="", "", "tongue")</f>
        <v>0</v>
      </c>
      <c r="J610" s="1">
        <f>IF(B610="", "", "human oral metagenome")</f>
        <v>0</v>
      </c>
      <c r="K610" s="1">
        <f>IF(B610="", "", "447426")</f>
        <v>0</v>
      </c>
    </row>
    <row r="611" spans="1:11">
      <c r="A611">
        <f>IF(COUNTBLANK(B611:K611)&lt;&gt;COLUMNS(B611:K611),610,"")</f>
        <v>0</v>
      </c>
      <c r="C611" s="1">
        <f>IF(B611="", "", "animal secretion")</f>
        <v>0</v>
      </c>
      <c r="D611" s="1">
        <f>IF(B611="", "", "saliva")</f>
        <v>0</v>
      </c>
      <c r="E611" s="1">
        <f>IF(B611="", "", "human-oral")</f>
        <v>0</v>
      </c>
      <c r="F611" s="1">
        <f>IF(B611="", "", "UBERON:oral cavity")</f>
        <v>0</v>
      </c>
      <c r="G611" s="1">
        <f>IF(B611="", "", "UBERON:saliva")</f>
        <v>0</v>
      </c>
      <c r="H611" s="1">
        <f>IF(B611="", "", "UBERON:tongue")</f>
        <v>0</v>
      </c>
      <c r="I611" s="1">
        <f>IF(B611="", "", "tongue")</f>
        <v>0</v>
      </c>
      <c r="J611" s="1">
        <f>IF(B611="", "", "human oral metagenome")</f>
        <v>0</v>
      </c>
      <c r="K611" s="1">
        <f>IF(B611="", "", "447426")</f>
        <v>0</v>
      </c>
    </row>
    <row r="612" spans="1:11">
      <c r="A612">
        <f>IF(COUNTBLANK(B612:K612)&lt;&gt;COLUMNS(B612:K612),611,"")</f>
        <v>0</v>
      </c>
      <c r="C612" s="1">
        <f>IF(B612="", "", "animal secretion")</f>
        <v>0</v>
      </c>
      <c r="D612" s="1">
        <f>IF(B612="", "", "saliva")</f>
        <v>0</v>
      </c>
      <c r="E612" s="1">
        <f>IF(B612="", "", "human-oral")</f>
        <v>0</v>
      </c>
      <c r="F612" s="1">
        <f>IF(B612="", "", "UBERON:oral cavity")</f>
        <v>0</v>
      </c>
      <c r="G612" s="1">
        <f>IF(B612="", "", "UBERON:saliva")</f>
        <v>0</v>
      </c>
      <c r="H612" s="1">
        <f>IF(B612="", "", "UBERON:tongue")</f>
        <v>0</v>
      </c>
      <c r="I612" s="1">
        <f>IF(B612="", "", "tongue")</f>
        <v>0</v>
      </c>
      <c r="J612" s="1">
        <f>IF(B612="", "", "human oral metagenome")</f>
        <v>0</v>
      </c>
      <c r="K612" s="1">
        <f>IF(B612="", "", "447426")</f>
        <v>0</v>
      </c>
    </row>
    <row r="613" spans="1:11">
      <c r="A613">
        <f>IF(COUNTBLANK(B613:K613)&lt;&gt;COLUMNS(B613:K613),612,"")</f>
        <v>0</v>
      </c>
      <c r="C613" s="1">
        <f>IF(B613="", "", "animal secretion")</f>
        <v>0</v>
      </c>
      <c r="D613" s="1">
        <f>IF(B613="", "", "saliva")</f>
        <v>0</v>
      </c>
      <c r="E613" s="1">
        <f>IF(B613="", "", "human-oral")</f>
        <v>0</v>
      </c>
      <c r="F613" s="1">
        <f>IF(B613="", "", "UBERON:oral cavity")</f>
        <v>0</v>
      </c>
      <c r="G613" s="1">
        <f>IF(B613="", "", "UBERON:saliva")</f>
        <v>0</v>
      </c>
      <c r="H613" s="1">
        <f>IF(B613="", "", "UBERON:tongue")</f>
        <v>0</v>
      </c>
      <c r="I613" s="1">
        <f>IF(B613="", "", "tongue")</f>
        <v>0</v>
      </c>
      <c r="J613" s="1">
        <f>IF(B613="", "", "human oral metagenome")</f>
        <v>0</v>
      </c>
      <c r="K613" s="1">
        <f>IF(B613="", "", "447426")</f>
        <v>0</v>
      </c>
    </row>
    <row r="614" spans="1:11">
      <c r="A614">
        <f>IF(COUNTBLANK(B614:K614)&lt;&gt;COLUMNS(B614:K614),613,"")</f>
        <v>0</v>
      </c>
      <c r="C614" s="1">
        <f>IF(B614="", "", "animal secretion")</f>
        <v>0</v>
      </c>
      <c r="D614" s="1">
        <f>IF(B614="", "", "saliva")</f>
        <v>0</v>
      </c>
      <c r="E614" s="1">
        <f>IF(B614="", "", "human-oral")</f>
        <v>0</v>
      </c>
      <c r="F614" s="1">
        <f>IF(B614="", "", "UBERON:oral cavity")</f>
        <v>0</v>
      </c>
      <c r="G614" s="1">
        <f>IF(B614="", "", "UBERON:saliva")</f>
        <v>0</v>
      </c>
      <c r="H614" s="1">
        <f>IF(B614="", "", "UBERON:tongue")</f>
        <v>0</v>
      </c>
      <c r="I614" s="1">
        <f>IF(B614="", "", "tongue")</f>
        <v>0</v>
      </c>
      <c r="J614" s="1">
        <f>IF(B614="", "", "human oral metagenome")</f>
        <v>0</v>
      </c>
      <c r="K614" s="1">
        <f>IF(B614="", "", "447426")</f>
        <v>0</v>
      </c>
    </row>
    <row r="615" spans="1:11">
      <c r="A615">
        <f>IF(COUNTBLANK(B615:K615)&lt;&gt;COLUMNS(B615:K615),614,"")</f>
        <v>0</v>
      </c>
      <c r="C615" s="1">
        <f>IF(B615="", "", "animal secretion")</f>
        <v>0</v>
      </c>
      <c r="D615" s="1">
        <f>IF(B615="", "", "saliva")</f>
        <v>0</v>
      </c>
      <c r="E615" s="1">
        <f>IF(B615="", "", "human-oral")</f>
        <v>0</v>
      </c>
      <c r="F615" s="1">
        <f>IF(B615="", "", "UBERON:oral cavity")</f>
        <v>0</v>
      </c>
      <c r="G615" s="1">
        <f>IF(B615="", "", "UBERON:saliva")</f>
        <v>0</v>
      </c>
      <c r="H615" s="1">
        <f>IF(B615="", "", "UBERON:tongue")</f>
        <v>0</v>
      </c>
      <c r="I615" s="1">
        <f>IF(B615="", "", "tongue")</f>
        <v>0</v>
      </c>
      <c r="J615" s="1">
        <f>IF(B615="", "", "human oral metagenome")</f>
        <v>0</v>
      </c>
      <c r="K615" s="1">
        <f>IF(B615="", "", "447426")</f>
        <v>0</v>
      </c>
    </row>
    <row r="616" spans="1:11">
      <c r="A616">
        <f>IF(COUNTBLANK(B616:K616)&lt;&gt;COLUMNS(B616:K616),615,"")</f>
        <v>0</v>
      </c>
      <c r="C616" s="1">
        <f>IF(B616="", "", "animal secretion")</f>
        <v>0</v>
      </c>
      <c r="D616" s="1">
        <f>IF(B616="", "", "saliva")</f>
        <v>0</v>
      </c>
      <c r="E616" s="1">
        <f>IF(B616="", "", "human-oral")</f>
        <v>0</v>
      </c>
      <c r="F616" s="1">
        <f>IF(B616="", "", "UBERON:oral cavity")</f>
        <v>0</v>
      </c>
      <c r="G616" s="1">
        <f>IF(B616="", "", "UBERON:saliva")</f>
        <v>0</v>
      </c>
      <c r="H616" s="1">
        <f>IF(B616="", "", "UBERON:tongue")</f>
        <v>0</v>
      </c>
      <c r="I616" s="1">
        <f>IF(B616="", "", "tongue")</f>
        <v>0</v>
      </c>
      <c r="J616" s="1">
        <f>IF(B616="", "", "human oral metagenome")</f>
        <v>0</v>
      </c>
      <c r="K616" s="1">
        <f>IF(B616="", "", "447426")</f>
        <v>0</v>
      </c>
    </row>
    <row r="617" spans="1:11">
      <c r="A617">
        <f>IF(COUNTBLANK(B617:K617)&lt;&gt;COLUMNS(B617:K617),616,"")</f>
        <v>0</v>
      </c>
      <c r="C617" s="1">
        <f>IF(B617="", "", "animal secretion")</f>
        <v>0</v>
      </c>
      <c r="D617" s="1">
        <f>IF(B617="", "", "saliva")</f>
        <v>0</v>
      </c>
      <c r="E617" s="1">
        <f>IF(B617="", "", "human-oral")</f>
        <v>0</v>
      </c>
      <c r="F617" s="1">
        <f>IF(B617="", "", "UBERON:oral cavity")</f>
        <v>0</v>
      </c>
      <c r="G617" s="1">
        <f>IF(B617="", "", "UBERON:saliva")</f>
        <v>0</v>
      </c>
      <c r="H617" s="1">
        <f>IF(B617="", "", "UBERON:tongue")</f>
        <v>0</v>
      </c>
      <c r="I617" s="1">
        <f>IF(B617="", "", "tongue")</f>
        <v>0</v>
      </c>
      <c r="J617" s="1">
        <f>IF(B617="", "", "human oral metagenome")</f>
        <v>0</v>
      </c>
      <c r="K617" s="1">
        <f>IF(B617="", "", "447426")</f>
        <v>0</v>
      </c>
    </row>
    <row r="618" spans="1:11">
      <c r="A618">
        <f>IF(COUNTBLANK(B618:K618)&lt;&gt;COLUMNS(B618:K618),617,"")</f>
        <v>0</v>
      </c>
      <c r="C618" s="1">
        <f>IF(B618="", "", "animal secretion")</f>
        <v>0</v>
      </c>
      <c r="D618" s="1">
        <f>IF(B618="", "", "saliva")</f>
        <v>0</v>
      </c>
      <c r="E618" s="1">
        <f>IF(B618="", "", "human-oral")</f>
        <v>0</v>
      </c>
      <c r="F618" s="1">
        <f>IF(B618="", "", "UBERON:oral cavity")</f>
        <v>0</v>
      </c>
      <c r="G618" s="1">
        <f>IF(B618="", "", "UBERON:saliva")</f>
        <v>0</v>
      </c>
      <c r="H618" s="1">
        <f>IF(B618="", "", "UBERON:tongue")</f>
        <v>0</v>
      </c>
      <c r="I618" s="1">
        <f>IF(B618="", "", "tongue")</f>
        <v>0</v>
      </c>
      <c r="J618" s="1">
        <f>IF(B618="", "", "human oral metagenome")</f>
        <v>0</v>
      </c>
      <c r="K618" s="1">
        <f>IF(B618="", "", "447426")</f>
        <v>0</v>
      </c>
    </row>
    <row r="619" spans="1:11">
      <c r="A619">
        <f>IF(COUNTBLANK(B619:K619)&lt;&gt;COLUMNS(B619:K619),618,"")</f>
        <v>0</v>
      </c>
      <c r="C619" s="1">
        <f>IF(B619="", "", "animal secretion")</f>
        <v>0</v>
      </c>
      <c r="D619" s="1">
        <f>IF(B619="", "", "saliva")</f>
        <v>0</v>
      </c>
      <c r="E619" s="1">
        <f>IF(B619="", "", "human-oral")</f>
        <v>0</v>
      </c>
      <c r="F619" s="1">
        <f>IF(B619="", "", "UBERON:oral cavity")</f>
        <v>0</v>
      </c>
      <c r="G619" s="1">
        <f>IF(B619="", "", "UBERON:saliva")</f>
        <v>0</v>
      </c>
      <c r="H619" s="1">
        <f>IF(B619="", "", "UBERON:tongue")</f>
        <v>0</v>
      </c>
      <c r="I619" s="1">
        <f>IF(B619="", "", "tongue")</f>
        <v>0</v>
      </c>
      <c r="J619" s="1">
        <f>IF(B619="", "", "human oral metagenome")</f>
        <v>0</v>
      </c>
      <c r="K619" s="1">
        <f>IF(B619="", "", "447426")</f>
        <v>0</v>
      </c>
    </row>
    <row r="620" spans="1:11">
      <c r="A620">
        <f>IF(COUNTBLANK(B620:K620)&lt;&gt;COLUMNS(B620:K620),619,"")</f>
        <v>0</v>
      </c>
      <c r="C620" s="1">
        <f>IF(B620="", "", "animal secretion")</f>
        <v>0</v>
      </c>
      <c r="D620" s="1">
        <f>IF(B620="", "", "saliva")</f>
        <v>0</v>
      </c>
      <c r="E620" s="1">
        <f>IF(B620="", "", "human-oral")</f>
        <v>0</v>
      </c>
      <c r="F620" s="1">
        <f>IF(B620="", "", "UBERON:oral cavity")</f>
        <v>0</v>
      </c>
      <c r="G620" s="1">
        <f>IF(B620="", "", "UBERON:saliva")</f>
        <v>0</v>
      </c>
      <c r="H620" s="1">
        <f>IF(B620="", "", "UBERON:tongue")</f>
        <v>0</v>
      </c>
      <c r="I620" s="1">
        <f>IF(B620="", "", "tongue")</f>
        <v>0</v>
      </c>
      <c r="J620" s="1">
        <f>IF(B620="", "", "human oral metagenome")</f>
        <v>0</v>
      </c>
      <c r="K620" s="1">
        <f>IF(B620="", "", "447426")</f>
        <v>0</v>
      </c>
    </row>
    <row r="621" spans="1:11">
      <c r="A621">
        <f>IF(COUNTBLANK(B621:K621)&lt;&gt;COLUMNS(B621:K621),620,"")</f>
        <v>0</v>
      </c>
      <c r="C621" s="1">
        <f>IF(B621="", "", "animal secretion")</f>
        <v>0</v>
      </c>
      <c r="D621" s="1">
        <f>IF(B621="", "", "saliva")</f>
        <v>0</v>
      </c>
      <c r="E621" s="1">
        <f>IF(B621="", "", "human-oral")</f>
        <v>0</v>
      </c>
      <c r="F621" s="1">
        <f>IF(B621="", "", "UBERON:oral cavity")</f>
        <v>0</v>
      </c>
      <c r="G621" s="1">
        <f>IF(B621="", "", "UBERON:saliva")</f>
        <v>0</v>
      </c>
      <c r="H621" s="1">
        <f>IF(B621="", "", "UBERON:tongue")</f>
        <v>0</v>
      </c>
      <c r="I621" s="1">
        <f>IF(B621="", "", "tongue")</f>
        <v>0</v>
      </c>
      <c r="J621" s="1">
        <f>IF(B621="", "", "human oral metagenome")</f>
        <v>0</v>
      </c>
      <c r="K621" s="1">
        <f>IF(B621="", "", "447426")</f>
        <v>0</v>
      </c>
    </row>
    <row r="622" spans="1:11">
      <c r="A622">
        <f>IF(COUNTBLANK(B622:K622)&lt;&gt;COLUMNS(B622:K622),621,"")</f>
        <v>0</v>
      </c>
      <c r="C622" s="1">
        <f>IF(B622="", "", "animal secretion")</f>
        <v>0</v>
      </c>
      <c r="D622" s="1">
        <f>IF(B622="", "", "saliva")</f>
        <v>0</v>
      </c>
      <c r="E622" s="1">
        <f>IF(B622="", "", "human-oral")</f>
        <v>0</v>
      </c>
      <c r="F622" s="1">
        <f>IF(B622="", "", "UBERON:oral cavity")</f>
        <v>0</v>
      </c>
      <c r="G622" s="1">
        <f>IF(B622="", "", "UBERON:saliva")</f>
        <v>0</v>
      </c>
      <c r="H622" s="1">
        <f>IF(B622="", "", "UBERON:tongue")</f>
        <v>0</v>
      </c>
      <c r="I622" s="1">
        <f>IF(B622="", "", "tongue")</f>
        <v>0</v>
      </c>
      <c r="J622" s="1">
        <f>IF(B622="", "", "human oral metagenome")</f>
        <v>0</v>
      </c>
      <c r="K622" s="1">
        <f>IF(B622="", "", "447426")</f>
        <v>0</v>
      </c>
    </row>
    <row r="623" spans="1:11">
      <c r="A623">
        <f>IF(COUNTBLANK(B623:K623)&lt;&gt;COLUMNS(B623:K623),622,"")</f>
        <v>0</v>
      </c>
      <c r="C623" s="1">
        <f>IF(B623="", "", "animal secretion")</f>
        <v>0</v>
      </c>
      <c r="D623" s="1">
        <f>IF(B623="", "", "saliva")</f>
        <v>0</v>
      </c>
      <c r="E623" s="1">
        <f>IF(B623="", "", "human-oral")</f>
        <v>0</v>
      </c>
      <c r="F623" s="1">
        <f>IF(B623="", "", "UBERON:oral cavity")</f>
        <v>0</v>
      </c>
      <c r="G623" s="1">
        <f>IF(B623="", "", "UBERON:saliva")</f>
        <v>0</v>
      </c>
      <c r="H623" s="1">
        <f>IF(B623="", "", "UBERON:tongue")</f>
        <v>0</v>
      </c>
      <c r="I623" s="1">
        <f>IF(B623="", "", "tongue")</f>
        <v>0</v>
      </c>
      <c r="J623" s="1">
        <f>IF(B623="", "", "human oral metagenome")</f>
        <v>0</v>
      </c>
      <c r="K623" s="1">
        <f>IF(B623="", "", "447426")</f>
        <v>0</v>
      </c>
    </row>
    <row r="624" spans="1:11">
      <c r="A624">
        <f>IF(COUNTBLANK(B624:K624)&lt;&gt;COLUMNS(B624:K624),623,"")</f>
        <v>0</v>
      </c>
      <c r="C624" s="1">
        <f>IF(B624="", "", "animal secretion")</f>
        <v>0</v>
      </c>
      <c r="D624" s="1">
        <f>IF(B624="", "", "saliva")</f>
        <v>0</v>
      </c>
      <c r="E624" s="1">
        <f>IF(B624="", "", "human-oral")</f>
        <v>0</v>
      </c>
      <c r="F624" s="1">
        <f>IF(B624="", "", "UBERON:oral cavity")</f>
        <v>0</v>
      </c>
      <c r="G624" s="1">
        <f>IF(B624="", "", "UBERON:saliva")</f>
        <v>0</v>
      </c>
      <c r="H624" s="1">
        <f>IF(B624="", "", "UBERON:tongue")</f>
        <v>0</v>
      </c>
      <c r="I624" s="1">
        <f>IF(B624="", "", "tongue")</f>
        <v>0</v>
      </c>
      <c r="J624" s="1">
        <f>IF(B624="", "", "human oral metagenome")</f>
        <v>0</v>
      </c>
      <c r="K624" s="1">
        <f>IF(B624="", "", "447426")</f>
        <v>0</v>
      </c>
    </row>
    <row r="625" spans="1:11">
      <c r="A625">
        <f>IF(COUNTBLANK(B625:K625)&lt;&gt;COLUMNS(B625:K625),624,"")</f>
        <v>0</v>
      </c>
      <c r="C625" s="1">
        <f>IF(B625="", "", "animal secretion")</f>
        <v>0</v>
      </c>
      <c r="D625" s="1">
        <f>IF(B625="", "", "saliva")</f>
        <v>0</v>
      </c>
      <c r="E625" s="1">
        <f>IF(B625="", "", "human-oral")</f>
        <v>0</v>
      </c>
      <c r="F625" s="1">
        <f>IF(B625="", "", "UBERON:oral cavity")</f>
        <v>0</v>
      </c>
      <c r="G625" s="1">
        <f>IF(B625="", "", "UBERON:saliva")</f>
        <v>0</v>
      </c>
      <c r="H625" s="1">
        <f>IF(B625="", "", "UBERON:tongue")</f>
        <v>0</v>
      </c>
      <c r="I625" s="1">
        <f>IF(B625="", "", "tongue")</f>
        <v>0</v>
      </c>
      <c r="J625" s="1">
        <f>IF(B625="", "", "human oral metagenome")</f>
        <v>0</v>
      </c>
      <c r="K625" s="1">
        <f>IF(B625="", "", "447426")</f>
        <v>0</v>
      </c>
    </row>
    <row r="626" spans="1:11">
      <c r="A626">
        <f>IF(COUNTBLANK(B626:K626)&lt;&gt;COLUMNS(B626:K626),625,"")</f>
        <v>0</v>
      </c>
      <c r="C626" s="1">
        <f>IF(B626="", "", "animal secretion")</f>
        <v>0</v>
      </c>
      <c r="D626" s="1">
        <f>IF(B626="", "", "saliva")</f>
        <v>0</v>
      </c>
      <c r="E626" s="1">
        <f>IF(B626="", "", "human-oral")</f>
        <v>0</v>
      </c>
      <c r="F626" s="1">
        <f>IF(B626="", "", "UBERON:oral cavity")</f>
        <v>0</v>
      </c>
      <c r="G626" s="1">
        <f>IF(B626="", "", "UBERON:saliva")</f>
        <v>0</v>
      </c>
      <c r="H626" s="1">
        <f>IF(B626="", "", "UBERON:tongue")</f>
        <v>0</v>
      </c>
      <c r="I626" s="1">
        <f>IF(B626="", "", "tongue")</f>
        <v>0</v>
      </c>
      <c r="J626" s="1">
        <f>IF(B626="", "", "human oral metagenome")</f>
        <v>0</v>
      </c>
      <c r="K626" s="1">
        <f>IF(B626="", "", "447426")</f>
        <v>0</v>
      </c>
    </row>
    <row r="627" spans="1:11">
      <c r="A627">
        <f>IF(COUNTBLANK(B627:K627)&lt;&gt;COLUMNS(B627:K627),626,"")</f>
        <v>0</v>
      </c>
      <c r="C627" s="1">
        <f>IF(B627="", "", "animal secretion")</f>
        <v>0</v>
      </c>
      <c r="D627" s="1">
        <f>IF(B627="", "", "saliva")</f>
        <v>0</v>
      </c>
      <c r="E627" s="1">
        <f>IF(B627="", "", "human-oral")</f>
        <v>0</v>
      </c>
      <c r="F627" s="1">
        <f>IF(B627="", "", "UBERON:oral cavity")</f>
        <v>0</v>
      </c>
      <c r="G627" s="1">
        <f>IF(B627="", "", "UBERON:saliva")</f>
        <v>0</v>
      </c>
      <c r="H627" s="1">
        <f>IF(B627="", "", "UBERON:tongue")</f>
        <v>0</v>
      </c>
      <c r="I627" s="1">
        <f>IF(B627="", "", "tongue")</f>
        <v>0</v>
      </c>
      <c r="J627" s="1">
        <f>IF(B627="", "", "human oral metagenome")</f>
        <v>0</v>
      </c>
      <c r="K627" s="1">
        <f>IF(B627="", "", "447426")</f>
        <v>0</v>
      </c>
    </row>
    <row r="628" spans="1:11">
      <c r="A628">
        <f>IF(COUNTBLANK(B628:K628)&lt;&gt;COLUMNS(B628:K628),627,"")</f>
        <v>0</v>
      </c>
      <c r="C628" s="1">
        <f>IF(B628="", "", "animal secretion")</f>
        <v>0</v>
      </c>
      <c r="D628" s="1">
        <f>IF(B628="", "", "saliva")</f>
        <v>0</v>
      </c>
      <c r="E628" s="1">
        <f>IF(B628="", "", "human-oral")</f>
        <v>0</v>
      </c>
      <c r="F628" s="1">
        <f>IF(B628="", "", "UBERON:oral cavity")</f>
        <v>0</v>
      </c>
      <c r="G628" s="1">
        <f>IF(B628="", "", "UBERON:saliva")</f>
        <v>0</v>
      </c>
      <c r="H628" s="1">
        <f>IF(B628="", "", "UBERON:tongue")</f>
        <v>0</v>
      </c>
      <c r="I628" s="1">
        <f>IF(B628="", "", "tongue")</f>
        <v>0</v>
      </c>
      <c r="J628" s="1">
        <f>IF(B628="", "", "human oral metagenome")</f>
        <v>0</v>
      </c>
      <c r="K628" s="1">
        <f>IF(B628="", "", "447426")</f>
        <v>0</v>
      </c>
    </row>
    <row r="629" spans="1:11">
      <c r="A629">
        <f>IF(COUNTBLANK(B629:K629)&lt;&gt;COLUMNS(B629:K629),628,"")</f>
        <v>0</v>
      </c>
      <c r="C629" s="1">
        <f>IF(B629="", "", "animal secretion")</f>
        <v>0</v>
      </c>
      <c r="D629" s="1">
        <f>IF(B629="", "", "saliva")</f>
        <v>0</v>
      </c>
      <c r="E629" s="1">
        <f>IF(B629="", "", "human-oral")</f>
        <v>0</v>
      </c>
      <c r="F629" s="1">
        <f>IF(B629="", "", "UBERON:oral cavity")</f>
        <v>0</v>
      </c>
      <c r="G629" s="1">
        <f>IF(B629="", "", "UBERON:saliva")</f>
        <v>0</v>
      </c>
      <c r="H629" s="1">
        <f>IF(B629="", "", "UBERON:tongue")</f>
        <v>0</v>
      </c>
      <c r="I629" s="1">
        <f>IF(B629="", "", "tongue")</f>
        <v>0</v>
      </c>
      <c r="J629" s="1">
        <f>IF(B629="", "", "human oral metagenome")</f>
        <v>0</v>
      </c>
      <c r="K629" s="1">
        <f>IF(B629="", "", "447426")</f>
        <v>0</v>
      </c>
    </row>
    <row r="630" spans="1:11">
      <c r="A630">
        <f>IF(COUNTBLANK(B630:K630)&lt;&gt;COLUMNS(B630:K630),629,"")</f>
        <v>0</v>
      </c>
      <c r="C630" s="1">
        <f>IF(B630="", "", "animal secretion")</f>
        <v>0</v>
      </c>
      <c r="D630" s="1">
        <f>IF(B630="", "", "saliva")</f>
        <v>0</v>
      </c>
      <c r="E630" s="1">
        <f>IF(B630="", "", "human-oral")</f>
        <v>0</v>
      </c>
      <c r="F630" s="1">
        <f>IF(B630="", "", "UBERON:oral cavity")</f>
        <v>0</v>
      </c>
      <c r="G630" s="1">
        <f>IF(B630="", "", "UBERON:saliva")</f>
        <v>0</v>
      </c>
      <c r="H630" s="1">
        <f>IF(B630="", "", "UBERON:tongue")</f>
        <v>0</v>
      </c>
      <c r="I630" s="1">
        <f>IF(B630="", "", "tongue")</f>
        <v>0</v>
      </c>
      <c r="J630" s="1">
        <f>IF(B630="", "", "human oral metagenome")</f>
        <v>0</v>
      </c>
      <c r="K630" s="1">
        <f>IF(B630="", "", "447426")</f>
        <v>0</v>
      </c>
    </row>
    <row r="631" spans="1:11">
      <c r="A631">
        <f>IF(COUNTBLANK(B631:K631)&lt;&gt;COLUMNS(B631:K631),630,"")</f>
        <v>0</v>
      </c>
      <c r="C631" s="1">
        <f>IF(B631="", "", "animal secretion")</f>
        <v>0</v>
      </c>
      <c r="D631" s="1">
        <f>IF(B631="", "", "saliva")</f>
        <v>0</v>
      </c>
      <c r="E631" s="1">
        <f>IF(B631="", "", "human-oral")</f>
        <v>0</v>
      </c>
      <c r="F631" s="1">
        <f>IF(B631="", "", "UBERON:oral cavity")</f>
        <v>0</v>
      </c>
      <c r="G631" s="1">
        <f>IF(B631="", "", "UBERON:saliva")</f>
        <v>0</v>
      </c>
      <c r="H631" s="1">
        <f>IF(B631="", "", "UBERON:tongue")</f>
        <v>0</v>
      </c>
      <c r="I631" s="1">
        <f>IF(B631="", "", "tongue")</f>
        <v>0</v>
      </c>
      <c r="J631" s="1">
        <f>IF(B631="", "", "human oral metagenome")</f>
        <v>0</v>
      </c>
      <c r="K631" s="1">
        <f>IF(B631="", "", "447426")</f>
        <v>0</v>
      </c>
    </row>
    <row r="632" spans="1:11">
      <c r="A632">
        <f>IF(COUNTBLANK(B632:K632)&lt;&gt;COLUMNS(B632:K632),631,"")</f>
        <v>0</v>
      </c>
      <c r="C632" s="1">
        <f>IF(B632="", "", "animal secretion")</f>
        <v>0</v>
      </c>
      <c r="D632" s="1">
        <f>IF(B632="", "", "saliva")</f>
        <v>0</v>
      </c>
      <c r="E632" s="1">
        <f>IF(B632="", "", "human-oral")</f>
        <v>0</v>
      </c>
      <c r="F632" s="1">
        <f>IF(B632="", "", "UBERON:oral cavity")</f>
        <v>0</v>
      </c>
      <c r="G632" s="1">
        <f>IF(B632="", "", "UBERON:saliva")</f>
        <v>0</v>
      </c>
      <c r="H632" s="1">
        <f>IF(B632="", "", "UBERON:tongue")</f>
        <v>0</v>
      </c>
      <c r="I632" s="1">
        <f>IF(B632="", "", "tongue")</f>
        <v>0</v>
      </c>
      <c r="J632" s="1">
        <f>IF(B632="", "", "human oral metagenome")</f>
        <v>0</v>
      </c>
      <c r="K632" s="1">
        <f>IF(B632="", "", "447426")</f>
        <v>0</v>
      </c>
    </row>
    <row r="633" spans="1:11">
      <c r="A633">
        <f>IF(COUNTBLANK(B633:K633)&lt;&gt;COLUMNS(B633:K633),632,"")</f>
        <v>0</v>
      </c>
      <c r="C633" s="1">
        <f>IF(B633="", "", "animal secretion")</f>
        <v>0</v>
      </c>
      <c r="D633" s="1">
        <f>IF(B633="", "", "saliva")</f>
        <v>0</v>
      </c>
      <c r="E633" s="1">
        <f>IF(B633="", "", "human-oral")</f>
        <v>0</v>
      </c>
      <c r="F633" s="1">
        <f>IF(B633="", "", "UBERON:oral cavity")</f>
        <v>0</v>
      </c>
      <c r="G633" s="1">
        <f>IF(B633="", "", "UBERON:saliva")</f>
        <v>0</v>
      </c>
      <c r="H633" s="1">
        <f>IF(B633="", "", "UBERON:tongue")</f>
        <v>0</v>
      </c>
      <c r="I633" s="1">
        <f>IF(B633="", "", "tongue")</f>
        <v>0</v>
      </c>
      <c r="J633" s="1">
        <f>IF(B633="", "", "human oral metagenome")</f>
        <v>0</v>
      </c>
      <c r="K633" s="1">
        <f>IF(B633="", "", "447426")</f>
        <v>0</v>
      </c>
    </row>
    <row r="634" spans="1:11">
      <c r="A634">
        <f>IF(COUNTBLANK(B634:K634)&lt;&gt;COLUMNS(B634:K634),633,"")</f>
        <v>0</v>
      </c>
      <c r="C634" s="1">
        <f>IF(B634="", "", "animal secretion")</f>
        <v>0</v>
      </c>
      <c r="D634" s="1">
        <f>IF(B634="", "", "saliva")</f>
        <v>0</v>
      </c>
      <c r="E634" s="1">
        <f>IF(B634="", "", "human-oral")</f>
        <v>0</v>
      </c>
      <c r="F634" s="1">
        <f>IF(B634="", "", "UBERON:oral cavity")</f>
        <v>0</v>
      </c>
      <c r="G634" s="1">
        <f>IF(B634="", "", "UBERON:saliva")</f>
        <v>0</v>
      </c>
      <c r="H634" s="1">
        <f>IF(B634="", "", "UBERON:tongue")</f>
        <v>0</v>
      </c>
      <c r="I634" s="1">
        <f>IF(B634="", "", "tongue")</f>
        <v>0</v>
      </c>
      <c r="J634" s="1">
        <f>IF(B634="", "", "human oral metagenome")</f>
        <v>0</v>
      </c>
      <c r="K634" s="1">
        <f>IF(B634="", "", "447426")</f>
        <v>0</v>
      </c>
    </row>
    <row r="635" spans="1:11">
      <c r="A635">
        <f>IF(COUNTBLANK(B635:K635)&lt;&gt;COLUMNS(B635:K635),634,"")</f>
        <v>0</v>
      </c>
      <c r="C635" s="1">
        <f>IF(B635="", "", "animal secretion")</f>
        <v>0</v>
      </c>
      <c r="D635" s="1">
        <f>IF(B635="", "", "saliva")</f>
        <v>0</v>
      </c>
      <c r="E635" s="1">
        <f>IF(B635="", "", "human-oral")</f>
        <v>0</v>
      </c>
      <c r="F635" s="1">
        <f>IF(B635="", "", "UBERON:oral cavity")</f>
        <v>0</v>
      </c>
      <c r="G635" s="1">
        <f>IF(B635="", "", "UBERON:saliva")</f>
        <v>0</v>
      </c>
      <c r="H635" s="1">
        <f>IF(B635="", "", "UBERON:tongue")</f>
        <v>0</v>
      </c>
      <c r="I635" s="1">
        <f>IF(B635="", "", "tongue")</f>
        <v>0</v>
      </c>
      <c r="J635" s="1">
        <f>IF(B635="", "", "human oral metagenome")</f>
        <v>0</v>
      </c>
      <c r="K635" s="1">
        <f>IF(B635="", "", "447426")</f>
        <v>0</v>
      </c>
    </row>
    <row r="636" spans="1:11">
      <c r="A636">
        <f>IF(COUNTBLANK(B636:K636)&lt;&gt;COLUMNS(B636:K636),635,"")</f>
        <v>0</v>
      </c>
      <c r="C636" s="1">
        <f>IF(B636="", "", "animal secretion")</f>
        <v>0</v>
      </c>
      <c r="D636" s="1">
        <f>IF(B636="", "", "saliva")</f>
        <v>0</v>
      </c>
      <c r="E636" s="1">
        <f>IF(B636="", "", "human-oral")</f>
        <v>0</v>
      </c>
      <c r="F636" s="1">
        <f>IF(B636="", "", "UBERON:oral cavity")</f>
        <v>0</v>
      </c>
      <c r="G636" s="1">
        <f>IF(B636="", "", "UBERON:saliva")</f>
        <v>0</v>
      </c>
      <c r="H636" s="1">
        <f>IF(B636="", "", "UBERON:tongue")</f>
        <v>0</v>
      </c>
      <c r="I636" s="1">
        <f>IF(B636="", "", "tongue")</f>
        <v>0</v>
      </c>
      <c r="J636" s="1">
        <f>IF(B636="", "", "human oral metagenome")</f>
        <v>0</v>
      </c>
      <c r="K636" s="1">
        <f>IF(B636="", "", "447426")</f>
        <v>0</v>
      </c>
    </row>
    <row r="637" spans="1:11">
      <c r="A637">
        <f>IF(COUNTBLANK(B637:K637)&lt;&gt;COLUMNS(B637:K637),636,"")</f>
        <v>0</v>
      </c>
      <c r="C637" s="1">
        <f>IF(B637="", "", "animal secretion")</f>
        <v>0</v>
      </c>
      <c r="D637" s="1">
        <f>IF(B637="", "", "saliva")</f>
        <v>0</v>
      </c>
      <c r="E637" s="1">
        <f>IF(B637="", "", "human-oral")</f>
        <v>0</v>
      </c>
      <c r="F637" s="1">
        <f>IF(B637="", "", "UBERON:oral cavity")</f>
        <v>0</v>
      </c>
      <c r="G637" s="1">
        <f>IF(B637="", "", "UBERON:saliva")</f>
        <v>0</v>
      </c>
      <c r="H637" s="1">
        <f>IF(B637="", "", "UBERON:tongue")</f>
        <v>0</v>
      </c>
      <c r="I637" s="1">
        <f>IF(B637="", "", "tongue")</f>
        <v>0</v>
      </c>
      <c r="J637" s="1">
        <f>IF(B637="", "", "human oral metagenome")</f>
        <v>0</v>
      </c>
      <c r="K637" s="1">
        <f>IF(B637="", "", "447426")</f>
        <v>0</v>
      </c>
    </row>
    <row r="638" spans="1:11">
      <c r="A638">
        <f>IF(COUNTBLANK(B638:K638)&lt;&gt;COLUMNS(B638:K638),637,"")</f>
        <v>0</v>
      </c>
      <c r="C638" s="1">
        <f>IF(B638="", "", "animal secretion")</f>
        <v>0</v>
      </c>
      <c r="D638" s="1">
        <f>IF(B638="", "", "saliva")</f>
        <v>0</v>
      </c>
      <c r="E638" s="1">
        <f>IF(B638="", "", "human-oral")</f>
        <v>0</v>
      </c>
      <c r="F638" s="1">
        <f>IF(B638="", "", "UBERON:oral cavity")</f>
        <v>0</v>
      </c>
      <c r="G638" s="1">
        <f>IF(B638="", "", "UBERON:saliva")</f>
        <v>0</v>
      </c>
      <c r="H638" s="1">
        <f>IF(B638="", "", "UBERON:tongue")</f>
        <v>0</v>
      </c>
      <c r="I638" s="1">
        <f>IF(B638="", "", "tongue")</f>
        <v>0</v>
      </c>
      <c r="J638" s="1">
        <f>IF(B638="", "", "human oral metagenome")</f>
        <v>0</v>
      </c>
      <c r="K638" s="1">
        <f>IF(B638="", "", "447426")</f>
        <v>0</v>
      </c>
    </row>
    <row r="639" spans="1:11">
      <c r="A639">
        <f>IF(COUNTBLANK(B639:K639)&lt;&gt;COLUMNS(B639:K639),638,"")</f>
        <v>0</v>
      </c>
      <c r="C639" s="1">
        <f>IF(B639="", "", "animal secretion")</f>
        <v>0</v>
      </c>
      <c r="D639" s="1">
        <f>IF(B639="", "", "saliva")</f>
        <v>0</v>
      </c>
      <c r="E639" s="1">
        <f>IF(B639="", "", "human-oral")</f>
        <v>0</v>
      </c>
      <c r="F639" s="1">
        <f>IF(B639="", "", "UBERON:oral cavity")</f>
        <v>0</v>
      </c>
      <c r="G639" s="1">
        <f>IF(B639="", "", "UBERON:saliva")</f>
        <v>0</v>
      </c>
      <c r="H639" s="1">
        <f>IF(B639="", "", "UBERON:tongue")</f>
        <v>0</v>
      </c>
      <c r="I639" s="1">
        <f>IF(B639="", "", "tongue")</f>
        <v>0</v>
      </c>
      <c r="J639" s="1">
        <f>IF(B639="", "", "human oral metagenome")</f>
        <v>0</v>
      </c>
      <c r="K639" s="1">
        <f>IF(B639="", "", "447426")</f>
        <v>0</v>
      </c>
    </row>
    <row r="640" spans="1:11">
      <c r="A640">
        <f>IF(COUNTBLANK(B640:K640)&lt;&gt;COLUMNS(B640:K640),639,"")</f>
        <v>0</v>
      </c>
      <c r="C640" s="1">
        <f>IF(B640="", "", "animal secretion")</f>
        <v>0</v>
      </c>
      <c r="D640" s="1">
        <f>IF(B640="", "", "saliva")</f>
        <v>0</v>
      </c>
      <c r="E640" s="1">
        <f>IF(B640="", "", "human-oral")</f>
        <v>0</v>
      </c>
      <c r="F640" s="1">
        <f>IF(B640="", "", "UBERON:oral cavity")</f>
        <v>0</v>
      </c>
      <c r="G640" s="1">
        <f>IF(B640="", "", "UBERON:saliva")</f>
        <v>0</v>
      </c>
      <c r="H640" s="1">
        <f>IF(B640="", "", "UBERON:tongue")</f>
        <v>0</v>
      </c>
      <c r="I640" s="1">
        <f>IF(B640="", "", "tongue")</f>
        <v>0</v>
      </c>
      <c r="J640" s="1">
        <f>IF(B640="", "", "human oral metagenome")</f>
        <v>0</v>
      </c>
      <c r="K640" s="1">
        <f>IF(B640="", "", "447426")</f>
        <v>0</v>
      </c>
    </row>
    <row r="641" spans="1:11">
      <c r="A641">
        <f>IF(COUNTBLANK(B641:K641)&lt;&gt;COLUMNS(B641:K641),640,"")</f>
        <v>0</v>
      </c>
      <c r="C641" s="1">
        <f>IF(B641="", "", "animal secretion")</f>
        <v>0</v>
      </c>
      <c r="D641" s="1">
        <f>IF(B641="", "", "saliva")</f>
        <v>0</v>
      </c>
      <c r="E641" s="1">
        <f>IF(B641="", "", "human-oral")</f>
        <v>0</v>
      </c>
      <c r="F641" s="1">
        <f>IF(B641="", "", "UBERON:oral cavity")</f>
        <v>0</v>
      </c>
      <c r="G641" s="1">
        <f>IF(B641="", "", "UBERON:saliva")</f>
        <v>0</v>
      </c>
      <c r="H641" s="1">
        <f>IF(B641="", "", "UBERON:tongue")</f>
        <v>0</v>
      </c>
      <c r="I641" s="1">
        <f>IF(B641="", "", "tongue")</f>
        <v>0</v>
      </c>
      <c r="J641" s="1">
        <f>IF(B641="", "", "human oral metagenome")</f>
        <v>0</v>
      </c>
      <c r="K641" s="1">
        <f>IF(B641="", "", "447426")</f>
        <v>0</v>
      </c>
    </row>
    <row r="642" spans="1:11">
      <c r="A642">
        <f>IF(COUNTBLANK(B642:K642)&lt;&gt;COLUMNS(B642:K642),641,"")</f>
        <v>0</v>
      </c>
      <c r="C642" s="1">
        <f>IF(B642="", "", "animal secretion")</f>
        <v>0</v>
      </c>
      <c r="D642" s="1">
        <f>IF(B642="", "", "saliva")</f>
        <v>0</v>
      </c>
      <c r="E642" s="1">
        <f>IF(B642="", "", "human-oral")</f>
        <v>0</v>
      </c>
      <c r="F642" s="1">
        <f>IF(B642="", "", "UBERON:oral cavity")</f>
        <v>0</v>
      </c>
      <c r="G642" s="1">
        <f>IF(B642="", "", "UBERON:saliva")</f>
        <v>0</v>
      </c>
      <c r="H642" s="1">
        <f>IF(B642="", "", "UBERON:tongue")</f>
        <v>0</v>
      </c>
      <c r="I642" s="1">
        <f>IF(B642="", "", "tongue")</f>
        <v>0</v>
      </c>
      <c r="J642" s="1">
        <f>IF(B642="", "", "human oral metagenome")</f>
        <v>0</v>
      </c>
      <c r="K642" s="1">
        <f>IF(B642="", "", "447426")</f>
        <v>0</v>
      </c>
    </row>
    <row r="643" spans="1:11">
      <c r="A643">
        <f>IF(COUNTBLANK(B643:K643)&lt;&gt;COLUMNS(B643:K643),642,"")</f>
        <v>0</v>
      </c>
      <c r="C643" s="1">
        <f>IF(B643="", "", "animal secretion")</f>
        <v>0</v>
      </c>
      <c r="D643" s="1">
        <f>IF(B643="", "", "saliva")</f>
        <v>0</v>
      </c>
      <c r="E643" s="1">
        <f>IF(B643="", "", "human-oral")</f>
        <v>0</v>
      </c>
      <c r="F643" s="1">
        <f>IF(B643="", "", "UBERON:oral cavity")</f>
        <v>0</v>
      </c>
      <c r="G643" s="1">
        <f>IF(B643="", "", "UBERON:saliva")</f>
        <v>0</v>
      </c>
      <c r="H643" s="1">
        <f>IF(B643="", "", "UBERON:tongue")</f>
        <v>0</v>
      </c>
      <c r="I643" s="1">
        <f>IF(B643="", "", "tongue")</f>
        <v>0</v>
      </c>
      <c r="J643" s="1">
        <f>IF(B643="", "", "human oral metagenome")</f>
        <v>0</v>
      </c>
      <c r="K643" s="1">
        <f>IF(B643="", "", "447426")</f>
        <v>0</v>
      </c>
    </row>
    <row r="644" spans="1:11">
      <c r="A644">
        <f>IF(COUNTBLANK(B644:K644)&lt;&gt;COLUMNS(B644:K644),643,"")</f>
        <v>0</v>
      </c>
      <c r="C644" s="1">
        <f>IF(B644="", "", "animal secretion")</f>
        <v>0</v>
      </c>
      <c r="D644" s="1">
        <f>IF(B644="", "", "saliva")</f>
        <v>0</v>
      </c>
      <c r="E644" s="1">
        <f>IF(B644="", "", "human-oral")</f>
        <v>0</v>
      </c>
      <c r="F644" s="1">
        <f>IF(B644="", "", "UBERON:oral cavity")</f>
        <v>0</v>
      </c>
      <c r="G644" s="1">
        <f>IF(B644="", "", "UBERON:saliva")</f>
        <v>0</v>
      </c>
      <c r="H644" s="1">
        <f>IF(B644="", "", "UBERON:tongue")</f>
        <v>0</v>
      </c>
      <c r="I644" s="1">
        <f>IF(B644="", "", "tongue")</f>
        <v>0</v>
      </c>
      <c r="J644" s="1">
        <f>IF(B644="", "", "human oral metagenome")</f>
        <v>0</v>
      </c>
      <c r="K644" s="1">
        <f>IF(B644="", "", "447426")</f>
        <v>0</v>
      </c>
    </row>
    <row r="645" spans="1:11">
      <c r="A645">
        <f>IF(COUNTBLANK(B645:K645)&lt;&gt;COLUMNS(B645:K645),644,"")</f>
        <v>0</v>
      </c>
      <c r="C645" s="1">
        <f>IF(B645="", "", "animal secretion")</f>
        <v>0</v>
      </c>
      <c r="D645" s="1">
        <f>IF(B645="", "", "saliva")</f>
        <v>0</v>
      </c>
      <c r="E645" s="1">
        <f>IF(B645="", "", "human-oral")</f>
        <v>0</v>
      </c>
      <c r="F645" s="1">
        <f>IF(B645="", "", "UBERON:oral cavity")</f>
        <v>0</v>
      </c>
      <c r="G645" s="1">
        <f>IF(B645="", "", "UBERON:saliva")</f>
        <v>0</v>
      </c>
      <c r="H645" s="1">
        <f>IF(B645="", "", "UBERON:tongue")</f>
        <v>0</v>
      </c>
      <c r="I645" s="1">
        <f>IF(B645="", "", "tongue")</f>
        <v>0</v>
      </c>
      <c r="J645" s="1">
        <f>IF(B645="", "", "human oral metagenome")</f>
        <v>0</v>
      </c>
      <c r="K645" s="1">
        <f>IF(B645="", "", "447426")</f>
        <v>0</v>
      </c>
    </row>
    <row r="646" spans="1:11">
      <c r="A646">
        <f>IF(COUNTBLANK(B646:K646)&lt;&gt;COLUMNS(B646:K646),645,"")</f>
        <v>0</v>
      </c>
      <c r="C646" s="1">
        <f>IF(B646="", "", "animal secretion")</f>
        <v>0</v>
      </c>
      <c r="D646" s="1">
        <f>IF(B646="", "", "saliva")</f>
        <v>0</v>
      </c>
      <c r="E646" s="1">
        <f>IF(B646="", "", "human-oral")</f>
        <v>0</v>
      </c>
      <c r="F646" s="1">
        <f>IF(B646="", "", "UBERON:oral cavity")</f>
        <v>0</v>
      </c>
      <c r="G646" s="1">
        <f>IF(B646="", "", "UBERON:saliva")</f>
        <v>0</v>
      </c>
      <c r="H646" s="1">
        <f>IF(B646="", "", "UBERON:tongue")</f>
        <v>0</v>
      </c>
      <c r="I646" s="1">
        <f>IF(B646="", "", "tongue")</f>
        <v>0</v>
      </c>
      <c r="J646" s="1">
        <f>IF(B646="", "", "human oral metagenome")</f>
        <v>0</v>
      </c>
      <c r="K646" s="1">
        <f>IF(B646="", "", "447426")</f>
        <v>0</v>
      </c>
    </row>
    <row r="647" spans="1:11">
      <c r="A647">
        <f>IF(COUNTBLANK(B647:K647)&lt;&gt;COLUMNS(B647:K647),646,"")</f>
        <v>0</v>
      </c>
      <c r="C647" s="1">
        <f>IF(B647="", "", "animal secretion")</f>
        <v>0</v>
      </c>
      <c r="D647" s="1">
        <f>IF(B647="", "", "saliva")</f>
        <v>0</v>
      </c>
      <c r="E647" s="1">
        <f>IF(B647="", "", "human-oral")</f>
        <v>0</v>
      </c>
      <c r="F647" s="1">
        <f>IF(B647="", "", "UBERON:oral cavity")</f>
        <v>0</v>
      </c>
      <c r="G647" s="1">
        <f>IF(B647="", "", "UBERON:saliva")</f>
        <v>0</v>
      </c>
      <c r="H647" s="1">
        <f>IF(B647="", "", "UBERON:tongue")</f>
        <v>0</v>
      </c>
      <c r="I647" s="1">
        <f>IF(B647="", "", "tongue")</f>
        <v>0</v>
      </c>
      <c r="J647" s="1">
        <f>IF(B647="", "", "human oral metagenome")</f>
        <v>0</v>
      </c>
      <c r="K647" s="1">
        <f>IF(B647="", "", "447426")</f>
        <v>0</v>
      </c>
    </row>
    <row r="648" spans="1:11">
      <c r="A648">
        <f>IF(COUNTBLANK(B648:K648)&lt;&gt;COLUMNS(B648:K648),647,"")</f>
        <v>0</v>
      </c>
      <c r="C648" s="1">
        <f>IF(B648="", "", "animal secretion")</f>
        <v>0</v>
      </c>
      <c r="D648" s="1">
        <f>IF(B648="", "", "saliva")</f>
        <v>0</v>
      </c>
      <c r="E648" s="1">
        <f>IF(B648="", "", "human-oral")</f>
        <v>0</v>
      </c>
      <c r="F648" s="1">
        <f>IF(B648="", "", "UBERON:oral cavity")</f>
        <v>0</v>
      </c>
      <c r="G648" s="1">
        <f>IF(B648="", "", "UBERON:saliva")</f>
        <v>0</v>
      </c>
      <c r="H648" s="1">
        <f>IF(B648="", "", "UBERON:tongue")</f>
        <v>0</v>
      </c>
      <c r="I648" s="1">
        <f>IF(B648="", "", "tongue")</f>
        <v>0</v>
      </c>
      <c r="J648" s="1">
        <f>IF(B648="", "", "human oral metagenome")</f>
        <v>0</v>
      </c>
      <c r="K648" s="1">
        <f>IF(B648="", "", "447426")</f>
        <v>0</v>
      </c>
    </row>
    <row r="649" spans="1:11">
      <c r="A649">
        <f>IF(COUNTBLANK(B649:K649)&lt;&gt;COLUMNS(B649:K649),648,"")</f>
        <v>0</v>
      </c>
      <c r="C649" s="1">
        <f>IF(B649="", "", "animal secretion")</f>
        <v>0</v>
      </c>
      <c r="D649" s="1">
        <f>IF(B649="", "", "saliva")</f>
        <v>0</v>
      </c>
      <c r="E649" s="1">
        <f>IF(B649="", "", "human-oral")</f>
        <v>0</v>
      </c>
      <c r="F649" s="1">
        <f>IF(B649="", "", "UBERON:oral cavity")</f>
        <v>0</v>
      </c>
      <c r="G649" s="1">
        <f>IF(B649="", "", "UBERON:saliva")</f>
        <v>0</v>
      </c>
      <c r="H649" s="1">
        <f>IF(B649="", "", "UBERON:tongue")</f>
        <v>0</v>
      </c>
      <c r="I649" s="1">
        <f>IF(B649="", "", "tongue")</f>
        <v>0</v>
      </c>
      <c r="J649" s="1">
        <f>IF(B649="", "", "human oral metagenome")</f>
        <v>0</v>
      </c>
      <c r="K649" s="1">
        <f>IF(B649="", "", "447426")</f>
        <v>0</v>
      </c>
    </row>
    <row r="650" spans="1:11">
      <c r="A650">
        <f>IF(COUNTBLANK(B650:K650)&lt;&gt;COLUMNS(B650:K650),649,"")</f>
        <v>0</v>
      </c>
      <c r="C650" s="1">
        <f>IF(B650="", "", "animal secretion")</f>
        <v>0</v>
      </c>
      <c r="D650" s="1">
        <f>IF(B650="", "", "saliva")</f>
        <v>0</v>
      </c>
      <c r="E650" s="1">
        <f>IF(B650="", "", "human-oral")</f>
        <v>0</v>
      </c>
      <c r="F650" s="1">
        <f>IF(B650="", "", "UBERON:oral cavity")</f>
        <v>0</v>
      </c>
      <c r="G650" s="1">
        <f>IF(B650="", "", "UBERON:saliva")</f>
        <v>0</v>
      </c>
      <c r="H650" s="1">
        <f>IF(B650="", "", "UBERON:tongue")</f>
        <v>0</v>
      </c>
      <c r="I650" s="1">
        <f>IF(B650="", "", "tongue")</f>
        <v>0</v>
      </c>
      <c r="J650" s="1">
        <f>IF(B650="", "", "human oral metagenome")</f>
        <v>0</v>
      </c>
      <c r="K650" s="1">
        <f>IF(B650="", "", "447426")</f>
        <v>0</v>
      </c>
    </row>
    <row r="651" spans="1:11">
      <c r="A651">
        <f>IF(COUNTBLANK(B651:K651)&lt;&gt;COLUMNS(B651:K651),650,"")</f>
        <v>0</v>
      </c>
      <c r="C651" s="1">
        <f>IF(B651="", "", "animal secretion")</f>
        <v>0</v>
      </c>
      <c r="D651" s="1">
        <f>IF(B651="", "", "saliva")</f>
        <v>0</v>
      </c>
      <c r="E651" s="1">
        <f>IF(B651="", "", "human-oral")</f>
        <v>0</v>
      </c>
      <c r="F651" s="1">
        <f>IF(B651="", "", "UBERON:oral cavity")</f>
        <v>0</v>
      </c>
      <c r="G651" s="1">
        <f>IF(B651="", "", "UBERON:saliva")</f>
        <v>0</v>
      </c>
      <c r="H651" s="1">
        <f>IF(B651="", "", "UBERON:tongue")</f>
        <v>0</v>
      </c>
      <c r="I651" s="1">
        <f>IF(B651="", "", "tongue")</f>
        <v>0</v>
      </c>
      <c r="J651" s="1">
        <f>IF(B651="", "", "human oral metagenome")</f>
        <v>0</v>
      </c>
      <c r="K651" s="1">
        <f>IF(B651="", "", "447426")</f>
        <v>0</v>
      </c>
    </row>
    <row r="652" spans="1:11">
      <c r="A652">
        <f>IF(COUNTBLANK(B652:K652)&lt;&gt;COLUMNS(B652:K652),651,"")</f>
        <v>0</v>
      </c>
      <c r="C652" s="1">
        <f>IF(B652="", "", "animal secretion")</f>
        <v>0</v>
      </c>
      <c r="D652" s="1">
        <f>IF(B652="", "", "saliva")</f>
        <v>0</v>
      </c>
      <c r="E652" s="1">
        <f>IF(B652="", "", "human-oral")</f>
        <v>0</v>
      </c>
      <c r="F652" s="1">
        <f>IF(B652="", "", "UBERON:oral cavity")</f>
        <v>0</v>
      </c>
      <c r="G652" s="1">
        <f>IF(B652="", "", "UBERON:saliva")</f>
        <v>0</v>
      </c>
      <c r="H652" s="1">
        <f>IF(B652="", "", "UBERON:tongue")</f>
        <v>0</v>
      </c>
      <c r="I652" s="1">
        <f>IF(B652="", "", "tongue")</f>
        <v>0</v>
      </c>
      <c r="J652" s="1">
        <f>IF(B652="", "", "human oral metagenome")</f>
        <v>0</v>
      </c>
      <c r="K652" s="1">
        <f>IF(B652="", "", "447426")</f>
        <v>0</v>
      </c>
    </row>
    <row r="653" spans="1:11">
      <c r="A653">
        <f>IF(COUNTBLANK(B653:K653)&lt;&gt;COLUMNS(B653:K653),652,"")</f>
        <v>0</v>
      </c>
      <c r="C653" s="1">
        <f>IF(B653="", "", "animal secretion")</f>
        <v>0</v>
      </c>
      <c r="D653" s="1">
        <f>IF(B653="", "", "saliva")</f>
        <v>0</v>
      </c>
      <c r="E653" s="1">
        <f>IF(B653="", "", "human-oral")</f>
        <v>0</v>
      </c>
      <c r="F653" s="1">
        <f>IF(B653="", "", "UBERON:oral cavity")</f>
        <v>0</v>
      </c>
      <c r="G653" s="1">
        <f>IF(B653="", "", "UBERON:saliva")</f>
        <v>0</v>
      </c>
      <c r="H653" s="1">
        <f>IF(B653="", "", "UBERON:tongue")</f>
        <v>0</v>
      </c>
      <c r="I653" s="1">
        <f>IF(B653="", "", "tongue")</f>
        <v>0</v>
      </c>
      <c r="J653" s="1">
        <f>IF(B653="", "", "human oral metagenome")</f>
        <v>0</v>
      </c>
      <c r="K653" s="1">
        <f>IF(B653="", "", "447426")</f>
        <v>0</v>
      </c>
    </row>
    <row r="654" spans="1:11">
      <c r="A654">
        <f>IF(COUNTBLANK(B654:K654)&lt;&gt;COLUMNS(B654:K654),653,"")</f>
        <v>0</v>
      </c>
      <c r="C654" s="1">
        <f>IF(B654="", "", "animal secretion")</f>
        <v>0</v>
      </c>
      <c r="D654" s="1">
        <f>IF(B654="", "", "saliva")</f>
        <v>0</v>
      </c>
      <c r="E654" s="1">
        <f>IF(B654="", "", "human-oral")</f>
        <v>0</v>
      </c>
      <c r="F654" s="1">
        <f>IF(B654="", "", "UBERON:oral cavity")</f>
        <v>0</v>
      </c>
      <c r="G654" s="1">
        <f>IF(B654="", "", "UBERON:saliva")</f>
        <v>0</v>
      </c>
      <c r="H654" s="1">
        <f>IF(B654="", "", "UBERON:tongue")</f>
        <v>0</v>
      </c>
      <c r="I654" s="1">
        <f>IF(B654="", "", "tongue")</f>
        <v>0</v>
      </c>
      <c r="J654" s="1">
        <f>IF(B654="", "", "human oral metagenome")</f>
        <v>0</v>
      </c>
      <c r="K654" s="1">
        <f>IF(B654="", "", "447426")</f>
        <v>0</v>
      </c>
    </row>
    <row r="655" spans="1:11">
      <c r="A655">
        <f>IF(COUNTBLANK(B655:K655)&lt;&gt;COLUMNS(B655:K655),654,"")</f>
        <v>0</v>
      </c>
      <c r="C655" s="1">
        <f>IF(B655="", "", "animal secretion")</f>
        <v>0</v>
      </c>
      <c r="D655" s="1">
        <f>IF(B655="", "", "saliva")</f>
        <v>0</v>
      </c>
      <c r="E655" s="1">
        <f>IF(B655="", "", "human-oral")</f>
        <v>0</v>
      </c>
      <c r="F655" s="1">
        <f>IF(B655="", "", "UBERON:oral cavity")</f>
        <v>0</v>
      </c>
      <c r="G655" s="1">
        <f>IF(B655="", "", "UBERON:saliva")</f>
        <v>0</v>
      </c>
      <c r="H655" s="1">
        <f>IF(B655="", "", "UBERON:tongue")</f>
        <v>0</v>
      </c>
      <c r="I655" s="1">
        <f>IF(B655="", "", "tongue")</f>
        <v>0</v>
      </c>
      <c r="J655" s="1">
        <f>IF(B655="", "", "human oral metagenome")</f>
        <v>0</v>
      </c>
      <c r="K655" s="1">
        <f>IF(B655="", "", "447426")</f>
        <v>0</v>
      </c>
    </row>
    <row r="656" spans="1:11">
      <c r="A656">
        <f>IF(COUNTBLANK(B656:K656)&lt;&gt;COLUMNS(B656:K656),655,"")</f>
        <v>0</v>
      </c>
      <c r="C656" s="1">
        <f>IF(B656="", "", "animal secretion")</f>
        <v>0</v>
      </c>
      <c r="D656" s="1">
        <f>IF(B656="", "", "saliva")</f>
        <v>0</v>
      </c>
      <c r="E656" s="1">
        <f>IF(B656="", "", "human-oral")</f>
        <v>0</v>
      </c>
      <c r="F656" s="1">
        <f>IF(B656="", "", "UBERON:oral cavity")</f>
        <v>0</v>
      </c>
      <c r="G656" s="1">
        <f>IF(B656="", "", "UBERON:saliva")</f>
        <v>0</v>
      </c>
      <c r="H656" s="1">
        <f>IF(B656="", "", "UBERON:tongue")</f>
        <v>0</v>
      </c>
      <c r="I656" s="1">
        <f>IF(B656="", "", "tongue")</f>
        <v>0</v>
      </c>
      <c r="J656" s="1">
        <f>IF(B656="", "", "human oral metagenome")</f>
        <v>0</v>
      </c>
      <c r="K656" s="1">
        <f>IF(B656="", "", "447426")</f>
        <v>0</v>
      </c>
    </row>
    <row r="657" spans="1:11">
      <c r="A657">
        <f>IF(COUNTBLANK(B657:K657)&lt;&gt;COLUMNS(B657:K657),656,"")</f>
        <v>0</v>
      </c>
      <c r="C657" s="1">
        <f>IF(B657="", "", "animal secretion")</f>
        <v>0</v>
      </c>
      <c r="D657" s="1">
        <f>IF(B657="", "", "saliva")</f>
        <v>0</v>
      </c>
      <c r="E657" s="1">
        <f>IF(B657="", "", "human-oral")</f>
        <v>0</v>
      </c>
      <c r="F657" s="1">
        <f>IF(B657="", "", "UBERON:oral cavity")</f>
        <v>0</v>
      </c>
      <c r="G657" s="1">
        <f>IF(B657="", "", "UBERON:saliva")</f>
        <v>0</v>
      </c>
      <c r="H657" s="1">
        <f>IF(B657="", "", "UBERON:tongue")</f>
        <v>0</v>
      </c>
      <c r="I657" s="1">
        <f>IF(B657="", "", "tongue")</f>
        <v>0</v>
      </c>
      <c r="J657" s="1">
        <f>IF(B657="", "", "human oral metagenome")</f>
        <v>0</v>
      </c>
      <c r="K657" s="1">
        <f>IF(B657="", "", "447426")</f>
        <v>0</v>
      </c>
    </row>
    <row r="658" spans="1:11">
      <c r="A658">
        <f>IF(COUNTBLANK(B658:K658)&lt;&gt;COLUMNS(B658:K658),657,"")</f>
        <v>0</v>
      </c>
      <c r="C658" s="1">
        <f>IF(B658="", "", "animal secretion")</f>
        <v>0</v>
      </c>
      <c r="D658" s="1">
        <f>IF(B658="", "", "saliva")</f>
        <v>0</v>
      </c>
      <c r="E658" s="1">
        <f>IF(B658="", "", "human-oral")</f>
        <v>0</v>
      </c>
      <c r="F658" s="1">
        <f>IF(B658="", "", "UBERON:oral cavity")</f>
        <v>0</v>
      </c>
      <c r="G658" s="1">
        <f>IF(B658="", "", "UBERON:saliva")</f>
        <v>0</v>
      </c>
      <c r="H658" s="1">
        <f>IF(B658="", "", "UBERON:tongue")</f>
        <v>0</v>
      </c>
      <c r="I658" s="1">
        <f>IF(B658="", "", "tongue")</f>
        <v>0</v>
      </c>
      <c r="J658" s="1">
        <f>IF(B658="", "", "human oral metagenome")</f>
        <v>0</v>
      </c>
      <c r="K658" s="1">
        <f>IF(B658="", "", "447426")</f>
        <v>0</v>
      </c>
    </row>
    <row r="659" spans="1:11">
      <c r="A659">
        <f>IF(COUNTBLANK(B659:K659)&lt;&gt;COLUMNS(B659:K659),658,"")</f>
        <v>0</v>
      </c>
      <c r="C659" s="1">
        <f>IF(B659="", "", "animal secretion")</f>
        <v>0</v>
      </c>
      <c r="D659" s="1">
        <f>IF(B659="", "", "saliva")</f>
        <v>0</v>
      </c>
      <c r="E659" s="1">
        <f>IF(B659="", "", "human-oral")</f>
        <v>0</v>
      </c>
      <c r="F659" s="1">
        <f>IF(B659="", "", "UBERON:oral cavity")</f>
        <v>0</v>
      </c>
      <c r="G659" s="1">
        <f>IF(B659="", "", "UBERON:saliva")</f>
        <v>0</v>
      </c>
      <c r="H659" s="1">
        <f>IF(B659="", "", "UBERON:tongue")</f>
        <v>0</v>
      </c>
      <c r="I659" s="1">
        <f>IF(B659="", "", "tongue")</f>
        <v>0</v>
      </c>
      <c r="J659" s="1">
        <f>IF(B659="", "", "human oral metagenome")</f>
        <v>0</v>
      </c>
      <c r="K659" s="1">
        <f>IF(B659="", "", "447426")</f>
        <v>0</v>
      </c>
    </row>
    <row r="660" spans="1:11">
      <c r="A660">
        <f>IF(COUNTBLANK(B660:K660)&lt;&gt;COLUMNS(B660:K660),659,"")</f>
        <v>0</v>
      </c>
      <c r="C660" s="1">
        <f>IF(B660="", "", "animal secretion")</f>
        <v>0</v>
      </c>
      <c r="D660" s="1">
        <f>IF(B660="", "", "saliva")</f>
        <v>0</v>
      </c>
      <c r="E660" s="1">
        <f>IF(B660="", "", "human-oral")</f>
        <v>0</v>
      </c>
      <c r="F660" s="1">
        <f>IF(B660="", "", "UBERON:oral cavity")</f>
        <v>0</v>
      </c>
      <c r="G660" s="1">
        <f>IF(B660="", "", "UBERON:saliva")</f>
        <v>0</v>
      </c>
      <c r="H660" s="1">
        <f>IF(B660="", "", "UBERON:tongue")</f>
        <v>0</v>
      </c>
      <c r="I660" s="1">
        <f>IF(B660="", "", "tongue")</f>
        <v>0</v>
      </c>
      <c r="J660" s="1">
        <f>IF(B660="", "", "human oral metagenome")</f>
        <v>0</v>
      </c>
      <c r="K660" s="1">
        <f>IF(B660="", "", "447426")</f>
        <v>0</v>
      </c>
    </row>
    <row r="661" spans="1:11">
      <c r="A661">
        <f>IF(COUNTBLANK(B661:K661)&lt;&gt;COLUMNS(B661:K661),660,"")</f>
        <v>0</v>
      </c>
      <c r="C661" s="1">
        <f>IF(B661="", "", "animal secretion")</f>
        <v>0</v>
      </c>
      <c r="D661" s="1">
        <f>IF(B661="", "", "saliva")</f>
        <v>0</v>
      </c>
      <c r="E661" s="1">
        <f>IF(B661="", "", "human-oral")</f>
        <v>0</v>
      </c>
      <c r="F661" s="1">
        <f>IF(B661="", "", "UBERON:oral cavity")</f>
        <v>0</v>
      </c>
      <c r="G661" s="1">
        <f>IF(B661="", "", "UBERON:saliva")</f>
        <v>0</v>
      </c>
      <c r="H661" s="1">
        <f>IF(B661="", "", "UBERON:tongue")</f>
        <v>0</v>
      </c>
      <c r="I661" s="1">
        <f>IF(B661="", "", "tongue")</f>
        <v>0</v>
      </c>
      <c r="J661" s="1">
        <f>IF(B661="", "", "human oral metagenome")</f>
        <v>0</v>
      </c>
      <c r="K661" s="1">
        <f>IF(B661="", "", "447426")</f>
        <v>0</v>
      </c>
    </row>
    <row r="662" spans="1:11">
      <c r="A662">
        <f>IF(COUNTBLANK(B662:K662)&lt;&gt;COLUMNS(B662:K662),661,"")</f>
        <v>0</v>
      </c>
      <c r="C662" s="1">
        <f>IF(B662="", "", "animal secretion")</f>
        <v>0</v>
      </c>
      <c r="D662" s="1">
        <f>IF(B662="", "", "saliva")</f>
        <v>0</v>
      </c>
      <c r="E662" s="1">
        <f>IF(B662="", "", "human-oral")</f>
        <v>0</v>
      </c>
      <c r="F662" s="1">
        <f>IF(B662="", "", "UBERON:oral cavity")</f>
        <v>0</v>
      </c>
      <c r="G662" s="1">
        <f>IF(B662="", "", "UBERON:saliva")</f>
        <v>0</v>
      </c>
      <c r="H662" s="1">
        <f>IF(B662="", "", "UBERON:tongue")</f>
        <v>0</v>
      </c>
      <c r="I662" s="1">
        <f>IF(B662="", "", "tongue")</f>
        <v>0</v>
      </c>
      <c r="J662" s="1">
        <f>IF(B662="", "", "human oral metagenome")</f>
        <v>0</v>
      </c>
      <c r="K662" s="1">
        <f>IF(B662="", "", "447426")</f>
        <v>0</v>
      </c>
    </row>
    <row r="663" spans="1:11">
      <c r="A663">
        <f>IF(COUNTBLANK(B663:K663)&lt;&gt;COLUMNS(B663:K663),662,"")</f>
        <v>0</v>
      </c>
      <c r="C663" s="1">
        <f>IF(B663="", "", "animal secretion")</f>
        <v>0</v>
      </c>
      <c r="D663" s="1">
        <f>IF(B663="", "", "saliva")</f>
        <v>0</v>
      </c>
      <c r="E663" s="1">
        <f>IF(B663="", "", "human-oral")</f>
        <v>0</v>
      </c>
      <c r="F663" s="1">
        <f>IF(B663="", "", "UBERON:oral cavity")</f>
        <v>0</v>
      </c>
      <c r="G663" s="1">
        <f>IF(B663="", "", "UBERON:saliva")</f>
        <v>0</v>
      </c>
      <c r="H663" s="1">
        <f>IF(B663="", "", "UBERON:tongue")</f>
        <v>0</v>
      </c>
      <c r="I663" s="1">
        <f>IF(B663="", "", "tongue")</f>
        <v>0</v>
      </c>
      <c r="J663" s="1">
        <f>IF(B663="", "", "human oral metagenome")</f>
        <v>0</v>
      </c>
      <c r="K663" s="1">
        <f>IF(B663="", "", "447426")</f>
        <v>0</v>
      </c>
    </row>
    <row r="664" spans="1:11">
      <c r="A664">
        <f>IF(COUNTBLANK(B664:K664)&lt;&gt;COLUMNS(B664:K664),663,"")</f>
        <v>0</v>
      </c>
      <c r="C664" s="1">
        <f>IF(B664="", "", "animal secretion")</f>
        <v>0</v>
      </c>
      <c r="D664" s="1">
        <f>IF(B664="", "", "saliva")</f>
        <v>0</v>
      </c>
      <c r="E664" s="1">
        <f>IF(B664="", "", "human-oral")</f>
        <v>0</v>
      </c>
      <c r="F664" s="1">
        <f>IF(B664="", "", "UBERON:oral cavity")</f>
        <v>0</v>
      </c>
      <c r="G664" s="1">
        <f>IF(B664="", "", "UBERON:saliva")</f>
        <v>0</v>
      </c>
      <c r="H664" s="1">
        <f>IF(B664="", "", "UBERON:tongue")</f>
        <v>0</v>
      </c>
      <c r="I664" s="1">
        <f>IF(B664="", "", "tongue")</f>
        <v>0</v>
      </c>
      <c r="J664" s="1">
        <f>IF(B664="", "", "human oral metagenome")</f>
        <v>0</v>
      </c>
      <c r="K664" s="1">
        <f>IF(B664="", "", "447426")</f>
        <v>0</v>
      </c>
    </row>
    <row r="665" spans="1:11">
      <c r="A665">
        <f>IF(COUNTBLANK(B665:K665)&lt;&gt;COLUMNS(B665:K665),664,"")</f>
        <v>0</v>
      </c>
      <c r="C665" s="1">
        <f>IF(B665="", "", "animal secretion")</f>
        <v>0</v>
      </c>
      <c r="D665" s="1">
        <f>IF(B665="", "", "saliva")</f>
        <v>0</v>
      </c>
      <c r="E665" s="1">
        <f>IF(B665="", "", "human-oral")</f>
        <v>0</v>
      </c>
      <c r="F665" s="1">
        <f>IF(B665="", "", "UBERON:oral cavity")</f>
        <v>0</v>
      </c>
      <c r="G665" s="1">
        <f>IF(B665="", "", "UBERON:saliva")</f>
        <v>0</v>
      </c>
      <c r="H665" s="1">
        <f>IF(B665="", "", "UBERON:tongue")</f>
        <v>0</v>
      </c>
      <c r="I665" s="1">
        <f>IF(B665="", "", "tongue")</f>
        <v>0</v>
      </c>
      <c r="J665" s="1">
        <f>IF(B665="", "", "human oral metagenome")</f>
        <v>0</v>
      </c>
      <c r="K665" s="1">
        <f>IF(B665="", "", "447426")</f>
        <v>0</v>
      </c>
    </row>
    <row r="666" spans="1:11">
      <c r="A666">
        <f>IF(COUNTBLANK(B666:K666)&lt;&gt;COLUMNS(B666:K666),665,"")</f>
        <v>0</v>
      </c>
      <c r="C666" s="1">
        <f>IF(B666="", "", "animal secretion")</f>
        <v>0</v>
      </c>
      <c r="D666" s="1">
        <f>IF(B666="", "", "saliva")</f>
        <v>0</v>
      </c>
      <c r="E666" s="1">
        <f>IF(B666="", "", "human-oral")</f>
        <v>0</v>
      </c>
      <c r="F666" s="1">
        <f>IF(B666="", "", "UBERON:oral cavity")</f>
        <v>0</v>
      </c>
      <c r="G666" s="1">
        <f>IF(B666="", "", "UBERON:saliva")</f>
        <v>0</v>
      </c>
      <c r="H666" s="1">
        <f>IF(B666="", "", "UBERON:tongue")</f>
        <v>0</v>
      </c>
      <c r="I666" s="1">
        <f>IF(B666="", "", "tongue")</f>
        <v>0</v>
      </c>
      <c r="J666" s="1">
        <f>IF(B666="", "", "human oral metagenome")</f>
        <v>0</v>
      </c>
      <c r="K666" s="1">
        <f>IF(B666="", "", "447426")</f>
        <v>0</v>
      </c>
    </row>
    <row r="667" spans="1:11">
      <c r="A667">
        <f>IF(COUNTBLANK(B667:K667)&lt;&gt;COLUMNS(B667:K667),666,"")</f>
        <v>0</v>
      </c>
      <c r="C667" s="1">
        <f>IF(B667="", "", "animal secretion")</f>
        <v>0</v>
      </c>
      <c r="D667" s="1">
        <f>IF(B667="", "", "saliva")</f>
        <v>0</v>
      </c>
      <c r="E667" s="1">
        <f>IF(B667="", "", "human-oral")</f>
        <v>0</v>
      </c>
      <c r="F667" s="1">
        <f>IF(B667="", "", "UBERON:oral cavity")</f>
        <v>0</v>
      </c>
      <c r="G667" s="1">
        <f>IF(B667="", "", "UBERON:saliva")</f>
        <v>0</v>
      </c>
      <c r="H667" s="1">
        <f>IF(B667="", "", "UBERON:tongue")</f>
        <v>0</v>
      </c>
      <c r="I667" s="1">
        <f>IF(B667="", "", "tongue")</f>
        <v>0</v>
      </c>
      <c r="J667" s="1">
        <f>IF(B667="", "", "human oral metagenome")</f>
        <v>0</v>
      </c>
      <c r="K667" s="1">
        <f>IF(B667="", "", "447426")</f>
        <v>0</v>
      </c>
    </row>
    <row r="668" spans="1:11">
      <c r="A668">
        <f>IF(COUNTBLANK(B668:K668)&lt;&gt;COLUMNS(B668:K668),667,"")</f>
        <v>0</v>
      </c>
      <c r="C668" s="1">
        <f>IF(B668="", "", "animal secretion")</f>
        <v>0</v>
      </c>
      <c r="D668" s="1">
        <f>IF(B668="", "", "saliva")</f>
        <v>0</v>
      </c>
      <c r="E668" s="1">
        <f>IF(B668="", "", "human-oral")</f>
        <v>0</v>
      </c>
      <c r="F668" s="1">
        <f>IF(B668="", "", "UBERON:oral cavity")</f>
        <v>0</v>
      </c>
      <c r="G668" s="1">
        <f>IF(B668="", "", "UBERON:saliva")</f>
        <v>0</v>
      </c>
      <c r="H668" s="1">
        <f>IF(B668="", "", "UBERON:tongue")</f>
        <v>0</v>
      </c>
      <c r="I668" s="1">
        <f>IF(B668="", "", "tongue")</f>
        <v>0</v>
      </c>
      <c r="J668" s="1">
        <f>IF(B668="", "", "human oral metagenome")</f>
        <v>0</v>
      </c>
      <c r="K668" s="1">
        <f>IF(B668="", "", "447426")</f>
        <v>0</v>
      </c>
    </row>
    <row r="669" spans="1:11">
      <c r="A669">
        <f>IF(COUNTBLANK(B669:K669)&lt;&gt;COLUMNS(B669:K669),668,"")</f>
        <v>0</v>
      </c>
      <c r="C669" s="1">
        <f>IF(B669="", "", "animal secretion")</f>
        <v>0</v>
      </c>
      <c r="D669" s="1">
        <f>IF(B669="", "", "saliva")</f>
        <v>0</v>
      </c>
      <c r="E669" s="1">
        <f>IF(B669="", "", "human-oral")</f>
        <v>0</v>
      </c>
      <c r="F669" s="1">
        <f>IF(B669="", "", "UBERON:oral cavity")</f>
        <v>0</v>
      </c>
      <c r="G669" s="1">
        <f>IF(B669="", "", "UBERON:saliva")</f>
        <v>0</v>
      </c>
      <c r="H669" s="1">
        <f>IF(B669="", "", "UBERON:tongue")</f>
        <v>0</v>
      </c>
      <c r="I669" s="1">
        <f>IF(B669="", "", "tongue")</f>
        <v>0</v>
      </c>
      <c r="J669" s="1">
        <f>IF(B669="", "", "human oral metagenome")</f>
        <v>0</v>
      </c>
      <c r="K669" s="1">
        <f>IF(B669="", "", "447426")</f>
        <v>0</v>
      </c>
    </row>
    <row r="670" spans="1:11">
      <c r="A670">
        <f>IF(COUNTBLANK(B670:K670)&lt;&gt;COLUMNS(B670:K670),669,"")</f>
        <v>0</v>
      </c>
      <c r="C670" s="1">
        <f>IF(B670="", "", "animal secretion")</f>
        <v>0</v>
      </c>
      <c r="D670" s="1">
        <f>IF(B670="", "", "saliva")</f>
        <v>0</v>
      </c>
      <c r="E670" s="1">
        <f>IF(B670="", "", "human-oral")</f>
        <v>0</v>
      </c>
      <c r="F670" s="1">
        <f>IF(B670="", "", "UBERON:oral cavity")</f>
        <v>0</v>
      </c>
      <c r="G670" s="1">
        <f>IF(B670="", "", "UBERON:saliva")</f>
        <v>0</v>
      </c>
      <c r="H670" s="1">
        <f>IF(B670="", "", "UBERON:tongue")</f>
        <v>0</v>
      </c>
      <c r="I670" s="1">
        <f>IF(B670="", "", "tongue")</f>
        <v>0</v>
      </c>
      <c r="J670" s="1">
        <f>IF(B670="", "", "human oral metagenome")</f>
        <v>0</v>
      </c>
      <c r="K670" s="1">
        <f>IF(B670="", "", "447426")</f>
        <v>0</v>
      </c>
    </row>
    <row r="671" spans="1:11">
      <c r="A671">
        <f>IF(COUNTBLANK(B671:K671)&lt;&gt;COLUMNS(B671:K671),670,"")</f>
        <v>0</v>
      </c>
      <c r="C671" s="1">
        <f>IF(B671="", "", "animal secretion")</f>
        <v>0</v>
      </c>
      <c r="D671" s="1">
        <f>IF(B671="", "", "saliva")</f>
        <v>0</v>
      </c>
      <c r="E671" s="1">
        <f>IF(B671="", "", "human-oral")</f>
        <v>0</v>
      </c>
      <c r="F671" s="1">
        <f>IF(B671="", "", "UBERON:oral cavity")</f>
        <v>0</v>
      </c>
      <c r="G671" s="1">
        <f>IF(B671="", "", "UBERON:saliva")</f>
        <v>0</v>
      </c>
      <c r="H671" s="1">
        <f>IF(B671="", "", "UBERON:tongue")</f>
        <v>0</v>
      </c>
      <c r="I671" s="1">
        <f>IF(B671="", "", "tongue")</f>
        <v>0</v>
      </c>
      <c r="J671" s="1">
        <f>IF(B671="", "", "human oral metagenome")</f>
        <v>0</v>
      </c>
      <c r="K671" s="1">
        <f>IF(B671="", "", "447426")</f>
        <v>0</v>
      </c>
    </row>
    <row r="672" spans="1:11">
      <c r="A672">
        <f>IF(COUNTBLANK(B672:K672)&lt;&gt;COLUMNS(B672:K672),671,"")</f>
        <v>0</v>
      </c>
      <c r="C672" s="1">
        <f>IF(B672="", "", "animal secretion")</f>
        <v>0</v>
      </c>
      <c r="D672" s="1">
        <f>IF(B672="", "", "saliva")</f>
        <v>0</v>
      </c>
      <c r="E672" s="1">
        <f>IF(B672="", "", "human-oral")</f>
        <v>0</v>
      </c>
      <c r="F672" s="1">
        <f>IF(B672="", "", "UBERON:oral cavity")</f>
        <v>0</v>
      </c>
      <c r="G672" s="1">
        <f>IF(B672="", "", "UBERON:saliva")</f>
        <v>0</v>
      </c>
      <c r="H672" s="1">
        <f>IF(B672="", "", "UBERON:tongue")</f>
        <v>0</v>
      </c>
      <c r="I672" s="1">
        <f>IF(B672="", "", "tongue")</f>
        <v>0</v>
      </c>
      <c r="J672" s="1">
        <f>IF(B672="", "", "human oral metagenome")</f>
        <v>0</v>
      </c>
      <c r="K672" s="1">
        <f>IF(B672="", "", "447426")</f>
        <v>0</v>
      </c>
    </row>
    <row r="673" spans="1:11">
      <c r="A673">
        <f>IF(COUNTBLANK(B673:K673)&lt;&gt;COLUMNS(B673:K673),672,"")</f>
        <v>0</v>
      </c>
      <c r="C673" s="1">
        <f>IF(B673="", "", "animal secretion")</f>
        <v>0</v>
      </c>
      <c r="D673" s="1">
        <f>IF(B673="", "", "saliva")</f>
        <v>0</v>
      </c>
      <c r="E673" s="1">
        <f>IF(B673="", "", "human-oral")</f>
        <v>0</v>
      </c>
      <c r="F673" s="1">
        <f>IF(B673="", "", "UBERON:oral cavity")</f>
        <v>0</v>
      </c>
      <c r="G673" s="1">
        <f>IF(B673="", "", "UBERON:saliva")</f>
        <v>0</v>
      </c>
      <c r="H673" s="1">
        <f>IF(B673="", "", "UBERON:tongue")</f>
        <v>0</v>
      </c>
      <c r="I673" s="1">
        <f>IF(B673="", "", "tongue")</f>
        <v>0</v>
      </c>
      <c r="J673" s="1">
        <f>IF(B673="", "", "human oral metagenome")</f>
        <v>0</v>
      </c>
      <c r="K673" s="1">
        <f>IF(B673="", "", "447426")</f>
        <v>0</v>
      </c>
    </row>
    <row r="674" spans="1:11">
      <c r="A674">
        <f>IF(COUNTBLANK(B674:K674)&lt;&gt;COLUMNS(B674:K674),673,"")</f>
        <v>0</v>
      </c>
      <c r="C674" s="1">
        <f>IF(B674="", "", "animal secretion")</f>
        <v>0</v>
      </c>
      <c r="D674" s="1">
        <f>IF(B674="", "", "saliva")</f>
        <v>0</v>
      </c>
      <c r="E674" s="1">
        <f>IF(B674="", "", "human-oral")</f>
        <v>0</v>
      </c>
      <c r="F674" s="1">
        <f>IF(B674="", "", "UBERON:oral cavity")</f>
        <v>0</v>
      </c>
      <c r="G674" s="1">
        <f>IF(B674="", "", "UBERON:saliva")</f>
        <v>0</v>
      </c>
      <c r="H674" s="1">
        <f>IF(B674="", "", "UBERON:tongue")</f>
        <v>0</v>
      </c>
      <c r="I674" s="1">
        <f>IF(B674="", "", "tongue")</f>
        <v>0</v>
      </c>
      <c r="J674" s="1">
        <f>IF(B674="", "", "human oral metagenome")</f>
        <v>0</v>
      </c>
      <c r="K674" s="1">
        <f>IF(B674="", "", "447426")</f>
        <v>0</v>
      </c>
    </row>
    <row r="675" spans="1:11">
      <c r="A675">
        <f>IF(COUNTBLANK(B675:K675)&lt;&gt;COLUMNS(B675:K675),674,"")</f>
        <v>0</v>
      </c>
      <c r="C675" s="1">
        <f>IF(B675="", "", "animal secretion")</f>
        <v>0</v>
      </c>
      <c r="D675" s="1">
        <f>IF(B675="", "", "saliva")</f>
        <v>0</v>
      </c>
      <c r="E675" s="1">
        <f>IF(B675="", "", "human-oral")</f>
        <v>0</v>
      </c>
      <c r="F675" s="1">
        <f>IF(B675="", "", "UBERON:oral cavity")</f>
        <v>0</v>
      </c>
      <c r="G675" s="1">
        <f>IF(B675="", "", "UBERON:saliva")</f>
        <v>0</v>
      </c>
      <c r="H675" s="1">
        <f>IF(B675="", "", "UBERON:tongue")</f>
        <v>0</v>
      </c>
      <c r="I675" s="1">
        <f>IF(B675="", "", "tongue")</f>
        <v>0</v>
      </c>
      <c r="J675" s="1">
        <f>IF(B675="", "", "human oral metagenome")</f>
        <v>0</v>
      </c>
      <c r="K675" s="1">
        <f>IF(B675="", "", "447426")</f>
        <v>0</v>
      </c>
    </row>
    <row r="676" spans="1:11">
      <c r="A676">
        <f>IF(COUNTBLANK(B676:K676)&lt;&gt;COLUMNS(B676:K676),675,"")</f>
        <v>0</v>
      </c>
      <c r="C676" s="1">
        <f>IF(B676="", "", "animal secretion")</f>
        <v>0</v>
      </c>
      <c r="D676" s="1">
        <f>IF(B676="", "", "saliva")</f>
        <v>0</v>
      </c>
      <c r="E676" s="1">
        <f>IF(B676="", "", "human-oral")</f>
        <v>0</v>
      </c>
      <c r="F676" s="1">
        <f>IF(B676="", "", "UBERON:oral cavity")</f>
        <v>0</v>
      </c>
      <c r="G676" s="1">
        <f>IF(B676="", "", "UBERON:saliva")</f>
        <v>0</v>
      </c>
      <c r="H676" s="1">
        <f>IF(B676="", "", "UBERON:tongue")</f>
        <v>0</v>
      </c>
      <c r="I676" s="1">
        <f>IF(B676="", "", "tongue")</f>
        <v>0</v>
      </c>
      <c r="J676" s="1">
        <f>IF(B676="", "", "human oral metagenome")</f>
        <v>0</v>
      </c>
      <c r="K676" s="1">
        <f>IF(B676="", "", "447426")</f>
        <v>0</v>
      </c>
    </row>
    <row r="677" spans="1:11">
      <c r="A677">
        <f>IF(COUNTBLANK(B677:K677)&lt;&gt;COLUMNS(B677:K677),676,"")</f>
        <v>0</v>
      </c>
      <c r="C677" s="1">
        <f>IF(B677="", "", "animal secretion")</f>
        <v>0</v>
      </c>
      <c r="D677" s="1">
        <f>IF(B677="", "", "saliva")</f>
        <v>0</v>
      </c>
      <c r="E677" s="1">
        <f>IF(B677="", "", "human-oral")</f>
        <v>0</v>
      </c>
      <c r="F677" s="1">
        <f>IF(B677="", "", "UBERON:oral cavity")</f>
        <v>0</v>
      </c>
      <c r="G677" s="1">
        <f>IF(B677="", "", "UBERON:saliva")</f>
        <v>0</v>
      </c>
      <c r="H677" s="1">
        <f>IF(B677="", "", "UBERON:tongue")</f>
        <v>0</v>
      </c>
      <c r="I677" s="1">
        <f>IF(B677="", "", "tongue")</f>
        <v>0</v>
      </c>
      <c r="J677" s="1">
        <f>IF(B677="", "", "human oral metagenome")</f>
        <v>0</v>
      </c>
      <c r="K677" s="1">
        <f>IF(B677="", "", "447426")</f>
        <v>0</v>
      </c>
    </row>
    <row r="678" spans="1:11">
      <c r="A678">
        <f>IF(COUNTBLANK(B678:K678)&lt;&gt;COLUMNS(B678:K678),677,"")</f>
        <v>0</v>
      </c>
      <c r="C678" s="1">
        <f>IF(B678="", "", "animal secretion")</f>
        <v>0</v>
      </c>
      <c r="D678" s="1">
        <f>IF(B678="", "", "saliva")</f>
        <v>0</v>
      </c>
      <c r="E678" s="1">
        <f>IF(B678="", "", "human-oral")</f>
        <v>0</v>
      </c>
      <c r="F678" s="1">
        <f>IF(B678="", "", "UBERON:oral cavity")</f>
        <v>0</v>
      </c>
      <c r="G678" s="1">
        <f>IF(B678="", "", "UBERON:saliva")</f>
        <v>0</v>
      </c>
      <c r="H678" s="1">
        <f>IF(B678="", "", "UBERON:tongue")</f>
        <v>0</v>
      </c>
      <c r="I678" s="1">
        <f>IF(B678="", "", "tongue")</f>
        <v>0</v>
      </c>
      <c r="J678" s="1">
        <f>IF(B678="", "", "human oral metagenome")</f>
        <v>0</v>
      </c>
      <c r="K678" s="1">
        <f>IF(B678="", "", "447426")</f>
        <v>0</v>
      </c>
    </row>
    <row r="679" spans="1:11">
      <c r="A679">
        <f>IF(COUNTBLANK(B679:K679)&lt;&gt;COLUMNS(B679:K679),678,"")</f>
        <v>0</v>
      </c>
      <c r="C679" s="1">
        <f>IF(B679="", "", "animal secretion")</f>
        <v>0</v>
      </c>
      <c r="D679" s="1">
        <f>IF(B679="", "", "saliva")</f>
        <v>0</v>
      </c>
      <c r="E679" s="1">
        <f>IF(B679="", "", "human-oral")</f>
        <v>0</v>
      </c>
      <c r="F679" s="1">
        <f>IF(B679="", "", "UBERON:oral cavity")</f>
        <v>0</v>
      </c>
      <c r="G679" s="1">
        <f>IF(B679="", "", "UBERON:saliva")</f>
        <v>0</v>
      </c>
      <c r="H679" s="1">
        <f>IF(B679="", "", "UBERON:tongue")</f>
        <v>0</v>
      </c>
      <c r="I679" s="1">
        <f>IF(B679="", "", "tongue")</f>
        <v>0</v>
      </c>
      <c r="J679" s="1">
        <f>IF(B679="", "", "human oral metagenome")</f>
        <v>0</v>
      </c>
      <c r="K679" s="1">
        <f>IF(B679="", "", "447426")</f>
        <v>0</v>
      </c>
    </row>
    <row r="680" spans="1:11">
      <c r="A680">
        <f>IF(COUNTBLANK(B680:K680)&lt;&gt;COLUMNS(B680:K680),679,"")</f>
        <v>0</v>
      </c>
      <c r="C680" s="1">
        <f>IF(B680="", "", "animal secretion")</f>
        <v>0</v>
      </c>
      <c r="D680" s="1">
        <f>IF(B680="", "", "saliva")</f>
        <v>0</v>
      </c>
      <c r="E680" s="1">
        <f>IF(B680="", "", "human-oral")</f>
        <v>0</v>
      </c>
      <c r="F680" s="1">
        <f>IF(B680="", "", "UBERON:oral cavity")</f>
        <v>0</v>
      </c>
      <c r="G680" s="1">
        <f>IF(B680="", "", "UBERON:saliva")</f>
        <v>0</v>
      </c>
      <c r="H680" s="1">
        <f>IF(B680="", "", "UBERON:tongue")</f>
        <v>0</v>
      </c>
      <c r="I680" s="1">
        <f>IF(B680="", "", "tongue")</f>
        <v>0</v>
      </c>
      <c r="J680" s="1">
        <f>IF(B680="", "", "human oral metagenome")</f>
        <v>0</v>
      </c>
      <c r="K680" s="1">
        <f>IF(B680="", "", "447426")</f>
        <v>0</v>
      </c>
    </row>
    <row r="681" spans="1:11">
      <c r="A681">
        <f>IF(COUNTBLANK(B681:K681)&lt;&gt;COLUMNS(B681:K681),680,"")</f>
        <v>0</v>
      </c>
      <c r="C681" s="1">
        <f>IF(B681="", "", "animal secretion")</f>
        <v>0</v>
      </c>
      <c r="D681" s="1">
        <f>IF(B681="", "", "saliva")</f>
        <v>0</v>
      </c>
      <c r="E681" s="1">
        <f>IF(B681="", "", "human-oral")</f>
        <v>0</v>
      </c>
      <c r="F681" s="1">
        <f>IF(B681="", "", "UBERON:oral cavity")</f>
        <v>0</v>
      </c>
      <c r="G681" s="1">
        <f>IF(B681="", "", "UBERON:saliva")</f>
        <v>0</v>
      </c>
      <c r="H681" s="1">
        <f>IF(B681="", "", "UBERON:tongue")</f>
        <v>0</v>
      </c>
      <c r="I681" s="1">
        <f>IF(B681="", "", "tongue")</f>
        <v>0</v>
      </c>
      <c r="J681" s="1">
        <f>IF(B681="", "", "human oral metagenome")</f>
        <v>0</v>
      </c>
      <c r="K681" s="1">
        <f>IF(B681="", "", "447426")</f>
        <v>0</v>
      </c>
    </row>
    <row r="682" spans="1:11">
      <c r="A682">
        <f>IF(COUNTBLANK(B682:K682)&lt;&gt;COLUMNS(B682:K682),681,"")</f>
        <v>0</v>
      </c>
      <c r="C682" s="1">
        <f>IF(B682="", "", "animal secretion")</f>
        <v>0</v>
      </c>
      <c r="D682" s="1">
        <f>IF(B682="", "", "saliva")</f>
        <v>0</v>
      </c>
      <c r="E682" s="1">
        <f>IF(B682="", "", "human-oral")</f>
        <v>0</v>
      </c>
      <c r="F682" s="1">
        <f>IF(B682="", "", "UBERON:oral cavity")</f>
        <v>0</v>
      </c>
      <c r="G682" s="1">
        <f>IF(B682="", "", "UBERON:saliva")</f>
        <v>0</v>
      </c>
      <c r="H682" s="1">
        <f>IF(B682="", "", "UBERON:tongue")</f>
        <v>0</v>
      </c>
      <c r="I682" s="1">
        <f>IF(B682="", "", "tongue")</f>
        <v>0</v>
      </c>
      <c r="J682" s="1">
        <f>IF(B682="", "", "human oral metagenome")</f>
        <v>0</v>
      </c>
      <c r="K682" s="1">
        <f>IF(B682="", "", "447426")</f>
        <v>0</v>
      </c>
    </row>
    <row r="683" spans="1:11">
      <c r="A683">
        <f>IF(COUNTBLANK(B683:K683)&lt;&gt;COLUMNS(B683:K683),682,"")</f>
        <v>0</v>
      </c>
      <c r="C683" s="1">
        <f>IF(B683="", "", "animal secretion")</f>
        <v>0</v>
      </c>
      <c r="D683" s="1">
        <f>IF(B683="", "", "saliva")</f>
        <v>0</v>
      </c>
      <c r="E683" s="1">
        <f>IF(B683="", "", "human-oral")</f>
        <v>0</v>
      </c>
      <c r="F683" s="1">
        <f>IF(B683="", "", "UBERON:oral cavity")</f>
        <v>0</v>
      </c>
      <c r="G683" s="1">
        <f>IF(B683="", "", "UBERON:saliva")</f>
        <v>0</v>
      </c>
      <c r="H683" s="1">
        <f>IF(B683="", "", "UBERON:tongue")</f>
        <v>0</v>
      </c>
      <c r="I683" s="1">
        <f>IF(B683="", "", "tongue")</f>
        <v>0</v>
      </c>
      <c r="J683" s="1">
        <f>IF(B683="", "", "human oral metagenome")</f>
        <v>0</v>
      </c>
      <c r="K683" s="1">
        <f>IF(B683="", "", "447426")</f>
        <v>0</v>
      </c>
    </row>
    <row r="684" spans="1:11">
      <c r="A684">
        <f>IF(COUNTBLANK(B684:K684)&lt;&gt;COLUMNS(B684:K684),683,"")</f>
        <v>0</v>
      </c>
      <c r="C684" s="1">
        <f>IF(B684="", "", "animal secretion")</f>
        <v>0</v>
      </c>
      <c r="D684" s="1">
        <f>IF(B684="", "", "saliva")</f>
        <v>0</v>
      </c>
      <c r="E684" s="1">
        <f>IF(B684="", "", "human-oral")</f>
        <v>0</v>
      </c>
      <c r="F684" s="1">
        <f>IF(B684="", "", "UBERON:oral cavity")</f>
        <v>0</v>
      </c>
      <c r="G684" s="1">
        <f>IF(B684="", "", "UBERON:saliva")</f>
        <v>0</v>
      </c>
      <c r="H684" s="1">
        <f>IF(B684="", "", "UBERON:tongue")</f>
        <v>0</v>
      </c>
      <c r="I684" s="1">
        <f>IF(B684="", "", "tongue")</f>
        <v>0</v>
      </c>
      <c r="J684" s="1">
        <f>IF(B684="", "", "human oral metagenome")</f>
        <v>0</v>
      </c>
      <c r="K684" s="1">
        <f>IF(B684="", "", "447426")</f>
        <v>0</v>
      </c>
    </row>
    <row r="685" spans="1:11">
      <c r="A685">
        <f>IF(COUNTBLANK(B685:K685)&lt;&gt;COLUMNS(B685:K685),684,"")</f>
        <v>0</v>
      </c>
      <c r="C685" s="1">
        <f>IF(B685="", "", "animal secretion")</f>
        <v>0</v>
      </c>
      <c r="D685" s="1">
        <f>IF(B685="", "", "saliva")</f>
        <v>0</v>
      </c>
      <c r="E685" s="1">
        <f>IF(B685="", "", "human-oral")</f>
        <v>0</v>
      </c>
      <c r="F685" s="1">
        <f>IF(B685="", "", "UBERON:oral cavity")</f>
        <v>0</v>
      </c>
      <c r="G685" s="1">
        <f>IF(B685="", "", "UBERON:saliva")</f>
        <v>0</v>
      </c>
      <c r="H685" s="1">
        <f>IF(B685="", "", "UBERON:tongue")</f>
        <v>0</v>
      </c>
      <c r="I685" s="1">
        <f>IF(B685="", "", "tongue")</f>
        <v>0</v>
      </c>
      <c r="J685" s="1">
        <f>IF(B685="", "", "human oral metagenome")</f>
        <v>0</v>
      </c>
      <c r="K685" s="1">
        <f>IF(B685="", "", "447426")</f>
        <v>0</v>
      </c>
    </row>
    <row r="686" spans="1:11">
      <c r="A686">
        <f>IF(COUNTBLANK(B686:K686)&lt;&gt;COLUMNS(B686:K686),685,"")</f>
        <v>0</v>
      </c>
      <c r="C686" s="1">
        <f>IF(B686="", "", "animal secretion")</f>
        <v>0</v>
      </c>
      <c r="D686" s="1">
        <f>IF(B686="", "", "saliva")</f>
        <v>0</v>
      </c>
      <c r="E686" s="1">
        <f>IF(B686="", "", "human-oral")</f>
        <v>0</v>
      </c>
      <c r="F686" s="1">
        <f>IF(B686="", "", "UBERON:oral cavity")</f>
        <v>0</v>
      </c>
      <c r="G686" s="1">
        <f>IF(B686="", "", "UBERON:saliva")</f>
        <v>0</v>
      </c>
      <c r="H686" s="1">
        <f>IF(B686="", "", "UBERON:tongue")</f>
        <v>0</v>
      </c>
      <c r="I686" s="1">
        <f>IF(B686="", "", "tongue")</f>
        <v>0</v>
      </c>
      <c r="J686" s="1">
        <f>IF(B686="", "", "human oral metagenome")</f>
        <v>0</v>
      </c>
      <c r="K686" s="1">
        <f>IF(B686="", "", "447426")</f>
        <v>0</v>
      </c>
    </row>
    <row r="687" spans="1:11">
      <c r="A687">
        <f>IF(COUNTBLANK(B687:K687)&lt;&gt;COLUMNS(B687:K687),686,"")</f>
        <v>0</v>
      </c>
      <c r="C687" s="1">
        <f>IF(B687="", "", "animal secretion")</f>
        <v>0</v>
      </c>
      <c r="D687" s="1">
        <f>IF(B687="", "", "saliva")</f>
        <v>0</v>
      </c>
      <c r="E687" s="1">
        <f>IF(B687="", "", "human-oral")</f>
        <v>0</v>
      </c>
      <c r="F687" s="1">
        <f>IF(B687="", "", "UBERON:oral cavity")</f>
        <v>0</v>
      </c>
      <c r="G687" s="1">
        <f>IF(B687="", "", "UBERON:saliva")</f>
        <v>0</v>
      </c>
      <c r="H687" s="1">
        <f>IF(B687="", "", "UBERON:tongue")</f>
        <v>0</v>
      </c>
      <c r="I687" s="1">
        <f>IF(B687="", "", "tongue")</f>
        <v>0</v>
      </c>
      <c r="J687" s="1">
        <f>IF(B687="", "", "human oral metagenome")</f>
        <v>0</v>
      </c>
      <c r="K687" s="1">
        <f>IF(B687="", "", "447426")</f>
        <v>0</v>
      </c>
    </row>
    <row r="688" spans="1:11">
      <c r="A688">
        <f>IF(COUNTBLANK(B688:K688)&lt;&gt;COLUMNS(B688:K688),687,"")</f>
        <v>0</v>
      </c>
      <c r="C688" s="1">
        <f>IF(B688="", "", "animal secretion")</f>
        <v>0</v>
      </c>
      <c r="D688" s="1">
        <f>IF(B688="", "", "saliva")</f>
        <v>0</v>
      </c>
      <c r="E688" s="1">
        <f>IF(B688="", "", "human-oral")</f>
        <v>0</v>
      </c>
      <c r="F688" s="1">
        <f>IF(B688="", "", "UBERON:oral cavity")</f>
        <v>0</v>
      </c>
      <c r="G688" s="1">
        <f>IF(B688="", "", "UBERON:saliva")</f>
        <v>0</v>
      </c>
      <c r="H688" s="1">
        <f>IF(B688="", "", "UBERON:tongue")</f>
        <v>0</v>
      </c>
      <c r="I688" s="1">
        <f>IF(B688="", "", "tongue")</f>
        <v>0</v>
      </c>
      <c r="J688" s="1">
        <f>IF(B688="", "", "human oral metagenome")</f>
        <v>0</v>
      </c>
      <c r="K688" s="1">
        <f>IF(B688="", "", "447426")</f>
        <v>0</v>
      </c>
    </row>
    <row r="689" spans="1:11">
      <c r="A689">
        <f>IF(COUNTBLANK(B689:K689)&lt;&gt;COLUMNS(B689:K689),688,"")</f>
        <v>0</v>
      </c>
      <c r="C689" s="1">
        <f>IF(B689="", "", "animal secretion")</f>
        <v>0</v>
      </c>
      <c r="D689" s="1">
        <f>IF(B689="", "", "saliva")</f>
        <v>0</v>
      </c>
      <c r="E689" s="1">
        <f>IF(B689="", "", "human-oral")</f>
        <v>0</v>
      </c>
      <c r="F689" s="1">
        <f>IF(B689="", "", "UBERON:oral cavity")</f>
        <v>0</v>
      </c>
      <c r="G689" s="1">
        <f>IF(B689="", "", "UBERON:saliva")</f>
        <v>0</v>
      </c>
      <c r="H689" s="1">
        <f>IF(B689="", "", "UBERON:tongue")</f>
        <v>0</v>
      </c>
      <c r="I689" s="1">
        <f>IF(B689="", "", "tongue")</f>
        <v>0</v>
      </c>
      <c r="J689" s="1">
        <f>IF(B689="", "", "human oral metagenome")</f>
        <v>0</v>
      </c>
      <c r="K689" s="1">
        <f>IF(B689="", "", "447426")</f>
        <v>0</v>
      </c>
    </row>
    <row r="690" spans="1:11">
      <c r="A690">
        <f>IF(COUNTBLANK(B690:K690)&lt;&gt;COLUMNS(B690:K690),689,"")</f>
        <v>0</v>
      </c>
      <c r="C690" s="1">
        <f>IF(B690="", "", "animal secretion")</f>
        <v>0</v>
      </c>
      <c r="D690" s="1">
        <f>IF(B690="", "", "saliva")</f>
        <v>0</v>
      </c>
      <c r="E690" s="1">
        <f>IF(B690="", "", "human-oral")</f>
        <v>0</v>
      </c>
      <c r="F690" s="1">
        <f>IF(B690="", "", "UBERON:oral cavity")</f>
        <v>0</v>
      </c>
      <c r="G690" s="1">
        <f>IF(B690="", "", "UBERON:saliva")</f>
        <v>0</v>
      </c>
      <c r="H690" s="1">
        <f>IF(B690="", "", "UBERON:tongue")</f>
        <v>0</v>
      </c>
      <c r="I690" s="1">
        <f>IF(B690="", "", "tongue")</f>
        <v>0</v>
      </c>
      <c r="J690" s="1">
        <f>IF(B690="", "", "human oral metagenome")</f>
        <v>0</v>
      </c>
      <c r="K690" s="1">
        <f>IF(B690="", "", "447426")</f>
        <v>0</v>
      </c>
    </row>
    <row r="691" spans="1:11">
      <c r="A691">
        <f>IF(COUNTBLANK(B691:K691)&lt;&gt;COLUMNS(B691:K691),690,"")</f>
        <v>0</v>
      </c>
      <c r="C691" s="1">
        <f>IF(B691="", "", "animal secretion")</f>
        <v>0</v>
      </c>
      <c r="D691" s="1">
        <f>IF(B691="", "", "saliva")</f>
        <v>0</v>
      </c>
      <c r="E691" s="1">
        <f>IF(B691="", "", "human-oral")</f>
        <v>0</v>
      </c>
      <c r="F691" s="1">
        <f>IF(B691="", "", "UBERON:oral cavity")</f>
        <v>0</v>
      </c>
      <c r="G691" s="1">
        <f>IF(B691="", "", "UBERON:saliva")</f>
        <v>0</v>
      </c>
      <c r="H691" s="1">
        <f>IF(B691="", "", "UBERON:tongue")</f>
        <v>0</v>
      </c>
      <c r="I691" s="1">
        <f>IF(B691="", "", "tongue")</f>
        <v>0</v>
      </c>
      <c r="J691" s="1">
        <f>IF(B691="", "", "human oral metagenome")</f>
        <v>0</v>
      </c>
      <c r="K691" s="1">
        <f>IF(B691="", "", "447426")</f>
        <v>0</v>
      </c>
    </row>
    <row r="692" spans="1:11">
      <c r="A692">
        <f>IF(COUNTBLANK(B692:K692)&lt;&gt;COLUMNS(B692:K692),691,"")</f>
        <v>0</v>
      </c>
      <c r="C692" s="1">
        <f>IF(B692="", "", "animal secretion")</f>
        <v>0</v>
      </c>
      <c r="D692" s="1">
        <f>IF(B692="", "", "saliva")</f>
        <v>0</v>
      </c>
      <c r="E692" s="1">
        <f>IF(B692="", "", "human-oral")</f>
        <v>0</v>
      </c>
      <c r="F692" s="1">
        <f>IF(B692="", "", "UBERON:oral cavity")</f>
        <v>0</v>
      </c>
      <c r="G692" s="1">
        <f>IF(B692="", "", "UBERON:saliva")</f>
        <v>0</v>
      </c>
      <c r="H692" s="1">
        <f>IF(B692="", "", "UBERON:tongue")</f>
        <v>0</v>
      </c>
      <c r="I692" s="1">
        <f>IF(B692="", "", "tongue")</f>
        <v>0</v>
      </c>
      <c r="J692" s="1">
        <f>IF(B692="", "", "human oral metagenome")</f>
        <v>0</v>
      </c>
      <c r="K692" s="1">
        <f>IF(B692="", "", "447426")</f>
        <v>0</v>
      </c>
    </row>
    <row r="693" spans="1:11">
      <c r="A693">
        <f>IF(COUNTBLANK(B693:K693)&lt;&gt;COLUMNS(B693:K693),692,"")</f>
        <v>0</v>
      </c>
      <c r="C693" s="1">
        <f>IF(B693="", "", "animal secretion")</f>
        <v>0</v>
      </c>
      <c r="D693" s="1">
        <f>IF(B693="", "", "saliva")</f>
        <v>0</v>
      </c>
      <c r="E693" s="1">
        <f>IF(B693="", "", "human-oral")</f>
        <v>0</v>
      </c>
      <c r="F693" s="1">
        <f>IF(B693="", "", "UBERON:oral cavity")</f>
        <v>0</v>
      </c>
      <c r="G693" s="1">
        <f>IF(B693="", "", "UBERON:saliva")</f>
        <v>0</v>
      </c>
      <c r="H693" s="1">
        <f>IF(B693="", "", "UBERON:tongue")</f>
        <v>0</v>
      </c>
      <c r="I693" s="1">
        <f>IF(B693="", "", "tongue")</f>
        <v>0</v>
      </c>
      <c r="J693" s="1">
        <f>IF(B693="", "", "human oral metagenome")</f>
        <v>0</v>
      </c>
      <c r="K693" s="1">
        <f>IF(B693="", "", "447426")</f>
        <v>0</v>
      </c>
    </row>
    <row r="694" spans="1:11">
      <c r="A694">
        <f>IF(COUNTBLANK(B694:K694)&lt;&gt;COLUMNS(B694:K694),693,"")</f>
        <v>0</v>
      </c>
      <c r="C694" s="1">
        <f>IF(B694="", "", "animal secretion")</f>
        <v>0</v>
      </c>
      <c r="D694" s="1">
        <f>IF(B694="", "", "saliva")</f>
        <v>0</v>
      </c>
      <c r="E694" s="1">
        <f>IF(B694="", "", "human-oral")</f>
        <v>0</v>
      </c>
      <c r="F694" s="1">
        <f>IF(B694="", "", "UBERON:oral cavity")</f>
        <v>0</v>
      </c>
      <c r="G694" s="1">
        <f>IF(B694="", "", "UBERON:saliva")</f>
        <v>0</v>
      </c>
      <c r="H694" s="1">
        <f>IF(B694="", "", "UBERON:tongue")</f>
        <v>0</v>
      </c>
      <c r="I694" s="1">
        <f>IF(B694="", "", "tongue")</f>
        <v>0</v>
      </c>
      <c r="J694" s="1">
        <f>IF(B694="", "", "human oral metagenome")</f>
        <v>0</v>
      </c>
      <c r="K694" s="1">
        <f>IF(B694="", "", "447426")</f>
        <v>0</v>
      </c>
    </row>
    <row r="695" spans="1:11">
      <c r="A695">
        <f>IF(COUNTBLANK(B695:K695)&lt;&gt;COLUMNS(B695:K695),694,"")</f>
        <v>0</v>
      </c>
      <c r="C695" s="1">
        <f>IF(B695="", "", "animal secretion")</f>
        <v>0</v>
      </c>
      <c r="D695" s="1">
        <f>IF(B695="", "", "saliva")</f>
        <v>0</v>
      </c>
      <c r="E695" s="1">
        <f>IF(B695="", "", "human-oral")</f>
        <v>0</v>
      </c>
      <c r="F695" s="1">
        <f>IF(B695="", "", "UBERON:oral cavity")</f>
        <v>0</v>
      </c>
      <c r="G695" s="1">
        <f>IF(B695="", "", "UBERON:saliva")</f>
        <v>0</v>
      </c>
      <c r="H695" s="1">
        <f>IF(B695="", "", "UBERON:tongue")</f>
        <v>0</v>
      </c>
      <c r="I695" s="1">
        <f>IF(B695="", "", "tongue")</f>
        <v>0</v>
      </c>
      <c r="J695" s="1">
        <f>IF(B695="", "", "human oral metagenome")</f>
        <v>0</v>
      </c>
      <c r="K695" s="1">
        <f>IF(B695="", "", "447426")</f>
        <v>0</v>
      </c>
    </row>
    <row r="696" spans="1:11">
      <c r="A696">
        <f>IF(COUNTBLANK(B696:K696)&lt;&gt;COLUMNS(B696:K696),695,"")</f>
        <v>0</v>
      </c>
      <c r="C696" s="1">
        <f>IF(B696="", "", "animal secretion")</f>
        <v>0</v>
      </c>
      <c r="D696" s="1">
        <f>IF(B696="", "", "saliva")</f>
        <v>0</v>
      </c>
      <c r="E696" s="1">
        <f>IF(B696="", "", "human-oral")</f>
        <v>0</v>
      </c>
      <c r="F696" s="1">
        <f>IF(B696="", "", "UBERON:oral cavity")</f>
        <v>0</v>
      </c>
      <c r="G696" s="1">
        <f>IF(B696="", "", "UBERON:saliva")</f>
        <v>0</v>
      </c>
      <c r="H696" s="1">
        <f>IF(B696="", "", "UBERON:tongue")</f>
        <v>0</v>
      </c>
      <c r="I696" s="1">
        <f>IF(B696="", "", "tongue")</f>
        <v>0</v>
      </c>
      <c r="J696" s="1">
        <f>IF(B696="", "", "human oral metagenome")</f>
        <v>0</v>
      </c>
      <c r="K696" s="1">
        <f>IF(B696="", "", "447426")</f>
        <v>0</v>
      </c>
    </row>
    <row r="697" spans="1:11">
      <c r="A697">
        <f>IF(COUNTBLANK(B697:K697)&lt;&gt;COLUMNS(B697:K697),696,"")</f>
        <v>0</v>
      </c>
      <c r="C697" s="1">
        <f>IF(B697="", "", "animal secretion")</f>
        <v>0</v>
      </c>
      <c r="D697" s="1">
        <f>IF(B697="", "", "saliva")</f>
        <v>0</v>
      </c>
      <c r="E697" s="1">
        <f>IF(B697="", "", "human-oral")</f>
        <v>0</v>
      </c>
      <c r="F697" s="1">
        <f>IF(B697="", "", "UBERON:oral cavity")</f>
        <v>0</v>
      </c>
      <c r="G697" s="1">
        <f>IF(B697="", "", "UBERON:saliva")</f>
        <v>0</v>
      </c>
      <c r="H697" s="1">
        <f>IF(B697="", "", "UBERON:tongue")</f>
        <v>0</v>
      </c>
      <c r="I697" s="1">
        <f>IF(B697="", "", "tongue")</f>
        <v>0</v>
      </c>
      <c r="J697" s="1">
        <f>IF(B697="", "", "human oral metagenome")</f>
        <v>0</v>
      </c>
      <c r="K697" s="1">
        <f>IF(B697="", "", "447426")</f>
        <v>0</v>
      </c>
    </row>
    <row r="698" spans="1:11">
      <c r="A698">
        <f>IF(COUNTBLANK(B698:K698)&lt;&gt;COLUMNS(B698:K698),697,"")</f>
        <v>0</v>
      </c>
      <c r="C698" s="1">
        <f>IF(B698="", "", "animal secretion")</f>
        <v>0</v>
      </c>
      <c r="D698" s="1">
        <f>IF(B698="", "", "saliva")</f>
        <v>0</v>
      </c>
      <c r="E698" s="1">
        <f>IF(B698="", "", "human-oral")</f>
        <v>0</v>
      </c>
      <c r="F698" s="1">
        <f>IF(B698="", "", "UBERON:oral cavity")</f>
        <v>0</v>
      </c>
      <c r="G698" s="1">
        <f>IF(B698="", "", "UBERON:saliva")</f>
        <v>0</v>
      </c>
      <c r="H698" s="1">
        <f>IF(B698="", "", "UBERON:tongue")</f>
        <v>0</v>
      </c>
      <c r="I698" s="1">
        <f>IF(B698="", "", "tongue")</f>
        <v>0</v>
      </c>
      <c r="J698" s="1">
        <f>IF(B698="", "", "human oral metagenome")</f>
        <v>0</v>
      </c>
      <c r="K698" s="1">
        <f>IF(B698="", "", "447426")</f>
        <v>0</v>
      </c>
    </row>
    <row r="699" spans="1:11">
      <c r="A699">
        <f>IF(COUNTBLANK(B699:K699)&lt;&gt;COLUMNS(B699:K699),698,"")</f>
        <v>0</v>
      </c>
      <c r="C699" s="1">
        <f>IF(B699="", "", "animal secretion")</f>
        <v>0</v>
      </c>
      <c r="D699" s="1">
        <f>IF(B699="", "", "saliva")</f>
        <v>0</v>
      </c>
      <c r="E699" s="1">
        <f>IF(B699="", "", "human-oral")</f>
        <v>0</v>
      </c>
      <c r="F699" s="1">
        <f>IF(B699="", "", "UBERON:oral cavity")</f>
        <v>0</v>
      </c>
      <c r="G699" s="1">
        <f>IF(B699="", "", "UBERON:saliva")</f>
        <v>0</v>
      </c>
      <c r="H699" s="1">
        <f>IF(B699="", "", "UBERON:tongue")</f>
        <v>0</v>
      </c>
      <c r="I699" s="1">
        <f>IF(B699="", "", "tongue")</f>
        <v>0</v>
      </c>
      <c r="J699" s="1">
        <f>IF(B699="", "", "human oral metagenome")</f>
        <v>0</v>
      </c>
      <c r="K699" s="1">
        <f>IF(B699="", "", "447426")</f>
        <v>0</v>
      </c>
    </row>
    <row r="700" spans="1:11">
      <c r="A700">
        <f>IF(COUNTBLANK(B700:K700)&lt;&gt;COLUMNS(B700:K700),699,"")</f>
        <v>0</v>
      </c>
      <c r="C700" s="1">
        <f>IF(B700="", "", "animal secretion")</f>
        <v>0</v>
      </c>
      <c r="D700" s="1">
        <f>IF(B700="", "", "saliva")</f>
        <v>0</v>
      </c>
      <c r="E700" s="1">
        <f>IF(B700="", "", "human-oral")</f>
        <v>0</v>
      </c>
      <c r="F700" s="1">
        <f>IF(B700="", "", "UBERON:oral cavity")</f>
        <v>0</v>
      </c>
      <c r="G700" s="1">
        <f>IF(B700="", "", "UBERON:saliva")</f>
        <v>0</v>
      </c>
      <c r="H700" s="1">
        <f>IF(B700="", "", "UBERON:tongue")</f>
        <v>0</v>
      </c>
      <c r="I700" s="1">
        <f>IF(B700="", "", "tongue")</f>
        <v>0</v>
      </c>
      <c r="J700" s="1">
        <f>IF(B700="", "", "human oral metagenome")</f>
        <v>0</v>
      </c>
      <c r="K700" s="1">
        <f>IF(B700="", "", "447426")</f>
        <v>0</v>
      </c>
    </row>
    <row r="701" spans="1:11">
      <c r="A701">
        <f>IF(COUNTBLANK(B701:K701)&lt;&gt;COLUMNS(B701:K701),700,"")</f>
        <v>0</v>
      </c>
      <c r="C701" s="1">
        <f>IF(B701="", "", "animal secretion")</f>
        <v>0</v>
      </c>
      <c r="D701" s="1">
        <f>IF(B701="", "", "saliva")</f>
        <v>0</v>
      </c>
      <c r="E701" s="1">
        <f>IF(B701="", "", "human-oral")</f>
        <v>0</v>
      </c>
      <c r="F701" s="1">
        <f>IF(B701="", "", "UBERON:oral cavity")</f>
        <v>0</v>
      </c>
      <c r="G701" s="1">
        <f>IF(B701="", "", "UBERON:saliva")</f>
        <v>0</v>
      </c>
      <c r="H701" s="1">
        <f>IF(B701="", "", "UBERON:tongue")</f>
        <v>0</v>
      </c>
      <c r="I701" s="1">
        <f>IF(B701="", "", "tongue")</f>
        <v>0</v>
      </c>
      <c r="J701" s="1">
        <f>IF(B701="", "", "human oral metagenome")</f>
        <v>0</v>
      </c>
      <c r="K701" s="1">
        <f>IF(B701="", "", "447426")</f>
        <v>0</v>
      </c>
    </row>
    <row r="702" spans="1:11">
      <c r="A702">
        <f>IF(COUNTBLANK(B702:K702)&lt;&gt;COLUMNS(B702:K702),701,"")</f>
        <v>0</v>
      </c>
      <c r="C702" s="1">
        <f>IF(B702="", "", "animal secretion")</f>
        <v>0</v>
      </c>
      <c r="D702" s="1">
        <f>IF(B702="", "", "saliva")</f>
        <v>0</v>
      </c>
      <c r="E702" s="1">
        <f>IF(B702="", "", "human-oral")</f>
        <v>0</v>
      </c>
      <c r="F702" s="1">
        <f>IF(B702="", "", "UBERON:oral cavity")</f>
        <v>0</v>
      </c>
      <c r="G702" s="1">
        <f>IF(B702="", "", "UBERON:saliva")</f>
        <v>0</v>
      </c>
      <c r="H702" s="1">
        <f>IF(B702="", "", "UBERON:tongue")</f>
        <v>0</v>
      </c>
      <c r="I702" s="1">
        <f>IF(B702="", "", "tongue")</f>
        <v>0</v>
      </c>
      <c r="J702" s="1">
        <f>IF(B702="", "", "human oral metagenome")</f>
        <v>0</v>
      </c>
      <c r="K702" s="1">
        <f>IF(B702="", "", "447426")</f>
        <v>0</v>
      </c>
    </row>
    <row r="703" spans="1:11">
      <c r="A703">
        <f>IF(COUNTBLANK(B703:K703)&lt;&gt;COLUMNS(B703:K703),702,"")</f>
        <v>0</v>
      </c>
      <c r="C703" s="1">
        <f>IF(B703="", "", "animal secretion")</f>
        <v>0</v>
      </c>
      <c r="D703" s="1">
        <f>IF(B703="", "", "saliva")</f>
        <v>0</v>
      </c>
      <c r="E703" s="1">
        <f>IF(B703="", "", "human-oral")</f>
        <v>0</v>
      </c>
      <c r="F703" s="1">
        <f>IF(B703="", "", "UBERON:oral cavity")</f>
        <v>0</v>
      </c>
      <c r="G703" s="1">
        <f>IF(B703="", "", "UBERON:saliva")</f>
        <v>0</v>
      </c>
      <c r="H703" s="1">
        <f>IF(B703="", "", "UBERON:tongue")</f>
        <v>0</v>
      </c>
      <c r="I703" s="1">
        <f>IF(B703="", "", "tongue")</f>
        <v>0</v>
      </c>
      <c r="J703" s="1">
        <f>IF(B703="", "", "human oral metagenome")</f>
        <v>0</v>
      </c>
      <c r="K703" s="1">
        <f>IF(B703="", "", "447426")</f>
        <v>0</v>
      </c>
    </row>
    <row r="704" spans="1:11">
      <c r="A704">
        <f>IF(COUNTBLANK(B704:K704)&lt;&gt;COLUMNS(B704:K704),703,"")</f>
        <v>0</v>
      </c>
      <c r="C704" s="1">
        <f>IF(B704="", "", "animal secretion")</f>
        <v>0</v>
      </c>
      <c r="D704" s="1">
        <f>IF(B704="", "", "saliva")</f>
        <v>0</v>
      </c>
      <c r="E704" s="1">
        <f>IF(B704="", "", "human-oral")</f>
        <v>0</v>
      </c>
      <c r="F704" s="1">
        <f>IF(B704="", "", "UBERON:oral cavity")</f>
        <v>0</v>
      </c>
      <c r="G704" s="1">
        <f>IF(B704="", "", "UBERON:saliva")</f>
        <v>0</v>
      </c>
      <c r="H704" s="1">
        <f>IF(B704="", "", "UBERON:tongue")</f>
        <v>0</v>
      </c>
      <c r="I704" s="1">
        <f>IF(B704="", "", "tongue")</f>
        <v>0</v>
      </c>
      <c r="J704" s="1">
        <f>IF(B704="", "", "human oral metagenome")</f>
        <v>0</v>
      </c>
      <c r="K704" s="1">
        <f>IF(B704="", "", "447426")</f>
        <v>0</v>
      </c>
    </row>
    <row r="705" spans="1:11">
      <c r="A705">
        <f>IF(COUNTBLANK(B705:K705)&lt;&gt;COLUMNS(B705:K705),704,"")</f>
        <v>0</v>
      </c>
      <c r="C705" s="1">
        <f>IF(B705="", "", "animal secretion")</f>
        <v>0</v>
      </c>
      <c r="D705" s="1">
        <f>IF(B705="", "", "saliva")</f>
        <v>0</v>
      </c>
      <c r="E705" s="1">
        <f>IF(B705="", "", "human-oral")</f>
        <v>0</v>
      </c>
      <c r="F705" s="1">
        <f>IF(B705="", "", "UBERON:oral cavity")</f>
        <v>0</v>
      </c>
      <c r="G705" s="1">
        <f>IF(B705="", "", "UBERON:saliva")</f>
        <v>0</v>
      </c>
      <c r="H705" s="1">
        <f>IF(B705="", "", "UBERON:tongue")</f>
        <v>0</v>
      </c>
      <c r="I705" s="1">
        <f>IF(B705="", "", "tongue")</f>
        <v>0</v>
      </c>
      <c r="J705" s="1">
        <f>IF(B705="", "", "human oral metagenome")</f>
        <v>0</v>
      </c>
      <c r="K705" s="1">
        <f>IF(B705="", "", "447426")</f>
        <v>0</v>
      </c>
    </row>
    <row r="706" spans="1:11">
      <c r="A706">
        <f>IF(COUNTBLANK(B706:K706)&lt;&gt;COLUMNS(B706:K706),705,"")</f>
        <v>0</v>
      </c>
      <c r="C706" s="1">
        <f>IF(B706="", "", "animal secretion")</f>
        <v>0</v>
      </c>
      <c r="D706" s="1">
        <f>IF(B706="", "", "saliva")</f>
        <v>0</v>
      </c>
      <c r="E706" s="1">
        <f>IF(B706="", "", "human-oral")</f>
        <v>0</v>
      </c>
      <c r="F706" s="1">
        <f>IF(B706="", "", "UBERON:oral cavity")</f>
        <v>0</v>
      </c>
      <c r="G706" s="1">
        <f>IF(B706="", "", "UBERON:saliva")</f>
        <v>0</v>
      </c>
      <c r="H706" s="1">
        <f>IF(B706="", "", "UBERON:tongue")</f>
        <v>0</v>
      </c>
      <c r="I706" s="1">
        <f>IF(B706="", "", "tongue")</f>
        <v>0</v>
      </c>
      <c r="J706" s="1">
        <f>IF(B706="", "", "human oral metagenome")</f>
        <v>0</v>
      </c>
      <c r="K706" s="1">
        <f>IF(B706="", "", "447426")</f>
        <v>0</v>
      </c>
    </row>
    <row r="707" spans="1:11">
      <c r="A707">
        <f>IF(COUNTBLANK(B707:K707)&lt;&gt;COLUMNS(B707:K707),706,"")</f>
        <v>0</v>
      </c>
      <c r="C707" s="1">
        <f>IF(B707="", "", "animal secretion")</f>
        <v>0</v>
      </c>
      <c r="D707" s="1">
        <f>IF(B707="", "", "saliva")</f>
        <v>0</v>
      </c>
      <c r="E707" s="1">
        <f>IF(B707="", "", "human-oral")</f>
        <v>0</v>
      </c>
      <c r="F707" s="1">
        <f>IF(B707="", "", "UBERON:oral cavity")</f>
        <v>0</v>
      </c>
      <c r="G707" s="1">
        <f>IF(B707="", "", "UBERON:saliva")</f>
        <v>0</v>
      </c>
      <c r="H707" s="1">
        <f>IF(B707="", "", "UBERON:tongue")</f>
        <v>0</v>
      </c>
      <c r="I707" s="1">
        <f>IF(B707="", "", "tongue")</f>
        <v>0</v>
      </c>
      <c r="J707" s="1">
        <f>IF(B707="", "", "human oral metagenome")</f>
        <v>0</v>
      </c>
      <c r="K707" s="1">
        <f>IF(B707="", "", "447426")</f>
        <v>0</v>
      </c>
    </row>
    <row r="708" spans="1:11">
      <c r="A708">
        <f>IF(COUNTBLANK(B708:K708)&lt;&gt;COLUMNS(B708:K708),707,"")</f>
        <v>0</v>
      </c>
      <c r="C708" s="1">
        <f>IF(B708="", "", "animal secretion")</f>
        <v>0</v>
      </c>
      <c r="D708" s="1">
        <f>IF(B708="", "", "saliva")</f>
        <v>0</v>
      </c>
      <c r="E708" s="1">
        <f>IF(B708="", "", "human-oral")</f>
        <v>0</v>
      </c>
      <c r="F708" s="1">
        <f>IF(B708="", "", "UBERON:oral cavity")</f>
        <v>0</v>
      </c>
      <c r="G708" s="1">
        <f>IF(B708="", "", "UBERON:saliva")</f>
        <v>0</v>
      </c>
      <c r="H708" s="1">
        <f>IF(B708="", "", "UBERON:tongue")</f>
        <v>0</v>
      </c>
      <c r="I708" s="1">
        <f>IF(B708="", "", "tongue")</f>
        <v>0</v>
      </c>
      <c r="J708" s="1">
        <f>IF(B708="", "", "human oral metagenome")</f>
        <v>0</v>
      </c>
      <c r="K708" s="1">
        <f>IF(B708="", "", "447426")</f>
        <v>0</v>
      </c>
    </row>
    <row r="709" spans="1:11">
      <c r="A709">
        <f>IF(COUNTBLANK(B709:K709)&lt;&gt;COLUMNS(B709:K709),708,"")</f>
        <v>0</v>
      </c>
      <c r="C709" s="1">
        <f>IF(B709="", "", "animal secretion")</f>
        <v>0</v>
      </c>
      <c r="D709" s="1">
        <f>IF(B709="", "", "saliva")</f>
        <v>0</v>
      </c>
      <c r="E709" s="1">
        <f>IF(B709="", "", "human-oral")</f>
        <v>0</v>
      </c>
      <c r="F709" s="1">
        <f>IF(B709="", "", "UBERON:oral cavity")</f>
        <v>0</v>
      </c>
      <c r="G709" s="1">
        <f>IF(B709="", "", "UBERON:saliva")</f>
        <v>0</v>
      </c>
      <c r="H709" s="1">
        <f>IF(B709="", "", "UBERON:tongue")</f>
        <v>0</v>
      </c>
      <c r="I709" s="1">
        <f>IF(B709="", "", "tongue")</f>
        <v>0</v>
      </c>
      <c r="J709" s="1">
        <f>IF(B709="", "", "human oral metagenome")</f>
        <v>0</v>
      </c>
      <c r="K709" s="1">
        <f>IF(B709="", "", "447426")</f>
        <v>0</v>
      </c>
    </row>
    <row r="710" spans="1:11">
      <c r="A710">
        <f>IF(COUNTBLANK(B710:K710)&lt;&gt;COLUMNS(B710:K710),709,"")</f>
        <v>0</v>
      </c>
      <c r="C710" s="1">
        <f>IF(B710="", "", "animal secretion")</f>
        <v>0</v>
      </c>
      <c r="D710" s="1">
        <f>IF(B710="", "", "saliva")</f>
        <v>0</v>
      </c>
      <c r="E710" s="1">
        <f>IF(B710="", "", "human-oral")</f>
        <v>0</v>
      </c>
      <c r="F710" s="1">
        <f>IF(B710="", "", "UBERON:oral cavity")</f>
        <v>0</v>
      </c>
      <c r="G710" s="1">
        <f>IF(B710="", "", "UBERON:saliva")</f>
        <v>0</v>
      </c>
      <c r="H710" s="1">
        <f>IF(B710="", "", "UBERON:tongue")</f>
        <v>0</v>
      </c>
      <c r="I710" s="1">
        <f>IF(B710="", "", "tongue")</f>
        <v>0</v>
      </c>
      <c r="J710" s="1">
        <f>IF(B710="", "", "human oral metagenome")</f>
        <v>0</v>
      </c>
      <c r="K710" s="1">
        <f>IF(B710="", "", "447426")</f>
        <v>0</v>
      </c>
    </row>
    <row r="711" spans="1:11">
      <c r="A711">
        <f>IF(COUNTBLANK(B711:K711)&lt;&gt;COLUMNS(B711:K711),710,"")</f>
        <v>0</v>
      </c>
      <c r="C711" s="1">
        <f>IF(B711="", "", "animal secretion")</f>
        <v>0</v>
      </c>
      <c r="D711" s="1">
        <f>IF(B711="", "", "saliva")</f>
        <v>0</v>
      </c>
      <c r="E711" s="1">
        <f>IF(B711="", "", "human-oral")</f>
        <v>0</v>
      </c>
      <c r="F711" s="1">
        <f>IF(B711="", "", "UBERON:oral cavity")</f>
        <v>0</v>
      </c>
      <c r="G711" s="1">
        <f>IF(B711="", "", "UBERON:saliva")</f>
        <v>0</v>
      </c>
      <c r="H711" s="1">
        <f>IF(B711="", "", "UBERON:tongue")</f>
        <v>0</v>
      </c>
      <c r="I711" s="1">
        <f>IF(B711="", "", "tongue")</f>
        <v>0</v>
      </c>
      <c r="J711" s="1">
        <f>IF(B711="", "", "human oral metagenome")</f>
        <v>0</v>
      </c>
      <c r="K711" s="1">
        <f>IF(B711="", "", "447426")</f>
        <v>0</v>
      </c>
    </row>
    <row r="712" spans="1:11">
      <c r="A712">
        <f>IF(COUNTBLANK(B712:K712)&lt;&gt;COLUMNS(B712:K712),711,"")</f>
        <v>0</v>
      </c>
      <c r="C712" s="1">
        <f>IF(B712="", "", "animal secretion")</f>
        <v>0</v>
      </c>
      <c r="D712" s="1">
        <f>IF(B712="", "", "saliva")</f>
        <v>0</v>
      </c>
      <c r="E712" s="1">
        <f>IF(B712="", "", "human-oral")</f>
        <v>0</v>
      </c>
      <c r="F712" s="1">
        <f>IF(B712="", "", "UBERON:oral cavity")</f>
        <v>0</v>
      </c>
      <c r="G712" s="1">
        <f>IF(B712="", "", "UBERON:saliva")</f>
        <v>0</v>
      </c>
      <c r="H712" s="1">
        <f>IF(B712="", "", "UBERON:tongue")</f>
        <v>0</v>
      </c>
      <c r="I712" s="1">
        <f>IF(B712="", "", "tongue")</f>
        <v>0</v>
      </c>
      <c r="J712" s="1">
        <f>IF(B712="", "", "human oral metagenome")</f>
        <v>0</v>
      </c>
      <c r="K712" s="1">
        <f>IF(B712="", "", "447426")</f>
        <v>0</v>
      </c>
    </row>
    <row r="713" spans="1:11">
      <c r="A713">
        <f>IF(COUNTBLANK(B713:K713)&lt;&gt;COLUMNS(B713:K713),712,"")</f>
        <v>0</v>
      </c>
      <c r="C713" s="1">
        <f>IF(B713="", "", "animal secretion")</f>
        <v>0</v>
      </c>
      <c r="D713" s="1">
        <f>IF(B713="", "", "saliva")</f>
        <v>0</v>
      </c>
      <c r="E713" s="1">
        <f>IF(B713="", "", "human-oral")</f>
        <v>0</v>
      </c>
      <c r="F713" s="1">
        <f>IF(B713="", "", "UBERON:oral cavity")</f>
        <v>0</v>
      </c>
      <c r="G713" s="1">
        <f>IF(B713="", "", "UBERON:saliva")</f>
        <v>0</v>
      </c>
      <c r="H713" s="1">
        <f>IF(B713="", "", "UBERON:tongue")</f>
        <v>0</v>
      </c>
      <c r="I713" s="1">
        <f>IF(B713="", "", "tongue")</f>
        <v>0</v>
      </c>
      <c r="J713" s="1">
        <f>IF(B713="", "", "human oral metagenome")</f>
        <v>0</v>
      </c>
      <c r="K713" s="1">
        <f>IF(B713="", "", "447426")</f>
        <v>0</v>
      </c>
    </row>
    <row r="714" spans="1:11">
      <c r="A714">
        <f>IF(COUNTBLANK(B714:K714)&lt;&gt;COLUMNS(B714:K714),713,"")</f>
        <v>0</v>
      </c>
      <c r="C714" s="1">
        <f>IF(B714="", "", "animal secretion")</f>
        <v>0</v>
      </c>
      <c r="D714" s="1">
        <f>IF(B714="", "", "saliva")</f>
        <v>0</v>
      </c>
      <c r="E714" s="1">
        <f>IF(B714="", "", "human-oral")</f>
        <v>0</v>
      </c>
      <c r="F714" s="1">
        <f>IF(B714="", "", "UBERON:oral cavity")</f>
        <v>0</v>
      </c>
      <c r="G714" s="1">
        <f>IF(B714="", "", "UBERON:saliva")</f>
        <v>0</v>
      </c>
      <c r="H714" s="1">
        <f>IF(B714="", "", "UBERON:tongue")</f>
        <v>0</v>
      </c>
      <c r="I714" s="1">
        <f>IF(B714="", "", "tongue")</f>
        <v>0</v>
      </c>
      <c r="J714" s="1">
        <f>IF(B714="", "", "human oral metagenome")</f>
        <v>0</v>
      </c>
      <c r="K714" s="1">
        <f>IF(B714="", "", "447426")</f>
        <v>0</v>
      </c>
    </row>
    <row r="715" spans="1:11">
      <c r="A715">
        <f>IF(COUNTBLANK(B715:K715)&lt;&gt;COLUMNS(B715:K715),714,"")</f>
        <v>0</v>
      </c>
      <c r="C715" s="1">
        <f>IF(B715="", "", "animal secretion")</f>
        <v>0</v>
      </c>
      <c r="D715" s="1">
        <f>IF(B715="", "", "saliva")</f>
        <v>0</v>
      </c>
      <c r="E715" s="1">
        <f>IF(B715="", "", "human-oral")</f>
        <v>0</v>
      </c>
      <c r="F715" s="1">
        <f>IF(B715="", "", "UBERON:oral cavity")</f>
        <v>0</v>
      </c>
      <c r="G715" s="1">
        <f>IF(B715="", "", "UBERON:saliva")</f>
        <v>0</v>
      </c>
      <c r="H715" s="1">
        <f>IF(B715="", "", "UBERON:tongue")</f>
        <v>0</v>
      </c>
      <c r="I715" s="1">
        <f>IF(B715="", "", "tongue")</f>
        <v>0</v>
      </c>
      <c r="J715" s="1">
        <f>IF(B715="", "", "human oral metagenome")</f>
        <v>0</v>
      </c>
      <c r="K715" s="1">
        <f>IF(B715="", "", "447426")</f>
        <v>0</v>
      </c>
    </row>
    <row r="716" spans="1:11">
      <c r="A716">
        <f>IF(COUNTBLANK(B716:K716)&lt;&gt;COLUMNS(B716:K716),715,"")</f>
        <v>0</v>
      </c>
      <c r="C716" s="1">
        <f>IF(B716="", "", "animal secretion")</f>
        <v>0</v>
      </c>
      <c r="D716" s="1">
        <f>IF(B716="", "", "saliva")</f>
        <v>0</v>
      </c>
      <c r="E716" s="1">
        <f>IF(B716="", "", "human-oral")</f>
        <v>0</v>
      </c>
      <c r="F716" s="1">
        <f>IF(B716="", "", "UBERON:oral cavity")</f>
        <v>0</v>
      </c>
      <c r="G716" s="1">
        <f>IF(B716="", "", "UBERON:saliva")</f>
        <v>0</v>
      </c>
      <c r="H716" s="1">
        <f>IF(B716="", "", "UBERON:tongue")</f>
        <v>0</v>
      </c>
      <c r="I716" s="1">
        <f>IF(B716="", "", "tongue")</f>
        <v>0</v>
      </c>
      <c r="J716" s="1">
        <f>IF(B716="", "", "human oral metagenome")</f>
        <v>0</v>
      </c>
      <c r="K716" s="1">
        <f>IF(B716="", "", "447426")</f>
        <v>0</v>
      </c>
    </row>
    <row r="717" spans="1:11">
      <c r="A717">
        <f>IF(COUNTBLANK(B717:K717)&lt;&gt;COLUMNS(B717:K717),716,"")</f>
        <v>0</v>
      </c>
      <c r="C717" s="1">
        <f>IF(B717="", "", "animal secretion")</f>
        <v>0</v>
      </c>
      <c r="D717" s="1">
        <f>IF(B717="", "", "saliva")</f>
        <v>0</v>
      </c>
      <c r="E717" s="1">
        <f>IF(B717="", "", "human-oral")</f>
        <v>0</v>
      </c>
      <c r="F717" s="1">
        <f>IF(B717="", "", "UBERON:oral cavity")</f>
        <v>0</v>
      </c>
      <c r="G717" s="1">
        <f>IF(B717="", "", "UBERON:saliva")</f>
        <v>0</v>
      </c>
      <c r="H717" s="1">
        <f>IF(B717="", "", "UBERON:tongue")</f>
        <v>0</v>
      </c>
      <c r="I717" s="1">
        <f>IF(B717="", "", "tongue")</f>
        <v>0</v>
      </c>
      <c r="J717" s="1">
        <f>IF(B717="", "", "human oral metagenome")</f>
        <v>0</v>
      </c>
      <c r="K717" s="1">
        <f>IF(B717="", "", "447426")</f>
        <v>0</v>
      </c>
    </row>
    <row r="718" spans="1:11">
      <c r="A718">
        <f>IF(COUNTBLANK(B718:K718)&lt;&gt;COLUMNS(B718:K718),717,"")</f>
        <v>0</v>
      </c>
      <c r="C718" s="1">
        <f>IF(B718="", "", "animal secretion")</f>
        <v>0</v>
      </c>
      <c r="D718" s="1">
        <f>IF(B718="", "", "saliva")</f>
        <v>0</v>
      </c>
      <c r="E718" s="1">
        <f>IF(B718="", "", "human-oral")</f>
        <v>0</v>
      </c>
      <c r="F718" s="1">
        <f>IF(B718="", "", "UBERON:oral cavity")</f>
        <v>0</v>
      </c>
      <c r="G718" s="1">
        <f>IF(B718="", "", "UBERON:saliva")</f>
        <v>0</v>
      </c>
      <c r="H718" s="1">
        <f>IF(B718="", "", "UBERON:tongue")</f>
        <v>0</v>
      </c>
      <c r="I718" s="1">
        <f>IF(B718="", "", "tongue")</f>
        <v>0</v>
      </c>
      <c r="J718" s="1">
        <f>IF(B718="", "", "human oral metagenome")</f>
        <v>0</v>
      </c>
      <c r="K718" s="1">
        <f>IF(B718="", "", "447426")</f>
        <v>0</v>
      </c>
    </row>
    <row r="719" spans="1:11">
      <c r="A719">
        <f>IF(COUNTBLANK(B719:K719)&lt;&gt;COLUMNS(B719:K719),718,"")</f>
        <v>0</v>
      </c>
      <c r="C719" s="1">
        <f>IF(B719="", "", "animal secretion")</f>
        <v>0</v>
      </c>
      <c r="D719" s="1">
        <f>IF(B719="", "", "saliva")</f>
        <v>0</v>
      </c>
      <c r="E719" s="1">
        <f>IF(B719="", "", "human-oral")</f>
        <v>0</v>
      </c>
      <c r="F719" s="1">
        <f>IF(B719="", "", "UBERON:oral cavity")</f>
        <v>0</v>
      </c>
      <c r="G719" s="1">
        <f>IF(B719="", "", "UBERON:saliva")</f>
        <v>0</v>
      </c>
      <c r="H719" s="1">
        <f>IF(B719="", "", "UBERON:tongue")</f>
        <v>0</v>
      </c>
      <c r="I719" s="1">
        <f>IF(B719="", "", "tongue")</f>
        <v>0</v>
      </c>
      <c r="J719" s="1">
        <f>IF(B719="", "", "human oral metagenome")</f>
        <v>0</v>
      </c>
      <c r="K719" s="1">
        <f>IF(B719="", "", "447426")</f>
        <v>0</v>
      </c>
    </row>
    <row r="720" spans="1:11">
      <c r="A720">
        <f>IF(COUNTBLANK(B720:K720)&lt;&gt;COLUMNS(B720:K720),719,"")</f>
        <v>0</v>
      </c>
      <c r="C720" s="1">
        <f>IF(B720="", "", "animal secretion")</f>
        <v>0</v>
      </c>
      <c r="D720" s="1">
        <f>IF(B720="", "", "saliva")</f>
        <v>0</v>
      </c>
      <c r="E720" s="1">
        <f>IF(B720="", "", "human-oral")</f>
        <v>0</v>
      </c>
      <c r="F720" s="1">
        <f>IF(B720="", "", "UBERON:oral cavity")</f>
        <v>0</v>
      </c>
      <c r="G720" s="1">
        <f>IF(B720="", "", "UBERON:saliva")</f>
        <v>0</v>
      </c>
      <c r="H720" s="1">
        <f>IF(B720="", "", "UBERON:tongue")</f>
        <v>0</v>
      </c>
      <c r="I720" s="1">
        <f>IF(B720="", "", "tongue")</f>
        <v>0</v>
      </c>
      <c r="J720" s="1">
        <f>IF(B720="", "", "human oral metagenome")</f>
        <v>0</v>
      </c>
      <c r="K720" s="1">
        <f>IF(B720="", "", "447426")</f>
        <v>0</v>
      </c>
    </row>
    <row r="721" spans="1:11">
      <c r="A721">
        <f>IF(COUNTBLANK(B721:K721)&lt;&gt;COLUMNS(B721:K721),720,"")</f>
        <v>0</v>
      </c>
      <c r="C721" s="1">
        <f>IF(B721="", "", "animal secretion")</f>
        <v>0</v>
      </c>
      <c r="D721" s="1">
        <f>IF(B721="", "", "saliva")</f>
        <v>0</v>
      </c>
      <c r="E721" s="1">
        <f>IF(B721="", "", "human-oral")</f>
        <v>0</v>
      </c>
      <c r="F721" s="1">
        <f>IF(B721="", "", "UBERON:oral cavity")</f>
        <v>0</v>
      </c>
      <c r="G721" s="1">
        <f>IF(B721="", "", "UBERON:saliva")</f>
        <v>0</v>
      </c>
      <c r="H721" s="1">
        <f>IF(B721="", "", "UBERON:tongue")</f>
        <v>0</v>
      </c>
      <c r="I721" s="1">
        <f>IF(B721="", "", "tongue")</f>
        <v>0</v>
      </c>
      <c r="J721" s="1">
        <f>IF(B721="", "", "human oral metagenome")</f>
        <v>0</v>
      </c>
      <c r="K721" s="1">
        <f>IF(B721="", "", "447426")</f>
        <v>0</v>
      </c>
    </row>
    <row r="722" spans="1:11">
      <c r="A722">
        <f>IF(COUNTBLANK(B722:K722)&lt;&gt;COLUMNS(B722:K722),721,"")</f>
        <v>0</v>
      </c>
      <c r="C722" s="1">
        <f>IF(B722="", "", "animal secretion")</f>
        <v>0</v>
      </c>
      <c r="D722" s="1">
        <f>IF(B722="", "", "saliva")</f>
        <v>0</v>
      </c>
      <c r="E722" s="1">
        <f>IF(B722="", "", "human-oral")</f>
        <v>0</v>
      </c>
      <c r="F722" s="1">
        <f>IF(B722="", "", "UBERON:oral cavity")</f>
        <v>0</v>
      </c>
      <c r="G722" s="1">
        <f>IF(B722="", "", "UBERON:saliva")</f>
        <v>0</v>
      </c>
      <c r="H722" s="1">
        <f>IF(B722="", "", "UBERON:tongue")</f>
        <v>0</v>
      </c>
      <c r="I722" s="1">
        <f>IF(B722="", "", "tongue")</f>
        <v>0</v>
      </c>
      <c r="J722" s="1">
        <f>IF(B722="", "", "human oral metagenome")</f>
        <v>0</v>
      </c>
      <c r="K722" s="1">
        <f>IF(B722="", "", "447426")</f>
        <v>0</v>
      </c>
    </row>
    <row r="723" spans="1:11">
      <c r="A723">
        <f>IF(COUNTBLANK(B723:K723)&lt;&gt;COLUMNS(B723:K723),722,"")</f>
        <v>0</v>
      </c>
      <c r="C723" s="1">
        <f>IF(B723="", "", "animal secretion")</f>
        <v>0</v>
      </c>
      <c r="D723" s="1">
        <f>IF(B723="", "", "saliva")</f>
        <v>0</v>
      </c>
      <c r="E723" s="1">
        <f>IF(B723="", "", "human-oral")</f>
        <v>0</v>
      </c>
      <c r="F723" s="1">
        <f>IF(B723="", "", "UBERON:oral cavity")</f>
        <v>0</v>
      </c>
      <c r="G723" s="1">
        <f>IF(B723="", "", "UBERON:saliva")</f>
        <v>0</v>
      </c>
      <c r="H723" s="1">
        <f>IF(B723="", "", "UBERON:tongue")</f>
        <v>0</v>
      </c>
      <c r="I723" s="1">
        <f>IF(B723="", "", "tongue")</f>
        <v>0</v>
      </c>
      <c r="J723" s="1">
        <f>IF(B723="", "", "human oral metagenome")</f>
        <v>0</v>
      </c>
      <c r="K723" s="1">
        <f>IF(B723="", "", "447426")</f>
        <v>0</v>
      </c>
    </row>
    <row r="724" spans="1:11">
      <c r="A724">
        <f>IF(COUNTBLANK(B724:K724)&lt;&gt;COLUMNS(B724:K724),723,"")</f>
        <v>0</v>
      </c>
      <c r="C724" s="1">
        <f>IF(B724="", "", "animal secretion")</f>
        <v>0</v>
      </c>
      <c r="D724" s="1">
        <f>IF(B724="", "", "saliva")</f>
        <v>0</v>
      </c>
      <c r="E724" s="1">
        <f>IF(B724="", "", "human-oral")</f>
        <v>0</v>
      </c>
      <c r="F724" s="1">
        <f>IF(B724="", "", "UBERON:oral cavity")</f>
        <v>0</v>
      </c>
      <c r="G724" s="1">
        <f>IF(B724="", "", "UBERON:saliva")</f>
        <v>0</v>
      </c>
      <c r="H724" s="1">
        <f>IF(B724="", "", "UBERON:tongue")</f>
        <v>0</v>
      </c>
      <c r="I724" s="1">
        <f>IF(B724="", "", "tongue")</f>
        <v>0</v>
      </c>
      <c r="J724" s="1">
        <f>IF(B724="", "", "human oral metagenome")</f>
        <v>0</v>
      </c>
      <c r="K724" s="1">
        <f>IF(B724="", "", "447426")</f>
        <v>0</v>
      </c>
    </row>
    <row r="725" spans="1:11">
      <c r="A725">
        <f>IF(COUNTBLANK(B725:K725)&lt;&gt;COLUMNS(B725:K725),724,"")</f>
        <v>0</v>
      </c>
      <c r="C725" s="1">
        <f>IF(B725="", "", "animal secretion")</f>
        <v>0</v>
      </c>
      <c r="D725" s="1">
        <f>IF(B725="", "", "saliva")</f>
        <v>0</v>
      </c>
      <c r="E725" s="1">
        <f>IF(B725="", "", "human-oral")</f>
        <v>0</v>
      </c>
      <c r="F725" s="1">
        <f>IF(B725="", "", "UBERON:oral cavity")</f>
        <v>0</v>
      </c>
      <c r="G725" s="1">
        <f>IF(B725="", "", "UBERON:saliva")</f>
        <v>0</v>
      </c>
      <c r="H725" s="1">
        <f>IF(B725="", "", "UBERON:tongue")</f>
        <v>0</v>
      </c>
      <c r="I725" s="1">
        <f>IF(B725="", "", "tongue")</f>
        <v>0</v>
      </c>
      <c r="J725" s="1">
        <f>IF(B725="", "", "human oral metagenome")</f>
        <v>0</v>
      </c>
      <c r="K725" s="1">
        <f>IF(B725="", "", "447426")</f>
        <v>0</v>
      </c>
    </row>
    <row r="726" spans="1:11">
      <c r="A726">
        <f>IF(COUNTBLANK(B726:K726)&lt;&gt;COLUMNS(B726:K726),725,"")</f>
        <v>0</v>
      </c>
      <c r="C726" s="1">
        <f>IF(B726="", "", "animal secretion")</f>
        <v>0</v>
      </c>
      <c r="D726" s="1">
        <f>IF(B726="", "", "saliva")</f>
        <v>0</v>
      </c>
      <c r="E726" s="1">
        <f>IF(B726="", "", "human-oral")</f>
        <v>0</v>
      </c>
      <c r="F726" s="1">
        <f>IF(B726="", "", "UBERON:oral cavity")</f>
        <v>0</v>
      </c>
      <c r="G726" s="1">
        <f>IF(B726="", "", "UBERON:saliva")</f>
        <v>0</v>
      </c>
      <c r="H726" s="1">
        <f>IF(B726="", "", "UBERON:tongue")</f>
        <v>0</v>
      </c>
      <c r="I726" s="1">
        <f>IF(B726="", "", "tongue")</f>
        <v>0</v>
      </c>
      <c r="J726" s="1">
        <f>IF(B726="", "", "human oral metagenome")</f>
        <v>0</v>
      </c>
      <c r="K726" s="1">
        <f>IF(B726="", "", "447426")</f>
        <v>0</v>
      </c>
    </row>
    <row r="727" spans="1:11">
      <c r="A727">
        <f>IF(COUNTBLANK(B727:K727)&lt;&gt;COLUMNS(B727:K727),726,"")</f>
        <v>0</v>
      </c>
      <c r="C727" s="1">
        <f>IF(B727="", "", "animal secretion")</f>
        <v>0</v>
      </c>
      <c r="D727" s="1">
        <f>IF(B727="", "", "saliva")</f>
        <v>0</v>
      </c>
      <c r="E727" s="1">
        <f>IF(B727="", "", "human-oral")</f>
        <v>0</v>
      </c>
      <c r="F727" s="1">
        <f>IF(B727="", "", "UBERON:oral cavity")</f>
        <v>0</v>
      </c>
      <c r="G727" s="1">
        <f>IF(B727="", "", "UBERON:saliva")</f>
        <v>0</v>
      </c>
      <c r="H727" s="1">
        <f>IF(B727="", "", "UBERON:tongue")</f>
        <v>0</v>
      </c>
      <c r="I727" s="1">
        <f>IF(B727="", "", "tongue")</f>
        <v>0</v>
      </c>
      <c r="J727" s="1">
        <f>IF(B727="", "", "human oral metagenome")</f>
        <v>0</v>
      </c>
      <c r="K727" s="1">
        <f>IF(B727="", "", "447426")</f>
        <v>0</v>
      </c>
    </row>
    <row r="728" spans="1:11">
      <c r="A728">
        <f>IF(COUNTBLANK(B728:K728)&lt;&gt;COLUMNS(B728:K728),727,"")</f>
        <v>0</v>
      </c>
      <c r="C728" s="1">
        <f>IF(B728="", "", "animal secretion")</f>
        <v>0</v>
      </c>
      <c r="D728" s="1">
        <f>IF(B728="", "", "saliva")</f>
        <v>0</v>
      </c>
      <c r="E728" s="1">
        <f>IF(B728="", "", "human-oral")</f>
        <v>0</v>
      </c>
      <c r="F728" s="1">
        <f>IF(B728="", "", "UBERON:oral cavity")</f>
        <v>0</v>
      </c>
      <c r="G728" s="1">
        <f>IF(B728="", "", "UBERON:saliva")</f>
        <v>0</v>
      </c>
      <c r="H728" s="1">
        <f>IF(B728="", "", "UBERON:tongue")</f>
        <v>0</v>
      </c>
      <c r="I728" s="1">
        <f>IF(B728="", "", "tongue")</f>
        <v>0</v>
      </c>
      <c r="J728" s="1">
        <f>IF(B728="", "", "human oral metagenome")</f>
        <v>0</v>
      </c>
      <c r="K728" s="1">
        <f>IF(B728="", "", "447426")</f>
        <v>0</v>
      </c>
    </row>
    <row r="729" spans="1:11">
      <c r="A729">
        <f>IF(COUNTBLANK(B729:K729)&lt;&gt;COLUMNS(B729:K729),728,"")</f>
        <v>0</v>
      </c>
      <c r="C729" s="1">
        <f>IF(B729="", "", "animal secretion")</f>
        <v>0</v>
      </c>
      <c r="D729" s="1">
        <f>IF(B729="", "", "saliva")</f>
        <v>0</v>
      </c>
      <c r="E729" s="1">
        <f>IF(B729="", "", "human-oral")</f>
        <v>0</v>
      </c>
      <c r="F729" s="1">
        <f>IF(B729="", "", "UBERON:oral cavity")</f>
        <v>0</v>
      </c>
      <c r="G729" s="1">
        <f>IF(B729="", "", "UBERON:saliva")</f>
        <v>0</v>
      </c>
      <c r="H729" s="1">
        <f>IF(B729="", "", "UBERON:tongue")</f>
        <v>0</v>
      </c>
      <c r="I729" s="1">
        <f>IF(B729="", "", "tongue")</f>
        <v>0</v>
      </c>
      <c r="J729" s="1">
        <f>IF(B729="", "", "human oral metagenome")</f>
        <v>0</v>
      </c>
      <c r="K729" s="1">
        <f>IF(B729="", "", "447426")</f>
        <v>0</v>
      </c>
    </row>
    <row r="730" spans="1:11">
      <c r="A730">
        <f>IF(COUNTBLANK(B730:K730)&lt;&gt;COLUMNS(B730:K730),729,"")</f>
        <v>0</v>
      </c>
      <c r="C730" s="1">
        <f>IF(B730="", "", "animal secretion")</f>
        <v>0</v>
      </c>
      <c r="D730" s="1">
        <f>IF(B730="", "", "saliva")</f>
        <v>0</v>
      </c>
      <c r="E730" s="1">
        <f>IF(B730="", "", "human-oral")</f>
        <v>0</v>
      </c>
      <c r="F730" s="1">
        <f>IF(B730="", "", "UBERON:oral cavity")</f>
        <v>0</v>
      </c>
      <c r="G730" s="1">
        <f>IF(B730="", "", "UBERON:saliva")</f>
        <v>0</v>
      </c>
      <c r="H730" s="1">
        <f>IF(B730="", "", "UBERON:tongue")</f>
        <v>0</v>
      </c>
      <c r="I730" s="1">
        <f>IF(B730="", "", "tongue")</f>
        <v>0</v>
      </c>
      <c r="J730" s="1">
        <f>IF(B730="", "", "human oral metagenome")</f>
        <v>0</v>
      </c>
      <c r="K730" s="1">
        <f>IF(B730="", "", "447426")</f>
        <v>0</v>
      </c>
    </row>
    <row r="731" spans="1:11">
      <c r="A731">
        <f>IF(COUNTBLANK(B731:K731)&lt;&gt;COLUMNS(B731:K731),730,"")</f>
        <v>0</v>
      </c>
      <c r="C731" s="1">
        <f>IF(B731="", "", "animal secretion")</f>
        <v>0</v>
      </c>
      <c r="D731" s="1">
        <f>IF(B731="", "", "saliva")</f>
        <v>0</v>
      </c>
      <c r="E731" s="1">
        <f>IF(B731="", "", "human-oral")</f>
        <v>0</v>
      </c>
      <c r="F731" s="1">
        <f>IF(B731="", "", "UBERON:oral cavity")</f>
        <v>0</v>
      </c>
      <c r="G731" s="1">
        <f>IF(B731="", "", "UBERON:saliva")</f>
        <v>0</v>
      </c>
      <c r="H731" s="1">
        <f>IF(B731="", "", "UBERON:tongue")</f>
        <v>0</v>
      </c>
      <c r="I731" s="1">
        <f>IF(B731="", "", "tongue")</f>
        <v>0</v>
      </c>
      <c r="J731" s="1">
        <f>IF(B731="", "", "human oral metagenome")</f>
        <v>0</v>
      </c>
      <c r="K731" s="1">
        <f>IF(B731="", "", "447426")</f>
        <v>0</v>
      </c>
    </row>
    <row r="732" spans="1:11">
      <c r="A732">
        <f>IF(COUNTBLANK(B732:K732)&lt;&gt;COLUMNS(B732:K732),731,"")</f>
        <v>0</v>
      </c>
      <c r="C732" s="1">
        <f>IF(B732="", "", "animal secretion")</f>
        <v>0</v>
      </c>
      <c r="D732" s="1">
        <f>IF(B732="", "", "saliva")</f>
        <v>0</v>
      </c>
      <c r="E732" s="1">
        <f>IF(B732="", "", "human-oral")</f>
        <v>0</v>
      </c>
      <c r="F732" s="1">
        <f>IF(B732="", "", "UBERON:oral cavity")</f>
        <v>0</v>
      </c>
      <c r="G732" s="1">
        <f>IF(B732="", "", "UBERON:saliva")</f>
        <v>0</v>
      </c>
      <c r="H732" s="1">
        <f>IF(B732="", "", "UBERON:tongue")</f>
        <v>0</v>
      </c>
      <c r="I732" s="1">
        <f>IF(B732="", "", "tongue")</f>
        <v>0</v>
      </c>
      <c r="J732" s="1">
        <f>IF(B732="", "", "human oral metagenome")</f>
        <v>0</v>
      </c>
      <c r="K732" s="1">
        <f>IF(B732="", "", "447426")</f>
        <v>0</v>
      </c>
    </row>
    <row r="733" spans="1:11">
      <c r="A733">
        <f>IF(COUNTBLANK(B733:K733)&lt;&gt;COLUMNS(B733:K733),732,"")</f>
        <v>0</v>
      </c>
      <c r="C733" s="1">
        <f>IF(B733="", "", "animal secretion")</f>
        <v>0</v>
      </c>
      <c r="D733" s="1">
        <f>IF(B733="", "", "saliva")</f>
        <v>0</v>
      </c>
      <c r="E733" s="1">
        <f>IF(B733="", "", "human-oral")</f>
        <v>0</v>
      </c>
      <c r="F733" s="1">
        <f>IF(B733="", "", "UBERON:oral cavity")</f>
        <v>0</v>
      </c>
      <c r="G733" s="1">
        <f>IF(B733="", "", "UBERON:saliva")</f>
        <v>0</v>
      </c>
      <c r="H733" s="1">
        <f>IF(B733="", "", "UBERON:tongue")</f>
        <v>0</v>
      </c>
      <c r="I733" s="1">
        <f>IF(B733="", "", "tongue")</f>
        <v>0</v>
      </c>
      <c r="J733" s="1">
        <f>IF(B733="", "", "human oral metagenome")</f>
        <v>0</v>
      </c>
      <c r="K733" s="1">
        <f>IF(B733="", "", "447426")</f>
        <v>0</v>
      </c>
    </row>
    <row r="734" spans="1:11">
      <c r="A734">
        <f>IF(COUNTBLANK(B734:K734)&lt;&gt;COLUMNS(B734:K734),733,"")</f>
        <v>0</v>
      </c>
      <c r="C734" s="1">
        <f>IF(B734="", "", "animal secretion")</f>
        <v>0</v>
      </c>
      <c r="D734" s="1">
        <f>IF(B734="", "", "saliva")</f>
        <v>0</v>
      </c>
      <c r="E734" s="1">
        <f>IF(B734="", "", "human-oral")</f>
        <v>0</v>
      </c>
      <c r="F734" s="1">
        <f>IF(B734="", "", "UBERON:oral cavity")</f>
        <v>0</v>
      </c>
      <c r="G734" s="1">
        <f>IF(B734="", "", "UBERON:saliva")</f>
        <v>0</v>
      </c>
      <c r="H734" s="1">
        <f>IF(B734="", "", "UBERON:tongue")</f>
        <v>0</v>
      </c>
      <c r="I734" s="1">
        <f>IF(B734="", "", "tongue")</f>
        <v>0</v>
      </c>
      <c r="J734" s="1">
        <f>IF(B734="", "", "human oral metagenome")</f>
        <v>0</v>
      </c>
      <c r="K734" s="1">
        <f>IF(B734="", "", "447426")</f>
        <v>0</v>
      </c>
    </row>
    <row r="735" spans="1:11">
      <c r="A735">
        <f>IF(COUNTBLANK(B735:K735)&lt;&gt;COLUMNS(B735:K735),734,"")</f>
        <v>0</v>
      </c>
      <c r="C735" s="1">
        <f>IF(B735="", "", "animal secretion")</f>
        <v>0</v>
      </c>
      <c r="D735" s="1">
        <f>IF(B735="", "", "saliva")</f>
        <v>0</v>
      </c>
      <c r="E735" s="1">
        <f>IF(B735="", "", "human-oral")</f>
        <v>0</v>
      </c>
      <c r="F735" s="1">
        <f>IF(B735="", "", "UBERON:oral cavity")</f>
        <v>0</v>
      </c>
      <c r="G735" s="1">
        <f>IF(B735="", "", "UBERON:saliva")</f>
        <v>0</v>
      </c>
      <c r="H735" s="1">
        <f>IF(B735="", "", "UBERON:tongue")</f>
        <v>0</v>
      </c>
      <c r="I735" s="1">
        <f>IF(B735="", "", "tongue")</f>
        <v>0</v>
      </c>
      <c r="J735" s="1">
        <f>IF(B735="", "", "human oral metagenome")</f>
        <v>0</v>
      </c>
      <c r="K735" s="1">
        <f>IF(B735="", "", "447426")</f>
        <v>0</v>
      </c>
    </row>
    <row r="736" spans="1:11">
      <c r="A736">
        <f>IF(COUNTBLANK(B736:K736)&lt;&gt;COLUMNS(B736:K736),735,"")</f>
        <v>0</v>
      </c>
      <c r="C736" s="1">
        <f>IF(B736="", "", "animal secretion")</f>
        <v>0</v>
      </c>
      <c r="D736" s="1">
        <f>IF(B736="", "", "saliva")</f>
        <v>0</v>
      </c>
      <c r="E736" s="1">
        <f>IF(B736="", "", "human-oral")</f>
        <v>0</v>
      </c>
      <c r="F736" s="1">
        <f>IF(B736="", "", "UBERON:oral cavity")</f>
        <v>0</v>
      </c>
      <c r="G736" s="1">
        <f>IF(B736="", "", "UBERON:saliva")</f>
        <v>0</v>
      </c>
      <c r="H736" s="1">
        <f>IF(B736="", "", "UBERON:tongue")</f>
        <v>0</v>
      </c>
      <c r="I736" s="1">
        <f>IF(B736="", "", "tongue")</f>
        <v>0</v>
      </c>
      <c r="J736" s="1">
        <f>IF(B736="", "", "human oral metagenome")</f>
        <v>0</v>
      </c>
      <c r="K736" s="1">
        <f>IF(B736="", "", "447426")</f>
        <v>0</v>
      </c>
    </row>
    <row r="737" spans="1:11">
      <c r="A737">
        <f>IF(COUNTBLANK(B737:K737)&lt;&gt;COLUMNS(B737:K737),736,"")</f>
        <v>0</v>
      </c>
      <c r="C737" s="1">
        <f>IF(B737="", "", "animal secretion")</f>
        <v>0</v>
      </c>
      <c r="D737" s="1">
        <f>IF(B737="", "", "saliva")</f>
        <v>0</v>
      </c>
      <c r="E737" s="1">
        <f>IF(B737="", "", "human-oral")</f>
        <v>0</v>
      </c>
      <c r="F737" s="1">
        <f>IF(B737="", "", "UBERON:oral cavity")</f>
        <v>0</v>
      </c>
      <c r="G737" s="1">
        <f>IF(B737="", "", "UBERON:saliva")</f>
        <v>0</v>
      </c>
      <c r="H737" s="1">
        <f>IF(B737="", "", "UBERON:tongue")</f>
        <v>0</v>
      </c>
      <c r="I737" s="1">
        <f>IF(B737="", "", "tongue")</f>
        <v>0</v>
      </c>
      <c r="J737" s="1">
        <f>IF(B737="", "", "human oral metagenome")</f>
        <v>0</v>
      </c>
      <c r="K737" s="1">
        <f>IF(B737="", "", "447426")</f>
        <v>0</v>
      </c>
    </row>
    <row r="738" spans="1:11">
      <c r="A738">
        <f>IF(COUNTBLANK(B738:K738)&lt;&gt;COLUMNS(B738:K738),737,"")</f>
        <v>0</v>
      </c>
      <c r="C738" s="1">
        <f>IF(B738="", "", "animal secretion")</f>
        <v>0</v>
      </c>
      <c r="D738" s="1">
        <f>IF(B738="", "", "saliva")</f>
        <v>0</v>
      </c>
      <c r="E738" s="1">
        <f>IF(B738="", "", "human-oral")</f>
        <v>0</v>
      </c>
      <c r="F738" s="1">
        <f>IF(B738="", "", "UBERON:oral cavity")</f>
        <v>0</v>
      </c>
      <c r="G738" s="1">
        <f>IF(B738="", "", "UBERON:saliva")</f>
        <v>0</v>
      </c>
      <c r="H738" s="1">
        <f>IF(B738="", "", "UBERON:tongue")</f>
        <v>0</v>
      </c>
      <c r="I738" s="1">
        <f>IF(B738="", "", "tongue")</f>
        <v>0</v>
      </c>
      <c r="J738" s="1">
        <f>IF(B738="", "", "human oral metagenome")</f>
        <v>0</v>
      </c>
      <c r="K738" s="1">
        <f>IF(B738="", "", "447426")</f>
        <v>0</v>
      </c>
    </row>
    <row r="739" spans="1:11">
      <c r="A739">
        <f>IF(COUNTBLANK(B739:K739)&lt;&gt;COLUMNS(B739:K739),738,"")</f>
        <v>0</v>
      </c>
      <c r="C739" s="1">
        <f>IF(B739="", "", "animal secretion")</f>
        <v>0</v>
      </c>
      <c r="D739" s="1">
        <f>IF(B739="", "", "saliva")</f>
        <v>0</v>
      </c>
      <c r="E739" s="1">
        <f>IF(B739="", "", "human-oral")</f>
        <v>0</v>
      </c>
      <c r="F739" s="1">
        <f>IF(B739="", "", "UBERON:oral cavity")</f>
        <v>0</v>
      </c>
      <c r="G739" s="1">
        <f>IF(B739="", "", "UBERON:saliva")</f>
        <v>0</v>
      </c>
      <c r="H739" s="1">
        <f>IF(B739="", "", "UBERON:tongue")</f>
        <v>0</v>
      </c>
      <c r="I739" s="1">
        <f>IF(B739="", "", "tongue")</f>
        <v>0</v>
      </c>
      <c r="J739" s="1">
        <f>IF(B739="", "", "human oral metagenome")</f>
        <v>0</v>
      </c>
      <c r="K739" s="1">
        <f>IF(B739="", "", "447426")</f>
        <v>0</v>
      </c>
    </row>
    <row r="740" spans="1:11">
      <c r="A740">
        <f>IF(COUNTBLANK(B740:K740)&lt;&gt;COLUMNS(B740:K740),739,"")</f>
        <v>0</v>
      </c>
      <c r="C740" s="1">
        <f>IF(B740="", "", "animal secretion")</f>
        <v>0</v>
      </c>
      <c r="D740" s="1">
        <f>IF(B740="", "", "saliva")</f>
        <v>0</v>
      </c>
      <c r="E740" s="1">
        <f>IF(B740="", "", "human-oral")</f>
        <v>0</v>
      </c>
      <c r="F740" s="1">
        <f>IF(B740="", "", "UBERON:oral cavity")</f>
        <v>0</v>
      </c>
      <c r="G740" s="1">
        <f>IF(B740="", "", "UBERON:saliva")</f>
        <v>0</v>
      </c>
      <c r="H740" s="1">
        <f>IF(B740="", "", "UBERON:tongue")</f>
        <v>0</v>
      </c>
      <c r="I740" s="1">
        <f>IF(B740="", "", "tongue")</f>
        <v>0</v>
      </c>
      <c r="J740" s="1">
        <f>IF(B740="", "", "human oral metagenome")</f>
        <v>0</v>
      </c>
      <c r="K740" s="1">
        <f>IF(B740="", "", "447426")</f>
        <v>0</v>
      </c>
    </row>
    <row r="741" spans="1:11">
      <c r="A741">
        <f>IF(COUNTBLANK(B741:K741)&lt;&gt;COLUMNS(B741:K741),740,"")</f>
        <v>0</v>
      </c>
      <c r="C741" s="1">
        <f>IF(B741="", "", "animal secretion")</f>
        <v>0</v>
      </c>
      <c r="D741" s="1">
        <f>IF(B741="", "", "saliva")</f>
        <v>0</v>
      </c>
      <c r="E741" s="1">
        <f>IF(B741="", "", "human-oral")</f>
        <v>0</v>
      </c>
      <c r="F741" s="1">
        <f>IF(B741="", "", "UBERON:oral cavity")</f>
        <v>0</v>
      </c>
      <c r="G741" s="1">
        <f>IF(B741="", "", "UBERON:saliva")</f>
        <v>0</v>
      </c>
      <c r="H741" s="1">
        <f>IF(B741="", "", "UBERON:tongue")</f>
        <v>0</v>
      </c>
      <c r="I741" s="1">
        <f>IF(B741="", "", "tongue")</f>
        <v>0</v>
      </c>
      <c r="J741" s="1">
        <f>IF(B741="", "", "human oral metagenome")</f>
        <v>0</v>
      </c>
      <c r="K741" s="1">
        <f>IF(B741="", "", "447426")</f>
        <v>0</v>
      </c>
    </row>
    <row r="742" spans="1:11">
      <c r="A742">
        <f>IF(COUNTBLANK(B742:K742)&lt;&gt;COLUMNS(B742:K742),741,"")</f>
        <v>0</v>
      </c>
      <c r="C742" s="1">
        <f>IF(B742="", "", "animal secretion")</f>
        <v>0</v>
      </c>
      <c r="D742" s="1">
        <f>IF(B742="", "", "saliva")</f>
        <v>0</v>
      </c>
      <c r="E742" s="1">
        <f>IF(B742="", "", "human-oral")</f>
        <v>0</v>
      </c>
      <c r="F742" s="1">
        <f>IF(B742="", "", "UBERON:oral cavity")</f>
        <v>0</v>
      </c>
      <c r="G742" s="1">
        <f>IF(B742="", "", "UBERON:saliva")</f>
        <v>0</v>
      </c>
      <c r="H742" s="1">
        <f>IF(B742="", "", "UBERON:tongue")</f>
        <v>0</v>
      </c>
      <c r="I742" s="1">
        <f>IF(B742="", "", "tongue")</f>
        <v>0</v>
      </c>
      <c r="J742" s="1">
        <f>IF(B742="", "", "human oral metagenome")</f>
        <v>0</v>
      </c>
      <c r="K742" s="1">
        <f>IF(B742="", "", "447426")</f>
        <v>0</v>
      </c>
    </row>
    <row r="743" spans="1:11">
      <c r="A743">
        <f>IF(COUNTBLANK(B743:K743)&lt;&gt;COLUMNS(B743:K743),742,"")</f>
        <v>0</v>
      </c>
      <c r="C743" s="1">
        <f>IF(B743="", "", "animal secretion")</f>
        <v>0</v>
      </c>
      <c r="D743" s="1">
        <f>IF(B743="", "", "saliva")</f>
        <v>0</v>
      </c>
      <c r="E743" s="1">
        <f>IF(B743="", "", "human-oral")</f>
        <v>0</v>
      </c>
      <c r="F743" s="1">
        <f>IF(B743="", "", "UBERON:oral cavity")</f>
        <v>0</v>
      </c>
      <c r="G743" s="1">
        <f>IF(B743="", "", "UBERON:saliva")</f>
        <v>0</v>
      </c>
      <c r="H743" s="1">
        <f>IF(B743="", "", "UBERON:tongue")</f>
        <v>0</v>
      </c>
      <c r="I743" s="1">
        <f>IF(B743="", "", "tongue")</f>
        <v>0</v>
      </c>
      <c r="J743" s="1">
        <f>IF(B743="", "", "human oral metagenome")</f>
        <v>0</v>
      </c>
      <c r="K743" s="1">
        <f>IF(B743="", "", "447426")</f>
        <v>0</v>
      </c>
    </row>
    <row r="744" spans="1:11">
      <c r="A744">
        <f>IF(COUNTBLANK(B744:K744)&lt;&gt;COLUMNS(B744:K744),743,"")</f>
        <v>0</v>
      </c>
      <c r="C744" s="1">
        <f>IF(B744="", "", "animal secretion")</f>
        <v>0</v>
      </c>
      <c r="D744" s="1">
        <f>IF(B744="", "", "saliva")</f>
        <v>0</v>
      </c>
      <c r="E744" s="1">
        <f>IF(B744="", "", "human-oral")</f>
        <v>0</v>
      </c>
      <c r="F744" s="1">
        <f>IF(B744="", "", "UBERON:oral cavity")</f>
        <v>0</v>
      </c>
      <c r="G744" s="1">
        <f>IF(B744="", "", "UBERON:saliva")</f>
        <v>0</v>
      </c>
      <c r="H744" s="1">
        <f>IF(B744="", "", "UBERON:tongue")</f>
        <v>0</v>
      </c>
      <c r="I744" s="1">
        <f>IF(B744="", "", "tongue")</f>
        <v>0</v>
      </c>
      <c r="J744" s="1">
        <f>IF(B744="", "", "human oral metagenome")</f>
        <v>0</v>
      </c>
      <c r="K744" s="1">
        <f>IF(B744="", "", "447426")</f>
        <v>0</v>
      </c>
    </row>
    <row r="745" spans="1:11">
      <c r="A745">
        <f>IF(COUNTBLANK(B745:K745)&lt;&gt;COLUMNS(B745:K745),744,"")</f>
        <v>0</v>
      </c>
      <c r="C745" s="1">
        <f>IF(B745="", "", "animal secretion")</f>
        <v>0</v>
      </c>
      <c r="D745" s="1">
        <f>IF(B745="", "", "saliva")</f>
        <v>0</v>
      </c>
      <c r="E745" s="1">
        <f>IF(B745="", "", "human-oral")</f>
        <v>0</v>
      </c>
      <c r="F745" s="1">
        <f>IF(B745="", "", "UBERON:oral cavity")</f>
        <v>0</v>
      </c>
      <c r="G745" s="1">
        <f>IF(B745="", "", "UBERON:saliva")</f>
        <v>0</v>
      </c>
      <c r="H745" s="1">
        <f>IF(B745="", "", "UBERON:tongue")</f>
        <v>0</v>
      </c>
      <c r="I745" s="1">
        <f>IF(B745="", "", "tongue")</f>
        <v>0</v>
      </c>
      <c r="J745" s="1">
        <f>IF(B745="", "", "human oral metagenome")</f>
        <v>0</v>
      </c>
      <c r="K745" s="1">
        <f>IF(B745="", "", "447426")</f>
        <v>0</v>
      </c>
    </row>
    <row r="746" spans="1:11">
      <c r="A746">
        <f>IF(COUNTBLANK(B746:K746)&lt;&gt;COLUMNS(B746:K746),745,"")</f>
        <v>0</v>
      </c>
      <c r="C746" s="1">
        <f>IF(B746="", "", "animal secretion")</f>
        <v>0</v>
      </c>
      <c r="D746" s="1">
        <f>IF(B746="", "", "saliva")</f>
        <v>0</v>
      </c>
      <c r="E746" s="1">
        <f>IF(B746="", "", "human-oral")</f>
        <v>0</v>
      </c>
      <c r="F746" s="1">
        <f>IF(B746="", "", "UBERON:oral cavity")</f>
        <v>0</v>
      </c>
      <c r="G746" s="1">
        <f>IF(B746="", "", "UBERON:saliva")</f>
        <v>0</v>
      </c>
      <c r="H746" s="1">
        <f>IF(B746="", "", "UBERON:tongue")</f>
        <v>0</v>
      </c>
      <c r="I746" s="1">
        <f>IF(B746="", "", "tongue")</f>
        <v>0</v>
      </c>
      <c r="J746" s="1">
        <f>IF(B746="", "", "human oral metagenome")</f>
        <v>0</v>
      </c>
      <c r="K746" s="1">
        <f>IF(B746="", "", "447426")</f>
        <v>0</v>
      </c>
    </row>
    <row r="747" spans="1:11">
      <c r="A747">
        <f>IF(COUNTBLANK(B747:K747)&lt;&gt;COLUMNS(B747:K747),746,"")</f>
        <v>0</v>
      </c>
      <c r="C747" s="1">
        <f>IF(B747="", "", "animal secretion")</f>
        <v>0</v>
      </c>
      <c r="D747" s="1">
        <f>IF(B747="", "", "saliva")</f>
        <v>0</v>
      </c>
      <c r="E747" s="1">
        <f>IF(B747="", "", "human-oral")</f>
        <v>0</v>
      </c>
      <c r="F747" s="1">
        <f>IF(B747="", "", "UBERON:oral cavity")</f>
        <v>0</v>
      </c>
      <c r="G747" s="1">
        <f>IF(B747="", "", "UBERON:saliva")</f>
        <v>0</v>
      </c>
      <c r="H747" s="1">
        <f>IF(B747="", "", "UBERON:tongue")</f>
        <v>0</v>
      </c>
      <c r="I747" s="1">
        <f>IF(B747="", "", "tongue")</f>
        <v>0</v>
      </c>
      <c r="J747" s="1">
        <f>IF(B747="", "", "human oral metagenome")</f>
        <v>0</v>
      </c>
      <c r="K747" s="1">
        <f>IF(B747="", "", "447426")</f>
        <v>0</v>
      </c>
    </row>
    <row r="748" spans="1:11">
      <c r="A748">
        <f>IF(COUNTBLANK(B748:K748)&lt;&gt;COLUMNS(B748:K748),747,"")</f>
        <v>0</v>
      </c>
      <c r="C748" s="1">
        <f>IF(B748="", "", "animal secretion")</f>
        <v>0</v>
      </c>
      <c r="D748" s="1">
        <f>IF(B748="", "", "saliva")</f>
        <v>0</v>
      </c>
      <c r="E748" s="1">
        <f>IF(B748="", "", "human-oral")</f>
        <v>0</v>
      </c>
      <c r="F748" s="1">
        <f>IF(B748="", "", "UBERON:oral cavity")</f>
        <v>0</v>
      </c>
      <c r="G748" s="1">
        <f>IF(B748="", "", "UBERON:saliva")</f>
        <v>0</v>
      </c>
      <c r="H748" s="1">
        <f>IF(B748="", "", "UBERON:tongue")</f>
        <v>0</v>
      </c>
      <c r="I748" s="1">
        <f>IF(B748="", "", "tongue")</f>
        <v>0</v>
      </c>
      <c r="J748" s="1">
        <f>IF(B748="", "", "human oral metagenome")</f>
        <v>0</v>
      </c>
      <c r="K748" s="1">
        <f>IF(B748="", "", "447426")</f>
        <v>0</v>
      </c>
    </row>
    <row r="749" spans="1:11">
      <c r="A749">
        <f>IF(COUNTBLANK(B749:K749)&lt;&gt;COLUMNS(B749:K749),748,"")</f>
        <v>0</v>
      </c>
      <c r="C749" s="1">
        <f>IF(B749="", "", "animal secretion")</f>
        <v>0</v>
      </c>
      <c r="D749" s="1">
        <f>IF(B749="", "", "saliva")</f>
        <v>0</v>
      </c>
      <c r="E749" s="1">
        <f>IF(B749="", "", "human-oral")</f>
        <v>0</v>
      </c>
      <c r="F749" s="1">
        <f>IF(B749="", "", "UBERON:oral cavity")</f>
        <v>0</v>
      </c>
      <c r="G749" s="1">
        <f>IF(B749="", "", "UBERON:saliva")</f>
        <v>0</v>
      </c>
      <c r="H749" s="1">
        <f>IF(B749="", "", "UBERON:tongue")</f>
        <v>0</v>
      </c>
      <c r="I749" s="1">
        <f>IF(B749="", "", "tongue")</f>
        <v>0</v>
      </c>
      <c r="J749" s="1">
        <f>IF(B749="", "", "human oral metagenome")</f>
        <v>0</v>
      </c>
      <c r="K749" s="1">
        <f>IF(B749="", "", "447426")</f>
        <v>0</v>
      </c>
    </row>
    <row r="750" spans="1:11">
      <c r="A750">
        <f>IF(COUNTBLANK(B750:K750)&lt;&gt;COLUMNS(B750:K750),749,"")</f>
        <v>0</v>
      </c>
      <c r="C750" s="1">
        <f>IF(B750="", "", "animal secretion")</f>
        <v>0</v>
      </c>
      <c r="D750" s="1">
        <f>IF(B750="", "", "saliva")</f>
        <v>0</v>
      </c>
      <c r="E750" s="1">
        <f>IF(B750="", "", "human-oral")</f>
        <v>0</v>
      </c>
      <c r="F750" s="1">
        <f>IF(B750="", "", "UBERON:oral cavity")</f>
        <v>0</v>
      </c>
      <c r="G750" s="1">
        <f>IF(B750="", "", "UBERON:saliva")</f>
        <v>0</v>
      </c>
      <c r="H750" s="1">
        <f>IF(B750="", "", "UBERON:tongue")</f>
        <v>0</v>
      </c>
      <c r="I750" s="1">
        <f>IF(B750="", "", "tongue")</f>
        <v>0</v>
      </c>
      <c r="J750" s="1">
        <f>IF(B750="", "", "human oral metagenome")</f>
        <v>0</v>
      </c>
      <c r="K750" s="1">
        <f>IF(B750="", "", "447426")</f>
        <v>0</v>
      </c>
    </row>
    <row r="751" spans="1:11">
      <c r="A751">
        <f>IF(COUNTBLANK(B751:K751)&lt;&gt;COLUMNS(B751:K751),750,"")</f>
        <v>0</v>
      </c>
      <c r="C751" s="1">
        <f>IF(B751="", "", "animal secretion")</f>
        <v>0</v>
      </c>
      <c r="D751" s="1">
        <f>IF(B751="", "", "saliva")</f>
        <v>0</v>
      </c>
      <c r="E751" s="1">
        <f>IF(B751="", "", "human-oral")</f>
        <v>0</v>
      </c>
      <c r="F751" s="1">
        <f>IF(B751="", "", "UBERON:oral cavity")</f>
        <v>0</v>
      </c>
      <c r="G751" s="1">
        <f>IF(B751="", "", "UBERON:saliva")</f>
        <v>0</v>
      </c>
      <c r="H751" s="1">
        <f>IF(B751="", "", "UBERON:tongue")</f>
        <v>0</v>
      </c>
      <c r="I751" s="1">
        <f>IF(B751="", "", "tongue")</f>
        <v>0</v>
      </c>
      <c r="J751" s="1">
        <f>IF(B751="", "", "human oral metagenome")</f>
        <v>0</v>
      </c>
      <c r="K751" s="1">
        <f>IF(B751="", "", "447426")</f>
        <v>0</v>
      </c>
    </row>
    <row r="752" spans="1:11">
      <c r="A752">
        <f>IF(COUNTBLANK(B752:K752)&lt;&gt;COLUMNS(B752:K752),751,"")</f>
        <v>0</v>
      </c>
      <c r="C752" s="1">
        <f>IF(B752="", "", "animal secretion")</f>
        <v>0</v>
      </c>
      <c r="D752" s="1">
        <f>IF(B752="", "", "saliva")</f>
        <v>0</v>
      </c>
      <c r="E752" s="1">
        <f>IF(B752="", "", "human-oral")</f>
        <v>0</v>
      </c>
      <c r="F752" s="1">
        <f>IF(B752="", "", "UBERON:oral cavity")</f>
        <v>0</v>
      </c>
      <c r="G752" s="1">
        <f>IF(B752="", "", "UBERON:saliva")</f>
        <v>0</v>
      </c>
      <c r="H752" s="1">
        <f>IF(B752="", "", "UBERON:tongue")</f>
        <v>0</v>
      </c>
      <c r="I752" s="1">
        <f>IF(B752="", "", "tongue")</f>
        <v>0</v>
      </c>
      <c r="J752" s="1">
        <f>IF(B752="", "", "human oral metagenome")</f>
        <v>0</v>
      </c>
      <c r="K752" s="1">
        <f>IF(B752="", "", "447426")</f>
        <v>0</v>
      </c>
    </row>
    <row r="753" spans="1:11">
      <c r="A753">
        <f>IF(COUNTBLANK(B753:K753)&lt;&gt;COLUMNS(B753:K753),752,"")</f>
        <v>0</v>
      </c>
      <c r="C753" s="1">
        <f>IF(B753="", "", "animal secretion")</f>
        <v>0</v>
      </c>
      <c r="D753" s="1">
        <f>IF(B753="", "", "saliva")</f>
        <v>0</v>
      </c>
      <c r="E753" s="1">
        <f>IF(B753="", "", "human-oral")</f>
        <v>0</v>
      </c>
      <c r="F753" s="1">
        <f>IF(B753="", "", "UBERON:oral cavity")</f>
        <v>0</v>
      </c>
      <c r="G753" s="1">
        <f>IF(B753="", "", "UBERON:saliva")</f>
        <v>0</v>
      </c>
      <c r="H753" s="1">
        <f>IF(B753="", "", "UBERON:tongue")</f>
        <v>0</v>
      </c>
      <c r="I753" s="1">
        <f>IF(B753="", "", "tongue")</f>
        <v>0</v>
      </c>
      <c r="J753" s="1">
        <f>IF(B753="", "", "human oral metagenome")</f>
        <v>0</v>
      </c>
      <c r="K753" s="1">
        <f>IF(B753="", "", "447426")</f>
        <v>0</v>
      </c>
    </row>
    <row r="754" spans="1:11">
      <c r="A754">
        <f>IF(COUNTBLANK(B754:K754)&lt;&gt;COLUMNS(B754:K754),753,"")</f>
        <v>0</v>
      </c>
      <c r="C754" s="1">
        <f>IF(B754="", "", "animal secretion")</f>
        <v>0</v>
      </c>
      <c r="D754" s="1">
        <f>IF(B754="", "", "saliva")</f>
        <v>0</v>
      </c>
      <c r="E754" s="1">
        <f>IF(B754="", "", "human-oral")</f>
        <v>0</v>
      </c>
      <c r="F754" s="1">
        <f>IF(B754="", "", "UBERON:oral cavity")</f>
        <v>0</v>
      </c>
      <c r="G754" s="1">
        <f>IF(B754="", "", "UBERON:saliva")</f>
        <v>0</v>
      </c>
      <c r="H754" s="1">
        <f>IF(B754="", "", "UBERON:tongue")</f>
        <v>0</v>
      </c>
      <c r="I754" s="1">
        <f>IF(B754="", "", "tongue")</f>
        <v>0</v>
      </c>
      <c r="J754" s="1">
        <f>IF(B754="", "", "human oral metagenome")</f>
        <v>0</v>
      </c>
      <c r="K754" s="1">
        <f>IF(B754="", "", "447426")</f>
        <v>0</v>
      </c>
    </row>
    <row r="755" spans="1:11">
      <c r="A755">
        <f>IF(COUNTBLANK(B755:K755)&lt;&gt;COLUMNS(B755:K755),754,"")</f>
        <v>0</v>
      </c>
      <c r="C755" s="1">
        <f>IF(B755="", "", "animal secretion")</f>
        <v>0</v>
      </c>
      <c r="D755" s="1">
        <f>IF(B755="", "", "saliva")</f>
        <v>0</v>
      </c>
      <c r="E755" s="1">
        <f>IF(B755="", "", "human-oral")</f>
        <v>0</v>
      </c>
      <c r="F755" s="1">
        <f>IF(B755="", "", "UBERON:oral cavity")</f>
        <v>0</v>
      </c>
      <c r="G755" s="1">
        <f>IF(B755="", "", "UBERON:saliva")</f>
        <v>0</v>
      </c>
      <c r="H755" s="1">
        <f>IF(B755="", "", "UBERON:tongue")</f>
        <v>0</v>
      </c>
      <c r="I755" s="1">
        <f>IF(B755="", "", "tongue")</f>
        <v>0</v>
      </c>
      <c r="J755" s="1">
        <f>IF(B755="", "", "human oral metagenome")</f>
        <v>0</v>
      </c>
      <c r="K755" s="1">
        <f>IF(B755="", "", "447426")</f>
        <v>0</v>
      </c>
    </row>
    <row r="756" spans="1:11">
      <c r="A756">
        <f>IF(COUNTBLANK(B756:K756)&lt;&gt;COLUMNS(B756:K756),755,"")</f>
        <v>0</v>
      </c>
      <c r="C756" s="1">
        <f>IF(B756="", "", "animal secretion")</f>
        <v>0</v>
      </c>
      <c r="D756" s="1">
        <f>IF(B756="", "", "saliva")</f>
        <v>0</v>
      </c>
      <c r="E756" s="1">
        <f>IF(B756="", "", "human-oral")</f>
        <v>0</v>
      </c>
      <c r="F756" s="1">
        <f>IF(B756="", "", "UBERON:oral cavity")</f>
        <v>0</v>
      </c>
      <c r="G756" s="1">
        <f>IF(B756="", "", "UBERON:saliva")</f>
        <v>0</v>
      </c>
      <c r="H756" s="1">
        <f>IF(B756="", "", "UBERON:tongue")</f>
        <v>0</v>
      </c>
      <c r="I756" s="1">
        <f>IF(B756="", "", "tongue")</f>
        <v>0</v>
      </c>
      <c r="J756" s="1">
        <f>IF(B756="", "", "human oral metagenome")</f>
        <v>0</v>
      </c>
      <c r="K756" s="1">
        <f>IF(B756="", "", "447426")</f>
        <v>0</v>
      </c>
    </row>
    <row r="757" spans="1:11">
      <c r="A757">
        <f>IF(COUNTBLANK(B757:K757)&lt;&gt;COLUMNS(B757:K757),756,"")</f>
        <v>0</v>
      </c>
      <c r="C757" s="1">
        <f>IF(B757="", "", "animal secretion")</f>
        <v>0</v>
      </c>
      <c r="D757" s="1">
        <f>IF(B757="", "", "saliva")</f>
        <v>0</v>
      </c>
      <c r="E757" s="1">
        <f>IF(B757="", "", "human-oral")</f>
        <v>0</v>
      </c>
      <c r="F757" s="1">
        <f>IF(B757="", "", "UBERON:oral cavity")</f>
        <v>0</v>
      </c>
      <c r="G757" s="1">
        <f>IF(B757="", "", "UBERON:saliva")</f>
        <v>0</v>
      </c>
      <c r="H757" s="1">
        <f>IF(B757="", "", "UBERON:tongue")</f>
        <v>0</v>
      </c>
      <c r="I757" s="1">
        <f>IF(B757="", "", "tongue")</f>
        <v>0</v>
      </c>
      <c r="J757" s="1">
        <f>IF(B757="", "", "human oral metagenome")</f>
        <v>0</v>
      </c>
      <c r="K757" s="1">
        <f>IF(B757="", "", "447426")</f>
        <v>0</v>
      </c>
    </row>
    <row r="758" spans="1:11">
      <c r="A758">
        <f>IF(COUNTBLANK(B758:K758)&lt;&gt;COLUMNS(B758:K758),757,"")</f>
        <v>0</v>
      </c>
      <c r="C758" s="1">
        <f>IF(B758="", "", "animal secretion")</f>
        <v>0</v>
      </c>
      <c r="D758" s="1">
        <f>IF(B758="", "", "saliva")</f>
        <v>0</v>
      </c>
      <c r="E758" s="1">
        <f>IF(B758="", "", "human-oral")</f>
        <v>0</v>
      </c>
      <c r="F758" s="1">
        <f>IF(B758="", "", "UBERON:oral cavity")</f>
        <v>0</v>
      </c>
      <c r="G758" s="1">
        <f>IF(B758="", "", "UBERON:saliva")</f>
        <v>0</v>
      </c>
      <c r="H758" s="1">
        <f>IF(B758="", "", "UBERON:tongue")</f>
        <v>0</v>
      </c>
      <c r="I758" s="1">
        <f>IF(B758="", "", "tongue")</f>
        <v>0</v>
      </c>
      <c r="J758" s="1">
        <f>IF(B758="", "", "human oral metagenome")</f>
        <v>0</v>
      </c>
      <c r="K758" s="1">
        <f>IF(B758="", "", "447426")</f>
        <v>0</v>
      </c>
    </row>
    <row r="759" spans="1:11">
      <c r="A759">
        <f>IF(COUNTBLANK(B759:K759)&lt;&gt;COLUMNS(B759:K759),758,"")</f>
        <v>0</v>
      </c>
      <c r="C759" s="1">
        <f>IF(B759="", "", "animal secretion")</f>
        <v>0</v>
      </c>
      <c r="D759" s="1">
        <f>IF(B759="", "", "saliva")</f>
        <v>0</v>
      </c>
      <c r="E759" s="1">
        <f>IF(B759="", "", "human-oral")</f>
        <v>0</v>
      </c>
      <c r="F759" s="1">
        <f>IF(B759="", "", "UBERON:oral cavity")</f>
        <v>0</v>
      </c>
      <c r="G759" s="1">
        <f>IF(B759="", "", "UBERON:saliva")</f>
        <v>0</v>
      </c>
      <c r="H759" s="1">
        <f>IF(B759="", "", "UBERON:tongue")</f>
        <v>0</v>
      </c>
      <c r="I759" s="1">
        <f>IF(B759="", "", "tongue")</f>
        <v>0</v>
      </c>
      <c r="J759" s="1">
        <f>IF(B759="", "", "human oral metagenome")</f>
        <v>0</v>
      </c>
      <c r="K759" s="1">
        <f>IF(B759="", "", "447426")</f>
        <v>0</v>
      </c>
    </row>
    <row r="760" spans="1:11">
      <c r="A760">
        <f>IF(COUNTBLANK(B760:K760)&lt;&gt;COLUMNS(B760:K760),759,"")</f>
        <v>0</v>
      </c>
      <c r="C760" s="1">
        <f>IF(B760="", "", "animal secretion")</f>
        <v>0</v>
      </c>
      <c r="D760" s="1">
        <f>IF(B760="", "", "saliva")</f>
        <v>0</v>
      </c>
      <c r="E760" s="1">
        <f>IF(B760="", "", "human-oral")</f>
        <v>0</v>
      </c>
      <c r="F760" s="1">
        <f>IF(B760="", "", "UBERON:oral cavity")</f>
        <v>0</v>
      </c>
      <c r="G760" s="1">
        <f>IF(B760="", "", "UBERON:saliva")</f>
        <v>0</v>
      </c>
      <c r="H760" s="1">
        <f>IF(B760="", "", "UBERON:tongue")</f>
        <v>0</v>
      </c>
      <c r="I760" s="1">
        <f>IF(B760="", "", "tongue")</f>
        <v>0</v>
      </c>
      <c r="J760" s="1">
        <f>IF(B760="", "", "human oral metagenome")</f>
        <v>0</v>
      </c>
      <c r="K760" s="1">
        <f>IF(B760="", "", "447426")</f>
        <v>0</v>
      </c>
    </row>
    <row r="761" spans="1:11">
      <c r="A761">
        <f>IF(COUNTBLANK(B761:K761)&lt;&gt;COLUMNS(B761:K761),760,"")</f>
        <v>0</v>
      </c>
      <c r="C761" s="1">
        <f>IF(B761="", "", "animal secretion")</f>
        <v>0</v>
      </c>
      <c r="D761" s="1">
        <f>IF(B761="", "", "saliva")</f>
        <v>0</v>
      </c>
      <c r="E761" s="1">
        <f>IF(B761="", "", "human-oral")</f>
        <v>0</v>
      </c>
      <c r="F761" s="1">
        <f>IF(B761="", "", "UBERON:oral cavity")</f>
        <v>0</v>
      </c>
      <c r="G761" s="1">
        <f>IF(B761="", "", "UBERON:saliva")</f>
        <v>0</v>
      </c>
      <c r="H761" s="1">
        <f>IF(B761="", "", "UBERON:tongue")</f>
        <v>0</v>
      </c>
      <c r="I761" s="1">
        <f>IF(B761="", "", "tongue")</f>
        <v>0</v>
      </c>
      <c r="J761" s="1">
        <f>IF(B761="", "", "human oral metagenome")</f>
        <v>0</v>
      </c>
      <c r="K761" s="1">
        <f>IF(B761="", "", "447426")</f>
        <v>0</v>
      </c>
    </row>
    <row r="762" spans="1:11">
      <c r="A762">
        <f>IF(COUNTBLANK(B762:K762)&lt;&gt;COLUMNS(B762:K762),761,"")</f>
        <v>0</v>
      </c>
      <c r="C762" s="1">
        <f>IF(B762="", "", "animal secretion")</f>
        <v>0</v>
      </c>
      <c r="D762" s="1">
        <f>IF(B762="", "", "saliva")</f>
        <v>0</v>
      </c>
      <c r="E762" s="1">
        <f>IF(B762="", "", "human-oral")</f>
        <v>0</v>
      </c>
      <c r="F762" s="1">
        <f>IF(B762="", "", "UBERON:oral cavity")</f>
        <v>0</v>
      </c>
      <c r="G762" s="1">
        <f>IF(B762="", "", "UBERON:saliva")</f>
        <v>0</v>
      </c>
      <c r="H762" s="1">
        <f>IF(B762="", "", "UBERON:tongue")</f>
        <v>0</v>
      </c>
      <c r="I762" s="1">
        <f>IF(B762="", "", "tongue")</f>
        <v>0</v>
      </c>
      <c r="J762" s="1">
        <f>IF(B762="", "", "human oral metagenome")</f>
        <v>0</v>
      </c>
      <c r="K762" s="1">
        <f>IF(B762="", "", "447426")</f>
        <v>0</v>
      </c>
    </row>
    <row r="763" spans="1:11">
      <c r="A763">
        <f>IF(COUNTBLANK(B763:K763)&lt;&gt;COLUMNS(B763:K763),762,"")</f>
        <v>0</v>
      </c>
      <c r="C763" s="1">
        <f>IF(B763="", "", "animal secretion")</f>
        <v>0</v>
      </c>
      <c r="D763" s="1">
        <f>IF(B763="", "", "saliva")</f>
        <v>0</v>
      </c>
      <c r="E763" s="1">
        <f>IF(B763="", "", "human-oral")</f>
        <v>0</v>
      </c>
      <c r="F763" s="1">
        <f>IF(B763="", "", "UBERON:oral cavity")</f>
        <v>0</v>
      </c>
      <c r="G763" s="1">
        <f>IF(B763="", "", "UBERON:saliva")</f>
        <v>0</v>
      </c>
      <c r="H763" s="1">
        <f>IF(B763="", "", "UBERON:tongue")</f>
        <v>0</v>
      </c>
      <c r="I763" s="1">
        <f>IF(B763="", "", "tongue")</f>
        <v>0</v>
      </c>
      <c r="J763" s="1">
        <f>IF(B763="", "", "human oral metagenome")</f>
        <v>0</v>
      </c>
      <c r="K763" s="1">
        <f>IF(B763="", "", "447426")</f>
        <v>0</v>
      </c>
    </row>
    <row r="764" spans="1:11">
      <c r="A764">
        <f>IF(COUNTBLANK(B764:K764)&lt;&gt;COLUMNS(B764:K764),763,"")</f>
        <v>0</v>
      </c>
      <c r="C764" s="1">
        <f>IF(B764="", "", "animal secretion")</f>
        <v>0</v>
      </c>
      <c r="D764" s="1">
        <f>IF(B764="", "", "saliva")</f>
        <v>0</v>
      </c>
      <c r="E764" s="1">
        <f>IF(B764="", "", "human-oral")</f>
        <v>0</v>
      </c>
      <c r="F764" s="1">
        <f>IF(B764="", "", "UBERON:oral cavity")</f>
        <v>0</v>
      </c>
      <c r="G764" s="1">
        <f>IF(B764="", "", "UBERON:saliva")</f>
        <v>0</v>
      </c>
      <c r="H764" s="1">
        <f>IF(B764="", "", "UBERON:tongue")</f>
        <v>0</v>
      </c>
      <c r="I764" s="1">
        <f>IF(B764="", "", "tongue")</f>
        <v>0</v>
      </c>
      <c r="J764" s="1">
        <f>IF(B764="", "", "human oral metagenome")</f>
        <v>0</v>
      </c>
      <c r="K764" s="1">
        <f>IF(B764="", "", "447426")</f>
        <v>0</v>
      </c>
    </row>
    <row r="765" spans="1:11">
      <c r="A765">
        <f>IF(COUNTBLANK(B765:K765)&lt;&gt;COLUMNS(B765:K765),764,"")</f>
        <v>0</v>
      </c>
      <c r="C765" s="1">
        <f>IF(B765="", "", "animal secretion")</f>
        <v>0</v>
      </c>
      <c r="D765" s="1">
        <f>IF(B765="", "", "saliva")</f>
        <v>0</v>
      </c>
      <c r="E765" s="1">
        <f>IF(B765="", "", "human-oral")</f>
        <v>0</v>
      </c>
      <c r="F765" s="1">
        <f>IF(B765="", "", "UBERON:oral cavity")</f>
        <v>0</v>
      </c>
      <c r="G765" s="1">
        <f>IF(B765="", "", "UBERON:saliva")</f>
        <v>0</v>
      </c>
      <c r="H765" s="1">
        <f>IF(B765="", "", "UBERON:tongue")</f>
        <v>0</v>
      </c>
      <c r="I765" s="1">
        <f>IF(B765="", "", "tongue")</f>
        <v>0</v>
      </c>
      <c r="J765" s="1">
        <f>IF(B765="", "", "human oral metagenome")</f>
        <v>0</v>
      </c>
      <c r="K765" s="1">
        <f>IF(B765="", "", "447426")</f>
        <v>0</v>
      </c>
    </row>
    <row r="766" spans="1:11">
      <c r="A766">
        <f>IF(COUNTBLANK(B766:K766)&lt;&gt;COLUMNS(B766:K766),765,"")</f>
        <v>0</v>
      </c>
      <c r="C766" s="1">
        <f>IF(B766="", "", "animal secretion")</f>
        <v>0</v>
      </c>
      <c r="D766" s="1">
        <f>IF(B766="", "", "saliva")</f>
        <v>0</v>
      </c>
      <c r="E766" s="1">
        <f>IF(B766="", "", "human-oral")</f>
        <v>0</v>
      </c>
      <c r="F766" s="1">
        <f>IF(B766="", "", "UBERON:oral cavity")</f>
        <v>0</v>
      </c>
      <c r="G766" s="1">
        <f>IF(B766="", "", "UBERON:saliva")</f>
        <v>0</v>
      </c>
      <c r="H766" s="1">
        <f>IF(B766="", "", "UBERON:tongue")</f>
        <v>0</v>
      </c>
      <c r="I766" s="1">
        <f>IF(B766="", "", "tongue")</f>
        <v>0</v>
      </c>
      <c r="J766" s="1">
        <f>IF(B766="", "", "human oral metagenome")</f>
        <v>0</v>
      </c>
      <c r="K766" s="1">
        <f>IF(B766="", "", "447426")</f>
        <v>0</v>
      </c>
    </row>
    <row r="767" spans="1:11">
      <c r="A767">
        <f>IF(COUNTBLANK(B767:K767)&lt;&gt;COLUMNS(B767:K767),766,"")</f>
        <v>0</v>
      </c>
      <c r="C767" s="1">
        <f>IF(B767="", "", "animal secretion")</f>
        <v>0</v>
      </c>
      <c r="D767" s="1">
        <f>IF(B767="", "", "saliva")</f>
        <v>0</v>
      </c>
      <c r="E767" s="1">
        <f>IF(B767="", "", "human-oral")</f>
        <v>0</v>
      </c>
      <c r="F767" s="1">
        <f>IF(B767="", "", "UBERON:oral cavity")</f>
        <v>0</v>
      </c>
      <c r="G767" s="1">
        <f>IF(B767="", "", "UBERON:saliva")</f>
        <v>0</v>
      </c>
      <c r="H767" s="1">
        <f>IF(B767="", "", "UBERON:tongue")</f>
        <v>0</v>
      </c>
      <c r="I767" s="1">
        <f>IF(B767="", "", "tongue")</f>
        <v>0</v>
      </c>
      <c r="J767" s="1">
        <f>IF(B767="", "", "human oral metagenome")</f>
        <v>0</v>
      </c>
      <c r="K767" s="1">
        <f>IF(B767="", "", "447426")</f>
        <v>0</v>
      </c>
    </row>
    <row r="768" spans="1:11">
      <c r="A768">
        <f>IF(COUNTBLANK(B768:K768)&lt;&gt;COLUMNS(B768:K768),767,"")</f>
        <v>0</v>
      </c>
      <c r="C768" s="1">
        <f>IF(B768="", "", "animal secretion")</f>
        <v>0</v>
      </c>
      <c r="D768" s="1">
        <f>IF(B768="", "", "saliva")</f>
        <v>0</v>
      </c>
      <c r="E768" s="1">
        <f>IF(B768="", "", "human-oral")</f>
        <v>0</v>
      </c>
      <c r="F768" s="1">
        <f>IF(B768="", "", "UBERON:oral cavity")</f>
        <v>0</v>
      </c>
      <c r="G768" s="1">
        <f>IF(B768="", "", "UBERON:saliva")</f>
        <v>0</v>
      </c>
      <c r="H768" s="1">
        <f>IF(B768="", "", "UBERON:tongue")</f>
        <v>0</v>
      </c>
      <c r="I768" s="1">
        <f>IF(B768="", "", "tongue")</f>
        <v>0</v>
      </c>
      <c r="J768" s="1">
        <f>IF(B768="", "", "human oral metagenome")</f>
        <v>0</v>
      </c>
      <c r="K768" s="1">
        <f>IF(B768="", "", "447426")</f>
        <v>0</v>
      </c>
    </row>
    <row r="769" spans="1:11">
      <c r="A769">
        <f>IF(COUNTBLANK(B769:K769)&lt;&gt;COLUMNS(B769:K769),768,"")</f>
        <v>0</v>
      </c>
      <c r="C769" s="1">
        <f>IF(B769="", "", "animal secretion")</f>
        <v>0</v>
      </c>
      <c r="D769" s="1">
        <f>IF(B769="", "", "saliva")</f>
        <v>0</v>
      </c>
      <c r="E769" s="1">
        <f>IF(B769="", "", "human-oral")</f>
        <v>0</v>
      </c>
      <c r="F769" s="1">
        <f>IF(B769="", "", "UBERON:oral cavity")</f>
        <v>0</v>
      </c>
      <c r="G769" s="1">
        <f>IF(B769="", "", "UBERON:saliva")</f>
        <v>0</v>
      </c>
      <c r="H769" s="1">
        <f>IF(B769="", "", "UBERON:tongue")</f>
        <v>0</v>
      </c>
      <c r="I769" s="1">
        <f>IF(B769="", "", "tongue")</f>
        <v>0</v>
      </c>
      <c r="J769" s="1">
        <f>IF(B769="", "", "human oral metagenome")</f>
        <v>0</v>
      </c>
      <c r="K769" s="1">
        <f>IF(B769="", "", "447426")</f>
        <v>0</v>
      </c>
    </row>
    <row r="770" spans="1:11">
      <c r="A770">
        <f>IF(COUNTBLANK(B770:K770)&lt;&gt;COLUMNS(B770:K770),769,"")</f>
        <v>0</v>
      </c>
      <c r="C770" s="1">
        <f>IF(B770="", "", "animal secretion")</f>
        <v>0</v>
      </c>
      <c r="D770" s="1">
        <f>IF(B770="", "", "saliva")</f>
        <v>0</v>
      </c>
      <c r="E770" s="1">
        <f>IF(B770="", "", "human-oral")</f>
        <v>0</v>
      </c>
      <c r="F770" s="1">
        <f>IF(B770="", "", "UBERON:oral cavity")</f>
        <v>0</v>
      </c>
      <c r="G770" s="1">
        <f>IF(B770="", "", "UBERON:saliva")</f>
        <v>0</v>
      </c>
      <c r="H770" s="1">
        <f>IF(B770="", "", "UBERON:tongue")</f>
        <v>0</v>
      </c>
      <c r="I770" s="1">
        <f>IF(B770="", "", "tongue")</f>
        <v>0</v>
      </c>
      <c r="J770" s="1">
        <f>IF(B770="", "", "human oral metagenome")</f>
        <v>0</v>
      </c>
      <c r="K770" s="1">
        <f>IF(B770="", "", "447426")</f>
        <v>0</v>
      </c>
    </row>
    <row r="771" spans="1:11">
      <c r="A771">
        <f>IF(COUNTBLANK(B771:K771)&lt;&gt;COLUMNS(B771:K771),770,"")</f>
        <v>0</v>
      </c>
      <c r="C771" s="1">
        <f>IF(B771="", "", "animal secretion")</f>
        <v>0</v>
      </c>
      <c r="D771" s="1">
        <f>IF(B771="", "", "saliva")</f>
        <v>0</v>
      </c>
      <c r="E771" s="1">
        <f>IF(B771="", "", "human-oral")</f>
        <v>0</v>
      </c>
      <c r="F771" s="1">
        <f>IF(B771="", "", "UBERON:oral cavity")</f>
        <v>0</v>
      </c>
      <c r="G771" s="1">
        <f>IF(B771="", "", "UBERON:saliva")</f>
        <v>0</v>
      </c>
      <c r="H771" s="1">
        <f>IF(B771="", "", "UBERON:tongue")</f>
        <v>0</v>
      </c>
      <c r="I771" s="1">
        <f>IF(B771="", "", "tongue")</f>
        <v>0</v>
      </c>
      <c r="J771" s="1">
        <f>IF(B771="", "", "human oral metagenome")</f>
        <v>0</v>
      </c>
      <c r="K771" s="1">
        <f>IF(B771="", "", "447426")</f>
        <v>0</v>
      </c>
    </row>
    <row r="772" spans="1:11">
      <c r="A772">
        <f>IF(COUNTBLANK(B772:K772)&lt;&gt;COLUMNS(B772:K772),771,"")</f>
        <v>0</v>
      </c>
      <c r="C772" s="1">
        <f>IF(B772="", "", "animal secretion")</f>
        <v>0</v>
      </c>
      <c r="D772" s="1">
        <f>IF(B772="", "", "saliva")</f>
        <v>0</v>
      </c>
      <c r="E772" s="1">
        <f>IF(B772="", "", "human-oral")</f>
        <v>0</v>
      </c>
      <c r="F772" s="1">
        <f>IF(B772="", "", "UBERON:oral cavity")</f>
        <v>0</v>
      </c>
      <c r="G772" s="1">
        <f>IF(B772="", "", "UBERON:saliva")</f>
        <v>0</v>
      </c>
      <c r="H772" s="1">
        <f>IF(B772="", "", "UBERON:tongue")</f>
        <v>0</v>
      </c>
      <c r="I772" s="1">
        <f>IF(B772="", "", "tongue")</f>
        <v>0</v>
      </c>
      <c r="J772" s="1">
        <f>IF(B772="", "", "human oral metagenome")</f>
        <v>0</v>
      </c>
      <c r="K772" s="1">
        <f>IF(B772="", "", "447426")</f>
        <v>0</v>
      </c>
    </row>
    <row r="773" spans="1:11">
      <c r="A773">
        <f>IF(COUNTBLANK(B773:K773)&lt;&gt;COLUMNS(B773:K773),772,"")</f>
        <v>0</v>
      </c>
      <c r="C773" s="1">
        <f>IF(B773="", "", "animal secretion")</f>
        <v>0</v>
      </c>
      <c r="D773" s="1">
        <f>IF(B773="", "", "saliva")</f>
        <v>0</v>
      </c>
      <c r="E773" s="1">
        <f>IF(B773="", "", "human-oral")</f>
        <v>0</v>
      </c>
      <c r="F773" s="1">
        <f>IF(B773="", "", "UBERON:oral cavity")</f>
        <v>0</v>
      </c>
      <c r="G773" s="1">
        <f>IF(B773="", "", "UBERON:saliva")</f>
        <v>0</v>
      </c>
      <c r="H773" s="1">
        <f>IF(B773="", "", "UBERON:tongue")</f>
        <v>0</v>
      </c>
      <c r="I773" s="1">
        <f>IF(B773="", "", "tongue")</f>
        <v>0</v>
      </c>
      <c r="J773" s="1">
        <f>IF(B773="", "", "human oral metagenome")</f>
        <v>0</v>
      </c>
      <c r="K773" s="1">
        <f>IF(B773="", "", "447426")</f>
        <v>0</v>
      </c>
    </row>
    <row r="774" spans="1:11">
      <c r="A774">
        <f>IF(COUNTBLANK(B774:K774)&lt;&gt;COLUMNS(B774:K774),773,"")</f>
        <v>0</v>
      </c>
      <c r="C774" s="1">
        <f>IF(B774="", "", "animal secretion")</f>
        <v>0</v>
      </c>
      <c r="D774" s="1">
        <f>IF(B774="", "", "saliva")</f>
        <v>0</v>
      </c>
      <c r="E774" s="1">
        <f>IF(B774="", "", "human-oral")</f>
        <v>0</v>
      </c>
      <c r="F774" s="1">
        <f>IF(B774="", "", "UBERON:oral cavity")</f>
        <v>0</v>
      </c>
      <c r="G774" s="1">
        <f>IF(B774="", "", "UBERON:saliva")</f>
        <v>0</v>
      </c>
      <c r="H774" s="1">
        <f>IF(B774="", "", "UBERON:tongue")</f>
        <v>0</v>
      </c>
      <c r="I774" s="1">
        <f>IF(B774="", "", "tongue")</f>
        <v>0</v>
      </c>
      <c r="J774" s="1">
        <f>IF(B774="", "", "human oral metagenome")</f>
        <v>0</v>
      </c>
      <c r="K774" s="1">
        <f>IF(B774="", "", "447426")</f>
        <v>0</v>
      </c>
    </row>
    <row r="775" spans="1:11">
      <c r="A775">
        <f>IF(COUNTBLANK(B775:K775)&lt;&gt;COLUMNS(B775:K775),774,"")</f>
        <v>0</v>
      </c>
      <c r="C775" s="1">
        <f>IF(B775="", "", "animal secretion")</f>
        <v>0</v>
      </c>
      <c r="D775" s="1">
        <f>IF(B775="", "", "saliva")</f>
        <v>0</v>
      </c>
      <c r="E775" s="1">
        <f>IF(B775="", "", "human-oral")</f>
        <v>0</v>
      </c>
      <c r="F775" s="1">
        <f>IF(B775="", "", "UBERON:oral cavity")</f>
        <v>0</v>
      </c>
      <c r="G775" s="1">
        <f>IF(B775="", "", "UBERON:saliva")</f>
        <v>0</v>
      </c>
      <c r="H775" s="1">
        <f>IF(B775="", "", "UBERON:tongue")</f>
        <v>0</v>
      </c>
      <c r="I775" s="1">
        <f>IF(B775="", "", "tongue")</f>
        <v>0</v>
      </c>
      <c r="J775" s="1">
        <f>IF(B775="", "", "human oral metagenome")</f>
        <v>0</v>
      </c>
      <c r="K775" s="1">
        <f>IF(B775="", "", "447426")</f>
        <v>0</v>
      </c>
    </row>
    <row r="776" spans="1:11">
      <c r="A776">
        <f>IF(COUNTBLANK(B776:K776)&lt;&gt;COLUMNS(B776:K776),775,"")</f>
        <v>0</v>
      </c>
      <c r="C776" s="1">
        <f>IF(B776="", "", "animal secretion")</f>
        <v>0</v>
      </c>
      <c r="D776" s="1">
        <f>IF(B776="", "", "saliva")</f>
        <v>0</v>
      </c>
      <c r="E776" s="1">
        <f>IF(B776="", "", "human-oral")</f>
        <v>0</v>
      </c>
      <c r="F776" s="1">
        <f>IF(B776="", "", "UBERON:oral cavity")</f>
        <v>0</v>
      </c>
      <c r="G776" s="1">
        <f>IF(B776="", "", "UBERON:saliva")</f>
        <v>0</v>
      </c>
      <c r="H776" s="1">
        <f>IF(B776="", "", "UBERON:tongue")</f>
        <v>0</v>
      </c>
      <c r="I776" s="1">
        <f>IF(B776="", "", "tongue")</f>
        <v>0</v>
      </c>
      <c r="J776" s="1">
        <f>IF(B776="", "", "human oral metagenome")</f>
        <v>0</v>
      </c>
      <c r="K776" s="1">
        <f>IF(B776="", "", "447426")</f>
        <v>0</v>
      </c>
    </row>
    <row r="777" spans="1:11">
      <c r="A777">
        <f>IF(COUNTBLANK(B777:K777)&lt;&gt;COLUMNS(B777:K777),776,"")</f>
        <v>0</v>
      </c>
      <c r="C777" s="1">
        <f>IF(B777="", "", "animal secretion")</f>
        <v>0</v>
      </c>
      <c r="D777" s="1">
        <f>IF(B777="", "", "saliva")</f>
        <v>0</v>
      </c>
      <c r="E777" s="1">
        <f>IF(B777="", "", "human-oral")</f>
        <v>0</v>
      </c>
      <c r="F777" s="1">
        <f>IF(B777="", "", "UBERON:oral cavity")</f>
        <v>0</v>
      </c>
      <c r="G777" s="1">
        <f>IF(B777="", "", "UBERON:saliva")</f>
        <v>0</v>
      </c>
      <c r="H777" s="1">
        <f>IF(B777="", "", "UBERON:tongue")</f>
        <v>0</v>
      </c>
      <c r="I777" s="1">
        <f>IF(B777="", "", "tongue")</f>
        <v>0</v>
      </c>
      <c r="J777" s="1">
        <f>IF(B777="", "", "human oral metagenome")</f>
        <v>0</v>
      </c>
      <c r="K777" s="1">
        <f>IF(B777="", "", "447426")</f>
        <v>0</v>
      </c>
    </row>
    <row r="778" spans="1:11">
      <c r="A778">
        <f>IF(COUNTBLANK(B778:K778)&lt;&gt;COLUMNS(B778:K778),777,"")</f>
        <v>0</v>
      </c>
      <c r="C778" s="1">
        <f>IF(B778="", "", "animal secretion")</f>
        <v>0</v>
      </c>
      <c r="D778" s="1">
        <f>IF(B778="", "", "saliva")</f>
        <v>0</v>
      </c>
      <c r="E778" s="1">
        <f>IF(B778="", "", "human-oral")</f>
        <v>0</v>
      </c>
      <c r="F778" s="1">
        <f>IF(B778="", "", "UBERON:oral cavity")</f>
        <v>0</v>
      </c>
      <c r="G778" s="1">
        <f>IF(B778="", "", "UBERON:saliva")</f>
        <v>0</v>
      </c>
      <c r="H778" s="1">
        <f>IF(B778="", "", "UBERON:tongue")</f>
        <v>0</v>
      </c>
      <c r="I778" s="1">
        <f>IF(B778="", "", "tongue")</f>
        <v>0</v>
      </c>
      <c r="J778" s="1">
        <f>IF(B778="", "", "human oral metagenome")</f>
        <v>0</v>
      </c>
      <c r="K778" s="1">
        <f>IF(B778="", "", "447426")</f>
        <v>0</v>
      </c>
    </row>
    <row r="779" spans="1:11">
      <c r="A779">
        <f>IF(COUNTBLANK(B779:K779)&lt;&gt;COLUMNS(B779:K779),778,"")</f>
        <v>0</v>
      </c>
      <c r="C779" s="1">
        <f>IF(B779="", "", "animal secretion")</f>
        <v>0</v>
      </c>
      <c r="D779" s="1">
        <f>IF(B779="", "", "saliva")</f>
        <v>0</v>
      </c>
      <c r="E779" s="1">
        <f>IF(B779="", "", "human-oral")</f>
        <v>0</v>
      </c>
      <c r="F779" s="1">
        <f>IF(B779="", "", "UBERON:oral cavity")</f>
        <v>0</v>
      </c>
      <c r="G779" s="1">
        <f>IF(B779="", "", "UBERON:saliva")</f>
        <v>0</v>
      </c>
      <c r="H779" s="1">
        <f>IF(B779="", "", "UBERON:tongue")</f>
        <v>0</v>
      </c>
      <c r="I779" s="1">
        <f>IF(B779="", "", "tongue")</f>
        <v>0</v>
      </c>
      <c r="J779" s="1">
        <f>IF(B779="", "", "human oral metagenome")</f>
        <v>0</v>
      </c>
      <c r="K779" s="1">
        <f>IF(B779="", "", "447426")</f>
        <v>0</v>
      </c>
    </row>
    <row r="780" spans="1:11">
      <c r="A780">
        <f>IF(COUNTBLANK(B780:K780)&lt;&gt;COLUMNS(B780:K780),779,"")</f>
        <v>0</v>
      </c>
      <c r="C780" s="1">
        <f>IF(B780="", "", "animal secretion")</f>
        <v>0</v>
      </c>
      <c r="D780" s="1">
        <f>IF(B780="", "", "saliva")</f>
        <v>0</v>
      </c>
      <c r="E780" s="1">
        <f>IF(B780="", "", "human-oral")</f>
        <v>0</v>
      </c>
      <c r="F780" s="1">
        <f>IF(B780="", "", "UBERON:oral cavity")</f>
        <v>0</v>
      </c>
      <c r="G780" s="1">
        <f>IF(B780="", "", "UBERON:saliva")</f>
        <v>0</v>
      </c>
      <c r="H780" s="1">
        <f>IF(B780="", "", "UBERON:tongue")</f>
        <v>0</v>
      </c>
      <c r="I780" s="1">
        <f>IF(B780="", "", "tongue")</f>
        <v>0</v>
      </c>
      <c r="J780" s="1">
        <f>IF(B780="", "", "human oral metagenome")</f>
        <v>0</v>
      </c>
      <c r="K780" s="1">
        <f>IF(B780="", "", "447426")</f>
        <v>0</v>
      </c>
    </row>
    <row r="781" spans="1:11">
      <c r="A781">
        <f>IF(COUNTBLANK(B781:K781)&lt;&gt;COLUMNS(B781:K781),780,"")</f>
        <v>0</v>
      </c>
      <c r="C781" s="1">
        <f>IF(B781="", "", "animal secretion")</f>
        <v>0</v>
      </c>
      <c r="D781" s="1">
        <f>IF(B781="", "", "saliva")</f>
        <v>0</v>
      </c>
      <c r="E781" s="1">
        <f>IF(B781="", "", "human-oral")</f>
        <v>0</v>
      </c>
      <c r="F781" s="1">
        <f>IF(B781="", "", "UBERON:oral cavity")</f>
        <v>0</v>
      </c>
      <c r="G781" s="1">
        <f>IF(B781="", "", "UBERON:saliva")</f>
        <v>0</v>
      </c>
      <c r="H781" s="1">
        <f>IF(B781="", "", "UBERON:tongue")</f>
        <v>0</v>
      </c>
      <c r="I781" s="1">
        <f>IF(B781="", "", "tongue")</f>
        <v>0</v>
      </c>
      <c r="J781" s="1">
        <f>IF(B781="", "", "human oral metagenome")</f>
        <v>0</v>
      </c>
      <c r="K781" s="1">
        <f>IF(B781="", "", "447426")</f>
        <v>0</v>
      </c>
    </row>
    <row r="782" spans="1:11">
      <c r="A782">
        <f>IF(COUNTBLANK(B782:K782)&lt;&gt;COLUMNS(B782:K782),781,"")</f>
        <v>0</v>
      </c>
      <c r="C782" s="1">
        <f>IF(B782="", "", "animal secretion")</f>
        <v>0</v>
      </c>
      <c r="D782" s="1">
        <f>IF(B782="", "", "saliva")</f>
        <v>0</v>
      </c>
      <c r="E782" s="1">
        <f>IF(B782="", "", "human-oral")</f>
        <v>0</v>
      </c>
      <c r="F782" s="1">
        <f>IF(B782="", "", "UBERON:oral cavity")</f>
        <v>0</v>
      </c>
      <c r="G782" s="1">
        <f>IF(B782="", "", "UBERON:saliva")</f>
        <v>0</v>
      </c>
      <c r="H782" s="1">
        <f>IF(B782="", "", "UBERON:tongue")</f>
        <v>0</v>
      </c>
      <c r="I782" s="1">
        <f>IF(B782="", "", "tongue")</f>
        <v>0</v>
      </c>
      <c r="J782" s="1">
        <f>IF(B782="", "", "human oral metagenome")</f>
        <v>0</v>
      </c>
      <c r="K782" s="1">
        <f>IF(B782="", "", "447426")</f>
        <v>0</v>
      </c>
    </row>
    <row r="783" spans="1:11">
      <c r="A783">
        <f>IF(COUNTBLANK(B783:K783)&lt;&gt;COLUMNS(B783:K783),782,"")</f>
        <v>0</v>
      </c>
      <c r="C783" s="1">
        <f>IF(B783="", "", "animal secretion")</f>
        <v>0</v>
      </c>
      <c r="D783" s="1">
        <f>IF(B783="", "", "saliva")</f>
        <v>0</v>
      </c>
      <c r="E783" s="1">
        <f>IF(B783="", "", "human-oral")</f>
        <v>0</v>
      </c>
      <c r="F783" s="1">
        <f>IF(B783="", "", "UBERON:oral cavity")</f>
        <v>0</v>
      </c>
      <c r="G783" s="1">
        <f>IF(B783="", "", "UBERON:saliva")</f>
        <v>0</v>
      </c>
      <c r="H783" s="1">
        <f>IF(B783="", "", "UBERON:tongue")</f>
        <v>0</v>
      </c>
      <c r="I783" s="1">
        <f>IF(B783="", "", "tongue")</f>
        <v>0</v>
      </c>
      <c r="J783" s="1">
        <f>IF(B783="", "", "human oral metagenome")</f>
        <v>0</v>
      </c>
      <c r="K783" s="1">
        <f>IF(B783="", "", "447426")</f>
        <v>0</v>
      </c>
    </row>
    <row r="784" spans="1:11">
      <c r="A784">
        <f>IF(COUNTBLANK(B784:K784)&lt;&gt;COLUMNS(B784:K784),783,"")</f>
        <v>0</v>
      </c>
      <c r="C784" s="1">
        <f>IF(B784="", "", "animal secretion")</f>
        <v>0</v>
      </c>
      <c r="D784" s="1">
        <f>IF(B784="", "", "saliva")</f>
        <v>0</v>
      </c>
      <c r="E784" s="1">
        <f>IF(B784="", "", "human-oral")</f>
        <v>0</v>
      </c>
      <c r="F784" s="1">
        <f>IF(B784="", "", "UBERON:oral cavity")</f>
        <v>0</v>
      </c>
      <c r="G784" s="1">
        <f>IF(B784="", "", "UBERON:saliva")</f>
        <v>0</v>
      </c>
      <c r="H784" s="1">
        <f>IF(B784="", "", "UBERON:tongue")</f>
        <v>0</v>
      </c>
      <c r="I784" s="1">
        <f>IF(B784="", "", "tongue")</f>
        <v>0</v>
      </c>
      <c r="J784" s="1">
        <f>IF(B784="", "", "human oral metagenome")</f>
        <v>0</v>
      </c>
      <c r="K784" s="1">
        <f>IF(B784="", "", "447426")</f>
        <v>0</v>
      </c>
    </row>
    <row r="785" spans="1:11">
      <c r="A785">
        <f>IF(COUNTBLANK(B785:K785)&lt;&gt;COLUMNS(B785:K785),784,"")</f>
        <v>0</v>
      </c>
      <c r="C785" s="1">
        <f>IF(B785="", "", "animal secretion")</f>
        <v>0</v>
      </c>
      <c r="D785" s="1">
        <f>IF(B785="", "", "saliva")</f>
        <v>0</v>
      </c>
      <c r="E785" s="1">
        <f>IF(B785="", "", "human-oral")</f>
        <v>0</v>
      </c>
      <c r="F785" s="1">
        <f>IF(B785="", "", "UBERON:oral cavity")</f>
        <v>0</v>
      </c>
      <c r="G785" s="1">
        <f>IF(B785="", "", "UBERON:saliva")</f>
        <v>0</v>
      </c>
      <c r="H785" s="1">
        <f>IF(B785="", "", "UBERON:tongue")</f>
        <v>0</v>
      </c>
      <c r="I785" s="1">
        <f>IF(B785="", "", "tongue")</f>
        <v>0</v>
      </c>
      <c r="J785" s="1">
        <f>IF(B785="", "", "human oral metagenome")</f>
        <v>0</v>
      </c>
      <c r="K785" s="1">
        <f>IF(B785="", "", "447426")</f>
        <v>0</v>
      </c>
    </row>
    <row r="786" spans="1:11">
      <c r="A786">
        <f>IF(COUNTBLANK(B786:K786)&lt;&gt;COLUMNS(B786:K786),785,"")</f>
        <v>0</v>
      </c>
      <c r="C786" s="1">
        <f>IF(B786="", "", "animal secretion")</f>
        <v>0</v>
      </c>
      <c r="D786" s="1">
        <f>IF(B786="", "", "saliva")</f>
        <v>0</v>
      </c>
      <c r="E786" s="1">
        <f>IF(B786="", "", "human-oral")</f>
        <v>0</v>
      </c>
      <c r="F786" s="1">
        <f>IF(B786="", "", "UBERON:oral cavity")</f>
        <v>0</v>
      </c>
      <c r="G786" s="1">
        <f>IF(B786="", "", "UBERON:saliva")</f>
        <v>0</v>
      </c>
      <c r="H786" s="1">
        <f>IF(B786="", "", "UBERON:tongue")</f>
        <v>0</v>
      </c>
      <c r="I786" s="1">
        <f>IF(B786="", "", "tongue")</f>
        <v>0</v>
      </c>
      <c r="J786" s="1">
        <f>IF(B786="", "", "human oral metagenome")</f>
        <v>0</v>
      </c>
      <c r="K786" s="1">
        <f>IF(B786="", "", "447426")</f>
        <v>0</v>
      </c>
    </row>
    <row r="787" spans="1:11">
      <c r="A787">
        <f>IF(COUNTBLANK(B787:K787)&lt;&gt;COLUMNS(B787:K787),786,"")</f>
        <v>0</v>
      </c>
      <c r="C787" s="1">
        <f>IF(B787="", "", "animal secretion")</f>
        <v>0</v>
      </c>
      <c r="D787" s="1">
        <f>IF(B787="", "", "saliva")</f>
        <v>0</v>
      </c>
      <c r="E787" s="1">
        <f>IF(B787="", "", "human-oral")</f>
        <v>0</v>
      </c>
      <c r="F787" s="1">
        <f>IF(B787="", "", "UBERON:oral cavity")</f>
        <v>0</v>
      </c>
      <c r="G787" s="1">
        <f>IF(B787="", "", "UBERON:saliva")</f>
        <v>0</v>
      </c>
      <c r="H787" s="1">
        <f>IF(B787="", "", "UBERON:tongue")</f>
        <v>0</v>
      </c>
      <c r="I787" s="1">
        <f>IF(B787="", "", "tongue")</f>
        <v>0</v>
      </c>
      <c r="J787" s="1">
        <f>IF(B787="", "", "human oral metagenome")</f>
        <v>0</v>
      </c>
      <c r="K787" s="1">
        <f>IF(B787="", "", "447426")</f>
        <v>0</v>
      </c>
    </row>
    <row r="788" spans="1:11">
      <c r="A788">
        <f>IF(COUNTBLANK(B788:K788)&lt;&gt;COLUMNS(B788:K788),787,"")</f>
        <v>0</v>
      </c>
      <c r="C788" s="1">
        <f>IF(B788="", "", "animal secretion")</f>
        <v>0</v>
      </c>
      <c r="D788" s="1">
        <f>IF(B788="", "", "saliva")</f>
        <v>0</v>
      </c>
      <c r="E788" s="1">
        <f>IF(B788="", "", "human-oral")</f>
        <v>0</v>
      </c>
      <c r="F788" s="1">
        <f>IF(B788="", "", "UBERON:oral cavity")</f>
        <v>0</v>
      </c>
      <c r="G788" s="1">
        <f>IF(B788="", "", "UBERON:saliva")</f>
        <v>0</v>
      </c>
      <c r="H788" s="1">
        <f>IF(B788="", "", "UBERON:tongue")</f>
        <v>0</v>
      </c>
      <c r="I788" s="1">
        <f>IF(B788="", "", "tongue")</f>
        <v>0</v>
      </c>
      <c r="J788" s="1">
        <f>IF(B788="", "", "human oral metagenome")</f>
        <v>0</v>
      </c>
      <c r="K788" s="1">
        <f>IF(B788="", "", "447426")</f>
        <v>0</v>
      </c>
    </row>
    <row r="789" spans="1:11">
      <c r="A789">
        <f>IF(COUNTBLANK(B789:K789)&lt;&gt;COLUMNS(B789:K789),788,"")</f>
        <v>0</v>
      </c>
      <c r="C789" s="1">
        <f>IF(B789="", "", "animal secretion")</f>
        <v>0</v>
      </c>
      <c r="D789" s="1">
        <f>IF(B789="", "", "saliva")</f>
        <v>0</v>
      </c>
      <c r="E789" s="1">
        <f>IF(B789="", "", "human-oral")</f>
        <v>0</v>
      </c>
      <c r="F789" s="1">
        <f>IF(B789="", "", "UBERON:oral cavity")</f>
        <v>0</v>
      </c>
      <c r="G789" s="1">
        <f>IF(B789="", "", "UBERON:saliva")</f>
        <v>0</v>
      </c>
      <c r="H789" s="1">
        <f>IF(B789="", "", "UBERON:tongue")</f>
        <v>0</v>
      </c>
      <c r="I789" s="1">
        <f>IF(B789="", "", "tongue")</f>
        <v>0</v>
      </c>
      <c r="J789" s="1">
        <f>IF(B789="", "", "human oral metagenome")</f>
        <v>0</v>
      </c>
      <c r="K789" s="1">
        <f>IF(B789="", "", "447426")</f>
        <v>0</v>
      </c>
    </row>
    <row r="790" spans="1:11">
      <c r="A790">
        <f>IF(COUNTBLANK(B790:K790)&lt;&gt;COLUMNS(B790:K790),789,"")</f>
        <v>0</v>
      </c>
      <c r="C790" s="1">
        <f>IF(B790="", "", "animal secretion")</f>
        <v>0</v>
      </c>
      <c r="D790" s="1">
        <f>IF(B790="", "", "saliva")</f>
        <v>0</v>
      </c>
      <c r="E790" s="1">
        <f>IF(B790="", "", "human-oral")</f>
        <v>0</v>
      </c>
      <c r="F790" s="1">
        <f>IF(B790="", "", "UBERON:oral cavity")</f>
        <v>0</v>
      </c>
      <c r="G790" s="1">
        <f>IF(B790="", "", "UBERON:saliva")</f>
        <v>0</v>
      </c>
      <c r="H790" s="1">
        <f>IF(B790="", "", "UBERON:tongue")</f>
        <v>0</v>
      </c>
      <c r="I790" s="1">
        <f>IF(B790="", "", "tongue")</f>
        <v>0</v>
      </c>
      <c r="J790" s="1">
        <f>IF(B790="", "", "human oral metagenome")</f>
        <v>0</v>
      </c>
      <c r="K790" s="1">
        <f>IF(B790="", "", "447426")</f>
        <v>0</v>
      </c>
    </row>
    <row r="791" spans="1:11">
      <c r="A791">
        <f>IF(COUNTBLANK(B791:K791)&lt;&gt;COLUMNS(B791:K791),790,"")</f>
        <v>0</v>
      </c>
      <c r="C791" s="1">
        <f>IF(B791="", "", "animal secretion")</f>
        <v>0</v>
      </c>
      <c r="D791" s="1">
        <f>IF(B791="", "", "saliva")</f>
        <v>0</v>
      </c>
      <c r="E791" s="1">
        <f>IF(B791="", "", "human-oral")</f>
        <v>0</v>
      </c>
      <c r="F791" s="1">
        <f>IF(B791="", "", "UBERON:oral cavity")</f>
        <v>0</v>
      </c>
      <c r="G791" s="1">
        <f>IF(B791="", "", "UBERON:saliva")</f>
        <v>0</v>
      </c>
      <c r="H791" s="1">
        <f>IF(B791="", "", "UBERON:tongue")</f>
        <v>0</v>
      </c>
      <c r="I791" s="1">
        <f>IF(B791="", "", "tongue")</f>
        <v>0</v>
      </c>
      <c r="J791" s="1">
        <f>IF(B791="", "", "human oral metagenome")</f>
        <v>0</v>
      </c>
      <c r="K791" s="1">
        <f>IF(B791="", "", "447426")</f>
        <v>0</v>
      </c>
    </row>
    <row r="792" spans="1:11">
      <c r="A792">
        <f>IF(COUNTBLANK(B792:K792)&lt;&gt;COLUMNS(B792:K792),791,"")</f>
        <v>0</v>
      </c>
      <c r="C792" s="1">
        <f>IF(B792="", "", "animal secretion")</f>
        <v>0</v>
      </c>
      <c r="D792" s="1">
        <f>IF(B792="", "", "saliva")</f>
        <v>0</v>
      </c>
      <c r="E792" s="1">
        <f>IF(B792="", "", "human-oral")</f>
        <v>0</v>
      </c>
      <c r="F792" s="1">
        <f>IF(B792="", "", "UBERON:oral cavity")</f>
        <v>0</v>
      </c>
      <c r="G792" s="1">
        <f>IF(B792="", "", "UBERON:saliva")</f>
        <v>0</v>
      </c>
      <c r="H792" s="1">
        <f>IF(B792="", "", "UBERON:tongue")</f>
        <v>0</v>
      </c>
      <c r="I792" s="1">
        <f>IF(B792="", "", "tongue")</f>
        <v>0</v>
      </c>
      <c r="J792" s="1">
        <f>IF(B792="", "", "human oral metagenome")</f>
        <v>0</v>
      </c>
      <c r="K792" s="1">
        <f>IF(B792="", "", "447426")</f>
        <v>0</v>
      </c>
    </row>
    <row r="793" spans="1:11">
      <c r="A793">
        <f>IF(COUNTBLANK(B793:K793)&lt;&gt;COLUMNS(B793:K793),792,"")</f>
        <v>0</v>
      </c>
      <c r="C793" s="1">
        <f>IF(B793="", "", "animal secretion")</f>
        <v>0</v>
      </c>
      <c r="D793" s="1">
        <f>IF(B793="", "", "saliva")</f>
        <v>0</v>
      </c>
      <c r="E793" s="1">
        <f>IF(B793="", "", "human-oral")</f>
        <v>0</v>
      </c>
      <c r="F793" s="1">
        <f>IF(B793="", "", "UBERON:oral cavity")</f>
        <v>0</v>
      </c>
      <c r="G793" s="1">
        <f>IF(B793="", "", "UBERON:saliva")</f>
        <v>0</v>
      </c>
      <c r="H793" s="1">
        <f>IF(B793="", "", "UBERON:tongue")</f>
        <v>0</v>
      </c>
      <c r="I793" s="1">
        <f>IF(B793="", "", "tongue")</f>
        <v>0</v>
      </c>
      <c r="J793" s="1">
        <f>IF(B793="", "", "human oral metagenome")</f>
        <v>0</v>
      </c>
      <c r="K793" s="1">
        <f>IF(B793="", "", "447426")</f>
        <v>0</v>
      </c>
    </row>
    <row r="794" spans="1:11">
      <c r="A794">
        <f>IF(COUNTBLANK(B794:K794)&lt;&gt;COLUMNS(B794:K794),793,"")</f>
        <v>0</v>
      </c>
      <c r="C794" s="1">
        <f>IF(B794="", "", "animal secretion")</f>
        <v>0</v>
      </c>
      <c r="D794" s="1">
        <f>IF(B794="", "", "saliva")</f>
        <v>0</v>
      </c>
      <c r="E794" s="1">
        <f>IF(B794="", "", "human-oral")</f>
        <v>0</v>
      </c>
      <c r="F794" s="1">
        <f>IF(B794="", "", "UBERON:oral cavity")</f>
        <v>0</v>
      </c>
      <c r="G794" s="1">
        <f>IF(B794="", "", "UBERON:saliva")</f>
        <v>0</v>
      </c>
      <c r="H794" s="1">
        <f>IF(B794="", "", "UBERON:tongue")</f>
        <v>0</v>
      </c>
      <c r="I794" s="1">
        <f>IF(B794="", "", "tongue")</f>
        <v>0</v>
      </c>
      <c r="J794" s="1">
        <f>IF(B794="", "", "human oral metagenome")</f>
        <v>0</v>
      </c>
      <c r="K794" s="1">
        <f>IF(B794="", "", "447426")</f>
        <v>0</v>
      </c>
    </row>
    <row r="795" spans="1:11">
      <c r="A795">
        <f>IF(COUNTBLANK(B795:K795)&lt;&gt;COLUMNS(B795:K795),794,"")</f>
        <v>0</v>
      </c>
      <c r="C795" s="1">
        <f>IF(B795="", "", "animal secretion")</f>
        <v>0</v>
      </c>
      <c r="D795" s="1">
        <f>IF(B795="", "", "saliva")</f>
        <v>0</v>
      </c>
      <c r="E795" s="1">
        <f>IF(B795="", "", "human-oral")</f>
        <v>0</v>
      </c>
      <c r="F795" s="1">
        <f>IF(B795="", "", "UBERON:oral cavity")</f>
        <v>0</v>
      </c>
      <c r="G795" s="1">
        <f>IF(B795="", "", "UBERON:saliva")</f>
        <v>0</v>
      </c>
      <c r="H795" s="1">
        <f>IF(B795="", "", "UBERON:tongue")</f>
        <v>0</v>
      </c>
      <c r="I795" s="1">
        <f>IF(B795="", "", "tongue")</f>
        <v>0</v>
      </c>
      <c r="J795" s="1">
        <f>IF(B795="", "", "human oral metagenome")</f>
        <v>0</v>
      </c>
      <c r="K795" s="1">
        <f>IF(B795="", "", "447426")</f>
        <v>0</v>
      </c>
    </row>
    <row r="796" spans="1:11">
      <c r="A796">
        <f>IF(COUNTBLANK(B796:K796)&lt;&gt;COLUMNS(B796:K796),795,"")</f>
        <v>0</v>
      </c>
      <c r="C796" s="1">
        <f>IF(B796="", "", "animal secretion")</f>
        <v>0</v>
      </c>
      <c r="D796" s="1">
        <f>IF(B796="", "", "saliva")</f>
        <v>0</v>
      </c>
      <c r="E796" s="1">
        <f>IF(B796="", "", "human-oral")</f>
        <v>0</v>
      </c>
      <c r="F796" s="1">
        <f>IF(B796="", "", "UBERON:oral cavity")</f>
        <v>0</v>
      </c>
      <c r="G796" s="1">
        <f>IF(B796="", "", "UBERON:saliva")</f>
        <v>0</v>
      </c>
      <c r="H796" s="1">
        <f>IF(B796="", "", "UBERON:tongue")</f>
        <v>0</v>
      </c>
      <c r="I796" s="1">
        <f>IF(B796="", "", "tongue")</f>
        <v>0</v>
      </c>
      <c r="J796" s="1">
        <f>IF(B796="", "", "human oral metagenome")</f>
        <v>0</v>
      </c>
      <c r="K796" s="1">
        <f>IF(B796="", "", "447426")</f>
        <v>0</v>
      </c>
    </row>
    <row r="797" spans="1:11">
      <c r="A797">
        <f>IF(COUNTBLANK(B797:K797)&lt;&gt;COLUMNS(B797:K797),796,"")</f>
        <v>0</v>
      </c>
      <c r="C797" s="1">
        <f>IF(B797="", "", "animal secretion")</f>
        <v>0</v>
      </c>
      <c r="D797" s="1">
        <f>IF(B797="", "", "saliva")</f>
        <v>0</v>
      </c>
      <c r="E797" s="1">
        <f>IF(B797="", "", "human-oral")</f>
        <v>0</v>
      </c>
      <c r="F797" s="1">
        <f>IF(B797="", "", "UBERON:oral cavity")</f>
        <v>0</v>
      </c>
      <c r="G797" s="1">
        <f>IF(B797="", "", "UBERON:saliva")</f>
        <v>0</v>
      </c>
      <c r="H797" s="1">
        <f>IF(B797="", "", "UBERON:tongue")</f>
        <v>0</v>
      </c>
      <c r="I797" s="1">
        <f>IF(B797="", "", "tongue")</f>
        <v>0</v>
      </c>
      <c r="J797" s="1">
        <f>IF(B797="", "", "human oral metagenome")</f>
        <v>0</v>
      </c>
      <c r="K797" s="1">
        <f>IF(B797="", "", "447426")</f>
        <v>0</v>
      </c>
    </row>
    <row r="798" spans="1:11">
      <c r="A798">
        <f>IF(COUNTBLANK(B798:K798)&lt;&gt;COLUMNS(B798:K798),797,"")</f>
        <v>0</v>
      </c>
      <c r="C798" s="1">
        <f>IF(B798="", "", "animal secretion")</f>
        <v>0</v>
      </c>
      <c r="D798" s="1">
        <f>IF(B798="", "", "saliva")</f>
        <v>0</v>
      </c>
      <c r="E798" s="1">
        <f>IF(B798="", "", "human-oral")</f>
        <v>0</v>
      </c>
      <c r="F798" s="1">
        <f>IF(B798="", "", "UBERON:oral cavity")</f>
        <v>0</v>
      </c>
      <c r="G798" s="1">
        <f>IF(B798="", "", "UBERON:saliva")</f>
        <v>0</v>
      </c>
      <c r="H798" s="1">
        <f>IF(B798="", "", "UBERON:tongue")</f>
        <v>0</v>
      </c>
      <c r="I798" s="1">
        <f>IF(B798="", "", "tongue")</f>
        <v>0</v>
      </c>
      <c r="J798" s="1">
        <f>IF(B798="", "", "human oral metagenome")</f>
        <v>0</v>
      </c>
      <c r="K798" s="1">
        <f>IF(B798="", "", "447426")</f>
        <v>0</v>
      </c>
    </row>
    <row r="799" spans="1:11">
      <c r="A799">
        <f>IF(COUNTBLANK(B799:K799)&lt;&gt;COLUMNS(B799:K799),798,"")</f>
        <v>0</v>
      </c>
      <c r="C799" s="1">
        <f>IF(B799="", "", "animal secretion")</f>
        <v>0</v>
      </c>
      <c r="D799" s="1">
        <f>IF(B799="", "", "saliva")</f>
        <v>0</v>
      </c>
      <c r="E799" s="1">
        <f>IF(B799="", "", "human-oral")</f>
        <v>0</v>
      </c>
      <c r="F799" s="1">
        <f>IF(B799="", "", "UBERON:oral cavity")</f>
        <v>0</v>
      </c>
      <c r="G799" s="1">
        <f>IF(B799="", "", "UBERON:saliva")</f>
        <v>0</v>
      </c>
      <c r="H799" s="1">
        <f>IF(B799="", "", "UBERON:tongue")</f>
        <v>0</v>
      </c>
      <c r="I799" s="1">
        <f>IF(B799="", "", "tongue")</f>
        <v>0</v>
      </c>
      <c r="J799" s="1">
        <f>IF(B799="", "", "human oral metagenome")</f>
        <v>0</v>
      </c>
      <c r="K799" s="1">
        <f>IF(B799="", "", "447426")</f>
        <v>0</v>
      </c>
    </row>
    <row r="800" spans="1:11">
      <c r="A800">
        <f>IF(COUNTBLANK(B800:K800)&lt;&gt;COLUMNS(B800:K800),799,"")</f>
        <v>0</v>
      </c>
      <c r="C800" s="1">
        <f>IF(B800="", "", "animal secretion")</f>
        <v>0</v>
      </c>
      <c r="D800" s="1">
        <f>IF(B800="", "", "saliva")</f>
        <v>0</v>
      </c>
      <c r="E800" s="1">
        <f>IF(B800="", "", "human-oral")</f>
        <v>0</v>
      </c>
      <c r="F800" s="1">
        <f>IF(B800="", "", "UBERON:oral cavity")</f>
        <v>0</v>
      </c>
      <c r="G800" s="1">
        <f>IF(B800="", "", "UBERON:saliva")</f>
        <v>0</v>
      </c>
      <c r="H800" s="1">
        <f>IF(B800="", "", "UBERON:tongue")</f>
        <v>0</v>
      </c>
      <c r="I800" s="1">
        <f>IF(B800="", "", "tongue")</f>
        <v>0</v>
      </c>
      <c r="J800" s="1">
        <f>IF(B800="", "", "human oral metagenome")</f>
        <v>0</v>
      </c>
      <c r="K800" s="1">
        <f>IF(B800="", "", "447426")</f>
        <v>0</v>
      </c>
    </row>
    <row r="801" spans="1:11">
      <c r="A801">
        <f>IF(COUNTBLANK(B801:K801)&lt;&gt;COLUMNS(B801:K801),800,"")</f>
        <v>0</v>
      </c>
      <c r="C801" s="1">
        <f>IF(B801="", "", "animal secretion")</f>
        <v>0</v>
      </c>
      <c r="D801" s="1">
        <f>IF(B801="", "", "saliva")</f>
        <v>0</v>
      </c>
      <c r="E801" s="1">
        <f>IF(B801="", "", "human-oral")</f>
        <v>0</v>
      </c>
      <c r="F801" s="1">
        <f>IF(B801="", "", "UBERON:oral cavity")</f>
        <v>0</v>
      </c>
      <c r="G801" s="1">
        <f>IF(B801="", "", "UBERON:saliva")</f>
        <v>0</v>
      </c>
      <c r="H801" s="1">
        <f>IF(B801="", "", "UBERON:tongue")</f>
        <v>0</v>
      </c>
      <c r="I801" s="1">
        <f>IF(B801="", "", "tongue")</f>
        <v>0</v>
      </c>
      <c r="J801" s="1">
        <f>IF(B801="", "", "human oral metagenome")</f>
        <v>0</v>
      </c>
      <c r="K801" s="1">
        <f>IF(B801="", "", "447426")</f>
        <v>0</v>
      </c>
    </row>
    <row r="802" spans="1:11">
      <c r="A802">
        <f>IF(COUNTBLANK(B802:K802)&lt;&gt;COLUMNS(B802:K802),801,"")</f>
        <v>0</v>
      </c>
      <c r="C802" s="1">
        <f>IF(B802="", "", "animal secretion")</f>
        <v>0</v>
      </c>
      <c r="D802" s="1">
        <f>IF(B802="", "", "saliva")</f>
        <v>0</v>
      </c>
      <c r="E802" s="1">
        <f>IF(B802="", "", "human-oral")</f>
        <v>0</v>
      </c>
      <c r="F802" s="1">
        <f>IF(B802="", "", "UBERON:oral cavity")</f>
        <v>0</v>
      </c>
      <c r="G802" s="1">
        <f>IF(B802="", "", "UBERON:saliva")</f>
        <v>0</v>
      </c>
      <c r="H802" s="1">
        <f>IF(B802="", "", "UBERON:tongue")</f>
        <v>0</v>
      </c>
      <c r="I802" s="1">
        <f>IF(B802="", "", "tongue")</f>
        <v>0</v>
      </c>
      <c r="J802" s="1">
        <f>IF(B802="", "", "human oral metagenome")</f>
        <v>0</v>
      </c>
      <c r="K802" s="1">
        <f>IF(B802="", "", "447426")</f>
        <v>0</v>
      </c>
    </row>
    <row r="803" spans="1:11">
      <c r="A803">
        <f>IF(COUNTBLANK(B803:K803)&lt;&gt;COLUMNS(B803:K803),802,"")</f>
        <v>0</v>
      </c>
      <c r="C803" s="1">
        <f>IF(B803="", "", "animal secretion")</f>
        <v>0</v>
      </c>
      <c r="D803" s="1">
        <f>IF(B803="", "", "saliva")</f>
        <v>0</v>
      </c>
      <c r="E803" s="1">
        <f>IF(B803="", "", "human-oral")</f>
        <v>0</v>
      </c>
      <c r="F803" s="1">
        <f>IF(B803="", "", "UBERON:oral cavity")</f>
        <v>0</v>
      </c>
      <c r="G803" s="1">
        <f>IF(B803="", "", "UBERON:saliva")</f>
        <v>0</v>
      </c>
      <c r="H803" s="1">
        <f>IF(B803="", "", "UBERON:tongue")</f>
        <v>0</v>
      </c>
      <c r="I803" s="1">
        <f>IF(B803="", "", "tongue")</f>
        <v>0</v>
      </c>
      <c r="J803" s="1">
        <f>IF(B803="", "", "human oral metagenome")</f>
        <v>0</v>
      </c>
      <c r="K803" s="1">
        <f>IF(B803="", "", "447426")</f>
        <v>0</v>
      </c>
    </row>
    <row r="804" spans="1:11">
      <c r="A804">
        <f>IF(COUNTBLANK(B804:K804)&lt;&gt;COLUMNS(B804:K804),803,"")</f>
        <v>0</v>
      </c>
      <c r="C804" s="1">
        <f>IF(B804="", "", "animal secretion")</f>
        <v>0</v>
      </c>
      <c r="D804" s="1">
        <f>IF(B804="", "", "saliva")</f>
        <v>0</v>
      </c>
      <c r="E804" s="1">
        <f>IF(B804="", "", "human-oral")</f>
        <v>0</v>
      </c>
      <c r="F804" s="1">
        <f>IF(B804="", "", "UBERON:oral cavity")</f>
        <v>0</v>
      </c>
      <c r="G804" s="1">
        <f>IF(B804="", "", "UBERON:saliva")</f>
        <v>0</v>
      </c>
      <c r="H804" s="1">
        <f>IF(B804="", "", "UBERON:tongue")</f>
        <v>0</v>
      </c>
      <c r="I804" s="1">
        <f>IF(B804="", "", "tongue")</f>
        <v>0</v>
      </c>
      <c r="J804" s="1">
        <f>IF(B804="", "", "human oral metagenome")</f>
        <v>0</v>
      </c>
      <c r="K804" s="1">
        <f>IF(B804="", "", "447426")</f>
        <v>0</v>
      </c>
    </row>
    <row r="805" spans="1:11">
      <c r="A805">
        <f>IF(COUNTBLANK(B805:K805)&lt;&gt;COLUMNS(B805:K805),804,"")</f>
        <v>0</v>
      </c>
      <c r="C805" s="1">
        <f>IF(B805="", "", "animal secretion")</f>
        <v>0</v>
      </c>
      <c r="D805" s="1">
        <f>IF(B805="", "", "saliva")</f>
        <v>0</v>
      </c>
      <c r="E805" s="1">
        <f>IF(B805="", "", "human-oral")</f>
        <v>0</v>
      </c>
      <c r="F805" s="1">
        <f>IF(B805="", "", "UBERON:oral cavity")</f>
        <v>0</v>
      </c>
      <c r="G805" s="1">
        <f>IF(B805="", "", "UBERON:saliva")</f>
        <v>0</v>
      </c>
      <c r="H805" s="1">
        <f>IF(B805="", "", "UBERON:tongue")</f>
        <v>0</v>
      </c>
      <c r="I805" s="1">
        <f>IF(B805="", "", "tongue")</f>
        <v>0</v>
      </c>
      <c r="J805" s="1">
        <f>IF(B805="", "", "human oral metagenome")</f>
        <v>0</v>
      </c>
      <c r="K805" s="1">
        <f>IF(B805="", "", "447426")</f>
        <v>0</v>
      </c>
    </row>
    <row r="806" spans="1:11">
      <c r="A806">
        <f>IF(COUNTBLANK(B806:K806)&lt;&gt;COLUMNS(B806:K806),805,"")</f>
        <v>0</v>
      </c>
      <c r="C806" s="1">
        <f>IF(B806="", "", "animal secretion")</f>
        <v>0</v>
      </c>
      <c r="D806" s="1">
        <f>IF(B806="", "", "saliva")</f>
        <v>0</v>
      </c>
      <c r="E806" s="1">
        <f>IF(B806="", "", "human-oral")</f>
        <v>0</v>
      </c>
      <c r="F806" s="1">
        <f>IF(B806="", "", "UBERON:oral cavity")</f>
        <v>0</v>
      </c>
      <c r="G806" s="1">
        <f>IF(B806="", "", "UBERON:saliva")</f>
        <v>0</v>
      </c>
      <c r="H806" s="1">
        <f>IF(B806="", "", "UBERON:tongue")</f>
        <v>0</v>
      </c>
      <c r="I806" s="1">
        <f>IF(B806="", "", "tongue")</f>
        <v>0</v>
      </c>
      <c r="J806" s="1">
        <f>IF(B806="", "", "human oral metagenome")</f>
        <v>0</v>
      </c>
      <c r="K806" s="1">
        <f>IF(B806="", "", "447426")</f>
        <v>0</v>
      </c>
    </row>
    <row r="807" spans="1:11">
      <c r="A807">
        <f>IF(COUNTBLANK(B807:K807)&lt;&gt;COLUMNS(B807:K807),806,"")</f>
        <v>0</v>
      </c>
      <c r="C807" s="1">
        <f>IF(B807="", "", "animal secretion")</f>
        <v>0</v>
      </c>
      <c r="D807" s="1">
        <f>IF(B807="", "", "saliva")</f>
        <v>0</v>
      </c>
      <c r="E807" s="1">
        <f>IF(B807="", "", "human-oral")</f>
        <v>0</v>
      </c>
      <c r="F807" s="1">
        <f>IF(B807="", "", "UBERON:oral cavity")</f>
        <v>0</v>
      </c>
      <c r="G807" s="1">
        <f>IF(B807="", "", "UBERON:saliva")</f>
        <v>0</v>
      </c>
      <c r="H807" s="1">
        <f>IF(B807="", "", "UBERON:tongue")</f>
        <v>0</v>
      </c>
      <c r="I807" s="1">
        <f>IF(B807="", "", "tongue")</f>
        <v>0</v>
      </c>
      <c r="J807" s="1">
        <f>IF(B807="", "", "human oral metagenome")</f>
        <v>0</v>
      </c>
      <c r="K807" s="1">
        <f>IF(B807="", "", "447426")</f>
        <v>0</v>
      </c>
    </row>
    <row r="808" spans="1:11">
      <c r="A808">
        <f>IF(COUNTBLANK(B808:K808)&lt;&gt;COLUMNS(B808:K808),807,"")</f>
        <v>0</v>
      </c>
      <c r="C808" s="1">
        <f>IF(B808="", "", "animal secretion")</f>
        <v>0</v>
      </c>
      <c r="D808" s="1">
        <f>IF(B808="", "", "saliva")</f>
        <v>0</v>
      </c>
      <c r="E808" s="1">
        <f>IF(B808="", "", "human-oral")</f>
        <v>0</v>
      </c>
      <c r="F808" s="1">
        <f>IF(B808="", "", "UBERON:oral cavity")</f>
        <v>0</v>
      </c>
      <c r="G808" s="1">
        <f>IF(B808="", "", "UBERON:saliva")</f>
        <v>0</v>
      </c>
      <c r="H808" s="1">
        <f>IF(B808="", "", "UBERON:tongue")</f>
        <v>0</v>
      </c>
      <c r="I808" s="1">
        <f>IF(B808="", "", "tongue")</f>
        <v>0</v>
      </c>
      <c r="J808" s="1">
        <f>IF(B808="", "", "human oral metagenome")</f>
        <v>0</v>
      </c>
      <c r="K808" s="1">
        <f>IF(B808="", "", "447426")</f>
        <v>0</v>
      </c>
    </row>
    <row r="809" spans="1:11">
      <c r="A809">
        <f>IF(COUNTBLANK(B809:K809)&lt;&gt;COLUMNS(B809:K809),808,"")</f>
        <v>0</v>
      </c>
      <c r="C809" s="1">
        <f>IF(B809="", "", "animal secretion")</f>
        <v>0</v>
      </c>
      <c r="D809" s="1">
        <f>IF(B809="", "", "saliva")</f>
        <v>0</v>
      </c>
      <c r="E809" s="1">
        <f>IF(B809="", "", "human-oral")</f>
        <v>0</v>
      </c>
      <c r="F809" s="1">
        <f>IF(B809="", "", "UBERON:oral cavity")</f>
        <v>0</v>
      </c>
      <c r="G809" s="1">
        <f>IF(B809="", "", "UBERON:saliva")</f>
        <v>0</v>
      </c>
      <c r="H809" s="1">
        <f>IF(B809="", "", "UBERON:tongue")</f>
        <v>0</v>
      </c>
      <c r="I809" s="1">
        <f>IF(B809="", "", "tongue")</f>
        <v>0</v>
      </c>
      <c r="J809" s="1">
        <f>IF(B809="", "", "human oral metagenome")</f>
        <v>0</v>
      </c>
      <c r="K809" s="1">
        <f>IF(B809="", "", "447426")</f>
        <v>0</v>
      </c>
    </row>
    <row r="810" spans="1:11">
      <c r="A810">
        <f>IF(COUNTBLANK(B810:K810)&lt;&gt;COLUMNS(B810:K810),809,"")</f>
        <v>0</v>
      </c>
      <c r="C810" s="1">
        <f>IF(B810="", "", "animal secretion")</f>
        <v>0</v>
      </c>
      <c r="D810" s="1">
        <f>IF(B810="", "", "saliva")</f>
        <v>0</v>
      </c>
      <c r="E810" s="1">
        <f>IF(B810="", "", "human-oral")</f>
        <v>0</v>
      </c>
      <c r="F810" s="1">
        <f>IF(B810="", "", "UBERON:oral cavity")</f>
        <v>0</v>
      </c>
      <c r="G810" s="1">
        <f>IF(B810="", "", "UBERON:saliva")</f>
        <v>0</v>
      </c>
      <c r="H810" s="1">
        <f>IF(B810="", "", "UBERON:tongue")</f>
        <v>0</v>
      </c>
      <c r="I810" s="1">
        <f>IF(B810="", "", "tongue")</f>
        <v>0</v>
      </c>
      <c r="J810" s="1">
        <f>IF(B810="", "", "human oral metagenome")</f>
        <v>0</v>
      </c>
      <c r="K810" s="1">
        <f>IF(B810="", "", "447426")</f>
        <v>0</v>
      </c>
    </row>
    <row r="811" spans="1:11">
      <c r="A811">
        <f>IF(COUNTBLANK(B811:K811)&lt;&gt;COLUMNS(B811:K811),810,"")</f>
        <v>0</v>
      </c>
      <c r="C811" s="1">
        <f>IF(B811="", "", "animal secretion")</f>
        <v>0</v>
      </c>
      <c r="D811" s="1">
        <f>IF(B811="", "", "saliva")</f>
        <v>0</v>
      </c>
      <c r="E811" s="1">
        <f>IF(B811="", "", "human-oral")</f>
        <v>0</v>
      </c>
      <c r="F811" s="1">
        <f>IF(B811="", "", "UBERON:oral cavity")</f>
        <v>0</v>
      </c>
      <c r="G811" s="1">
        <f>IF(B811="", "", "UBERON:saliva")</f>
        <v>0</v>
      </c>
      <c r="H811" s="1">
        <f>IF(B811="", "", "UBERON:tongue")</f>
        <v>0</v>
      </c>
      <c r="I811" s="1">
        <f>IF(B811="", "", "tongue")</f>
        <v>0</v>
      </c>
      <c r="J811" s="1">
        <f>IF(B811="", "", "human oral metagenome")</f>
        <v>0</v>
      </c>
      <c r="K811" s="1">
        <f>IF(B811="", "", "447426")</f>
        <v>0</v>
      </c>
    </row>
    <row r="812" spans="1:11">
      <c r="A812">
        <f>IF(COUNTBLANK(B812:K812)&lt;&gt;COLUMNS(B812:K812),811,"")</f>
        <v>0</v>
      </c>
      <c r="C812" s="1">
        <f>IF(B812="", "", "animal secretion")</f>
        <v>0</v>
      </c>
      <c r="D812" s="1">
        <f>IF(B812="", "", "saliva")</f>
        <v>0</v>
      </c>
      <c r="E812" s="1">
        <f>IF(B812="", "", "human-oral")</f>
        <v>0</v>
      </c>
      <c r="F812" s="1">
        <f>IF(B812="", "", "UBERON:oral cavity")</f>
        <v>0</v>
      </c>
      <c r="G812" s="1">
        <f>IF(B812="", "", "UBERON:saliva")</f>
        <v>0</v>
      </c>
      <c r="H812" s="1">
        <f>IF(B812="", "", "UBERON:tongue")</f>
        <v>0</v>
      </c>
      <c r="I812" s="1">
        <f>IF(B812="", "", "tongue")</f>
        <v>0</v>
      </c>
      <c r="J812" s="1">
        <f>IF(B812="", "", "human oral metagenome")</f>
        <v>0</v>
      </c>
      <c r="K812" s="1">
        <f>IF(B812="", "", "447426")</f>
        <v>0</v>
      </c>
    </row>
    <row r="813" spans="1:11">
      <c r="A813">
        <f>IF(COUNTBLANK(B813:K813)&lt;&gt;COLUMNS(B813:K813),812,"")</f>
        <v>0</v>
      </c>
      <c r="C813" s="1">
        <f>IF(B813="", "", "animal secretion")</f>
        <v>0</v>
      </c>
      <c r="D813" s="1">
        <f>IF(B813="", "", "saliva")</f>
        <v>0</v>
      </c>
      <c r="E813" s="1">
        <f>IF(B813="", "", "human-oral")</f>
        <v>0</v>
      </c>
      <c r="F813" s="1">
        <f>IF(B813="", "", "UBERON:oral cavity")</f>
        <v>0</v>
      </c>
      <c r="G813" s="1">
        <f>IF(B813="", "", "UBERON:saliva")</f>
        <v>0</v>
      </c>
      <c r="H813" s="1">
        <f>IF(B813="", "", "UBERON:tongue")</f>
        <v>0</v>
      </c>
      <c r="I813" s="1">
        <f>IF(B813="", "", "tongue")</f>
        <v>0</v>
      </c>
      <c r="J813" s="1">
        <f>IF(B813="", "", "human oral metagenome")</f>
        <v>0</v>
      </c>
      <c r="K813" s="1">
        <f>IF(B813="", "", "447426")</f>
        <v>0</v>
      </c>
    </row>
    <row r="814" spans="1:11">
      <c r="A814">
        <f>IF(COUNTBLANK(B814:K814)&lt;&gt;COLUMNS(B814:K814),813,"")</f>
        <v>0</v>
      </c>
      <c r="C814" s="1">
        <f>IF(B814="", "", "animal secretion")</f>
        <v>0</v>
      </c>
      <c r="D814" s="1">
        <f>IF(B814="", "", "saliva")</f>
        <v>0</v>
      </c>
      <c r="E814" s="1">
        <f>IF(B814="", "", "human-oral")</f>
        <v>0</v>
      </c>
      <c r="F814" s="1">
        <f>IF(B814="", "", "UBERON:oral cavity")</f>
        <v>0</v>
      </c>
      <c r="G814" s="1">
        <f>IF(B814="", "", "UBERON:saliva")</f>
        <v>0</v>
      </c>
      <c r="H814" s="1">
        <f>IF(B814="", "", "UBERON:tongue")</f>
        <v>0</v>
      </c>
      <c r="I814" s="1">
        <f>IF(B814="", "", "tongue")</f>
        <v>0</v>
      </c>
      <c r="J814" s="1">
        <f>IF(B814="", "", "human oral metagenome")</f>
        <v>0</v>
      </c>
      <c r="K814" s="1">
        <f>IF(B814="", "", "447426")</f>
        <v>0</v>
      </c>
    </row>
    <row r="815" spans="1:11">
      <c r="A815">
        <f>IF(COUNTBLANK(B815:K815)&lt;&gt;COLUMNS(B815:K815),814,"")</f>
        <v>0</v>
      </c>
      <c r="C815" s="1">
        <f>IF(B815="", "", "animal secretion")</f>
        <v>0</v>
      </c>
      <c r="D815" s="1">
        <f>IF(B815="", "", "saliva")</f>
        <v>0</v>
      </c>
      <c r="E815" s="1">
        <f>IF(B815="", "", "human-oral")</f>
        <v>0</v>
      </c>
      <c r="F815" s="1">
        <f>IF(B815="", "", "UBERON:oral cavity")</f>
        <v>0</v>
      </c>
      <c r="G815" s="1">
        <f>IF(B815="", "", "UBERON:saliva")</f>
        <v>0</v>
      </c>
      <c r="H815" s="1">
        <f>IF(B815="", "", "UBERON:tongue")</f>
        <v>0</v>
      </c>
      <c r="I815" s="1">
        <f>IF(B815="", "", "tongue")</f>
        <v>0</v>
      </c>
      <c r="J815" s="1">
        <f>IF(B815="", "", "human oral metagenome")</f>
        <v>0</v>
      </c>
      <c r="K815" s="1">
        <f>IF(B815="", "", "447426")</f>
        <v>0</v>
      </c>
    </row>
    <row r="816" spans="1:11">
      <c r="A816">
        <f>IF(COUNTBLANK(B816:K816)&lt;&gt;COLUMNS(B816:K816),815,"")</f>
        <v>0</v>
      </c>
      <c r="C816" s="1">
        <f>IF(B816="", "", "animal secretion")</f>
        <v>0</v>
      </c>
      <c r="D816" s="1">
        <f>IF(B816="", "", "saliva")</f>
        <v>0</v>
      </c>
      <c r="E816" s="1">
        <f>IF(B816="", "", "human-oral")</f>
        <v>0</v>
      </c>
      <c r="F816" s="1">
        <f>IF(B816="", "", "UBERON:oral cavity")</f>
        <v>0</v>
      </c>
      <c r="G816" s="1">
        <f>IF(B816="", "", "UBERON:saliva")</f>
        <v>0</v>
      </c>
      <c r="H816" s="1">
        <f>IF(B816="", "", "UBERON:tongue")</f>
        <v>0</v>
      </c>
      <c r="I816" s="1">
        <f>IF(B816="", "", "tongue")</f>
        <v>0</v>
      </c>
      <c r="J816" s="1">
        <f>IF(B816="", "", "human oral metagenome")</f>
        <v>0</v>
      </c>
      <c r="K816" s="1">
        <f>IF(B816="", "", "447426")</f>
        <v>0</v>
      </c>
    </row>
    <row r="817" spans="1:11">
      <c r="A817">
        <f>IF(COUNTBLANK(B817:K817)&lt;&gt;COLUMNS(B817:K817),816,"")</f>
        <v>0</v>
      </c>
      <c r="C817" s="1">
        <f>IF(B817="", "", "animal secretion")</f>
        <v>0</v>
      </c>
      <c r="D817" s="1">
        <f>IF(B817="", "", "saliva")</f>
        <v>0</v>
      </c>
      <c r="E817" s="1">
        <f>IF(B817="", "", "human-oral")</f>
        <v>0</v>
      </c>
      <c r="F817" s="1">
        <f>IF(B817="", "", "UBERON:oral cavity")</f>
        <v>0</v>
      </c>
      <c r="G817" s="1">
        <f>IF(B817="", "", "UBERON:saliva")</f>
        <v>0</v>
      </c>
      <c r="H817" s="1">
        <f>IF(B817="", "", "UBERON:tongue")</f>
        <v>0</v>
      </c>
      <c r="I817" s="1">
        <f>IF(B817="", "", "tongue")</f>
        <v>0</v>
      </c>
      <c r="J817" s="1">
        <f>IF(B817="", "", "human oral metagenome")</f>
        <v>0</v>
      </c>
      <c r="K817" s="1">
        <f>IF(B817="", "", "447426")</f>
        <v>0</v>
      </c>
    </row>
    <row r="818" spans="1:11">
      <c r="A818">
        <f>IF(COUNTBLANK(B818:K818)&lt;&gt;COLUMNS(B818:K818),817,"")</f>
        <v>0</v>
      </c>
      <c r="C818" s="1">
        <f>IF(B818="", "", "animal secretion")</f>
        <v>0</v>
      </c>
      <c r="D818" s="1">
        <f>IF(B818="", "", "saliva")</f>
        <v>0</v>
      </c>
      <c r="E818" s="1">
        <f>IF(B818="", "", "human-oral")</f>
        <v>0</v>
      </c>
      <c r="F818" s="1">
        <f>IF(B818="", "", "UBERON:oral cavity")</f>
        <v>0</v>
      </c>
      <c r="G818" s="1">
        <f>IF(B818="", "", "UBERON:saliva")</f>
        <v>0</v>
      </c>
      <c r="H818" s="1">
        <f>IF(B818="", "", "UBERON:tongue")</f>
        <v>0</v>
      </c>
      <c r="I818" s="1">
        <f>IF(B818="", "", "tongue")</f>
        <v>0</v>
      </c>
      <c r="J818" s="1">
        <f>IF(B818="", "", "human oral metagenome")</f>
        <v>0</v>
      </c>
      <c r="K818" s="1">
        <f>IF(B818="", "", "447426")</f>
        <v>0</v>
      </c>
    </row>
    <row r="819" spans="1:11">
      <c r="A819">
        <f>IF(COUNTBLANK(B819:K819)&lt;&gt;COLUMNS(B819:K819),818,"")</f>
        <v>0</v>
      </c>
      <c r="C819" s="1">
        <f>IF(B819="", "", "animal secretion")</f>
        <v>0</v>
      </c>
      <c r="D819" s="1">
        <f>IF(B819="", "", "saliva")</f>
        <v>0</v>
      </c>
      <c r="E819" s="1">
        <f>IF(B819="", "", "human-oral")</f>
        <v>0</v>
      </c>
      <c r="F819" s="1">
        <f>IF(B819="", "", "UBERON:oral cavity")</f>
        <v>0</v>
      </c>
      <c r="G819" s="1">
        <f>IF(B819="", "", "UBERON:saliva")</f>
        <v>0</v>
      </c>
      <c r="H819" s="1">
        <f>IF(B819="", "", "UBERON:tongue")</f>
        <v>0</v>
      </c>
      <c r="I819" s="1">
        <f>IF(B819="", "", "tongue")</f>
        <v>0</v>
      </c>
      <c r="J819" s="1">
        <f>IF(B819="", "", "human oral metagenome")</f>
        <v>0</v>
      </c>
      <c r="K819" s="1">
        <f>IF(B819="", "", "447426")</f>
        <v>0</v>
      </c>
    </row>
    <row r="820" spans="1:11">
      <c r="A820">
        <f>IF(COUNTBLANK(B820:K820)&lt;&gt;COLUMNS(B820:K820),819,"")</f>
        <v>0</v>
      </c>
      <c r="C820" s="1">
        <f>IF(B820="", "", "animal secretion")</f>
        <v>0</v>
      </c>
      <c r="D820" s="1">
        <f>IF(B820="", "", "saliva")</f>
        <v>0</v>
      </c>
      <c r="E820" s="1">
        <f>IF(B820="", "", "human-oral")</f>
        <v>0</v>
      </c>
      <c r="F820" s="1">
        <f>IF(B820="", "", "UBERON:oral cavity")</f>
        <v>0</v>
      </c>
      <c r="G820" s="1">
        <f>IF(B820="", "", "UBERON:saliva")</f>
        <v>0</v>
      </c>
      <c r="H820" s="1">
        <f>IF(B820="", "", "UBERON:tongue")</f>
        <v>0</v>
      </c>
      <c r="I820" s="1">
        <f>IF(B820="", "", "tongue")</f>
        <v>0</v>
      </c>
      <c r="J820" s="1">
        <f>IF(B820="", "", "human oral metagenome")</f>
        <v>0</v>
      </c>
      <c r="K820" s="1">
        <f>IF(B820="", "", "447426")</f>
        <v>0</v>
      </c>
    </row>
    <row r="821" spans="1:11">
      <c r="A821">
        <f>IF(COUNTBLANK(B821:K821)&lt;&gt;COLUMNS(B821:K821),820,"")</f>
        <v>0</v>
      </c>
      <c r="C821" s="1">
        <f>IF(B821="", "", "animal secretion")</f>
        <v>0</v>
      </c>
      <c r="D821" s="1">
        <f>IF(B821="", "", "saliva")</f>
        <v>0</v>
      </c>
      <c r="E821" s="1">
        <f>IF(B821="", "", "human-oral")</f>
        <v>0</v>
      </c>
      <c r="F821" s="1">
        <f>IF(B821="", "", "UBERON:oral cavity")</f>
        <v>0</v>
      </c>
      <c r="G821" s="1">
        <f>IF(B821="", "", "UBERON:saliva")</f>
        <v>0</v>
      </c>
      <c r="H821" s="1">
        <f>IF(B821="", "", "UBERON:tongue")</f>
        <v>0</v>
      </c>
      <c r="I821" s="1">
        <f>IF(B821="", "", "tongue")</f>
        <v>0</v>
      </c>
      <c r="J821" s="1">
        <f>IF(B821="", "", "human oral metagenome")</f>
        <v>0</v>
      </c>
      <c r="K821" s="1">
        <f>IF(B821="", "", "447426")</f>
        <v>0</v>
      </c>
    </row>
    <row r="822" spans="1:11">
      <c r="A822">
        <f>IF(COUNTBLANK(B822:K822)&lt;&gt;COLUMNS(B822:K822),821,"")</f>
        <v>0</v>
      </c>
      <c r="C822" s="1">
        <f>IF(B822="", "", "animal secretion")</f>
        <v>0</v>
      </c>
      <c r="D822" s="1">
        <f>IF(B822="", "", "saliva")</f>
        <v>0</v>
      </c>
      <c r="E822" s="1">
        <f>IF(B822="", "", "human-oral")</f>
        <v>0</v>
      </c>
      <c r="F822" s="1">
        <f>IF(B822="", "", "UBERON:oral cavity")</f>
        <v>0</v>
      </c>
      <c r="G822" s="1">
        <f>IF(B822="", "", "UBERON:saliva")</f>
        <v>0</v>
      </c>
      <c r="H822" s="1">
        <f>IF(B822="", "", "UBERON:tongue")</f>
        <v>0</v>
      </c>
      <c r="I822" s="1">
        <f>IF(B822="", "", "tongue")</f>
        <v>0</v>
      </c>
      <c r="J822" s="1">
        <f>IF(B822="", "", "human oral metagenome")</f>
        <v>0</v>
      </c>
      <c r="K822" s="1">
        <f>IF(B822="", "", "447426")</f>
        <v>0</v>
      </c>
    </row>
    <row r="823" spans="1:11">
      <c r="A823">
        <f>IF(COUNTBLANK(B823:K823)&lt;&gt;COLUMNS(B823:K823),822,"")</f>
        <v>0</v>
      </c>
      <c r="C823" s="1">
        <f>IF(B823="", "", "animal secretion")</f>
        <v>0</v>
      </c>
      <c r="D823" s="1">
        <f>IF(B823="", "", "saliva")</f>
        <v>0</v>
      </c>
      <c r="E823" s="1">
        <f>IF(B823="", "", "human-oral")</f>
        <v>0</v>
      </c>
      <c r="F823" s="1">
        <f>IF(B823="", "", "UBERON:oral cavity")</f>
        <v>0</v>
      </c>
      <c r="G823" s="1">
        <f>IF(B823="", "", "UBERON:saliva")</f>
        <v>0</v>
      </c>
      <c r="H823" s="1">
        <f>IF(B823="", "", "UBERON:tongue")</f>
        <v>0</v>
      </c>
      <c r="I823" s="1">
        <f>IF(B823="", "", "tongue")</f>
        <v>0</v>
      </c>
      <c r="J823" s="1">
        <f>IF(B823="", "", "human oral metagenome")</f>
        <v>0</v>
      </c>
      <c r="K823" s="1">
        <f>IF(B823="", "", "447426")</f>
        <v>0</v>
      </c>
    </row>
    <row r="824" spans="1:11">
      <c r="A824">
        <f>IF(COUNTBLANK(B824:K824)&lt;&gt;COLUMNS(B824:K824),823,"")</f>
        <v>0</v>
      </c>
      <c r="C824" s="1">
        <f>IF(B824="", "", "animal secretion")</f>
        <v>0</v>
      </c>
      <c r="D824" s="1">
        <f>IF(B824="", "", "saliva")</f>
        <v>0</v>
      </c>
      <c r="E824" s="1">
        <f>IF(B824="", "", "human-oral")</f>
        <v>0</v>
      </c>
      <c r="F824" s="1">
        <f>IF(B824="", "", "UBERON:oral cavity")</f>
        <v>0</v>
      </c>
      <c r="G824" s="1">
        <f>IF(B824="", "", "UBERON:saliva")</f>
        <v>0</v>
      </c>
      <c r="H824" s="1">
        <f>IF(B824="", "", "UBERON:tongue")</f>
        <v>0</v>
      </c>
      <c r="I824" s="1">
        <f>IF(B824="", "", "tongue")</f>
        <v>0</v>
      </c>
      <c r="J824" s="1">
        <f>IF(B824="", "", "human oral metagenome")</f>
        <v>0</v>
      </c>
      <c r="K824" s="1">
        <f>IF(B824="", "", "447426")</f>
        <v>0</v>
      </c>
    </row>
    <row r="825" spans="1:11">
      <c r="A825">
        <f>IF(COUNTBLANK(B825:K825)&lt;&gt;COLUMNS(B825:K825),824,"")</f>
        <v>0</v>
      </c>
      <c r="C825" s="1">
        <f>IF(B825="", "", "animal secretion")</f>
        <v>0</v>
      </c>
      <c r="D825" s="1">
        <f>IF(B825="", "", "saliva")</f>
        <v>0</v>
      </c>
      <c r="E825" s="1">
        <f>IF(B825="", "", "human-oral")</f>
        <v>0</v>
      </c>
      <c r="F825" s="1">
        <f>IF(B825="", "", "UBERON:oral cavity")</f>
        <v>0</v>
      </c>
      <c r="G825" s="1">
        <f>IF(B825="", "", "UBERON:saliva")</f>
        <v>0</v>
      </c>
      <c r="H825" s="1">
        <f>IF(B825="", "", "UBERON:tongue")</f>
        <v>0</v>
      </c>
      <c r="I825" s="1">
        <f>IF(B825="", "", "tongue")</f>
        <v>0</v>
      </c>
      <c r="J825" s="1">
        <f>IF(B825="", "", "human oral metagenome")</f>
        <v>0</v>
      </c>
      <c r="K825" s="1">
        <f>IF(B825="", "", "447426")</f>
        <v>0</v>
      </c>
    </row>
    <row r="826" spans="1:11">
      <c r="A826">
        <f>IF(COUNTBLANK(B826:K826)&lt;&gt;COLUMNS(B826:K826),825,"")</f>
        <v>0</v>
      </c>
      <c r="C826" s="1">
        <f>IF(B826="", "", "animal secretion")</f>
        <v>0</v>
      </c>
      <c r="D826" s="1">
        <f>IF(B826="", "", "saliva")</f>
        <v>0</v>
      </c>
      <c r="E826" s="1">
        <f>IF(B826="", "", "human-oral")</f>
        <v>0</v>
      </c>
      <c r="F826" s="1">
        <f>IF(B826="", "", "UBERON:oral cavity")</f>
        <v>0</v>
      </c>
      <c r="G826" s="1">
        <f>IF(B826="", "", "UBERON:saliva")</f>
        <v>0</v>
      </c>
      <c r="H826" s="1">
        <f>IF(B826="", "", "UBERON:tongue")</f>
        <v>0</v>
      </c>
      <c r="I826" s="1">
        <f>IF(B826="", "", "tongue")</f>
        <v>0</v>
      </c>
      <c r="J826" s="1">
        <f>IF(B826="", "", "human oral metagenome")</f>
        <v>0</v>
      </c>
      <c r="K826" s="1">
        <f>IF(B826="", "", "447426")</f>
        <v>0</v>
      </c>
    </row>
    <row r="827" spans="1:11">
      <c r="A827">
        <f>IF(COUNTBLANK(B827:K827)&lt;&gt;COLUMNS(B827:K827),826,"")</f>
        <v>0</v>
      </c>
      <c r="C827" s="1">
        <f>IF(B827="", "", "animal secretion")</f>
        <v>0</v>
      </c>
      <c r="D827" s="1">
        <f>IF(B827="", "", "saliva")</f>
        <v>0</v>
      </c>
      <c r="E827" s="1">
        <f>IF(B827="", "", "human-oral")</f>
        <v>0</v>
      </c>
      <c r="F827" s="1">
        <f>IF(B827="", "", "UBERON:oral cavity")</f>
        <v>0</v>
      </c>
      <c r="G827" s="1">
        <f>IF(B827="", "", "UBERON:saliva")</f>
        <v>0</v>
      </c>
      <c r="H827" s="1">
        <f>IF(B827="", "", "UBERON:tongue")</f>
        <v>0</v>
      </c>
      <c r="I827" s="1">
        <f>IF(B827="", "", "tongue")</f>
        <v>0</v>
      </c>
      <c r="J827" s="1">
        <f>IF(B827="", "", "human oral metagenome")</f>
        <v>0</v>
      </c>
      <c r="K827" s="1">
        <f>IF(B827="", "", "447426")</f>
        <v>0</v>
      </c>
    </row>
    <row r="828" spans="1:11">
      <c r="A828">
        <f>IF(COUNTBLANK(B828:K828)&lt;&gt;COLUMNS(B828:K828),827,"")</f>
        <v>0</v>
      </c>
      <c r="C828" s="1">
        <f>IF(B828="", "", "animal secretion")</f>
        <v>0</v>
      </c>
      <c r="D828" s="1">
        <f>IF(B828="", "", "saliva")</f>
        <v>0</v>
      </c>
      <c r="E828" s="1">
        <f>IF(B828="", "", "human-oral")</f>
        <v>0</v>
      </c>
      <c r="F828" s="1">
        <f>IF(B828="", "", "UBERON:oral cavity")</f>
        <v>0</v>
      </c>
      <c r="G828" s="1">
        <f>IF(B828="", "", "UBERON:saliva")</f>
        <v>0</v>
      </c>
      <c r="H828" s="1">
        <f>IF(B828="", "", "UBERON:tongue")</f>
        <v>0</v>
      </c>
      <c r="I828" s="1">
        <f>IF(B828="", "", "tongue")</f>
        <v>0</v>
      </c>
      <c r="J828" s="1">
        <f>IF(B828="", "", "human oral metagenome")</f>
        <v>0</v>
      </c>
      <c r="K828" s="1">
        <f>IF(B828="", "", "447426")</f>
        <v>0</v>
      </c>
    </row>
    <row r="829" spans="1:11">
      <c r="A829">
        <f>IF(COUNTBLANK(B829:K829)&lt;&gt;COLUMNS(B829:K829),828,"")</f>
        <v>0</v>
      </c>
      <c r="C829" s="1">
        <f>IF(B829="", "", "animal secretion")</f>
        <v>0</v>
      </c>
      <c r="D829" s="1">
        <f>IF(B829="", "", "saliva")</f>
        <v>0</v>
      </c>
      <c r="E829" s="1">
        <f>IF(B829="", "", "human-oral")</f>
        <v>0</v>
      </c>
      <c r="F829" s="1">
        <f>IF(B829="", "", "UBERON:oral cavity")</f>
        <v>0</v>
      </c>
      <c r="G829" s="1">
        <f>IF(B829="", "", "UBERON:saliva")</f>
        <v>0</v>
      </c>
      <c r="H829" s="1">
        <f>IF(B829="", "", "UBERON:tongue")</f>
        <v>0</v>
      </c>
      <c r="I829" s="1">
        <f>IF(B829="", "", "tongue")</f>
        <v>0</v>
      </c>
      <c r="J829" s="1">
        <f>IF(B829="", "", "human oral metagenome")</f>
        <v>0</v>
      </c>
      <c r="K829" s="1">
        <f>IF(B829="", "", "447426")</f>
        <v>0</v>
      </c>
    </row>
    <row r="830" spans="1:11">
      <c r="A830">
        <f>IF(COUNTBLANK(B830:K830)&lt;&gt;COLUMNS(B830:K830),829,"")</f>
        <v>0</v>
      </c>
      <c r="C830" s="1">
        <f>IF(B830="", "", "animal secretion")</f>
        <v>0</v>
      </c>
      <c r="D830" s="1">
        <f>IF(B830="", "", "saliva")</f>
        <v>0</v>
      </c>
      <c r="E830" s="1">
        <f>IF(B830="", "", "human-oral")</f>
        <v>0</v>
      </c>
      <c r="F830" s="1">
        <f>IF(B830="", "", "UBERON:oral cavity")</f>
        <v>0</v>
      </c>
      <c r="G830" s="1">
        <f>IF(B830="", "", "UBERON:saliva")</f>
        <v>0</v>
      </c>
      <c r="H830" s="1">
        <f>IF(B830="", "", "UBERON:tongue")</f>
        <v>0</v>
      </c>
      <c r="I830" s="1">
        <f>IF(B830="", "", "tongue")</f>
        <v>0</v>
      </c>
      <c r="J830" s="1">
        <f>IF(B830="", "", "human oral metagenome")</f>
        <v>0</v>
      </c>
      <c r="K830" s="1">
        <f>IF(B830="", "", "447426")</f>
        <v>0</v>
      </c>
    </row>
    <row r="831" spans="1:11">
      <c r="A831">
        <f>IF(COUNTBLANK(B831:K831)&lt;&gt;COLUMNS(B831:K831),830,"")</f>
        <v>0</v>
      </c>
      <c r="C831" s="1">
        <f>IF(B831="", "", "animal secretion")</f>
        <v>0</v>
      </c>
      <c r="D831" s="1">
        <f>IF(B831="", "", "saliva")</f>
        <v>0</v>
      </c>
      <c r="E831" s="1">
        <f>IF(B831="", "", "human-oral")</f>
        <v>0</v>
      </c>
      <c r="F831" s="1">
        <f>IF(B831="", "", "UBERON:oral cavity")</f>
        <v>0</v>
      </c>
      <c r="G831" s="1">
        <f>IF(B831="", "", "UBERON:saliva")</f>
        <v>0</v>
      </c>
      <c r="H831" s="1">
        <f>IF(B831="", "", "UBERON:tongue")</f>
        <v>0</v>
      </c>
      <c r="I831" s="1">
        <f>IF(B831="", "", "tongue")</f>
        <v>0</v>
      </c>
      <c r="J831" s="1">
        <f>IF(B831="", "", "human oral metagenome")</f>
        <v>0</v>
      </c>
      <c r="K831" s="1">
        <f>IF(B831="", "", "447426")</f>
        <v>0</v>
      </c>
    </row>
    <row r="832" spans="1:11">
      <c r="A832">
        <f>IF(COUNTBLANK(B832:K832)&lt;&gt;COLUMNS(B832:K832),831,"")</f>
        <v>0</v>
      </c>
      <c r="C832" s="1">
        <f>IF(B832="", "", "animal secretion")</f>
        <v>0</v>
      </c>
      <c r="D832" s="1">
        <f>IF(B832="", "", "saliva")</f>
        <v>0</v>
      </c>
      <c r="E832" s="1">
        <f>IF(B832="", "", "human-oral")</f>
        <v>0</v>
      </c>
      <c r="F832" s="1">
        <f>IF(B832="", "", "UBERON:oral cavity")</f>
        <v>0</v>
      </c>
      <c r="G832" s="1">
        <f>IF(B832="", "", "UBERON:saliva")</f>
        <v>0</v>
      </c>
      <c r="H832" s="1">
        <f>IF(B832="", "", "UBERON:tongue")</f>
        <v>0</v>
      </c>
      <c r="I832" s="1">
        <f>IF(B832="", "", "tongue")</f>
        <v>0</v>
      </c>
      <c r="J832" s="1">
        <f>IF(B832="", "", "human oral metagenome")</f>
        <v>0</v>
      </c>
      <c r="K832" s="1">
        <f>IF(B832="", "", "447426")</f>
        <v>0</v>
      </c>
    </row>
    <row r="833" spans="1:11">
      <c r="A833">
        <f>IF(COUNTBLANK(B833:K833)&lt;&gt;COLUMNS(B833:K833),832,"")</f>
        <v>0</v>
      </c>
      <c r="C833" s="1">
        <f>IF(B833="", "", "animal secretion")</f>
        <v>0</v>
      </c>
      <c r="D833" s="1">
        <f>IF(B833="", "", "saliva")</f>
        <v>0</v>
      </c>
      <c r="E833" s="1">
        <f>IF(B833="", "", "human-oral")</f>
        <v>0</v>
      </c>
      <c r="F833" s="1">
        <f>IF(B833="", "", "UBERON:oral cavity")</f>
        <v>0</v>
      </c>
      <c r="G833" s="1">
        <f>IF(B833="", "", "UBERON:saliva")</f>
        <v>0</v>
      </c>
      <c r="H833" s="1">
        <f>IF(B833="", "", "UBERON:tongue")</f>
        <v>0</v>
      </c>
      <c r="I833" s="1">
        <f>IF(B833="", "", "tongue")</f>
        <v>0</v>
      </c>
      <c r="J833" s="1">
        <f>IF(B833="", "", "human oral metagenome")</f>
        <v>0</v>
      </c>
      <c r="K833" s="1">
        <f>IF(B833="", "", "447426")</f>
        <v>0</v>
      </c>
    </row>
    <row r="834" spans="1:11">
      <c r="A834">
        <f>IF(COUNTBLANK(B834:K834)&lt;&gt;COLUMNS(B834:K834),833,"")</f>
        <v>0</v>
      </c>
      <c r="C834" s="1">
        <f>IF(B834="", "", "animal secretion")</f>
        <v>0</v>
      </c>
      <c r="D834" s="1">
        <f>IF(B834="", "", "saliva")</f>
        <v>0</v>
      </c>
      <c r="E834" s="1">
        <f>IF(B834="", "", "human-oral")</f>
        <v>0</v>
      </c>
      <c r="F834" s="1">
        <f>IF(B834="", "", "UBERON:oral cavity")</f>
        <v>0</v>
      </c>
      <c r="G834" s="1">
        <f>IF(B834="", "", "UBERON:saliva")</f>
        <v>0</v>
      </c>
      <c r="H834" s="1">
        <f>IF(B834="", "", "UBERON:tongue")</f>
        <v>0</v>
      </c>
      <c r="I834" s="1">
        <f>IF(B834="", "", "tongue")</f>
        <v>0</v>
      </c>
      <c r="J834" s="1">
        <f>IF(B834="", "", "human oral metagenome")</f>
        <v>0</v>
      </c>
      <c r="K834" s="1">
        <f>IF(B834="", "", "447426")</f>
        <v>0</v>
      </c>
    </row>
    <row r="835" spans="1:11">
      <c r="A835">
        <f>IF(COUNTBLANK(B835:K835)&lt;&gt;COLUMNS(B835:K835),834,"")</f>
        <v>0</v>
      </c>
      <c r="C835" s="1">
        <f>IF(B835="", "", "animal secretion")</f>
        <v>0</v>
      </c>
      <c r="D835" s="1">
        <f>IF(B835="", "", "saliva")</f>
        <v>0</v>
      </c>
      <c r="E835" s="1">
        <f>IF(B835="", "", "human-oral")</f>
        <v>0</v>
      </c>
      <c r="F835" s="1">
        <f>IF(B835="", "", "UBERON:oral cavity")</f>
        <v>0</v>
      </c>
      <c r="G835" s="1">
        <f>IF(B835="", "", "UBERON:saliva")</f>
        <v>0</v>
      </c>
      <c r="H835" s="1">
        <f>IF(B835="", "", "UBERON:tongue")</f>
        <v>0</v>
      </c>
      <c r="I835" s="1">
        <f>IF(B835="", "", "tongue")</f>
        <v>0</v>
      </c>
      <c r="J835" s="1">
        <f>IF(B835="", "", "human oral metagenome")</f>
        <v>0</v>
      </c>
      <c r="K835" s="1">
        <f>IF(B835="", "", "447426")</f>
        <v>0</v>
      </c>
    </row>
    <row r="836" spans="1:11">
      <c r="A836">
        <f>IF(COUNTBLANK(B836:K836)&lt;&gt;COLUMNS(B836:K836),835,"")</f>
        <v>0</v>
      </c>
      <c r="C836" s="1">
        <f>IF(B836="", "", "animal secretion")</f>
        <v>0</v>
      </c>
      <c r="D836" s="1">
        <f>IF(B836="", "", "saliva")</f>
        <v>0</v>
      </c>
      <c r="E836" s="1">
        <f>IF(B836="", "", "human-oral")</f>
        <v>0</v>
      </c>
      <c r="F836" s="1">
        <f>IF(B836="", "", "UBERON:oral cavity")</f>
        <v>0</v>
      </c>
      <c r="G836" s="1">
        <f>IF(B836="", "", "UBERON:saliva")</f>
        <v>0</v>
      </c>
      <c r="H836" s="1">
        <f>IF(B836="", "", "UBERON:tongue")</f>
        <v>0</v>
      </c>
      <c r="I836" s="1">
        <f>IF(B836="", "", "tongue")</f>
        <v>0</v>
      </c>
      <c r="J836" s="1">
        <f>IF(B836="", "", "human oral metagenome")</f>
        <v>0</v>
      </c>
      <c r="K836" s="1">
        <f>IF(B836="", "", "447426")</f>
        <v>0</v>
      </c>
    </row>
    <row r="837" spans="1:11">
      <c r="A837">
        <f>IF(COUNTBLANK(B837:K837)&lt;&gt;COLUMNS(B837:K837),836,"")</f>
        <v>0</v>
      </c>
      <c r="C837" s="1">
        <f>IF(B837="", "", "animal secretion")</f>
        <v>0</v>
      </c>
      <c r="D837" s="1">
        <f>IF(B837="", "", "saliva")</f>
        <v>0</v>
      </c>
      <c r="E837" s="1">
        <f>IF(B837="", "", "human-oral")</f>
        <v>0</v>
      </c>
      <c r="F837" s="1">
        <f>IF(B837="", "", "UBERON:oral cavity")</f>
        <v>0</v>
      </c>
      <c r="G837" s="1">
        <f>IF(B837="", "", "UBERON:saliva")</f>
        <v>0</v>
      </c>
      <c r="H837" s="1">
        <f>IF(B837="", "", "UBERON:tongue")</f>
        <v>0</v>
      </c>
      <c r="I837" s="1">
        <f>IF(B837="", "", "tongue")</f>
        <v>0</v>
      </c>
      <c r="J837" s="1">
        <f>IF(B837="", "", "human oral metagenome")</f>
        <v>0</v>
      </c>
      <c r="K837" s="1">
        <f>IF(B837="", "", "447426")</f>
        <v>0</v>
      </c>
    </row>
    <row r="838" spans="1:11">
      <c r="A838">
        <f>IF(COUNTBLANK(B838:K838)&lt;&gt;COLUMNS(B838:K838),837,"")</f>
        <v>0</v>
      </c>
      <c r="C838" s="1">
        <f>IF(B838="", "", "animal secretion")</f>
        <v>0</v>
      </c>
      <c r="D838" s="1">
        <f>IF(B838="", "", "saliva")</f>
        <v>0</v>
      </c>
      <c r="E838" s="1">
        <f>IF(B838="", "", "human-oral")</f>
        <v>0</v>
      </c>
      <c r="F838" s="1">
        <f>IF(B838="", "", "UBERON:oral cavity")</f>
        <v>0</v>
      </c>
      <c r="G838" s="1">
        <f>IF(B838="", "", "UBERON:saliva")</f>
        <v>0</v>
      </c>
      <c r="H838" s="1">
        <f>IF(B838="", "", "UBERON:tongue")</f>
        <v>0</v>
      </c>
      <c r="I838" s="1">
        <f>IF(B838="", "", "tongue")</f>
        <v>0</v>
      </c>
      <c r="J838" s="1">
        <f>IF(B838="", "", "human oral metagenome")</f>
        <v>0</v>
      </c>
      <c r="K838" s="1">
        <f>IF(B838="", "", "447426")</f>
        <v>0</v>
      </c>
    </row>
    <row r="839" spans="1:11">
      <c r="A839">
        <f>IF(COUNTBLANK(B839:K839)&lt;&gt;COLUMNS(B839:K839),838,"")</f>
        <v>0</v>
      </c>
      <c r="C839" s="1">
        <f>IF(B839="", "", "animal secretion")</f>
        <v>0</v>
      </c>
      <c r="D839" s="1">
        <f>IF(B839="", "", "saliva")</f>
        <v>0</v>
      </c>
      <c r="E839" s="1">
        <f>IF(B839="", "", "human-oral")</f>
        <v>0</v>
      </c>
      <c r="F839" s="1">
        <f>IF(B839="", "", "UBERON:oral cavity")</f>
        <v>0</v>
      </c>
      <c r="G839" s="1">
        <f>IF(B839="", "", "UBERON:saliva")</f>
        <v>0</v>
      </c>
      <c r="H839" s="1">
        <f>IF(B839="", "", "UBERON:tongue")</f>
        <v>0</v>
      </c>
      <c r="I839" s="1">
        <f>IF(B839="", "", "tongue")</f>
        <v>0</v>
      </c>
      <c r="J839" s="1">
        <f>IF(B839="", "", "human oral metagenome")</f>
        <v>0</v>
      </c>
      <c r="K839" s="1">
        <f>IF(B839="", "", "447426")</f>
        <v>0</v>
      </c>
    </row>
    <row r="840" spans="1:11">
      <c r="A840">
        <f>IF(COUNTBLANK(B840:K840)&lt;&gt;COLUMNS(B840:K840),839,"")</f>
        <v>0</v>
      </c>
      <c r="C840" s="1">
        <f>IF(B840="", "", "animal secretion")</f>
        <v>0</v>
      </c>
      <c r="D840" s="1">
        <f>IF(B840="", "", "saliva")</f>
        <v>0</v>
      </c>
      <c r="E840" s="1">
        <f>IF(B840="", "", "human-oral")</f>
        <v>0</v>
      </c>
      <c r="F840" s="1">
        <f>IF(B840="", "", "UBERON:oral cavity")</f>
        <v>0</v>
      </c>
      <c r="G840" s="1">
        <f>IF(B840="", "", "UBERON:saliva")</f>
        <v>0</v>
      </c>
      <c r="H840" s="1">
        <f>IF(B840="", "", "UBERON:tongue")</f>
        <v>0</v>
      </c>
      <c r="I840" s="1">
        <f>IF(B840="", "", "tongue")</f>
        <v>0</v>
      </c>
      <c r="J840" s="1">
        <f>IF(B840="", "", "human oral metagenome")</f>
        <v>0</v>
      </c>
      <c r="K840" s="1">
        <f>IF(B840="", "", "447426")</f>
        <v>0</v>
      </c>
    </row>
    <row r="841" spans="1:11">
      <c r="A841">
        <f>IF(COUNTBLANK(B841:K841)&lt;&gt;COLUMNS(B841:K841),840,"")</f>
        <v>0</v>
      </c>
      <c r="C841" s="1">
        <f>IF(B841="", "", "animal secretion")</f>
        <v>0</v>
      </c>
      <c r="D841" s="1">
        <f>IF(B841="", "", "saliva")</f>
        <v>0</v>
      </c>
      <c r="E841" s="1">
        <f>IF(B841="", "", "human-oral")</f>
        <v>0</v>
      </c>
      <c r="F841" s="1">
        <f>IF(B841="", "", "UBERON:oral cavity")</f>
        <v>0</v>
      </c>
      <c r="G841" s="1">
        <f>IF(B841="", "", "UBERON:saliva")</f>
        <v>0</v>
      </c>
      <c r="H841" s="1">
        <f>IF(B841="", "", "UBERON:tongue")</f>
        <v>0</v>
      </c>
      <c r="I841" s="1">
        <f>IF(B841="", "", "tongue")</f>
        <v>0</v>
      </c>
      <c r="J841" s="1">
        <f>IF(B841="", "", "human oral metagenome")</f>
        <v>0</v>
      </c>
      <c r="K841" s="1">
        <f>IF(B841="", "", "447426")</f>
        <v>0</v>
      </c>
    </row>
    <row r="842" spans="1:11">
      <c r="A842">
        <f>IF(COUNTBLANK(B842:K842)&lt;&gt;COLUMNS(B842:K842),841,"")</f>
        <v>0</v>
      </c>
      <c r="C842" s="1">
        <f>IF(B842="", "", "animal secretion")</f>
        <v>0</v>
      </c>
      <c r="D842" s="1">
        <f>IF(B842="", "", "saliva")</f>
        <v>0</v>
      </c>
      <c r="E842" s="1">
        <f>IF(B842="", "", "human-oral")</f>
        <v>0</v>
      </c>
      <c r="F842" s="1">
        <f>IF(B842="", "", "UBERON:oral cavity")</f>
        <v>0</v>
      </c>
      <c r="G842" s="1">
        <f>IF(B842="", "", "UBERON:saliva")</f>
        <v>0</v>
      </c>
      <c r="H842" s="1">
        <f>IF(B842="", "", "UBERON:tongue")</f>
        <v>0</v>
      </c>
      <c r="I842" s="1">
        <f>IF(B842="", "", "tongue")</f>
        <v>0</v>
      </c>
      <c r="J842" s="1">
        <f>IF(B842="", "", "human oral metagenome")</f>
        <v>0</v>
      </c>
      <c r="K842" s="1">
        <f>IF(B842="", "", "447426")</f>
        <v>0</v>
      </c>
    </row>
    <row r="843" spans="1:11">
      <c r="A843">
        <f>IF(COUNTBLANK(B843:K843)&lt;&gt;COLUMNS(B843:K843),842,"")</f>
        <v>0</v>
      </c>
      <c r="C843" s="1">
        <f>IF(B843="", "", "animal secretion")</f>
        <v>0</v>
      </c>
      <c r="D843" s="1">
        <f>IF(B843="", "", "saliva")</f>
        <v>0</v>
      </c>
      <c r="E843" s="1">
        <f>IF(B843="", "", "human-oral")</f>
        <v>0</v>
      </c>
      <c r="F843" s="1">
        <f>IF(B843="", "", "UBERON:oral cavity")</f>
        <v>0</v>
      </c>
      <c r="G843" s="1">
        <f>IF(B843="", "", "UBERON:saliva")</f>
        <v>0</v>
      </c>
      <c r="H843" s="1">
        <f>IF(B843="", "", "UBERON:tongue")</f>
        <v>0</v>
      </c>
      <c r="I843" s="1">
        <f>IF(B843="", "", "tongue")</f>
        <v>0</v>
      </c>
      <c r="J843" s="1">
        <f>IF(B843="", "", "human oral metagenome")</f>
        <v>0</v>
      </c>
      <c r="K843" s="1">
        <f>IF(B843="", "", "447426")</f>
        <v>0</v>
      </c>
    </row>
    <row r="844" spans="1:11">
      <c r="A844">
        <f>IF(COUNTBLANK(B844:K844)&lt;&gt;COLUMNS(B844:K844),843,"")</f>
        <v>0</v>
      </c>
      <c r="C844" s="1">
        <f>IF(B844="", "", "animal secretion")</f>
        <v>0</v>
      </c>
      <c r="D844" s="1">
        <f>IF(B844="", "", "saliva")</f>
        <v>0</v>
      </c>
      <c r="E844" s="1">
        <f>IF(B844="", "", "human-oral")</f>
        <v>0</v>
      </c>
      <c r="F844" s="1">
        <f>IF(B844="", "", "UBERON:oral cavity")</f>
        <v>0</v>
      </c>
      <c r="G844" s="1">
        <f>IF(B844="", "", "UBERON:saliva")</f>
        <v>0</v>
      </c>
      <c r="H844" s="1">
        <f>IF(B844="", "", "UBERON:tongue")</f>
        <v>0</v>
      </c>
      <c r="I844" s="1">
        <f>IF(B844="", "", "tongue")</f>
        <v>0</v>
      </c>
      <c r="J844" s="1">
        <f>IF(B844="", "", "human oral metagenome")</f>
        <v>0</v>
      </c>
      <c r="K844" s="1">
        <f>IF(B844="", "", "447426")</f>
        <v>0</v>
      </c>
    </row>
    <row r="845" spans="1:11">
      <c r="A845">
        <f>IF(COUNTBLANK(B845:K845)&lt;&gt;COLUMNS(B845:K845),844,"")</f>
        <v>0</v>
      </c>
      <c r="C845" s="1">
        <f>IF(B845="", "", "animal secretion")</f>
        <v>0</v>
      </c>
      <c r="D845" s="1">
        <f>IF(B845="", "", "saliva")</f>
        <v>0</v>
      </c>
      <c r="E845" s="1">
        <f>IF(B845="", "", "human-oral")</f>
        <v>0</v>
      </c>
      <c r="F845" s="1">
        <f>IF(B845="", "", "UBERON:oral cavity")</f>
        <v>0</v>
      </c>
      <c r="G845" s="1">
        <f>IF(B845="", "", "UBERON:saliva")</f>
        <v>0</v>
      </c>
      <c r="H845" s="1">
        <f>IF(B845="", "", "UBERON:tongue")</f>
        <v>0</v>
      </c>
      <c r="I845" s="1">
        <f>IF(B845="", "", "tongue")</f>
        <v>0</v>
      </c>
      <c r="J845" s="1">
        <f>IF(B845="", "", "human oral metagenome")</f>
        <v>0</v>
      </c>
      <c r="K845" s="1">
        <f>IF(B845="", "", "447426")</f>
        <v>0</v>
      </c>
    </row>
    <row r="846" spans="1:11">
      <c r="A846">
        <f>IF(COUNTBLANK(B846:K846)&lt;&gt;COLUMNS(B846:K846),845,"")</f>
        <v>0</v>
      </c>
      <c r="C846" s="1">
        <f>IF(B846="", "", "animal secretion")</f>
        <v>0</v>
      </c>
      <c r="D846" s="1">
        <f>IF(B846="", "", "saliva")</f>
        <v>0</v>
      </c>
      <c r="E846" s="1">
        <f>IF(B846="", "", "human-oral")</f>
        <v>0</v>
      </c>
      <c r="F846" s="1">
        <f>IF(B846="", "", "UBERON:oral cavity")</f>
        <v>0</v>
      </c>
      <c r="G846" s="1">
        <f>IF(B846="", "", "UBERON:saliva")</f>
        <v>0</v>
      </c>
      <c r="H846" s="1">
        <f>IF(B846="", "", "UBERON:tongue")</f>
        <v>0</v>
      </c>
      <c r="I846" s="1">
        <f>IF(B846="", "", "tongue")</f>
        <v>0</v>
      </c>
      <c r="J846" s="1">
        <f>IF(B846="", "", "human oral metagenome")</f>
        <v>0</v>
      </c>
      <c r="K846" s="1">
        <f>IF(B846="", "", "447426")</f>
        <v>0</v>
      </c>
    </row>
    <row r="847" spans="1:11">
      <c r="A847">
        <f>IF(COUNTBLANK(B847:K847)&lt;&gt;COLUMNS(B847:K847),846,"")</f>
        <v>0</v>
      </c>
      <c r="C847" s="1">
        <f>IF(B847="", "", "animal secretion")</f>
        <v>0</v>
      </c>
      <c r="D847" s="1">
        <f>IF(B847="", "", "saliva")</f>
        <v>0</v>
      </c>
      <c r="E847" s="1">
        <f>IF(B847="", "", "human-oral")</f>
        <v>0</v>
      </c>
      <c r="F847" s="1">
        <f>IF(B847="", "", "UBERON:oral cavity")</f>
        <v>0</v>
      </c>
      <c r="G847" s="1">
        <f>IF(B847="", "", "UBERON:saliva")</f>
        <v>0</v>
      </c>
      <c r="H847" s="1">
        <f>IF(B847="", "", "UBERON:tongue")</f>
        <v>0</v>
      </c>
      <c r="I847" s="1">
        <f>IF(B847="", "", "tongue")</f>
        <v>0</v>
      </c>
      <c r="J847" s="1">
        <f>IF(B847="", "", "human oral metagenome")</f>
        <v>0</v>
      </c>
      <c r="K847" s="1">
        <f>IF(B847="", "", "447426")</f>
        <v>0</v>
      </c>
    </row>
    <row r="848" spans="1:11">
      <c r="A848">
        <f>IF(COUNTBLANK(B848:K848)&lt;&gt;COLUMNS(B848:K848),847,"")</f>
        <v>0</v>
      </c>
      <c r="C848" s="1">
        <f>IF(B848="", "", "animal secretion")</f>
        <v>0</v>
      </c>
      <c r="D848" s="1">
        <f>IF(B848="", "", "saliva")</f>
        <v>0</v>
      </c>
      <c r="E848" s="1">
        <f>IF(B848="", "", "human-oral")</f>
        <v>0</v>
      </c>
      <c r="F848" s="1">
        <f>IF(B848="", "", "UBERON:oral cavity")</f>
        <v>0</v>
      </c>
      <c r="G848" s="1">
        <f>IF(B848="", "", "UBERON:saliva")</f>
        <v>0</v>
      </c>
      <c r="H848" s="1">
        <f>IF(B848="", "", "UBERON:tongue")</f>
        <v>0</v>
      </c>
      <c r="I848" s="1">
        <f>IF(B848="", "", "tongue")</f>
        <v>0</v>
      </c>
      <c r="J848" s="1">
        <f>IF(B848="", "", "human oral metagenome")</f>
        <v>0</v>
      </c>
      <c r="K848" s="1">
        <f>IF(B848="", "", "447426")</f>
        <v>0</v>
      </c>
    </row>
    <row r="849" spans="1:11">
      <c r="A849">
        <f>IF(COUNTBLANK(B849:K849)&lt;&gt;COLUMNS(B849:K849),848,"")</f>
        <v>0</v>
      </c>
      <c r="C849" s="1">
        <f>IF(B849="", "", "animal secretion")</f>
        <v>0</v>
      </c>
      <c r="D849" s="1">
        <f>IF(B849="", "", "saliva")</f>
        <v>0</v>
      </c>
      <c r="E849" s="1">
        <f>IF(B849="", "", "human-oral")</f>
        <v>0</v>
      </c>
      <c r="F849" s="1">
        <f>IF(B849="", "", "UBERON:oral cavity")</f>
        <v>0</v>
      </c>
      <c r="G849" s="1">
        <f>IF(B849="", "", "UBERON:saliva")</f>
        <v>0</v>
      </c>
      <c r="H849" s="1">
        <f>IF(B849="", "", "UBERON:tongue")</f>
        <v>0</v>
      </c>
      <c r="I849" s="1">
        <f>IF(B849="", "", "tongue")</f>
        <v>0</v>
      </c>
      <c r="J849" s="1">
        <f>IF(B849="", "", "human oral metagenome")</f>
        <v>0</v>
      </c>
      <c r="K849" s="1">
        <f>IF(B849="", "", "447426")</f>
        <v>0</v>
      </c>
    </row>
    <row r="850" spans="1:11">
      <c r="A850">
        <f>IF(COUNTBLANK(B850:K850)&lt;&gt;COLUMNS(B850:K850),849,"")</f>
        <v>0</v>
      </c>
      <c r="C850" s="1">
        <f>IF(B850="", "", "animal secretion")</f>
        <v>0</v>
      </c>
      <c r="D850" s="1">
        <f>IF(B850="", "", "saliva")</f>
        <v>0</v>
      </c>
      <c r="E850" s="1">
        <f>IF(B850="", "", "human-oral")</f>
        <v>0</v>
      </c>
      <c r="F850" s="1">
        <f>IF(B850="", "", "UBERON:oral cavity")</f>
        <v>0</v>
      </c>
      <c r="G850" s="1">
        <f>IF(B850="", "", "UBERON:saliva")</f>
        <v>0</v>
      </c>
      <c r="H850" s="1">
        <f>IF(B850="", "", "UBERON:tongue")</f>
        <v>0</v>
      </c>
      <c r="I850" s="1">
        <f>IF(B850="", "", "tongue")</f>
        <v>0</v>
      </c>
      <c r="J850" s="1">
        <f>IF(B850="", "", "human oral metagenome")</f>
        <v>0</v>
      </c>
      <c r="K850" s="1">
        <f>IF(B850="", "", "447426")</f>
        <v>0</v>
      </c>
    </row>
    <row r="851" spans="1:11">
      <c r="A851">
        <f>IF(COUNTBLANK(B851:K851)&lt;&gt;COLUMNS(B851:K851),850,"")</f>
        <v>0</v>
      </c>
      <c r="C851" s="1">
        <f>IF(B851="", "", "animal secretion")</f>
        <v>0</v>
      </c>
      <c r="D851" s="1">
        <f>IF(B851="", "", "saliva")</f>
        <v>0</v>
      </c>
      <c r="E851" s="1">
        <f>IF(B851="", "", "human-oral")</f>
        <v>0</v>
      </c>
      <c r="F851" s="1">
        <f>IF(B851="", "", "UBERON:oral cavity")</f>
        <v>0</v>
      </c>
      <c r="G851" s="1">
        <f>IF(B851="", "", "UBERON:saliva")</f>
        <v>0</v>
      </c>
      <c r="H851" s="1">
        <f>IF(B851="", "", "UBERON:tongue")</f>
        <v>0</v>
      </c>
      <c r="I851" s="1">
        <f>IF(B851="", "", "tongue")</f>
        <v>0</v>
      </c>
      <c r="J851" s="1">
        <f>IF(B851="", "", "human oral metagenome")</f>
        <v>0</v>
      </c>
      <c r="K851" s="1">
        <f>IF(B851="", "", "447426")</f>
        <v>0</v>
      </c>
    </row>
    <row r="852" spans="1:11">
      <c r="A852">
        <f>IF(COUNTBLANK(B852:K852)&lt;&gt;COLUMNS(B852:K852),851,"")</f>
        <v>0</v>
      </c>
      <c r="C852" s="1">
        <f>IF(B852="", "", "animal secretion")</f>
        <v>0</v>
      </c>
      <c r="D852" s="1">
        <f>IF(B852="", "", "saliva")</f>
        <v>0</v>
      </c>
      <c r="E852" s="1">
        <f>IF(B852="", "", "human-oral")</f>
        <v>0</v>
      </c>
      <c r="F852" s="1">
        <f>IF(B852="", "", "UBERON:oral cavity")</f>
        <v>0</v>
      </c>
      <c r="G852" s="1">
        <f>IF(B852="", "", "UBERON:saliva")</f>
        <v>0</v>
      </c>
      <c r="H852" s="1">
        <f>IF(B852="", "", "UBERON:tongue")</f>
        <v>0</v>
      </c>
      <c r="I852" s="1">
        <f>IF(B852="", "", "tongue")</f>
        <v>0</v>
      </c>
      <c r="J852" s="1">
        <f>IF(B852="", "", "human oral metagenome")</f>
        <v>0</v>
      </c>
      <c r="K852" s="1">
        <f>IF(B852="", "", "447426")</f>
        <v>0</v>
      </c>
    </row>
    <row r="853" spans="1:11">
      <c r="A853">
        <f>IF(COUNTBLANK(B853:K853)&lt;&gt;COLUMNS(B853:K853),852,"")</f>
        <v>0</v>
      </c>
      <c r="C853" s="1">
        <f>IF(B853="", "", "animal secretion")</f>
        <v>0</v>
      </c>
      <c r="D853" s="1">
        <f>IF(B853="", "", "saliva")</f>
        <v>0</v>
      </c>
      <c r="E853" s="1">
        <f>IF(B853="", "", "human-oral")</f>
        <v>0</v>
      </c>
      <c r="F853" s="1">
        <f>IF(B853="", "", "UBERON:oral cavity")</f>
        <v>0</v>
      </c>
      <c r="G853" s="1">
        <f>IF(B853="", "", "UBERON:saliva")</f>
        <v>0</v>
      </c>
      <c r="H853" s="1">
        <f>IF(B853="", "", "UBERON:tongue")</f>
        <v>0</v>
      </c>
      <c r="I853" s="1">
        <f>IF(B853="", "", "tongue")</f>
        <v>0</v>
      </c>
      <c r="J853" s="1">
        <f>IF(B853="", "", "human oral metagenome")</f>
        <v>0</v>
      </c>
      <c r="K853" s="1">
        <f>IF(B853="", "", "447426")</f>
        <v>0</v>
      </c>
    </row>
    <row r="854" spans="1:11">
      <c r="A854">
        <f>IF(COUNTBLANK(B854:K854)&lt;&gt;COLUMNS(B854:K854),853,"")</f>
        <v>0</v>
      </c>
      <c r="C854" s="1">
        <f>IF(B854="", "", "animal secretion")</f>
        <v>0</v>
      </c>
      <c r="D854" s="1">
        <f>IF(B854="", "", "saliva")</f>
        <v>0</v>
      </c>
      <c r="E854" s="1">
        <f>IF(B854="", "", "human-oral")</f>
        <v>0</v>
      </c>
      <c r="F854" s="1">
        <f>IF(B854="", "", "UBERON:oral cavity")</f>
        <v>0</v>
      </c>
      <c r="G854" s="1">
        <f>IF(B854="", "", "UBERON:saliva")</f>
        <v>0</v>
      </c>
      <c r="H854" s="1">
        <f>IF(B854="", "", "UBERON:tongue")</f>
        <v>0</v>
      </c>
      <c r="I854" s="1">
        <f>IF(B854="", "", "tongue")</f>
        <v>0</v>
      </c>
      <c r="J854" s="1">
        <f>IF(B854="", "", "human oral metagenome")</f>
        <v>0</v>
      </c>
      <c r="K854" s="1">
        <f>IF(B854="", "", "447426")</f>
        <v>0</v>
      </c>
    </row>
    <row r="855" spans="1:11">
      <c r="A855">
        <f>IF(COUNTBLANK(B855:K855)&lt;&gt;COLUMNS(B855:K855),854,"")</f>
        <v>0</v>
      </c>
      <c r="C855" s="1">
        <f>IF(B855="", "", "animal secretion")</f>
        <v>0</v>
      </c>
      <c r="D855" s="1">
        <f>IF(B855="", "", "saliva")</f>
        <v>0</v>
      </c>
      <c r="E855" s="1">
        <f>IF(B855="", "", "human-oral")</f>
        <v>0</v>
      </c>
      <c r="F855" s="1">
        <f>IF(B855="", "", "UBERON:oral cavity")</f>
        <v>0</v>
      </c>
      <c r="G855" s="1">
        <f>IF(B855="", "", "UBERON:saliva")</f>
        <v>0</v>
      </c>
      <c r="H855" s="1">
        <f>IF(B855="", "", "UBERON:tongue")</f>
        <v>0</v>
      </c>
      <c r="I855" s="1">
        <f>IF(B855="", "", "tongue")</f>
        <v>0</v>
      </c>
      <c r="J855" s="1">
        <f>IF(B855="", "", "human oral metagenome")</f>
        <v>0</v>
      </c>
      <c r="K855" s="1">
        <f>IF(B855="", "", "447426")</f>
        <v>0</v>
      </c>
    </row>
    <row r="856" spans="1:11">
      <c r="A856">
        <f>IF(COUNTBLANK(B856:K856)&lt;&gt;COLUMNS(B856:K856),855,"")</f>
        <v>0</v>
      </c>
      <c r="C856" s="1">
        <f>IF(B856="", "", "animal secretion")</f>
        <v>0</v>
      </c>
      <c r="D856" s="1">
        <f>IF(B856="", "", "saliva")</f>
        <v>0</v>
      </c>
      <c r="E856" s="1">
        <f>IF(B856="", "", "human-oral")</f>
        <v>0</v>
      </c>
      <c r="F856" s="1">
        <f>IF(B856="", "", "UBERON:oral cavity")</f>
        <v>0</v>
      </c>
      <c r="G856" s="1">
        <f>IF(B856="", "", "UBERON:saliva")</f>
        <v>0</v>
      </c>
      <c r="H856" s="1">
        <f>IF(B856="", "", "UBERON:tongue")</f>
        <v>0</v>
      </c>
      <c r="I856" s="1">
        <f>IF(B856="", "", "tongue")</f>
        <v>0</v>
      </c>
      <c r="J856" s="1">
        <f>IF(B856="", "", "human oral metagenome")</f>
        <v>0</v>
      </c>
      <c r="K856" s="1">
        <f>IF(B856="", "", "447426")</f>
        <v>0</v>
      </c>
    </row>
    <row r="857" spans="1:11">
      <c r="A857">
        <f>IF(COUNTBLANK(B857:K857)&lt;&gt;COLUMNS(B857:K857),856,"")</f>
        <v>0</v>
      </c>
      <c r="C857" s="1">
        <f>IF(B857="", "", "animal secretion")</f>
        <v>0</v>
      </c>
      <c r="D857" s="1">
        <f>IF(B857="", "", "saliva")</f>
        <v>0</v>
      </c>
      <c r="E857" s="1">
        <f>IF(B857="", "", "human-oral")</f>
        <v>0</v>
      </c>
      <c r="F857" s="1">
        <f>IF(B857="", "", "UBERON:oral cavity")</f>
        <v>0</v>
      </c>
      <c r="G857" s="1">
        <f>IF(B857="", "", "UBERON:saliva")</f>
        <v>0</v>
      </c>
      <c r="H857" s="1">
        <f>IF(B857="", "", "UBERON:tongue")</f>
        <v>0</v>
      </c>
      <c r="I857" s="1">
        <f>IF(B857="", "", "tongue")</f>
        <v>0</v>
      </c>
      <c r="J857" s="1">
        <f>IF(B857="", "", "human oral metagenome")</f>
        <v>0</v>
      </c>
      <c r="K857" s="1">
        <f>IF(B857="", "", "447426")</f>
        <v>0</v>
      </c>
    </row>
    <row r="858" spans="1:11">
      <c r="A858">
        <f>IF(COUNTBLANK(B858:K858)&lt;&gt;COLUMNS(B858:K858),857,"")</f>
        <v>0</v>
      </c>
      <c r="C858" s="1">
        <f>IF(B858="", "", "animal secretion")</f>
        <v>0</v>
      </c>
      <c r="D858" s="1">
        <f>IF(B858="", "", "saliva")</f>
        <v>0</v>
      </c>
      <c r="E858" s="1">
        <f>IF(B858="", "", "human-oral")</f>
        <v>0</v>
      </c>
      <c r="F858" s="1">
        <f>IF(B858="", "", "UBERON:oral cavity")</f>
        <v>0</v>
      </c>
      <c r="G858" s="1">
        <f>IF(B858="", "", "UBERON:saliva")</f>
        <v>0</v>
      </c>
      <c r="H858" s="1">
        <f>IF(B858="", "", "UBERON:tongue")</f>
        <v>0</v>
      </c>
      <c r="I858" s="1">
        <f>IF(B858="", "", "tongue")</f>
        <v>0</v>
      </c>
      <c r="J858" s="1">
        <f>IF(B858="", "", "human oral metagenome")</f>
        <v>0</v>
      </c>
      <c r="K858" s="1">
        <f>IF(B858="", "", "447426")</f>
        <v>0</v>
      </c>
    </row>
    <row r="859" spans="1:11">
      <c r="A859">
        <f>IF(COUNTBLANK(B859:K859)&lt;&gt;COLUMNS(B859:K859),858,"")</f>
        <v>0</v>
      </c>
      <c r="C859" s="1">
        <f>IF(B859="", "", "animal secretion")</f>
        <v>0</v>
      </c>
      <c r="D859" s="1">
        <f>IF(B859="", "", "saliva")</f>
        <v>0</v>
      </c>
      <c r="E859" s="1">
        <f>IF(B859="", "", "human-oral")</f>
        <v>0</v>
      </c>
      <c r="F859" s="1">
        <f>IF(B859="", "", "UBERON:oral cavity")</f>
        <v>0</v>
      </c>
      <c r="G859" s="1">
        <f>IF(B859="", "", "UBERON:saliva")</f>
        <v>0</v>
      </c>
      <c r="H859" s="1">
        <f>IF(B859="", "", "UBERON:tongue")</f>
        <v>0</v>
      </c>
      <c r="I859" s="1">
        <f>IF(B859="", "", "tongue")</f>
        <v>0</v>
      </c>
      <c r="J859" s="1">
        <f>IF(B859="", "", "human oral metagenome")</f>
        <v>0</v>
      </c>
      <c r="K859" s="1">
        <f>IF(B859="", "", "447426")</f>
        <v>0</v>
      </c>
    </row>
    <row r="860" spans="1:11">
      <c r="A860">
        <f>IF(COUNTBLANK(B860:K860)&lt;&gt;COLUMNS(B860:K860),859,"")</f>
        <v>0</v>
      </c>
      <c r="C860" s="1">
        <f>IF(B860="", "", "animal secretion")</f>
        <v>0</v>
      </c>
      <c r="D860" s="1">
        <f>IF(B860="", "", "saliva")</f>
        <v>0</v>
      </c>
      <c r="E860" s="1">
        <f>IF(B860="", "", "human-oral")</f>
        <v>0</v>
      </c>
      <c r="F860" s="1">
        <f>IF(B860="", "", "UBERON:oral cavity")</f>
        <v>0</v>
      </c>
      <c r="G860" s="1">
        <f>IF(B860="", "", "UBERON:saliva")</f>
        <v>0</v>
      </c>
      <c r="H860" s="1">
        <f>IF(B860="", "", "UBERON:tongue")</f>
        <v>0</v>
      </c>
      <c r="I860" s="1">
        <f>IF(B860="", "", "tongue")</f>
        <v>0</v>
      </c>
      <c r="J860" s="1">
        <f>IF(B860="", "", "human oral metagenome")</f>
        <v>0</v>
      </c>
      <c r="K860" s="1">
        <f>IF(B860="", "", "447426")</f>
        <v>0</v>
      </c>
    </row>
    <row r="861" spans="1:11">
      <c r="A861">
        <f>IF(COUNTBLANK(B861:K861)&lt;&gt;COLUMNS(B861:K861),860,"")</f>
        <v>0</v>
      </c>
      <c r="C861" s="1">
        <f>IF(B861="", "", "animal secretion")</f>
        <v>0</v>
      </c>
      <c r="D861" s="1">
        <f>IF(B861="", "", "saliva")</f>
        <v>0</v>
      </c>
      <c r="E861" s="1">
        <f>IF(B861="", "", "human-oral")</f>
        <v>0</v>
      </c>
      <c r="F861" s="1">
        <f>IF(B861="", "", "UBERON:oral cavity")</f>
        <v>0</v>
      </c>
      <c r="G861" s="1">
        <f>IF(B861="", "", "UBERON:saliva")</f>
        <v>0</v>
      </c>
      <c r="H861" s="1">
        <f>IF(B861="", "", "UBERON:tongue")</f>
        <v>0</v>
      </c>
      <c r="I861" s="1">
        <f>IF(B861="", "", "tongue")</f>
        <v>0</v>
      </c>
      <c r="J861" s="1">
        <f>IF(B861="", "", "human oral metagenome")</f>
        <v>0</v>
      </c>
      <c r="K861" s="1">
        <f>IF(B861="", "", "447426")</f>
        <v>0</v>
      </c>
    </row>
    <row r="862" spans="1:11">
      <c r="A862">
        <f>IF(COUNTBLANK(B862:K862)&lt;&gt;COLUMNS(B862:K862),861,"")</f>
        <v>0</v>
      </c>
      <c r="C862" s="1">
        <f>IF(B862="", "", "animal secretion")</f>
        <v>0</v>
      </c>
      <c r="D862" s="1">
        <f>IF(B862="", "", "saliva")</f>
        <v>0</v>
      </c>
      <c r="E862" s="1">
        <f>IF(B862="", "", "human-oral")</f>
        <v>0</v>
      </c>
      <c r="F862" s="1">
        <f>IF(B862="", "", "UBERON:oral cavity")</f>
        <v>0</v>
      </c>
      <c r="G862" s="1">
        <f>IF(B862="", "", "UBERON:saliva")</f>
        <v>0</v>
      </c>
      <c r="H862" s="1">
        <f>IF(B862="", "", "UBERON:tongue")</f>
        <v>0</v>
      </c>
      <c r="I862" s="1">
        <f>IF(B862="", "", "tongue")</f>
        <v>0</v>
      </c>
      <c r="J862" s="1">
        <f>IF(B862="", "", "human oral metagenome")</f>
        <v>0</v>
      </c>
      <c r="K862" s="1">
        <f>IF(B862="", "", "447426")</f>
        <v>0</v>
      </c>
    </row>
    <row r="863" spans="1:11">
      <c r="A863">
        <f>IF(COUNTBLANK(B863:K863)&lt;&gt;COLUMNS(B863:K863),862,"")</f>
        <v>0</v>
      </c>
      <c r="C863" s="1">
        <f>IF(B863="", "", "animal secretion")</f>
        <v>0</v>
      </c>
      <c r="D863" s="1">
        <f>IF(B863="", "", "saliva")</f>
        <v>0</v>
      </c>
      <c r="E863" s="1">
        <f>IF(B863="", "", "human-oral")</f>
        <v>0</v>
      </c>
      <c r="F863" s="1">
        <f>IF(B863="", "", "UBERON:oral cavity")</f>
        <v>0</v>
      </c>
      <c r="G863" s="1">
        <f>IF(B863="", "", "UBERON:saliva")</f>
        <v>0</v>
      </c>
      <c r="H863" s="1">
        <f>IF(B863="", "", "UBERON:tongue")</f>
        <v>0</v>
      </c>
      <c r="I863" s="1">
        <f>IF(B863="", "", "tongue")</f>
        <v>0</v>
      </c>
      <c r="J863" s="1">
        <f>IF(B863="", "", "human oral metagenome")</f>
        <v>0</v>
      </c>
      <c r="K863" s="1">
        <f>IF(B863="", "", "447426")</f>
        <v>0</v>
      </c>
    </row>
    <row r="864" spans="1:11">
      <c r="A864">
        <f>IF(COUNTBLANK(B864:K864)&lt;&gt;COLUMNS(B864:K864),863,"")</f>
        <v>0</v>
      </c>
      <c r="C864" s="1">
        <f>IF(B864="", "", "animal secretion")</f>
        <v>0</v>
      </c>
      <c r="D864" s="1">
        <f>IF(B864="", "", "saliva")</f>
        <v>0</v>
      </c>
      <c r="E864" s="1">
        <f>IF(B864="", "", "human-oral")</f>
        <v>0</v>
      </c>
      <c r="F864" s="1">
        <f>IF(B864="", "", "UBERON:oral cavity")</f>
        <v>0</v>
      </c>
      <c r="G864" s="1">
        <f>IF(B864="", "", "UBERON:saliva")</f>
        <v>0</v>
      </c>
      <c r="H864" s="1">
        <f>IF(B864="", "", "UBERON:tongue")</f>
        <v>0</v>
      </c>
      <c r="I864" s="1">
        <f>IF(B864="", "", "tongue")</f>
        <v>0</v>
      </c>
      <c r="J864" s="1">
        <f>IF(B864="", "", "human oral metagenome")</f>
        <v>0</v>
      </c>
      <c r="K864" s="1">
        <f>IF(B864="", "", "447426")</f>
        <v>0</v>
      </c>
    </row>
    <row r="865" spans="1:11">
      <c r="A865">
        <f>IF(COUNTBLANK(B865:K865)&lt;&gt;COLUMNS(B865:K865),864,"")</f>
        <v>0</v>
      </c>
      <c r="C865" s="1">
        <f>IF(B865="", "", "animal secretion")</f>
        <v>0</v>
      </c>
      <c r="D865" s="1">
        <f>IF(B865="", "", "saliva")</f>
        <v>0</v>
      </c>
      <c r="E865" s="1">
        <f>IF(B865="", "", "human-oral")</f>
        <v>0</v>
      </c>
      <c r="F865" s="1">
        <f>IF(B865="", "", "UBERON:oral cavity")</f>
        <v>0</v>
      </c>
      <c r="G865" s="1">
        <f>IF(B865="", "", "UBERON:saliva")</f>
        <v>0</v>
      </c>
      <c r="H865" s="1">
        <f>IF(B865="", "", "UBERON:tongue")</f>
        <v>0</v>
      </c>
      <c r="I865" s="1">
        <f>IF(B865="", "", "tongue")</f>
        <v>0</v>
      </c>
      <c r="J865" s="1">
        <f>IF(B865="", "", "human oral metagenome")</f>
        <v>0</v>
      </c>
      <c r="K865" s="1">
        <f>IF(B865="", "", "447426")</f>
        <v>0</v>
      </c>
    </row>
    <row r="866" spans="1:11">
      <c r="A866">
        <f>IF(COUNTBLANK(B866:K866)&lt;&gt;COLUMNS(B866:K866),865,"")</f>
        <v>0</v>
      </c>
      <c r="C866" s="1">
        <f>IF(B866="", "", "animal secretion")</f>
        <v>0</v>
      </c>
      <c r="D866" s="1">
        <f>IF(B866="", "", "saliva")</f>
        <v>0</v>
      </c>
      <c r="E866" s="1">
        <f>IF(B866="", "", "human-oral")</f>
        <v>0</v>
      </c>
      <c r="F866" s="1">
        <f>IF(B866="", "", "UBERON:oral cavity")</f>
        <v>0</v>
      </c>
      <c r="G866" s="1">
        <f>IF(B866="", "", "UBERON:saliva")</f>
        <v>0</v>
      </c>
      <c r="H866" s="1">
        <f>IF(B866="", "", "UBERON:tongue")</f>
        <v>0</v>
      </c>
      <c r="I866" s="1">
        <f>IF(B866="", "", "tongue")</f>
        <v>0</v>
      </c>
      <c r="J866" s="1">
        <f>IF(B866="", "", "human oral metagenome")</f>
        <v>0</v>
      </c>
      <c r="K866" s="1">
        <f>IF(B866="", "", "447426")</f>
        <v>0</v>
      </c>
    </row>
    <row r="867" spans="1:11">
      <c r="A867">
        <f>IF(COUNTBLANK(B867:K867)&lt;&gt;COLUMNS(B867:K867),866,"")</f>
        <v>0</v>
      </c>
      <c r="C867" s="1">
        <f>IF(B867="", "", "animal secretion")</f>
        <v>0</v>
      </c>
      <c r="D867" s="1">
        <f>IF(B867="", "", "saliva")</f>
        <v>0</v>
      </c>
      <c r="E867" s="1">
        <f>IF(B867="", "", "human-oral")</f>
        <v>0</v>
      </c>
      <c r="F867" s="1">
        <f>IF(B867="", "", "UBERON:oral cavity")</f>
        <v>0</v>
      </c>
      <c r="G867" s="1">
        <f>IF(B867="", "", "UBERON:saliva")</f>
        <v>0</v>
      </c>
      <c r="H867" s="1">
        <f>IF(B867="", "", "UBERON:tongue")</f>
        <v>0</v>
      </c>
      <c r="I867" s="1">
        <f>IF(B867="", "", "tongue")</f>
        <v>0</v>
      </c>
      <c r="J867" s="1">
        <f>IF(B867="", "", "human oral metagenome")</f>
        <v>0</v>
      </c>
      <c r="K867" s="1">
        <f>IF(B867="", "", "447426")</f>
        <v>0</v>
      </c>
    </row>
    <row r="868" spans="1:11">
      <c r="A868">
        <f>IF(COUNTBLANK(B868:K868)&lt;&gt;COLUMNS(B868:K868),867,"")</f>
        <v>0</v>
      </c>
      <c r="C868" s="1">
        <f>IF(B868="", "", "animal secretion")</f>
        <v>0</v>
      </c>
      <c r="D868" s="1">
        <f>IF(B868="", "", "saliva")</f>
        <v>0</v>
      </c>
      <c r="E868" s="1">
        <f>IF(B868="", "", "human-oral")</f>
        <v>0</v>
      </c>
      <c r="F868" s="1">
        <f>IF(B868="", "", "UBERON:oral cavity")</f>
        <v>0</v>
      </c>
      <c r="G868" s="1">
        <f>IF(B868="", "", "UBERON:saliva")</f>
        <v>0</v>
      </c>
      <c r="H868" s="1">
        <f>IF(B868="", "", "UBERON:tongue")</f>
        <v>0</v>
      </c>
      <c r="I868" s="1">
        <f>IF(B868="", "", "tongue")</f>
        <v>0</v>
      </c>
      <c r="J868" s="1">
        <f>IF(B868="", "", "human oral metagenome")</f>
        <v>0</v>
      </c>
      <c r="K868" s="1">
        <f>IF(B868="", "", "447426")</f>
        <v>0</v>
      </c>
    </row>
    <row r="869" spans="1:11">
      <c r="A869">
        <f>IF(COUNTBLANK(B869:K869)&lt;&gt;COLUMNS(B869:K869),868,"")</f>
        <v>0</v>
      </c>
      <c r="C869" s="1">
        <f>IF(B869="", "", "animal secretion")</f>
        <v>0</v>
      </c>
      <c r="D869" s="1">
        <f>IF(B869="", "", "saliva")</f>
        <v>0</v>
      </c>
      <c r="E869" s="1">
        <f>IF(B869="", "", "human-oral")</f>
        <v>0</v>
      </c>
      <c r="F869" s="1">
        <f>IF(B869="", "", "UBERON:oral cavity")</f>
        <v>0</v>
      </c>
      <c r="G869" s="1">
        <f>IF(B869="", "", "UBERON:saliva")</f>
        <v>0</v>
      </c>
      <c r="H869" s="1">
        <f>IF(B869="", "", "UBERON:tongue")</f>
        <v>0</v>
      </c>
      <c r="I869" s="1">
        <f>IF(B869="", "", "tongue")</f>
        <v>0</v>
      </c>
      <c r="J869" s="1">
        <f>IF(B869="", "", "human oral metagenome")</f>
        <v>0</v>
      </c>
      <c r="K869" s="1">
        <f>IF(B869="", "", "447426")</f>
        <v>0</v>
      </c>
    </row>
    <row r="870" spans="1:11">
      <c r="A870">
        <f>IF(COUNTBLANK(B870:K870)&lt;&gt;COLUMNS(B870:K870),869,"")</f>
        <v>0</v>
      </c>
      <c r="C870" s="1">
        <f>IF(B870="", "", "animal secretion")</f>
        <v>0</v>
      </c>
      <c r="D870" s="1">
        <f>IF(B870="", "", "saliva")</f>
        <v>0</v>
      </c>
      <c r="E870" s="1">
        <f>IF(B870="", "", "human-oral")</f>
        <v>0</v>
      </c>
      <c r="F870" s="1">
        <f>IF(B870="", "", "UBERON:oral cavity")</f>
        <v>0</v>
      </c>
      <c r="G870" s="1">
        <f>IF(B870="", "", "UBERON:saliva")</f>
        <v>0</v>
      </c>
      <c r="H870" s="1">
        <f>IF(B870="", "", "UBERON:tongue")</f>
        <v>0</v>
      </c>
      <c r="I870" s="1">
        <f>IF(B870="", "", "tongue")</f>
        <v>0</v>
      </c>
      <c r="J870" s="1">
        <f>IF(B870="", "", "human oral metagenome")</f>
        <v>0</v>
      </c>
      <c r="K870" s="1">
        <f>IF(B870="", "", "447426")</f>
        <v>0</v>
      </c>
    </row>
    <row r="871" spans="1:11">
      <c r="A871">
        <f>IF(COUNTBLANK(B871:K871)&lt;&gt;COLUMNS(B871:K871),870,"")</f>
        <v>0</v>
      </c>
      <c r="C871" s="1">
        <f>IF(B871="", "", "animal secretion")</f>
        <v>0</v>
      </c>
      <c r="D871" s="1">
        <f>IF(B871="", "", "saliva")</f>
        <v>0</v>
      </c>
      <c r="E871" s="1">
        <f>IF(B871="", "", "human-oral")</f>
        <v>0</v>
      </c>
      <c r="F871" s="1">
        <f>IF(B871="", "", "UBERON:oral cavity")</f>
        <v>0</v>
      </c>
      <c r="G871" s="1">
        <f>IF(B871="", "", "UBERON:saliva")</f>
        <v>0</v>
      </c>
      <c r="H871" s="1">
        <f>IF(B871="", "", "UBERON:tongue")</f>
        <v>0</v>
      </c>
      <c r="I871" s="1">
        <f>IF(B871="", "", "tongue")</f>
        <v>0</v>
      </c>
      <c r="J871" s="1">
        <f>IF(B871="", "", "human oral metagenome")</f>
        <v>0</v>
      </c>
      <c r="K871" s="1">
        <f>IF(B871="", "", "447426")</f>
        <v>0</v>
      </c>
    </row>
    <row r="872" spans="1:11">
      <c r="A872">
        <f>IF(COUNTBLANK(B872:K872)&lt;&gt;COLUMNS(B872:K872),871,"")</f>
        <v>0</v>
      </c>
      <c r="C872" s="1">
        <f>IF(B872="", "", "animal secretion")</f>
        <v>0</v>
      </c>
      <c r="D872" s="1">
        <f>IF(B872="", "", "saliva")</f>
        <v>0</v>
      </c>
      <c r="E872" s="1">
        <f>IF(B872="", "", "human-oral")</f>
        <v>0</v>
      </c>
      <c r="F872" s="1">
        <f>IF(B872="", "", "UBERON:oral cavity")</f>
        <v>0</v>
      </c>
      <c r="G872" s="1">
        <f>IF(B872="", "", "UBERON:saliva")</f>
        <v>0</v>
      </c>
      <c r="H872" s="1">
        <f>IF(B872="", "", "UBERON:tongue")</f>
        <v>0</v>
      </c>
      <c r="I872" s="1">
        <f>IF(B872="", "", "tongue")</f>
        <v>0</v>
      </c>
      <c r="J872" s="1">
        <f>IF(B872="", "", "human oral metagenome")</f>
        <v>0</v>
      </c>
      <c r="K872" s="1">
        <f>IF(B872="", "", "447426")</f>
        <v>0</v>
      </c>
    </row>
    <row r="873" spans="1:11">
      <c r="A873">
        <f>IF(COUNTBLANK(B873:K873)&lt;&gt;COLUMNS(B873:K873),872,"")</f>
        <v>0</v>
      </c>
      <c r="C873" s="1">
        <f>IF(B873="", "", "animal secretion")</f>
        <v>0</v>
      </c>
      <c r="D873" s="1">
        <f>IF(B873="", "", "saliva")</f>
        <v>0</v>
      </c>
      <c r="E873" s="1">
        <f>IF(B873="", "", "human-oral")</f>
        <v>0</v>
      </c>
      <c r="F873" s="1">
        <f>IF(B873="", "", "UBERON:oral cavity")</f>
        <v>0</v>
      </c>
      <c r="G873" s="1">
        <f>IF(B873="", "", "UBERON:saliva")</f>
        <v>0</v>
      </c>
      <c r="H873" s="1">
        <f>IF(B873="", "", "UBERON:tongue")</f>
        <v>0</v>
      </c>
      <c r="I873" s="1">
        <f>IF(B873="", "", "tongue")</f>
        <v>0</v>
      </c>
      <c r="J873" s="1">
        <f>IF(B873="", "", "human oral metagenome")</f>
        <v>0</v>
      </c>
      <c r="K873" s="1">
        <f>IF(B873="", "", "447426")</f>
        <v>0</v>
      </c>
    </row>
    <row r="874" spans="1:11">
      <c r="A874">
        <f>IF(COUNTBLANK(B874:K874)&lt;&gt;COLUMNS(B874:K874),873,"")</f>
        <v>0</v>
      </c>
      <c r="C874" s="1">
        <f>IF(B874="", "", "animal secretion")</f>
        <v>0</v>
      </c>
      <c r="D874" s="1">
        <f>IF(B874="", "", "saliva")</f>
        <v>0</v>
      </c>
      <c r="E874" s="1">
        <f>IF(B874="", "", "human-oral")</f>
        <v>0</v>
      </c>
      <c r="F874" s="1">
        <f>IF(B874="", "", "UBERON:oral cavity")</f>
        <v>0</v>
      </c>
      <c r="G874" s="1">
        <f>IF(B874="", "", "UBERON:saliva")</f>
        <v>0</v>
      </c>
      <c r="H874" s="1">
        <f>IF(B874="", "", "UBERON:tongue")</f>
        <v>0</v>
      </c>
      <c r="I874" s="1">
        <f>IF(B874="", "", "tongue")</f>
        <v>0</v>
      </c>
      <c r="J874" s="1">
        <f>IF(B874="", "", "human oral metagenome")</f>
        <v>0</v>
      </c>
      <c r="K874" s="1">
        <f>IF(B874="", "", "447426")</f>
        <v>0</v>
      </c>
    </row>
    <row r="875" spans="1:11">
      <c r="A875">
        <f>IF(COUNTBLANK(B875:K875)&lt;&gt;COLUMNS(B875:K875),874,"")</f>
        <v>0</v>
      </c>
      <c r="C875" s="1">
        <f>IF(B875="", "", "animal secretion")</f>
        <v>0</v>
      </c>
      <c r="D875" s="1">
        <f>IF(B875="", "", "saliva")</f>
        <v>0</v>
      </c>
      <c r="E875" s="1">
        <f>IF(B875="", "", "human-oral")</f>
        <v>0</v>
      </c>
      <c r="F875" s="1">
        <f>IF(B875="", "", "UBERON:oral cavity")</f>
        <v>0</v>
      </c>
      <c r="G875" s="1">
        <f>IF(B875="", "", "UBERON:saliva")</f>
        <v>0</v>
      </c>
      <c r="H875" s="1">
        <f>IF(B875="", "", "UBERON:tongue")</f>
        <v>0</v>
      </c>
      <c r="I875" s="1">
        <f>IF(B875="", "", "tongue")</f>
        <v>0</v>
      </c>
      <c r="J875" s="1">
        <f>IF(B875="", "", "human oral metagenome")</f>
        <v>0</v>
      </c>
      <c r="K875" s="1">
        <f>IF(B875="", "", "447426")</f>
        <v>0</v>
      </c>
    </row>
    <row r="876" spans="1:11">
      <c r="A876">
        <f>IF(COUNTBLANK(B876:K876)&lt;&gt;COLUMNS(B876:K876),875,"")</f>
        <v>0</v>
      </c>
      <c r="C876" s="1">
        <f>IF(B876="", "", "animal secretion")</f>
        <v>0</v>
      </c>
      <c r="D876" s="1">
        <f>IF(B876="", "", "saliva")</f>
        <v>0</v>
      </c>
      <c r="E876" s="1">
        <f>IF(B876="", "", "human-oral")</f>
        <v>0</v>
      </c>
      <c r="F876" s="1">
        <f>IF(B876="", "", "UBERON:oral cavity")</f>
        <v>0</v>
      </c>
      <c r="G876" s="1">
        <f>IF(B876="", "", "UBERON:saliva")</f>
        <v>0</v>
      </c>
      <c r="H876" s="1">
        <f>IF(B876="", "", "UBERON:tongue")</f>
        <v>0</v>
      </c>
      <c r="I876" s="1">
        <f>IF(B876="", "", "tongue")</f>
        <v>0</v>
      </c>
      <c r="J876" s="1">
        <f>IF(B876="", "", "human oral metagenome")</f>
        <v>0</v>
      </c>
      <c r="K876" s="1">
        <f>IF(B876="", "", "447426")</f>
        <v>0</v>
      </c>
    </row>
    <row r="877" spans="1:11">
      <c r="A877">
        <f>IF(COUNTBLANK(B877:K877)&lt;&gt;COLUMNS(B877:K877),876,"")</f>
        <v>0</v>
      </c>
      <c r="C877" s="1">
        <f>IF(B877="", "", "animal secretion")</f>
        <v>0</v>
      </c>
      <c r="D877" s="1">
        <f>IF(B877="", "", "saliva")</f>
        <v>0</v>
      </c>
      <c r="E877" s="1">
        <f>IF(B877="", "", "human-oral")</f>
        <v>0</v>
      </c>
      <c r="F877" s="1">
        <f>IF(B877="", "", "UBERON:oral cavity")</f>
        <v>0</v>
      </c>
      <c r="G877" s="1">
        <f>IF(B877="", "", "UBERON:saliva")</f>
        <v>0</v>
      </c>
      <c r="H877" s="1">
        <f>IF(B877="", "", "UBERON:tongue")</f>
        <v>0</v>
      </c>
      <c r="I877" s="1">
        <f>IF(B877="", "", "tongue")</f>
        <v>0</v>
      </c>
      <c r="J877" s="1">
        <f>IF(B877="", "", "human oral metagenome")</f>
        <v>0</v>
      </c>
      <c r="K877" s="1">
        <f>IF(B877="", "", "447426")</f>
        <v>0</v>
      </c>
    </row>
    <row r="878" spans="1:11">
      <c r="A878">
        <f>IF(COUNTBLANK(B878:K878)&lt;&gt;COLUMNS(B878:K878),877,"")</f>
        <v>0</v>
      </c>
      <c r="C878" s="1">
        <f>IF(B878="", "", "animal secretion")</f>
        <v>0</v>
      </c>
      <c r="D878" s="1">
        <f>IF(B878="", "", "saliva")</f>
        <v>0</v>
      </c>
      <c r="E878" s="1">
        <f>IF(B878="", "", "human-oral")</f>
        <v>0</v>
      </c>
      <c r="F878" s="1">
        <f>IF(B878="", "", "UBERON:oral cavity")</f>
        <v>0</v>
      </c>
      <c r="G878" s="1">
        <f>IF(B878="", "", "UBERON:saliva")</f>
        <v>0</v>
      </c>
      <c r="H878" s="1">
        <f>IF(B878="", "", "UBERON:tongue")</f>
        <v>0</v>
      </c>
      <c r="I878" s="1">
        <f>IF(B878="", "", "tongue")</f>
        <v>0</v>
      </c>
      <c r="J878" s="1">
        <f>IF(B878="", "", "human oral metagenome")</f>
        <v>0</v>
      </c>
      <c r="K878" s="1">
        <f>IF(B878="", "", "447426")</f>
        <v>0</v>
      </c>
    </row>
    <row r="879" spans="1:11">
      <c r="A879">
        <f>IF(COUNTBLANK(B879:K879)&lt;&gt;COLUMNS(B879:K879),878,"")</f>
        <v>0</v>
      </c>
      <c r="C879" s="1">
        <f>IF(B879="", "", "animal secretion")</f>
        <v>0</v>
      </c>
      <c r="D879" s="1">
        <f>IF(B879="", "", "saliva")</f>
        <v>0</v>
      </c>
      <c r="E879" s="1">
        <f>IF(B879="", "", "human-oral")</f>
        <v>0</v>
      </c>
      <c r="F879" s="1">
        <f>IF(B879="", "", "UBERON:oral cavity")</f>
        <v>0</v>
      </c>
      <c r="G879" s="1">
        <f>IF(B879="", "", "UBERON:saliva")</f>
        <v>0</v>
      </c>
      <c r="H879" s="1">
        <f>IF(B879="", "", "UBERON:tongue")</f>
        <v>0</v>
      </c>
      <c r="I879" s="1">
        <f>IF(B879="", "", "tongue")</f>
        <v>0</v>
      </c>
      <c r="J879" s="1">
        <f>IF(B879="", "", "human oral metagenome")</f>
        <v>0</v>
      </c>
      <c r="K879" s="1">
        <f>IF(B879="", "", "447426")</f>
        <v>0</v>
      </c>
    </row>
    <row r="880" spans="1:11">
      <c r="A880">
        <f>IF(COUNTBLANK(B880:K880)&lt;&gt;COLUMNS(B880:K880),879,"")</f>
        <v>0</v>
      </c>
      <c r="C880" s="1">
        <f>IF(B880="", "", "animal secretion")</f>
        <v>0</v>
      </c>
      <c r="D880" s="1">
        <f>IF(B880="", "", "saliva")</f>
        <v>0</v>
      </c>
      <c r="E880" s="1">
        <f>IF(B880="", "", "human-oral")</f>
        <v>0</v>
      </c>
      <c r="F880" s="1">
        <f>IF(B880="", "", "UBERON:oral cavity")</f>
        <v>0</v>
      </c>
      <c r="G880" s="1">
        <f>IF(B880="", "", "UBERON:saliva")</f>
        <v>0</v>
      </c>
      <c r="H880" s="1">
        <f>IF(B880="", "", "UBERON:tongue")</f>
        <v>0</v>
      </c>
      <c r="I880" s="1">
        <f>IF(B880="", "", "tongue")</f>
        <v>0</v>
      </c>
      <c r="J880" s="1">
        <f>IF(B880="", "", "human oral metagenome")</f>
        <v>0</v>
      </c>
      <c r="K880" s="1">
        <f>IF(B880="", "", "447426")</f>
        <v>0</v>
      </c>
    </row>
    <row r="881" spans="1:11">
      <c r="A881">
        <f>IF(COUNTBLANK(B881:K881)&lt;&gt;COLUMNS(B881:K881),880,"")</f>
        <v>0</v>
      </c>
      <c r="C881" s="1">
        <f>IF(B881="", "", "animal secretion")</f>
        <v>0</v>
      </c>
      <c r="D881" s="1">
        <f>IF(B881="", "", "saliva")</f>
        <v>0</v>
      </c>
      <c r="E881" s="1">
        <f>IF(B881="", "", "human-oral")</f>
        <v>0</v>
      </c>
      <c r="F881" s="1">
        <f>IF(B881="", "", "UBERON:oral cavity")</f>
        <v>0</v>
      </c>
      <c r="G881" s="1">
        <f>IF(B881="", "", "UBERON:saliva")</f>
        <v>0</v>
      </c>
      <c r="H881" s="1">
        <f>IF(B881="", "", "UBERON:tongue")</f>
        <v>0</v>
      </c>
      <c r="I881" s="1">
        <f>IF(B881="", "", "tongue")</f>
        <v>0</v>
      </c>
      <c r="J881" s="1">
        <f>IF(B881="", "", "human oral metagenome")</f>
        <v>0</v>
      </c>
      <c r="K881" s="1">
        <f>IF(B881="", "", "447426")</f>
        <v>0</v>
      </c>
    </row>
    <row r="882" spans="1:11">
      <c r="A882">
        <f>IF(COUNTBLANK(B882:K882)&lt;&gt;COLUMNS(B882:K882),881,"")</f>
        <v>0</v>
      </c>
      <c r="C882" s="1">
        <f>IF(B882="", "", "animal secretion")</f>
        <v>0</v>
      </c>
      <c r="D882" s="1">
        <f>IF(B882="", "", "saliva")</f>
        <v>0</v>
      </c>
      <c r="E882" s="1">
        <f>IF(B882="", "", "human-oral")</f>
        <v>0</v>
      </c>
      <c r="F882" s="1">
        <f>IF(B882="", "", "UBERON:oral cavity")</f>
        <v>0</v>
      </c>
      <c r="G882" s="1">
        <f>IF(B882="", "", "UBERON:saliva")</f>
        <v>0</v>
      </c>
      <c r="H882" s="1">
        <f>IF(B882="", "", "UBERON:tongue")</f>
        <v>0</v>
      </c>
      <c r="I882" s="1">
        <f>IF(B882="", "", "tongue")</f>
        <v>0</v>
      </c>
      <c r="J882" s="1">
        <f>IF(B882="", "", "human oral metagenome")</f>
        <v>0</v>
      </c>
      <c r="K882" s="1">
        <f>IF(B882="", "", "447426")</f>
        <v>0</v>
      </c>
    </row>
    <row r="883" spans="1:11">
      <c r="A883">
        <f>IF(COUNTBLANK(B883:K883)&lt;&gt;COLUMNS(B883:K883),882,"")</f>
        <v>0</v>
      </c>
      <c r="C883" s="1">
        <f>IF(B883="", "", "animal secretion")</f>
        <v>0</v>
      </c>
      <c r="D883" s="1">
        <f>IF(B883="", "", "saliva")</f>
        <v>0</v>
      </c>
      <c r="E883" s="1">
        <f>IF(B883="", "", "human-oral")</f>
        <v>0</v>
      </c>
      <c r="F883" s="1">
        <f>IF(B883="", "", "UBERON:oral cavity")</f>
        <v>0</v>
      </c>
      <c r="G883" s="1">
        <f>IF(B883="", "", "UBERON:saliva")</f>
        <v>0</v>
      </c>
      <c r="H883" s="1">
        <f>IF(B883="", "", "UBERON:tongue")</f>
        <v>0</v>
      </c>
      <c r="I883" s="1">
        <f>IF(B883="", "", "tongue")</f>
        <v>0</v>
      </c>
      <c r="J883" s="1">
        <f>IF(B883="", "", "human oral metagenome")</f>
        <v>0</v>
      </c>
      <c r="K883" s="1">
        <f>IF(B883="", "", "447426")</f>
        <v>0</v>
      </c>
    </row>
    <row r="884" spans="1:11">
      <c r="A884">
        <f>IF(COUNTBLANK(B884:K884)&lt;&gt;COLUMNS(B884:K884),883,"")</f>
        <v>0</v>
      </c>
      <c r="C884" s="1">
        <f>IF(B884="", "", "animal secretion")</f>
        <v>0</v>
      </c>
      <c r="D884" s="1">
        <f>IF(B884="", "", "saliva")</f>
        <v>0</v>
      </c>
      <c r="E884" s="1">
        <f>IF(B884="", "", "human-oral")</f>
        <v>0</v>
      </c>
      <c r="F884" s="1">
        <f>IF(B884="", "", "UBERON:oral cavity")</f>
        <v>0</v>
      </c>
      <c r="G884" s="1">
        <f>IF(B884="", "", "UBERON:saliva")</f>
        <v>0</v>
      </c>
      <c r="H884" s="1">
        <f>IF(B884="", "", "UBERON:tongue")</f>
        <v>0</v>
      </c>
      <c r="I884" s="1">
        <f>IF(B884="", "", "tongue")</f>
        <v>0</v>
      </c>
      <c r="J884" s="1">
        <f>IF(B884="", "", "human oral metagenome")</f>
        <v>0</v>
      </c>
      <c r="K884" s="1">
        <f>IF(B884="", "", "447426")</f>
        <v>0</v>
      </c>
    </row>
    <row r="885" spans="1:11">
      <c r="A885">
        <f>IF(COUNTBLANK(B885:K885)&lt;&gt;COLUMNS(B885:K885),884,"")</f>
        <v>0</v>
      </c>
      <c r="C885" s="1">
        <f>IF(B885="", "", "animal secretion")</f>
        <v>0</v>
      </c>
      <c r="D885" s="1">
        <f>IF(B885="", "", "saliva")</f>
        <v>0</v>
      </c>
      <c r="E885" s="1">
        <f>IF(B885="", "", "human-oral")</f>
        <v>0</v>
      </c>
      <c r="F885" s="1">
        <f>IF(B885="", "", "UBERON:oral cavity")</f>
        <v>0</v>
      </c>
      <c r="G885" s="1">
        <f>IF(B885="", "", "UBERON:saliva")</f>
        <v>0</v>
      </c>
      <c r="H885" s="1">
        <f>IF(B885="", "", "UBERON:tongue")</f>
        <v>0</v>
      </c>
      <c r="I885" s="1">
        <f>IF(B885="", "", "tongue")</f>
        <v>0</v>
      </c>
      <c r="J885" s="1">
        <f>IF(B885="", "", "human oral metagenome")</f>
        <v>0</v>
      </c>
      <c r="K885" s="1">
        <f>IF(B885="", "", "447426")</f>
        <v>0</v>
      </c>
    </row>
    <row r="886" spans="1:11">
      <c r="A886">
        <f>IF(COUNTBLANK(B886:K886)&lt;&gt;COLUMNS(B886:K886),885,"")</f>
        <v>0</v>
      </c>
      <c r="C886" s="1">
        <f>IF(B886="", "", "animal secretion")</f>
        <v>0</v>
      </c>
      <c r="D886" s="1">
        <f>IF(B886="", "", "saliva")</f>
        <v>0</v>
      </c>
      <c r="E886" s="1">
        <f>IF(B886="", "", "human-oral")</f>
        <v>0</v>
      </c>
      <c r="F886" s="1">
        <f>IF(B886="", "", "UBERON:oral cavity")</f>
        <v>0</v>
      </c>
      <c r="G886" s="1">
        <f>IF(B886="", "", "UBERON:saliva")</f>
        <v>0</v>
      </c>
      <c r="H886" s="1">
        <f>IF(B886="", "", "UBERON:tongue")</f>
        <v>0</v>
      </c>
      <c r="I886" s="1">
        <f>IF(B886="", "", "tongue")</f>
        <v>0</v>
      </c>
      <c r="J886" s="1">
        <f>IF(B886="", "", "human oral metagenome")</f>
        <v>0</v>
      </c>
      <c r="K886" s="1">
        <f>IF(B886="", "", "447426")</f>
        <v>0</v>
      </c>
    </row>
    <row r="887" spans="1:11">
      <c r="A887">
        <f>IF(COUNTBLANK(B887:K887)&lt;&gt;COLUMNS(B887:K887),886,"")</f>
        <v>0</v>
      </c>
      <c r="C887" s="1">
        <f>IF(B887="", "", "animal secretion")</f>
        <v>0</v>
      </c>
      <c r="D887" s="1">
        <f>IF(B887="", "", "saliva")</f>
        <v>0</v>
      </c>
      <c r="E887" s="1">
        <f>IF(B887="", "", "human-oral")</f>
        <v>0</v>
      </c>
      <c r="F887" s="1">
        <f>IF(B887="", "", "UBERON:oral cavity")</f>
        <v>0</v>
      </c>
      <c r="G887" s="1">
        <f>IF(B887="", "", "UBERON:saliva")</f>
        <v>0</v>
      </c>
      <c r="H887" s="1">
        <f>IF(B887="", "", "UBERON:tongue")</f>
        <v>0</v>
      </c>
      <c r="I887" s="1">
        <f>IF(B887="", "", "tongue")</f>
        <v>0</v>
      </c>
      <c r="J887" s="1">
        <f>IF(B887="", "", "human oral metagenome")</f>
        <v>0</v>
      </c>
      <c r="K887" s="1">
        <f>IF(B887="", "", "447426")</f>
        <v>0</v>
      </c>
    </row>
    <row r="888" spans="1:11">
      <c r="A888">
        <f>IF(COUNTBLANK(B888:K888)&lt;&gt;COLUMNS(B888:K888),887,"")</f>
        <v>0</v>
      </c>
      <c r="C888" s="1">
        <f>IF(B888="", "", "animal secretion")</f>
        <v>0</v>
      </c>
      <c r="D888" s="1">
        <f>IF(B888="", "", "saliva")</f>
        <v>0</v>
      </c>
      <c r="E888" s="1">
        <f>IF(B888="", "", "human-oral")</f>
        <v>0</v>
      </c>
      <c r="F888" s="1">
        <f>IF(B888="", "", "UBERON:oral cavity")</f>
        <v>0</v>
      </c>
      <c r="G888" s="1">
        <f>IF(B888="", "", "UBERON:saliva")</f>
        <v>0</v>
      </c>
      <c r="H888" s="1">
        <f>IF(B888="", "", "UBERON:tongue")</f>
        <v>0</v>
      </c>
      <c r="I888" s="1">
        <f>IF(B888="", "", "tongue")</f>
        <v>0</v>
      </c>
      <c r="J888" s="1">
        <f>IF(B888="", "", "human oral metagenome")</f>
        <v>0</v>
      </c>
      <c r="K888" s="1">
        <f>IF(B888="", "", "447426")</f>
        <v>0</v>
      </c>
    </row>
    <row r="889" spans="1:11">
      <c r="A889">
        <f>IF(COUNTBLANK(B889:K889)&lt;&gt;COLUMNS(B889:K889),888,"")</f>
        <v>0</v>
      </c>
      <c r="C889" s="1">
        <f>IF(B889="", "", "animal secretion")</f>
        <v>0</v>
      </c>
      <c r="D889" s="1">
        <f>IF(B889="", "", "saliva")</f>
        <v>0</v>
      </c>
      <c r="E889" s="1">
        <f>IF(B889="", "", "human-oral")</f>
        <v>0</v>
      </c>
      <c r="F889" s="1">
        <f>IF(B889="", "", "UBERON:oral cavity")</f>
        <v>0</v>
      </c>
      <c r="G889" s="1">
        <f>IF(B889="", "", "UBERON:saliva")</f>
        <v>0</v>
      </c>
      <c r="H889" s="1">
        <f>IF(B889="", "", "UBERON:tongue")</f>
        <v>0</v>
      </c>
      <c r="I889" s="1">
        <f>IF(B889="", "", "tongue")</f>
        <v>0</v>
      </c>
      <c r="J889" s="1">
        <f>IF(B889="", "", "human oral metagenome")</f>
        <v>0</v>
      </c>
      <c r="K889" s="1">
        <f>IF(B889="", "", "447426")</f>
        <v>0</v>
      </c>
    </row>
    <row r="890" spans="1:11">
      <c r="A890">
        <f>IF(COUNTBLANK(B890:K890)&lt;&gt;COLUMNS(B890:K890),889,"")</f>
        <v>0</v>
      </c>
      <c r="C890" s="1">
        <f>IF(B890="", "", "animal secretion")</f>
        <v>0</v>
      </c>
      <c r="D890" s="1">
        <f>IF(B890="", "", "saliva")</f>
        <v>0</v>
      </c>
      <c r="E890" s="1">
        <f>IF(B890="", "", "human-oral")</f>
        <v>0</v>
      </c>
      <c r="F890" s="1">
        <f>IF(B890="", "", "UBERON:oral cavity")</f>
        <v>0</v>
      </c>
      <c r="G890" s="1">
        <f>IF(B890="", "", "UBERON:saliva")</f>
        <v>0</v>
      </c>
      <c r="H890" s="1">
        <f>IF(B890="", "", "UBERON:tongue")</f>
        <v>0</v>
      </c>
      <c r="I890" s="1">
        <f>IF(B890="", "", "tongue")</f>
        <v>0</v>
      </c>
      <c r="J890" s="1">
        <f>IF(B890="", "", "human oral metagenome")</f>
        <v>0</v>
      </c>
      <c r="K890" s="1">
        <f>IF(B890="", "", "447426")</f>
        <v>0</v>
      </c>
    </row>
    <row r="891" spans="1:11">
      <c r="A891">
        <f>IF(COUNTBLANK(B891:K891)&lt;&gt;COLUMNS(B891:K891),890,"")</f>
        <v>0</v>
      </c>
      <c r="C891" s="1">
        <f>IF(B891="", "", "animal secretion")</f>
        <v>0</v>
      </c>
      <c r="D891" s="1">
        <f>IF(B891="", "", "saliva")</f>
        <v>0</v>
      </c>
      <c r="E891" s="1">
        <f>IF(B891="", "", "human-oral")</f>
        <v>0</v>
      </c>
      <c r="F891" s="1">
        <f>IF(B891="", "", "UBERON:oral cavity")</f>
        <v>0</v>
      </c>
      <c r="G891" s="1">
        <f>IF(B891="", "", "UBERON:saliva")</f>
        <v>0</v>
      </c>
      <c r="H891" s="1">
        <f>IF(B891="", "", "UBERON:tongue")</f>
        <v>0</v>
      </c>
      <c r="I891" s="1">
        <f>IF(B891="", "", "tongue")</f>
        <v>0</v>
      </c>
      <c r="J891" s="1">
        <f>IF(B891="", "", "human oral metagenome")</f>
        <v>0</v>
      </c>
      <c r="K891" s="1">
        <f>IF(B891="", "", "447426")</f>
        <v>0</v>
      </c>
    </row>
    <row r="892" spans="1:11">
      <c r="A892">
        <f>IF(COUNTBLANK(B892:K892)&lt;&gt;COLUMNS(B892:K892),891,"")</f>
        <v>0</v>
      </c>
      <c r="C892" s="1">
        <f>IF(B892="", "", "animal secretion")</f>
        <v>0</v>
      </c>
      <c r="D892" s="1">
        <f>IF(B892="", "", "saliva")</f>
        <v>0</v>
      </c>
      <c r="E892" s="1">
        <f>IF(B892="", "", "human-oral")</f>
        <v>0</v>
      </c>
      <c r="F892" s="1">
        <f>IF(B892="", "", "UBERON:oral cavity")</f>
        <v>0</v>
      </c>
      <c r="G892" s="1">
        <f>IF(B892="", "", "UBERON:saliva")</f>
        <v>0</v>
      </c>
      <c r="H892" s="1">
        <f>IF(B892="", "", "UBERON:tongue")</f>
        <v>0</v>
      </c>
      <c r="I892" s="1">
        <f>IF(B892="", "", "tongue")</f>
        <v>0</v>
      </c>
      <c r="J892" s="1">
        <f>IF(B892="", "", "human oral metagenome")</f>
        <v>0</v>
      </c>
      <c r="K892" s="1">
        <f>IF(B892="", "", "447426")</f>
        <v>0</v>
      </c>
    </row>
    <row r="893" spans="1:11">
      <c r="A893">
        <f>IF(COUNTBLANK(B893:K893)&lt;&gt;COLUMNS(B893:K893),892,"")</f>
        <v>0</v>
      </c>
      <c r="C893" s="1">
        <f>IF(B893="", "", "animal secretion")</f>
        <v>0</v>
      </c>
      <c r="D893" s="1">
        <f>IF(B893="", "", "saliva")</f>
        <v>0</v>
      </c>
      <c r="E893" s="1">
        <f>IF(B893="", "", "human-oral")</f>
        <v>0</v>
      </c>
      <c r="F893" s="1">
        <f>IF(B893="", "", "UBERON:oral cavity")</f>
        <v>0</v>
      </c>
      <c r="G893" s="1">
        <f>IF(B893="", "", "UBERON:saliva")</f>
        <v>0</v>
      </c>
      <c r="H893" s="1">
        <f>IF(B893="", "", "UBERON:tongue")</f>
        <v>0</v>
      </c>
      <c r="I893" s="1">
        <f>IF(B893="", "", "tongue")</f>
        <v>0</v>
      </c>
      <c r="J893" s="1">
        <f>IF(B893="", "", "human oral metagenome")</f>
        <v>0</v>
      </c>
      <c r="K893" s="1">
        <f>IF(B893="", "", "447426")</f>
        <v>0</v>
      </c>
    </row>
    <row r="894" spans="1:11">
      <c r="A894">
        <f>IF(COUNTBLANK(B894:K894)&lt;&gt;COLUMNS(B894:K894),893,"")</f>
        <v>0</v>
      </c>
      <c r="C894" s="1">
        <f>IF(B894="", "", "animal secretion")</f>
        <v>0</v>
      </c>
      <c r="D894" s="1">
        <f>IF(B894="", "", "saliva")</f>
        <v>0</v>
      </c>
      <c r="E894" s="1">
        <f>IF(B894="", "", "human-oral")</f>
        <v>0</v>
      </c>
      <c r="F894" s="1">
        <f>IF(B894="", "", "UBERON:oral cavity")</f>
        <v>0</v>
      </c>
      <c r="G894" s="1">
        <f>IF(B894="", "", "UBERON:saliva")</f>
        <v>0</v>
      </c>
      <c r="H894" s="1">
        <f>IF(B894="", "", "UBERON:tongue")</f>
        <v>0</v>
      </c>
      <c r="I894" s="1">
        <f>IF(B894="", "", "tongue")</f>
        <v>0</v>
      </c>
      <c r="J894" s="1">
        <f>IF(B894="", "", "human oral metagenome")</f>
        <v>0</v>
      </c>
      <c r="K894" s="1">
        <f>IF(B894="", "", "447426")</f>
        <v>0</v>
      </c>
    </row>
    <row r="895" spans="1:11">
      <c r="A895">
        <f>IF(COUNTBLANK(B895:K895)&lt;&gt;COLUMNS(B895:K895),894,"")</f>
        <v>0</v>
      </c>
      <c r="C895" s="1">
        <f>IF(B895="", "", "animal secretion")</f>
        <v>0</v>
      </c>
      <c r="D895" s="1">
        <f>IF(B895="", "", "saliva")</f>
        <v>0</v>
      </c>
      <c r="E895" s="1">
        <f>IF(B895="", "", "human-oral")</f>
        <v>0</v>
      </c>
      <c r="F895" s="1">
        <f>IF(B895="", "", "UBERON:oral cavity")</f>
        <v>0</v>
      </c>
      <c r="G895" s="1">
        <f>IF(B895="", "", "UBERON:saliva")</f>
        <v>0</v>
      </c>
      <c r="H895" s="1">
        <f>IF(B895="", "", "UBERON:tongue")</f>
        <v>0</v>
      </c>
      <c r="I895" s="1">
        <f>IF(B895="", "", "tongue")</f>
        <v>0</v>
      </c>
      <c r="J895" s="1">
        <f>IF(B895="", "", "human oral metagenome")</f>
        <v>0</v>
      </c>
      <c r="K895" s="1">
        <f>IF(B895="", "", "447426")</f>
        <v>0</v>
      </c>
    </row>
    <row r="896" spans="1:11">
      <c r="A896">
        <f>IF(COUNTBLANK(B896:K896)&lt;&gt;COLUMNS(B896:K896),895,"")</f>
        <v>0</v>
      </c>
      <c r="C896" s="1">
        <f>IF(B896="", "", "animal secretion")</f>
        <v>0</v>
      </c>
      <c r="D896" s="1">
        <f>IF(B896="", "", "saliva")</f>
        <v>0</v>
      </c>
      <c r="E896" s="1">
        <f>IF(B896="", "", "human-oral")</f>
        <v>0</v>
      </c>
      <c r="F896" s="1">
        <f>IF(B896="", "", "UBERON:oral cavity")</f>
        <v>0</v>
      </c>
      <c r="G896" s="1">
        <f>IF(B896="", "", "UBERON:saliva")</f>
        <v>0</v>
      </c>
      <c r="H896" s="1">
        <f>IF(B896="", "", "UBERON:tongue")</f>
        <v>0</v>
      </c>
      <c r="I896" s="1">
        <f>IF(B896="", "", "tongue")</f>
        <v>0</v>
      </c>
      <c r="J896" s="1">
        <f>IF(B896="", "", "human oral metagenome")</f>
        <v>0</v>
      </c>
      <c r="K896" s="1">
        <f>IF(B896="", "", "447426")</f>
        <v>0</v>
      </c>
    </row>
    <row r="897" spans="1:11">
      <c r="A897">
        <f>IF(COUNTBLANK(B897:K897)&lt;&gt;COLUMNS(B897:K897),896,"")</f>
        <v>0</v>
      </c>
      <c r="C897" s="1">
        <f>IF(B897="", "", "animal secretion")</f>
        <v>0</v>
      </c>
      <c r="D897" s="1">
        <f>IF(B897="", "", "saliva")</f>
        <v>0</v>
      </c>
      <c r="E897" s="1">
        <f>IF(B897="", "", "human-oral")</f>
        <v>0</v>
      </c>
      <c r="F897" s="1">
        <f>IF(B897="", "", "UBERON:oral cavity")</f>
        <v>0</v>
      </c>
      <c r="G897" s="1">
        <f>IF(B897="", "", "UBERON:saliva")</f>
        <v>0</v>
      </c>
      <c r="H897" s="1">
        <f>IF(B897="", "", "UBERON:tongue")</f>
        <v>0</v>
      </c>
      <c r="I897" s="1">
        <f>IF(B897="", "", "tongue")</f>
        <v>0</v>
      </c>
      <c r="J897" s="1">
        <f>IF(B897="", "", "human oral metagenome")</f>
        <v>0</v>
      </c>
      <c r="K897" s="1">
        <f>IF(B897="", "", "447426")</f>
        <v>0</v>
      </c>
    </row>
    <row r="898" spans="1:11">
      <c r="A898">
        <f>IF(COUNTBLANK(B898:K898)&lt;&gt;COLUMNS(B898:K898),897,"")</f>
        <v>0</v>
      </c>
      <c r="C898" s="1">
        <f>IF(B898="", "", "animal secretion")</f>
        <v>0</v>
      </c>
      <c r="D898" s="1">
        <f>IF(B898="", "", "saliva")</f>
        <v>0</v>
      </c>
      <c r="E898" s="1">
        <f>IF(B898="", "", "human-oral")</f>
        <v>0</v>
      </c>
      <c r="F898" s="1">
        <f>IF(B898="", "", "UBERON:oral cavity")</f>
        <v>0</v>
      </c>
      <c r="G898" s="1">
        <f>IF(B898="", "", "UBERON:saliva")</f>
        <v>0</v>
      </c>
      <c r="H898" s="1">
        <f>IF(B898="", "", "UBERON:tongue")</f>
        <v>0</v>
      </c>
      <c r="I898" s="1">
        <f>IF(B898="", "", "tongue")</f>
        <v>0</v>
      </c>
      <c r="J898" s="1">
        <f>IF(B898="", "", "human oral metagenome")</f>
        <v>0</v>
      </c>
      <c r="K898" s="1">
        <f>IF(B898="", "", "447426")</f>
        <v>0</v>
      </c>
    </row>
    <row r="899" spans="1:11">
      <c r="A899">
        <f>IF(COUNTBLANK(B899:K899)&lt;&gt;COLUMNS(B899:K899),898,"")</f>
        <v>0</v>
      </c>
      <c r="C899" s="1">
        <f>IF(B899="", "", "animal secretion")</f>
        <v>0</v>
      </c>
      <c r="D899" s="1">
        <f>IF(B899="", "", "saliva")</f>
        <v>0</v>
      </c>
      <c r="E899" s="1">
        <f>IF(B899="", "", "human-oral")</f>
        <v>0</v>
      </c>
      <c r="F899" s="1">
        <f>IF(B899="", "", "UBERON:oral cavity")</f>
        <v>0</v>
      </c>
      <c r="G899" s="1">
        <f>IF(B899="", "", "UBERON:saliva")</f>
        <v>0</v>
      </c>
      <c r="H899" s="1">
        <f>IF(B899="", "", "UBERON:tongue")</f>
        <v>0</v>
      </c>
      <c r="I899" s="1">
        <f>IF(B899="", "", "tongue")</f>
        <v>0</v>
      </c>
      <c r="J899" s="1">
        <f>IF(B899="", "", "human oral metagenome")</f>
        <v>0</v>
      </c>
      <c r="K899" s="1">
        <f>IF(B899="", "", "447426")</f>
        <v>0</v>
      </c>
    </row>
    <row r="900" spans="1:11">
      <c r="A900">
        <f>IF(COUNTBLANK(B900:K900)&lt;&gt;COLUMNS(B900:K900),899,"")</f>
        <v>0</v>
      </c>
      <c r="C900" s="1">
        <f>IF(B900="", "", "animal secretion")</f>
        <v>0</v>
      </c>
      <c r="D900" s="1">
        <f>IF(B900="", "", "saliva")</f>
        <v>0</v>
      </c>
      <c r="E900" s="1">
        <f>IF(B900="", "", "human-oral")</f>
        <v>0</v>
      </c>
      <c r="F900" s="1">
        <f>IF(B900="", "", "UBERON:oral cavity")</f>
        <v>0</v>
      </c>
      <c r="G900" s="1">
        <f>IF(B900="", "", "UBERON:saliva")</f>
        <v>0</v>
      </c>
      <c r="H900" s="1">
        <f>IF(B900="", "", "UBERON:tongue")</f>
        <v>0</v>
      </c>
      <c r="I900" s="1">
        <f>IF(B900="", "", "tongue")</f>
        <v>0</v>
      </c>
      <c r="J900" s="1">
        <f>IF(B900="", "", "human oral metagenome")</f>
        <v>0</v>
      </c>
      <c r="K900" s="1">
        <f>IF(B900="", "", "447426")</f>
        <v>0</v>
      </c>
    </row>
    <row r="901" spans="1:11">
      <c r="A901">
        <f>IF(COUNTBLANK(B901:K901)&lt;&gt;COLUMNS(B901:K901),900,"")</f>
        <v>0</v>
      </c>
      <c r="C901" s="1">
        <f>IF(B901="", "", "animal secretion")</f>
        <v>0</v>
      </c>
      <c r="D901" s="1">
        <f>IF(B901="", "", "saliva")</f>
        <v>0</v>
      </c>
      <c r="E901" s="1">
        <f>IF(B901="", "", "human-oral")</f>
        <v>0</v>
      </c>
      <c r="F901" s="1">
        <f>IF(B901="", "", "UBERON:oral cavity")</f>
        <v>0</v>
      </c>
      <c r="G901" s="1">
        <f>IF(B901="", "", "UBERON:saliva")</f>
        <v>0</v>
      </c>
      <c r="H901" s="1">
        <f>IF(B901="", "", "UBERON:tongue")</f>
        <v>0</v>
      </c>
      <c r="I901" s="1">
        <f>IF(B901="", "", "tongue")</f>
        <v>0</v>
      </c>
      <c r="J901" s="1">
        <f>IF(B901="", "", "human oral metagenome")</f>
        <v>0</v>
      </c>
      <c r="K901" s="1">
        <f>IF(B901="", "", "447426")</f>
        <v>0</v>
      </c>
    </row>
    <row r="902" spans="1:11">
      <c r="A902">
        <f>IF(COUNTBLANK(B902:K902)&lt;&gt;COLUMNS(B902:K902),901,"")</f>
        <v>0</v>
      </c>
      <c r="C902" s="1">
        <f>IF(B902="", "", "animal secretion")</f>
        <v>0</v>
      </c>
      <c r="D902" s="1">
        <f>IF(B902="", "", "saliva")</f>
        <v>0</v>
      </c>
      <c r="E902" s="1">
        <f>IF(B902="", "", "human-oral")</f>
        <v>0</v>
      </c>
      <c r="F902" s="1">
        <f>IF(B902="", "", "UBERON:oral cavity")</f>
        <v>0</v>
      </c>
      <c r="G902" s="1">
        <f>IF(B902="", "", "UBERON:saliva")</f>
        <v>0</v>
      </c>
      <c r="H902" s="1">
        <f>IF(B902="", "", "UBERON:tongue")</f>
        <v>0</v>
      </c>
      <c r="I902" s="1">
        <f>IF(B902="", "", "tongue")</f>
        <v>0</v>
      </c>
      <c r="J902" s="1">
        <f>IF(B902="", "", "human oral metagenome")</f>
        <v>0</v>
      </c>
      <c r="K902" s="1">
        <f>IF(B902="", "", "447426")</f>
        <v>0</v>
      </c>
    </row>
    <row r="903" spans="1:11">
      <c r="A903">
        <f>IF(COUNTBLANK(B903:K903)&lt;&gt;COLUMNS(B903:K903),902,"")</f>
        <v>0</v>
      </c>
      <c r="C903" s="1">
        <f>IF(B903="", "", "animal secretion")</f>
        <v>0</v>
      </c>
      <c r="D903" s="1">
        <f>IF(B903="", "", "saliva")</f>
        <v>0</v>
      </c>
      <c r="E903" s="1">
        <f>IF(B903="", "", "human-oral")</f>
        <v>0</v>
      </c>
      <c r="F903" s="1">
        <f>IF(B903="", "", "UBERON:oral cavity")</f>
        <v>0</v>
      </c>
      <c r="G903" s="1">
        <f>IF(B903="", "", "UBERON:saliva")</f>
        <v>0</v>
      </c>
      <c r="H903" s="1">
        <f>IF(B903="", "", "UBERON:tongue")</f>
        <v>0</v>
      </c>
      <c r="I903" s="1">
        <f>IF(B903="", "", "tongue")</f>
        <v>0</v>
      </c>
      <c r="J903" s="1">
        <f>IF(B903="", "", "human oral metagenome")</f>
        <v>0</v>
      </c>
      <c r="K903" s="1">
        <f>IF(B903="", "", "447426")</f>
        <v>0</v>
      </c>
    </row>
    <row r="904" spans="1:11">
      <c r="A904">
        <f>IF(COUNTBLANK(B904:K904)&lt;&gt;COLUMNS(B904:K904),903,"")</f>
        <v>0</v>
      </c>
      <c r="C904" s="1">
        <f>IF(B904="", "", "animal secretion")</f>
        <v>0</v>
      </c>
      <c r="D904" s="1">
        <f>IF(B904="", "", "saliva")</f>
        <v>0</v>
      </c>
      <c r="E904" s="1">
        <f>IF(B904="", "", "human-oral")</f>
        <v>0</v>
      </c>
      <c r="F904" s="1">
        <f>IF(B904="", "", "UBERON:oral cavity")</f>
        <v>0</v>
      </c>
      <c r="G904" s="1">
        <f>IF(B904="", "", "UBERON:saliva")</f>
        <v>0</v>
      </c>
      <c r="H904" s="1">
        <f>IF(B904="", "", "UBERON:tongue")</f>
        <v>0</v>
      </c>
      <c r="I904" s="1">
        <f>IF(B904="", "", "tongue")</f>
        <v>0</v>
      </c>
      <c r="J904" s="1">
        <f>IF(B904="", "", "human oral metagenome")</f>
        <v>0</v>
      </c>
      <c r="K904" s="1">
        <f>IF(B904="", "", "447426")</f>
        <v>0</v>
      </c>
    </row>
    <row r="905" spans="1:11">
      <c r="A905">
        <f>IF(COUNTBLANK(B905:K905)&lt;&gt;COLUMNS(B905:K905),904,"")</f>
        <v>0</v>
      </c>
      <c r="C905" s="1">
        <f>IF(B905="", "", "animal secretion")</f>
        <v>0</v>
      </c>
      <c r="D905" s="1">
        <f>IF(B905="", "", "saliva")</f>
        <v>0</v>
      </c>
      <c r="E905" s="1">
        <f>IF(B905="", "", "human-oral")</f>
        <v>0</v>
      </c>
      <c r="F905" s="1">
        <f>IF(B905="", "", "UBERON:oral cavity")</f>
        <v>0</v>
      </c>
      <c r="G905" s="1">
        <f>IF(B905="", "", "UBERON:saliva")</f>
        <v>0</v>
      </c>
      <c r="H905" s="1">
        <f>IF(B905="", "", "UBERON:tongue")</f>
        <v>0</v>
      </c>
      <c r="I905" s="1">
        <f>IF(B905="", "", "tongue")</f>
        <v>0</v>
      </c>
      <c r="J905" s="1">
        <f>IF(B905="", "", "human oral metagenome")</f>
        <v>0</v>
      </c>
      <c r="K905" s="1">
        <f>IF(B905="", "", "447426")</f>
        <v>0</v>
      </c>
    </row>
    <row r="906" spans="1:11">
      <c r="A906">
        <f>IF(COUNTBLANK(B906:K906)&lt;&gt;COLUMNS(B906:K906),905,"")</f>
        <v>0</v>
      </c>
      <c r="C906" s="1">
        <f>IF(B906="", "", "animal secretion")</f>
        <v>0</v>
      </c>
      <c r="D906" s="1">
        <f>IF(B906="", "", "saliva")</f>
        <v>0</v>
      </c>
      <c r="E906" s="1">
        <f>IF(B906="", "", "human-oral")</f>
        <v>0</v>
      </c>
      <c r="F906" s="1">
        <f>IF(B906="", "", "UBERON:oral cavity")</f>
        <v>0</v>
      </c>
      <c r="G906" s="1">
        <f>IF(B906="", "", "UBERON:saliva")</f>
        <v>0</v>
      </c>
      <c r="H906" s="1">
        <f>IF(B906="", "", "UBERON:tongue")</f>
        <v>0</v>
      </c>
      <c r="I906" s="1">
        <f>IF(B906="", "", "tongue")</f>
        <v>0</v>
      </c>
      <c r="J906" s="1">
        <f>IF(B906="", "", "human oral metagenome")</f>
        <v>0</v>
      </c>
      <c r="K906" s="1">
        <f>IF(B906="", "", "447426")</f>
        <v>0</v>
      </c>
    </row>
    <row r="907" spans="1:11">
      <c r="A907">
        <f>IF(COUNTBLANK(B907:K907)&lt;&gt;COLUMNS(B907:K907),906,"")</f>
        <v>0</v>
      </c>
      <c r="C907" s="1">
        <f>IF(B907="", "", "animal secretion")</f>
        <v>0</v>
      </c>
      <c r="D907" s="1">
        <f>IF(B907="", "", "saliva")</f>
        <v>0</v>
      </c>
      <c r="E907" s="1">
        <f>IF(B907="", "", "human-oral")</f>
        <v>0</v>
      </c>
      <c r="F907" s="1">
        <f>IF(B907="", "", "UBERON:oral cavity")</f>
        <v>0</v>
      </c>
      <c r="G907" s="1">
        <f>IF(B907="", "", "UBERON:saliva")</f>
        <v>0</v>
      </c>
      <c r="H907" s="1">
        <f>IF(B907="", "", "UBERON:tongue")</f>
        <v>0</v>
      </c>
      <c r="I907" s="1">
        <f>IF(B907="", "", "tongue")</f>
        <v>0</v>
      </c>
      <c r="J907" s="1">
        <f>IF(B907="", "", "human oral metagenome")</f>
        <v>0</v>
      </c>
      <c r="K907" s="1">
        <f>IF(B907="", "", "447426")</f>
        <v>0</v>
      </c>
    </row>
    <row r="908" spans="1:11">
      <c r="A908">
        <f>IF(COUNTBLANK(B908:K908)&lt;&gt;COLUMNS(B908:K908),907,"")</f>
        <v>0</v>
      </c>
      <c r="C908" s="1">
        <f>IF(B908="", "", "animal secretion")</f>
        <v>0</v>
      </c>
      <c r="D908" s="1">
        <f>IF(B908="", "", "saliva")</f>
        <v>0</v>
      </c>
      <c r="E908" s="1">
        <f>IF(B908="", "", "human-oral")</f>
        <v>0</v>
      </c>
      <c r="F908" s="1">
        <f>IF(B908="", "", "UBERON:oral cavity")</f>
        <v>0</v>
      </c>
      <c r="G908" s="1">
        <f>IF(B908="", "", "UBERON:saliva")</f>
        <v>0</v>
      </c>
      <c r="H908" s="1">
        <f>IF(B908="", "", "UBERON:tongue")</f>
        <v>0</v>
      </c>
      <c r="I908" s="1">
        <f>IF(B908="", "", "tongue")</f>
        <v>0</v>
      </c>
      <c r="J908" s="1">
        <f>IF(B908="", "", "human oral metagenome")</f>
        <v>0</v>
      </c>
      <c r="K908" s="1">
        <f>IF(B908="", "", "447426")</f>
        <v>0</v>
      </c>
    </row>
    <row r="909" spans="1:11">
      <c r="A909">
        <f>IF(COUNTBLANK(B909:K909)&lt;&gt;COLUMNS(B909:K909),908,"")</f>
        <v>0</v>
      </c>
      <c r="C909" s="1">
        <f>IF(B909="", "", "animal secretion")</f>
        <v>0</v>
      </c>
      <c r="D909" s="1">
        <f>IF(B909="", "", "saliva")</f>
        <v>0</v>
      </c>
      <c r="E909" s="1">
        <f>IF(B909="", "", "human-oral")</f>
        <v>0</v>
      </c>
      <c r="F909" s="1">
        <f>IF(B909="", "", "UBERON:oral cavity")</f>
        <v>0</v>
      </c>
      <c r="G909" s="1">
        <f>IF(B909="", "", "UBERON:saliva")</f>
        <v>0</v>
      </c>
      <c r="H909" s="1">
        <f>IF(B909="", "", "UBERON:tongue")</f>
        <v>0</v>
      </c>
      <c r="I909" s="1">
        <f>IF(B909="", "", "tongue")</f>
        <v>0</v>
      </c>
      <c r="J909" s="1">
        <f>IF(B909="", "", "human oral metagenome")</f>
        <v>0</v>
      </c>
      <c r="K909" s="1">
        <f>IF(B909="", "", "447426")</f>
        <v>0</v>
      </c>
    </row>
    <row r="910" spans="1:11">
      <c r="A910">
        <f>IF(COUNTBLANK(B910:K910)&lt;&gt;COLUMNS(B910:K910),909,"")</f>
        <v>0</v>
      </c>
      <c r="C910" s="1">
        <f>IF(B910="", "", "animal secretion")</f>
        <v>0</v>
      </c>
      <c r="D910" s="1">
        <f>IF(B910="", "", "saliva")</f>
        <v>0</v>
      </c>
      <c r="E910" s="1">
        <f>IF(B910="", "", "human-oral")</f>
        <v>0</v>
      </c>
      <c r="F910" s="1">
        <f>IF(B910="", "", "UBERON:oral cavity")</f>
        <v>0</v>
      </c>
      <c r="G910" s="1">
        <f>IF(B910="", "", "UBERON:saliva")</f>
        <v>0</v>
      </c>
      <c r="H910" s="1">
        <f>IF(B910="", "", "UBERON:tongue")</f>
        <v>0</v>
      </c>
      <c r="I910" s="1">
        <f>IF(B910="", "", "tongue")</f>
        <v>0</v>
      </c>
      <c r="J910" s="1">
        <f>IF(B910="", "", "human oral metagenome")</f>
        <v>0</v>
      </c>
      <c r="K910" s="1">
        <f>IF(B910="", "", "447426")</f>
        <v>0</v>
      </c>
    </row>
    <row r="911" spans="1:11">
      <c r="A911">
        <f>IF(COUNTBLANK(B911:K911)&lt;&gt;COLUMNS(B911:K911),910,"")</f>
        <v>0</v>
      </c>
      <c r="C911" s="1">
        <f>IF(B911="", "", "animal secretion")</f>
        <v>0</v>
      </c>
      <c r="D911" s="1">
        <f>IF(B911="", "", "saliva")</f>
        <v>0</v>
      </c>
      <c r="E911" s="1">
        <f>IF(B911="", "", "human-oral")</f>
        <v>0</v>
      </c>
      <c r="F911" s="1">
        <f>IF(B911="", "", "UBERON:oral cavity")</f>
        <v>0</v>
      </c>
      <c r="G911" s="1">
        <f>IF(B911="", "", "UBERON:saliva")</f>
        <v>0</v>
      </c>
      <c r="H911" s="1">
        <f>IF(B911="", "", "UBERON:tongue")</f>
        <v>0</v>
      </c>
      <c r="I911" s="1">
        <f>IF(B911="", "", "tongue")</f>
        <v>0</v>
      </c>
      <c r="J911" s="1">
        <f>IF(B911="", "", "human oral metagenome")</f>
        <v>0</v>
      </c>
      <c r="K911" s="1">
        <f>IF(B911="", "", "447426")</f>
        <v>0</v>
      </c>
    </row>
    <row r="912" spans="1:11">
      <c r="A912">
        <f>IF(COUNTBLANK(B912:K912)&lt;&gt;COLUMNS(B912:K912),911,"")</f>
        <v>0</v>
      </c>
      <c r="C912" s="1">
        <f>IF(B912="", "", "animal secretion")</f>
        <v>0</v>
      </c>
      <c r="D912" s="1">
        <f>IF(B912="", "", "saliva")</f>
        <v>0</v>
      </c>
      <c r="E912" s="1">
        <f>IF(B912="", "", "human-oral")</f>
        <v>0</v>
      </c>
      <c r="F912" s="1">
        <f>IF(B912="", "", "UBERON:oral cavity")</f>
        <v>0</v>
      </c>
      <c r="G912" s="1">
        <f>IF(B912="", "", "UBERON:saliva")</f>
        <v>0</v>
      </c>
      <c r="H912" s="1">
        <f>IF(B912="", "", "UBERON:tongue")</f>
        <v>0</v>
      </c>
      <c r="I912" s="1">
        <f>IF(B912="", "", "tongue")</f>
        <v>0</v>
      </c>
      <c r="J912" s="1">
        <f>IF(B912="", "", "human oral metagenome")</f>
        <v>0</v>
      </c>
      <c r="K912" s="1">
        <f>IF(B912="", "", "447426")</f>
        <v>0</v>
      </c>
    </row>
    <row r="913" spans="1:11">
      <c r="A913">
        <f>IF(COUNTBLANK(B913:K913)&lt;&gt;COLUMNS(B913:K913),912,"")</f>
        <v>0</v>
      </c>
      <c r="C913" s="1">
        <f>IF(B913="", "", "animal secretion")</f>
        <v>0</v>
      </c>
      <c r="D913" s="1">
        <f>IF(B913="", "", "saliva")</f>
        <v>0</v>
      </c>
      <c r="E913" s="1">
        <f>IF(B913="", "", "human-oral")</f>
        <v>0</v>
      </c>
      <c r="F913" s="1">
        <f>IF(B913="", "", "UBERON:oral cavity")</f>
        <v>0</v>
      </c>
      <c r="G913" s="1">
        <f>IF(B913="", "", "UBERON:saliva")</f>
        <v>0</v>
      </c>
      <c r="H913" s="1">
        <f>IF(B913="", "", "UBERON:tongue")</f>
        <v>0</v>
      </c>
      <c r="I913" s="1">
        <f>IF(B913="", "", "tongue")</f>
        <v>0</v>
      </c>
      <c r="J913" s="1">
        <f>IF(B913="", "", "human oral metagenome")</f>
        <v>0</v>
      </c>
      <c r="K913" s="1">
        <f>IF(B913="", "", "447426")</f>
        <v>0</v>
      </c>
    </row>
    <row r="914" spans="1:11">
      <c r="A914">
        <f>IF(COUNTBLANK(B914:K914)&lt;&gt;COLUMNS(B914:K914),913,"")</f>
        <v>0</v>
      </c>
      <c r="C914" s="1">
        <f>IF(B914="", "", "animal secretion")</f>
        <v>0</v>
      </c>
      <c r="D914" s="1">
        <f>IF(B914="", "", "saliva")</f>
        <v>0</v>
      </c>
      <c r="E914" s="1">
        <f>IF(B914="", "", "human-oral")</f>
        <v>0</v>
      </c>
      <c r="F914" s="1">
        <f>IF(B914="", "", "UBERON:oral cavity")</f>
        <v>0</v>
      </c>
      <c r="G914" s="1">
        <f>IF(B914="", "", "UBERON:saliva")</f>
        <v>0</v>
      </c>
      <c r="H914" s="1">
        <f>IF(B914="", "", "UBERON:tongue")</f>
        <v>0</v>
      </c>
      <c r="I914" s="1">
        <f>IF(B914="", "", "tongue")</f>
        <v>0</v>
      </c>
      <c r="J914" s="1">
        <f>IF(B914="", "", "human oral metagenome")</f>
        <v>0</v>
      </c>
      <c r="K914" s="1">
        <f>IF(B914="", "", "447426")</f>
        <v>0</v>
      </c>
    </row>
    <row r="915" spans="1:11">
      <c r="A915">
        <f>IF(COUNTBLANK(B915:K915)&lt;&gt;COLUMNS(B915:K915),914,"")</f>
        <v>0</v>
      </c>
      <c r="C915" s="1">
        <f>IF(B915="", "", "animal secretion")</f>
        <v>0</v>
      </c>
      <c r="D915" s="1">
        <f>IF(B915="", "", "saliva")</f>
        <v>0</v>
      </c>
      <c r="E915" s="1">
        <f>IF(B915="", "", "human-oral")</f>
        <v>0</v>
      </c>
      <c r="F915" s="1">
        <f>IF(B915="", "", "UBERON:oral cavity")</f>
        <v>0</v>
      </c>
      <c r="G915" s="1">
        <f>IF(B915="", "", "UBERON:saliva")</f>
        <v>0</v>
      </c>
      <c r="H915" s="1">
        <f>IF(B915="", "", "UBERON:tongue")</f>
        <v>0</v>
      </c>
      <c r="I915" s="1">
        <f>IF(B915="", "", "tongue")</f>
        <v>0</v>
      </c>
      <c r="J915" s="1">
        <f>IF(B915="", "", "human oral metagenome")</f>
        <v>0</v>
      </c>
      <c r="K915" s="1">
        <f>IF(B915="", "", "447426")</f>
        <v>0</v>
      </c>
    </row>
    <row r="916" spans="1:11">
      <c r="A916">
        <f>IF(COUNTBLANK(B916:K916)&lt;&gt;COLUMNS(B916:K916),915,"")</f>
        <v>0</v>
      </c>
      <c r="C916" s="1">
        <f>IF(B916="", "", "animal secretion")</f>
        <v>0</v>
      </c>
      <c r="D916" s="1">
        <f>IF(B916="", "", "saliva")</f>
        <v>0</v>
      </c>
      <c r="E916" s="1">
        <f>IF(B916="", "", "human-oral")</f>
        <v>0</v>
      </c>
      <c r="F916" s="1">
        <f>IF(B916="", "", "UBERON:oral cavity")</f>
        <v>0</v>
      </c>
      <c r="G916" s="1">
        <f>IF(B916="", "", "UBERON:saliva")</f>
        <v>0</v>
      </c>
      <c r="H916" s="1">
        <f>IF(B916="", "", "UBERON:tongue")</f>
        <v>0</v>
      </c>
      <c r="I916" s="1">
        <f>IF(B916="", "", "tongue")</f>
        <v>0</v>
      </c>
      <c r="J916" s="1">
        <f>IF(B916="", "", "human oral metagenome")</f>
        <v>0</v>
      </c>
      <c r="K916" s="1">
        <f>IF(B916="", "", "447426")</f>
        <v>0</v>
      </c>
    </row>
    <row r="917" spans="1:11">
      <c r="A917">
        <f>IF(COUNTBLANK(B917:K917)&lt;&gt;COLUMNS(B917:K917),916,"")</f>
        <v>0</v>
      </c>
      <c r="C917" s="1">
        <f>IF(B917="", "", "animal secretion")</f>
        <v>0</v>
      </c>
      <c r="D917" s="1">
        <f>IF(B917="", "", "saliva")</f>
        <v>0</v>
      </c>
      <c r="E917" s="1">
        <f>IF(B917="", "", "human-oral")</f>
        <v>0</v>
      </c>
      <c r="F917" s="1">
        <f>IF(B917="", "", "UBERON:oral cavity")</f>
        <v>0</v>
      </c>
      <c r="G917" s="1">
        <f>IF(B917="", "", "UBERON:saliva")</f>
        <v>0</v>
      </c>
      <c r="H917" s="1">
        <f>IF(B917="", "", "UBERON:tongue")</f>
        <v>0</v>
      </c>
      <c r="I917" s="1">
        <f>IF(B917="", "", "tongue")</f>
        <v>0</v>
      </c>
      <c r="J917" s="1">
        <f>IF(B917="", "", "human oral metagenome")</f>
        <v>0</v>
      </c>
      <c r="K917" s="1">
        <f>IF(B917="", "", "447426")</f>
        <v>0</v>
      </c>
    </row>
    <row r="918" spans="1:11">
      <c r="A918">
        <f>IF(COUNTBLANK(B918:K918)&lt;&gt;COLUMNS(B918:K918),917,"")</f>
        <v>0</v>
      </c>
      <c r="C918" s="1">
        <f>IF(B918="", "", "animal secretion")</f>
        <v>0</v>
      </c>
      <c r="D918" s="1">
        <f>IF(B918="", "", "saliva")</f>
        <v>0</v>
      </c>
      <c r="E918" s="1">
        <f>IF(B918="", "", "human-oral")</f>
        <v>0</v>
      </c>
      <c r="F918" s="1">
        <f>IF(B918="", "", "UBERON:oral cavity")</f>
        <v>0</v>
      </c>
      <c r="G918" s="1">
        <f>IF(B918="", "", "UBERON:saliva")</f>
        <v>0</v>
      </c>
      <c r="H918" s="1">
        <f>IF(B918="", "", "UBERON:tongue")</f>
        <v>0</v>
      </c>
      <c r="I918" s="1">
        <f>IF(B918="", "", "tongue")</f>
        <v>0</v>
      </c>
      <c r="J918" s="1">
        <f>IF(B918="", "", "human oral metagenome")</f>
        <v>0</v>
      </c>
      <c r="K918" s="1">
        <f>IF(B918="", "", "447426")</f>
        <v>0</v>
      </c>
    </row>
    <row r="919" spans="1:11">
      <c r="A919">
        <f>IF(COUNTBLANK(B919:K919)&lt;&gt;COLUMNS(B919:K919),918,"")</f>
        <v>0</v>
      </c>
      <c r="C919" s="1">
        <f>IF(B919="", "", "animal secretion")</f>
        <v>0</v>
      </c>
      <c r="D919" s="1">
        <f>IF(B919="", "", "saliva")</f>
        <v>0</v>
      </c>
      <c r="E919" s="1">
        <f>IF(B919="", "", "human-oral")</f>
        <v>0</v>
      </c>
      <c r="F919" s="1">
        <f>IF(B919="", "", "UBERON:oral cavity")</f>
        <v>0</v>
      </c>
      <c r="G919" s="1">
        <f>IF(B919="", "", "UBERON:saliva")</f>
        <v>0</v>
      </c>
      <c r="H919" s="1">
        <f>IF(B919="", "", "UBERON:tongue")</f>
        <v>0</v>
      </c>
      <c r="I919" s="1">
        <f>IF(B919="", "", "tongue")</f>
        <v>0</v>
      </c>
      <c r="J919" s="1">
        <f>IF(B919="", "", "human oral metagenome")</f>
        <v>0</v>
      </c>
      <c r="K919" s="1">
        <f>IF(B919="", "", "447426")</f>
        <v>0</v>
      </c>
    </row>
    <row r="920" spans="1:11">
      <c r="A920">
        <f>IF(COUNTBLANK(B920:K920)&lt;&gt;COLUMNS(B920:K920),919,"")</f>
        <v>0</v>
      </c>
      <c r="C920" s="1">
        <f>IF(B920="", "", "animal secretion")</f>
        <v>0</v>
      </c>
      <c r="D920" s="1">
        <f>IF(B920="", "", "saliva")</f>
        <v>0</v>
      </c>
      <c r="E920" s="1">
        <f>IF(B920="", "", "human-oral")</f>
        <v>0</v>
      </c>
      <c r="F920" s="1">
        <f>IF(B920="", "", "UBERON:oral cavity")</f>
        <v>0</v>
      </c>
      <c r="G920" s="1">
        <f>IF(B920="", "", "UBERON:saliva")</f>
        <v>0</v>
      </c>
      <c r="H920" s="1">
        <f>IF(B920="", "", "UBERON:tongue")</f>
        <v>0</v>
      </c>
      <c r="I920" s="1">
        <f>IF(B920="", "", "tongue")</f>
        <v>0</v>
      </c>
      <c r="J920" s="1">
        <f>IF(B920="", "", "human oral metagenome")</f>
        <v>0</v>
      </c>
      <c r="K920" s="1">
        <f>IF(B920="", "", "447426")</f>
        <v>0</v>
      </c>
    </row>
    <row r="921" spans="1:11">
      <c r="A921">
        <f>IF(COUNTBLANK(B921:K921)&lt;&gt;COLUMNS(B921:K921),920,"")</f>
        <v>0</v>
      </c>
      <c r="C921" s="1">
        <f>IF(B921="", "", "animal secretion")</f>
        <v>0</v>
      </c>
      <c r="D921" s="1">
        <f>IF(B921="", "", "saliva")</f>
        <v>0</v>
      </c>
      <c r="E921" s="1">
        <f>IF(B921="", "", "human-oral")</f>
        <v>0</v>
      </c>
      <c r="F921" s="1">
        <f>IF(B921="", "", "UBERON:oral cavity")</f>
        <v>0</v>
      </c>
      <c r="G921" s="1">
        <f>IF(B921="", "", "UBERON:saliva")</f>
        <v>0</v>
      </c>
      <c r="H921" s="1">
        <f>IF(B921="", "", "UBERON:tongue")</f>
        <v>0</v>
      </c>
      <c r="I921" s="1">
        <f>IF(B921="", "", "tongue")</f>
        <v>0</v>
      </c>
      <c r="J921" s="1">
        <f>IF(B921="", "", "human oral metagenome")</f>
        <v>0</v>
      </c>
      <c r="K921" s="1">
        <f>IF(B921="", "", "447426")</f>
        <v>0</v>
      </c>
    </row>
    <row r="922" spans="1:11">
      <c r="A922">
        <f>IF(COUNTBLANK(B922:K922)&lt;&gt;COLUMNS(B922:K922),921,"")</f>
        <v>0</v>
      </c>
      <c r="C922" s="1">
        <f>IF(B922="", "", "animal secretion")</f>
        <v>0</v>
      </c>
      <c r="D922" s="1">
        <f>IF(B922="", "", "saliva")</f>
        <v>0</v>
      </c>
      <c r="E922" s="1">
        <f>IF(B922="", "", "human-oral")</f>
        <v>0</v>
      </c>
      <c r="F922" s="1">
        <f>IF(B922="", "", "UBERON:oral cavity")</f>
        <v>0</v>
      </c>
      <c r="G922" s="1">
        <f>IF(B922="", "", "UBERON:saliva")</f>
        <v>0</v>
      </c>
      <c r="H922" s="1">
        <f>IF(B922="", "", "UBERON:tongue")</f>
        <v>0</v>
      </c>
      <c r="I922" s="1">
        <f>IF(B922="", "", "tongue")</f>
        <v>0</v>
      </c>
      <c r="J922" s="1">
        <f>IF(B922="", "", "human oral metagenome")</f>
        <v>0</v>
      </c>
      <c r="K922" s="1">
        <f>IF(B922="", "", "447426")</f>
        <v>0</v>
      </c>
    </row>
    <row r="923" spans="1:11">
      <c r="A923">
        <f>IF(COUNTBLANK(B923:K923)&lt;&gt;COLUMNS(B923:K923),922,"")</f>
        <v>0</v>
      </c>
      <c r="C923" s="1">
        <f>IF(B923="", "", "animal secretion")</f>
        <v>0</v>
      </c>
      <c r="D923" s="1">
        <f>IF(B923="", "", "saliva")</f>
        <v>0</v>
      </c>
      <c r="E923" s="1">
        <f>IF(B923="", "", "human-oral")</f>
        <v>0</v>
      </c>
      <c r="F923" s="1">
        <f>IF(B923="", "", "UBERON:oral cavity")</f>
        <v>0</v>
      </c>
      <c r="G923" s="1">
        <f>IF(B923="", "", "UBERON:saliva")</f>
        <v>0</v>
      </c>
      <c r="H923" s="1">
        <f>IF(B923="", "", "UBERON:tongue")</f>
        <v>0</v>
      </c>
      <c r="I923" s="1">
        <f>IF(B923="", "", "tongue")</f>
        <v>0</v>
      </c>
      <c r="J923" s="1">
        <f>IF(B923="", "", "human oral metagenome")</f>
        <v>0</v>
      </c>
      <c r="K923" s="1">
        <f>IF(B923="", "", "447426")</f>
        <v>0</v>
      </c>
    </row>
    <row r="924" spans="1:11">
      <c r="A924">
        <f>IF(COUNTBLANK(B924:K924)&lt;&gt;COLUMNS(B924:K924),923,"")</f>
        <v>0</v>
      </c>
      <c r="C924" s="1">
        <f>IF(B924="", "", "animal secretion")</f>
        <v>0</v>
      </c>
      <c r="D924" s="1">
        <f>IF(B924="", "", "saliva")</f>
        <v>0</v>
      </c>
      <c r="E924" s="1">
        <f>IF(B924="", "", "human-oral")</f>
        <v>0</v>
      </c>
      <c r="F924" s="1">
        <f>IF(B924="", "", "UBERON:oral cavity")</f>
        <v>0</v>
      </c>
      <c r="G924" s="1">
        <f>IF(B924="", "", "UBERON:saliva")</f>
        <v>0</v>
      </c>
      <c r="H924" s="1">
        <f>IF(B924="", "", "UBERON:tongue")</f>
        <v>0</v>
      </c>
      <c r="I924" s="1">
        <f>IF(B924="", "", "tongue")</f>
        <v>0</v>
      </c>
      <c r="J924" s="1">
        <f>IF(B924="", "", "human oral metagenome")</f>
        <v>0</v>
      </c>
      <c r="K924" s="1">
        <f>IF(B924="", "", "447426")</f>
        <v>0</v>
      </c>
    </row>
    <row r="925" spans="1:11">
      <c r="A925">
        <f>IF(COUNTBLANK(B925:K925)&lt;&gt;COLUMNS(B925:K925),924,"")</f>
        <v>0</v>
      </c>
      <c r="C925" s="1">
        <f>IF(B925="", "", "animal secretion")</f>
        <v>0</v>
      </c>
      <c r="D925" s="1">
        <f>IF(B925="", "", "saliva")</f>
        <v>0</v>
      </c>
      <c r="E925" s="1">
        <f>IF(B925="", "", "human-oral")</f>
        <v>0</v>
      </c>
      <c r="F925" s="1">
        <f>IF(B925="", "", "UBERON:oral cavity")</f>
        <v>0</v>
      </c>
      <c r="G925" s="1">
        <f>IF(B925="", "", "UBERON:saliva")</f>
        <v>0</v>
      </c>
      <c r="H925" s="1">
        <f>IF(B925="", "", "UBERON:tongue")</f>
        <v>0</v>
      </c>
      <c r="I925" s="1">
        <f>IF(B925="", "", "tongue")</f>
        <v>0</v>
      </c>
      <c r="J925" s="1">
        <f>IF(B925="", "", "human oral metagenome")</f>
        <v>0</v>
      </c>
      <c r="K925" s="1">
        <f>IF(B925="", "", "447426")</f>
        <v>0</v>
      </c>
    </row>
    <row r="926" spans="1:11">
      <c r="A926">
        <f>IF(COUNTBLANK(B926:K926)&lt;&gt;COLUMNS(B926:K926),925,"")</f>
        <v>0</v>
      </c>
      <c r="C926" s="1">
        <f>IF(B926="", "", "animal secretion")</f>
        <v>0</v>
      </c>
      <c r="D926" s="1">
        <f>IF(B926="", "", "saliva")</f>
        <v>0</v>
      </c>
      <c r="E926" s="1">
        <f>IF(B926="", "", "human-oral")</f>
        <v>0</v>
      </c>
      <c r="F926" s="1">
        <f>IF(B926="", "", "UBERON:oral cavity")</f>
        <v>0</v>
      </c>
      <c r="G926" s="1">
        <f>IF(B926="", "", "UBERON:saliva")</f>
        <v>0</v>
      </c>
      <c r="H926" s="1">
        <f>IF(B926="", "", "UBERON:tongue")</f>
        <v>0</v>
      </c>
      <c r="I926" s="1">
        <f>IF(B926="", "", "tongue")</f>
        <v>0</v>
      </c>
      <c r="J926" s="1">
        <f>IF(B926="", "", "human oral metagenome")</f>
        <v>0</v>
      </c>
      <c r="K926" s="1">
        <f>IF(B926="", "", "447426")</f>
        <v>0</v>
      </c>
    </row>
    <row r="927" spans="1:11">
      <c r="A927">
        <f>IF(COUNTBLANK(B927:K927)&lt;&gt;COLUMNS(B927:K927),926,"")</f>
        <v>0</v>
      </c>
      <c r="C927" s="1">
        <f>IF(B927="", "", "animal secretion")</f>
        <v>0</v>
      </c>
      <c r="D927" s="1">
        <f>IF(B927="", "", "saliva")</f>
        <v>0</v>
      </c>
      <c r="E927" s="1">
        <f>IF(B927="", "", "human-oral")</f>
        <v>0</v>
      </c>
      <c r="F927" s="1">
        <f>IF(B927="", "", "UBERON:oral cavity")</f>
        <v>0</v>
      </c>
      <c r="G927" s="1">
        <f>IF(B927="", "", "UBERON:saliva")</f>
        <v>0</v>
      </c>
      <c r="H927" s="1">
        <f>IF(B927="", "", "UBERON:tongue")</f>
        <v>0</v>
      </c>
      <c r="I927" s="1">
        <f>IF(B927="", "", "tongue")</f>
        <v>0</v>
      </c>
      <c r="J927" s="1">
        <f>IF(B927="", "", "human oral metagenome")</f>
        <v>0</v>
      </c>
      <c r="K927" s="1">
        <f>IF(B927="", "", "447426")</f>
        <v>0</v>
      </c>
    </row>
    <row r="928" spans="1:11">
      <c r="A928">
        <f>IF(COUNTBLANK(B928:K928)&lt;&gt;COLUMNS(B928:K928),927,"")</f>
        <v>0</v>
      </c>
      <c r="C928" s="1">
        <f>IF(B928="", "", "animal secretion")</f>
        <v>0</v>
      </c>
      <c r="D928" s="1">
        <f>IF(B928="", "", "saliva")</f>
        <v>0</v>
      </c>
      <c r="E928" s="1">
        <f>IF(B928="", "", "human-oral")</f>
        <v>0</v>
      </c>
      <c r="F928" s="1">
        <f>IF(B928="", "", "UBERON:oral cavity")</f>
        <v>0</v>
      </c>
      <c r="G928" s="1">
        <f>IF(B928="", "", "UBERON:saliva")</f>
        <v>0</v>
      </c>
      <c r="H928" s="1">
        <f>IF(B928="", "", "UBERON:tongue")</f>
        <v>0</v>
      </c>
      <c r="I928" s="1">
        <f>IF(B928="", "", "tongue")</f>
        <v>0</v>
      </c>
      <c r="J928" s="1">
        <f>IF(B928="", "", "human oral metagenome")</f>
        <v>0</v>
      </c>
      <c r="K928" s="1">
        <f>IF(B928="", "", "447426")</f>
        <v>0</v>
      </c>
    </row>
    <row r="929" spans="1:11">
      <c r="A929">
        <f>IF(COUNTBLANK(B929:K929)&lt;&gt;COLUMNS(B929:K929),928,"")</f>
        <v>0</v>
      </c>
      <c r="C929" s="1">
        <f>IF(B929="", "", "animal secretion")</f>
        <v>0</v>
      </c>
      <c r="D929" s="1">
        <f>IF(B929="", "", "saliva")</f>
        <v>0</v>
      </c>
      <c r="E929" s="1">
        <f>IF(B929="", "", "human-oral")</f>
        <v>0</v>
      </c>
      <c r="F929" s="1">
        <f>IF(B929="", "", "UBERON:oral cavity")</f>
        <v>0</v>
      </c>
      <c r="G929" s="1">
        <f>IF(B929="", "", "UBERON:saliva")</f>
        <v>0</v>
      </c>
      <c r="H929" s="1">
        <f>IF(B929="", "", "UBERON:tongue")</f>
        <v>0</v>
      </c>
      <c r="I929" s="1">
        <f>IF(B929="", "", "tongue")</f>
        <v>0</v>
      </c>
      <c r="J929" s="1">
        <f>IF(B929="", "", "human oral metagenome")</f>
        <v>0</v>
      </c>
      <c r="K929" s="1">
        <f>IF(B929="", "", "447426")</f>
        <v>0</v>
      </c>
    </row>
    <row r="930" spans="1:11">
      <c r="A930">
        <f>IF(COUNTBLANK(B930:K930)&lt;&gt;COLUMNS(B930:K930),929,"")</f>
        <v>0</v>
      </c>
      <c r="C930" s="1">
        <f>IF(B930="", "", "animal secretion")</f>
        <v>0</v>
      </c>
      <c r="D930" s="1">
        <f>IF(B930="", "", "saliva")</f>
        <v>0</v>
      </c>
      <c r="E930" s="1">
        <f>IF(B930="", "", "human-oral")</f>
        <v>0</v>
      </c>
      <c r="F930" s="1">
        <f>IF(B930="", "", "UBERON:oral cavity")</f>
        <v>0</v>
      </c>
      <c r="G930" s="1">
        <f>IF(B930="", "", "UBERON:saliva")</f>
        <v>0</v>
      </c>
      <c r="H930" s="1">
        <f>IF(B930="", "", "UBERON:tongue")</f>
        <v>0</v>
      </c>
      <c r="I930" s="1">
        <f>IF(B930="", "", "tongue")</f>
        <v>0</v>
      </c>
      <c r="J930" s="1">
        <f>IF(B930="", "", "human oral metagenome")</f>
        <v>0</v>
      </c>
      <c r="K930" s="1">
        <f>IF(B930="", "", "447426")</f>
        <v>0</v>
      </c>
    </row>
    <row r="931" spans="1:11">
      <c r="A931">
        <f>IF(COUNTBLANK(B931:K931)&lt;&gt;COLUMNS(B931:K931),930,"")</f>
        <v>0</v>
      </c>
      <c r="C931" s="1">
        <f>IF(B931="", "", "animal secretion")</f>
        <v>0</v>
      </c>
      <c r="D931" s="1">
        <f>IF(B931="", "", "saliva")</f>
        <v>0</v>
      </c>
      <c r="E931" s="1">
        <f>IF(B931="", "", "human-oral")</f>
        <v>0</v>
      </c>
      <c r="F931" s="1">
        <f>IF(B931="", "", "UBERON:oral cavity")</f>
        <v>0</v>
      </c>
      <c r="G931" s="1">
        <f>IF(B931="", "", "UBERON:saliva")</f>
        <v>0</v>
      </c>
      <c r="H931" s="1">
        <f>IF(B931="", "", "UBERON:tongue")</f>
        <v>0</v>
      </c>
      <c r="I931" s="1">
        <f>IF(B931="", "", "tongue")</f>
        <v>0</v>
      </c>
      <c r="J931" s="1">
        <f>IF(B931="", "", "human oral metagenome")</f>
        <v>0</v>
      </c>
      <c r="K931" s="1">
        <f>IF(B931="", "", "447426")</f>
        <v>0</v>
      </c>
    </row>
    <row r="932" spans="1:11">
      <c r="A932">
        <f>IF(COUNTBLANK(B932:K932)&lt;&gt;COLUMNS(B932:K932),931,"")</f>
        <v>0</v>
      </c>
      <c r="C932" s="1">
        <f>IF(B932="", "", "animal secretion")</f>
        <v>0</v>
      </c>
      <c r="D932" s="1">
        <f>IF(B932="", "", "saliva")</f>
        <v>0</v>
      </c>
      <c r="E932" s="1">
        <f>IF(B932="", "", "human-oral")</f>
        <v>0</v>
      </c>
      <c r="F932" s="1">
        <f>IF(B932="", "", "UBERON:oral cavity")</f>
        <v>0</v>
      </c>
      <c r="G932" s="1">
        <f>IF(B932="", "", "UBERON:saliva")</f>
        <v>0</v>
      </c>
      <c r="H932" s="1">
        <f>IF(B932="", "", "UBERON:tongue")</f>
        <v>0</v>
      </c>
      <c r="I932" s="1">
        <f>IF(B932="", "", "tongue")</f>
        <v>0</v>
      </c>
      <c r="J932" s="1">
        <f>IF(B932="", "", "human oral metagenome")</f>
        <v>0</v>
      </c>
      <c r="K932" s="1">
        <f>IF(B932="", "", "447426")</f>
        <v>0</v>
      </c>
    </row>
    <row r="933" spans="1:11">
      <c r="A933">
        <f>IF(COUNTBLANK(B933:K933)&lt;&gt;COLUMNS(B933:K933),932,"")</f>
        <v>0</v>
      </c>
      <c r="C933" s="1">
        <f>IF(B933="", "", "animal secretion")</f>
        <v>0</v>
      </c>
      <c r="D933" s="1">
        <f>IF(B933="", "", "saliva")</f>
        <v>0</v>
      </c>
      <c r="E933" s="1">
        <f>IF(B933="", "", "human-oral")</f>
        <v>0</v>
      </c>
      <c r="F933" s="1">
        <f>IF(B933="", "", "UBERON:oral cavity")</f>
        <v>0</v>
      </c>
      <c r="G933" s="1">
        <f>IF(B933="", "", "UBERON:saliva")</f>
        <v>0</v>
      </c>
      <c r="H933" s="1">
        <f>IF(B933="", "", "UBERON:tongue")</f>
        <v>0</v>
      </c>
      <c r="I933" s="1">
        <f>IF(B933="", "", "tongue")</f>
        <v>0</v>
      </c>
      <c r="J933" s="1">
        <f>IF(B933="", "", "human oral metagenome")</f>
        <v>0</v>
      </c>
      <c r="K933" s="1">
        <f>IF(B933="", "", "447426")</f>
        <v>0</v>
      </c>
    </row>
    <row r="934" spans="1:11">
      <c r="A934">
        <f>IF(COUNTBLANK(B934:K934)&lt;&gt;COLUMNS(B934:K934),933,"")</f>
        <v>0</v>
      </c>
      <c r="C934" s="1">
        <f>IF(B934="", "", "animal secretion")</f>
        <v>0</v>
      </c>
      <c r="D934" s="1">
        <f>IF(B934="", "", "saliva")</f>
        <v>0</v>
      </c>
      <c r="E934" s="1">
        <f>IF(B934="", "", "human-oral")</f>
        <v>0</v>
      </c>
      <c r="F934" s="1">
        <f>IF(B934="", "", "UBERON:oral cavity")</f>
        <v>0</v>
      </c>
      <c r="G934" s="1">
        <f>IF(B934="", "", "UBERON:saliva")</f>
        <v>0</v>
      </c>
      <c r="H934" s="1">
        <f>IF(B934="", "", "UBERON:tongue")</f>
        <v>0</v>
      </c>
      <c r="I934" s="1">
        <f>IF(B934="", "", "tongue")</f>
        <v>0</v>
      </c>
      <c r="J934" s="1">
        <f>IF(B934="", "", "human oral metagenome")</f>
        <v>0</v>
      </c>
      <c r="K934" s="1">
        <f>IF(B934="", "", "447426")</f>
        <v>0</v>
      </c>
    </row>
    <row r="935" spans="1:11">
      <c r="A935">
        <f>IF(COUNTBLANK(B935:K935)&lt;&gt;COLUMNS(B935:K935),934,"")</f>
        <v>0</v>
      </c>
      <c r="C935" s="1">
        <f>IF(B935="", "", "animal secretion")</f>
        <v>0</v>
      </c>
      <c r="D935" s="1">
        <f>IF(B935="", "", "saliva")</f>
        <v>0</v>
      </c>
      <c r="E935" s="1">
        <f>IF(B935="", "", "human-oral")</f>
        <v>0</v>
      </c>
      <c r="F935" s="1">
        <f>IF(B935="", "", "UBERON:oral cavity")</f>
        <v>0</v>
      </c>
      <c r="G935" s="1">
        <f>IF(B935="", "", "UBERON:saliva")</f>
        <v>0</v>
      </c>
      <c r="H935" s="1">
        <f>IF(B935="", "", "UBERON:tongue")</f>
        <v>0</v>
      </c>
      <c r="I935" s="1">
        <f>IF(B935="", "", "tongue")</f>
        <v>0</v>
      </c>
      <c r="J935" s="1">
        <f>IF(B935="", "", "human oral metagenome")</f>
        <v>0</v>
      </c>
      <c r="K935" s="1">
        <f>IF(B935="", "", "447426")</f>
        <v>0</v>
      </c>
    </row>
    <row r="936" spans="1:11">
      <c r="A936">
        <f>IF(COUNTBLANK(B936:K936)&lt;&gt;COLUMNS(B936:K936),935,"")</f>
        <v>0</v>
      </c>
      <c r="C936" s="1">
        <f>IF(B936="", "", "animal secretion")</f>
        <v>0</v>
      </c>
      <c r="D936" s="1">
        <f>IF(B936="", "", "saliva")</f>
        <v>0</v>
      </c>
      <c r="E936" s="1">
        <f>IF(B936="", "", "human-oral")</f>
        <v>0</v>
      </c>
      <c r="F936" s="1">
        <f>IF(B936="", "", "UBERON:oral cavity")</f>
        <v>0</v>
      </c>
      <c r="G936" s="1">
        <f>IF(B936="", "", "UBERON:saliva")</f>
        <v>0</v>
      </c>
      <c r="H936" s="1">
        <f>IF(B936="", "", "UBERON:tongue")</f>
        <v>0</v>
      </c>
      <c r="I936" s="1">
        <f>IF(B936="", "", "tongue")</f>
        <v>0</v>
      </c>
      <c r="J936" s="1">
        <f>IF(B936="", "", "human oral metagenome")</f>
        <v>0</v>
      </c>
      <c r="K936" s="1">
        <f>IF(B936="", "", "447426")</f>
        <v>0</v>
      </c>
    </row>
    <row r="937" spans="1:11">
      <c r="A937">
        <f>IF(COUNTBLANK(B937:K937)&lt;&gt;COLUMNS(B937:K937),936,"")</f>
        <v>0</v>
      </c>
      <c r="C937" s="1">
        <f>IF(B937="", "", "animal secretion")</f>
        <v>0</v>
      </c>
      <c r="D937" s="1">
        <f>IF(B937="", "", "saliva")</f>
        <v>0</v>
      </c>
      <c r="E937" s="1">
        <f>IF(B937="", "", "human-oral")</f>
        <v>0</v>
      </c>
      <c r="F937" s="1">
        <f>IF(B937="", "", "UBERON:oral cavity")</f>
        <v>0</v>
      </c>
      <c r="G937" s="1">
        <f>IF(B937="", "", "UBERON:saliva")</f>
        <v>0</v>
      </c>
      <c r="H937" s="1">
        <f>IF(B937="", "", "UBERON:tongue")</f>
        <v>0</v>
      </c>
      <c r="I937" s="1">
        <f>IF(B937="", "", "tongue")</f>
        <v>0</v>
      </c>
      <c r="J937" s="1">
        <f>IF(B937="", "", "human oral metagenome")</f>
        <v>0</v>
      </c>
      <c r="K937" s="1">
        <f>IF(B937="", "", "447426")</f>
        <v>0</v>
      </c>
    </row>
    <row r="938" spans="1:11">
      <c r="A938">
        <f>IF(COUNTBLANK(B938:K938)&lt;&gt;COLUMNS(B938:K938),937,"")</f>
        <v>0</v>
      </c>
      <c r="C938" s="1">
        <f>IF(B938="", "", "animal secretion")</f>
        <v>0</v>
      </c>
      <c r="D938" s="1">
        <f>IF(B938="", "", "saliva")</f>
        <v>0</v>
      </c>
      <c r="E938" s="1">
        <f>IF(B938="", "", "human-oral")</f>
        <v>0</v>
      </c>
      <c r="F938" s="1">
        <f>IF(B938="", "", "UBERON:oral cavity")</f>
        <v>0</v>
      </c>
      <c r="G938" s="1">
        <f>IF(B938="", "", "UBERON:saliva")</f>
        <v>0</v>
      </c>
      <c r="H938" s="1">
        <f>IF(B938="", "", "UBERON:tongue")</f>
        <v>0</v>
      </c>
      <c r="I938" s="1">
        <f>IF(B938="", "", "tongue")</f>
        <v>0</v>
      </c>
      <c r="J938" s="1">
        <f>IF(B938="", "", "human oral metagenome")</f>
        <v>0</v>
      </c>
      <c r="K938" s="1">
        <f>IF(B938="", "", "447426")</f>
        <v>0</v>
      </c>
    </row>
    <row r="939" spans="1:11">
      <c r="A939">
        <f>IF(COUNTBLANK(B939:K939)&lt;&gt;COLUMNS(B939:K939),938,"")</f>
        <v>0</v>
      </c>
      <c r="C939" s="1">
        <f>IF(B939="", "", "animal secretion")</f>
        <v>0</v>
      </c>
      <c r="D939" s="1">
        <f>IF(B939="", "", "saliva")</f>
        <v>0</v>
      </c>
      <c r="E939" s="1">
        <f>IF(B939="", "", "human-oral")</f>
        <v>0</v>
      </c>
      <c r="F939" s="1">
        <f>IF(B939="", "", "UBERON:oral cavity")</f>
        <v>0</v>
      </c>
      <c r="G939" s="1">
        <f>IF(B939="", "", "UBERON:saliva")</f>
        <v>0</v>
      </c>
      <c r="H939" s="1">
        <f>IF(B939="", "", "UBERON:tongue")</f>
        <v>0</v>
      </c>
      <c r="I939" s="1">
        <f>IF(B939="", "", "tongue")</f>
        <v>0</v>
      </c>
      <c r="J939" s="1">
        <f>IF(B939="", "", "human oral metagenome")</f>
        <v>0</v>
      </c>
      <c r="K939" s="1">
        <f>IF(B939="", "", "447426")</f>
        <v>0</v>
      </c>
    </row>
    <row r="940" spans="1:11">
      <c r="A940">
        <f>IF(COUNTBLANK(B940:K940)&lt;&gt;COLUMNS(B940:K940),939,"")</f>
        <v>0</v>
      </c>
      <c r="C940" s="1">
        <f>IF(B940="", "", "animal secretion")</f>
        <v>0</v>
      </c>
      <c r="D940" s="1">
        <f>IF(B940="", "", "saliva")</f>
        <v>0</v>
      </c>
      <c r="E940" s="1">
        <f>IF(B940="", "", "human-oral")</f>
        <v>0</v>
      </c>
      <c r="F940" s="1">
        <f>IF(B940="", "", "UBERON:oral cavity")</f>
        <v>0</v>
      </c>
      <c r="G940" s="1">
        <f>IF(B940="", "", "UBERON:saliva")</f>
        <v>0</v>
      </c>
      <c r="H940" s="1">
        <f>IF(B940="", "", "UBERON:tongue")</f>
        <v>0</v>
      </c>
      <c r="I940" s="1">
        <f>IF(B940="", "", "tongue")</f>
        <v>0</v>
      </c>
      <c r="J940" s="1">
        <f>IF(B940="", "", "human oral metagenome")</f>
        <v>0</v>
      </c>
      <c r="K940" s="1">
        <f>IF(B940="", "", "447426")</f>
        <v>0</v>
      </c>
    </row>
    <row r="941" spans="1:11">
      <c r="A941">
        <f>IF(COUNTBLANK(B941:K941)&lt;&gt;COLUMNS(B941:K941),940,"")</f>
        <v>0</v>
      </c>
      <c r="C941" s="1">
        <f>IF(B941="", "", "animal secretion")</f>
        <v>0</v>
      </c>
      <c r="D941" s="1">
        <f>IF(B941="", "", "saliva")</f>
        <v>0</v>
      </c>
      <c r="E941" s="1">
        <f>IF(B941="", "", "human-oral")</f>
        <v>0</v>
      </c>
      <c r="F941" s="1">
        <f>IF(B941="", "", "UBERON:oral cavity")</f>
        <v>0</v>
      </c>
      <c r="G941" s="1">
        <f>IF(B941="", "", "UBERON:saliva")</f>
        <v>0</v>
      </c>
      <c r="H941" s="1">
        <f>IF(B941="", "", "UBERON:tongue")</f>
        <v>0</v>
      </c>
      <c r="I941" s="1">
        <f>IF(B941="", "", "tongue")</f>
        <v>0</v>
      </c>
      <c r="J941" s="1">
        <f>IF(B941="", "", "human oral metagenome")</f>
        <v>0</v>
      </c>
      <c r="K941" s="1">
        <f>IF(B941="", "", "447426")</f>
        <v>0</v>
      </c>
    </row>
    <row r="942" spans="1:11">
      <c r="A942">
        <f>IF(COUNTBLANK(B942:K942)&lt;&gt;COLUMNS(B942:K942),941,"")</f>
        <v>0</v>
      </c>
      <c r="C942" s="1">
        <f>IF(B942="", "", "animal secretion")</f>
        <v>0</v>
      </c>
      <c r="D942" s="1">
        <f>IF(B942="", "", "saliva")</f>
        <v>0</v>
      </c>
      <c r="E942" s="1">
        <f>IF(B942="", "", "human-oral")</f>
        <v>0</v>
      </c>
      <c r="F942" s="1">
        <f>IF(B942="", "", "UBERON:oral cavity")</f>
        <v>0</v>
      </c>
      <c r="G942" s="1">
        <f>IF(B942="", "", "UBERON:saliva")</f>
        <v>0</v>
      </c>
      <c r="H942" s="1">
        <f>IF(B942="", "", "UBERON:tongue")</f>
        <v>0</v>
      </c>
      <c r="I942" s="1">
        <f>IF(B942="", "", "tongue")</f>
        <v>0</v>
      </c>
      <c r="J942" s="1">
        <f>IF(B942="", "", "human oral metagenome")</f>
        <v>0</v>
      </c>
      <c r="K942" s="1">
        <f>IF(B942="", "", "447426")</f>
        <v>0</v>
      </c>
    </row>
    <row r="943" spans="1:11">
      <c r="A943">
        <f>IF(COUNTBLANK(B943:K943)&lt;&gt;COLUMNS(B943:K943),942,"")</f>
        <v>0</v>
      </c>
      <c r="C943" s="1">
        <f>IF(B943="", "", "animal secretion")</f>
        <v>0</v>
      </c>
      <c r="D943" s="1">
        <f>IF(B943="", "", "saliva")</f>
        <v>0</v>
      </c>
      <c r="E943" s="1">
        <f>IF(B943="", "", "human-oral")</f>
        <v>0</v>
      </c>
      <c r="F943" s="1">
        <f>IF(B943="", "", "UBERON:oral cavity")</f>
        <v>0</v>
      </c>
      <c r="G943" s="1">
        <f>IF(B943="", "", "UBERON:saliva")</f>
        <v>0</v>
      </c>
      <c r="H943" s="1">
        <f>IF(B943="", "", "UBERON:tongue")</f>
        <v>0</v>
      </c>
      <c r="I943" s="1">
        <f>IF(B943="", "", "tongue")</f>
        <v>0</v>
      </c>
      <c r="J943" s="1">
        <f>IF(B943="", "", "human oral metagenome")</f>
        <v>0</v>
      </c>
      <c r="K943" s="1">
        <f>IF(B943="", "", "447426")</f>
        <v>0</v>
      </c>
    </row>
    <row r="944" spans="1:11">
      <c r="A944">
        <f>IF(COUNTBLANK(B944:K944)&lt;&gt;COLUMNS(B944:K944),943,"")</f>
        <v>0</v>
      </c>
      <c r="C944" s="1">
        <f>IF(B944="", "", "animal secretion")</f>
        <v>0</v>
      </c>
      <c r="D944" s="1">
        <f>IF(B944="", "", "saliva")</f>
        <v>0</v>
      </c>
      <c r="E944" s="1">
        <f>IF(B944="", "", "human-oral")</f>
        <v>0</v>
      </c>
      <c r="F944" s="1">
        <f>IF(B944="", "", "UBERON:oral cavity")</f>
        <v>0</v>
      </c>
      <c r="G944" s="1">
        <f>IF(B944="", "", "UBERON:saliva")</f>
        <v>0</v>
      </c>
      <c r="H944" s="1">
        <f>IF(B944="", "", "UBERON:tongue")</f>
        <v>0</v>
      </c>
      <c r="I944" s="1">
        <f>IF(B944="", "", "tongue")</f>
        <v>0</v>
      </c>
      <c r="J944" s="1">
        <f>IF(B944="", "", "human oral metagenome")</f>
        <v>0</v>
      </c>
      <c r="K944" s="1">
        <f>IF(B944="", "", "447426")</f>
        <v>0</v>
      </c>
    </row>
    <row r="945" spans="1:11">
      <c r="A945">
        <f>IF(COUNTBLANK(B945:K945)&lt;&gt;COLUMNS(B945:K945),944,"")</f>
        <v>0</v>
      </c>
      <c r="C945" s="1">
        <f>IF(B945="", "", "animal secretion")</f>
        <v>0</v>
      </c>
      <c r="D945" s="1">
        <f>IF(B945="", "", "saliva")</f>
        <v>0</v>
      </c>
      <c r="E945" s="1">
        <f>IF(B945="", "", "human-oral")</f>
        <v>0</v>
      </c>
      <c r="F945" s="1">
        <f>IF(B945="", "", "UBERON:oral cavity")</f>
        <v>0</v>
      </c>
      <c r="G945" s="1">
        <f>IF(B945="", "", "UBERON:saliva")</f>
        <v>0</v>
      </c>
      <c r="H945" s="1">
        <f>IF(B945="", "", "UBERON:tongue")</f>
        <v>0</v>
      </c>
      <c r="I945" s="1">
        <f>IF(B945="", "", "tongue")</f>
        <v>0</v>
      </c>
      <c r="J945" s="1">
        <f>IF(B945="", "", "human oral metagenome")</f>
        <v>0</v>
      </c>
      <c r="K945" s="1">
        <f>IF(B945="", "", "447426")</f>
        <v>0</v>
      </c>
    </row>
    <row r="946" spans="1:11">
      <c r="A946">
        <f>IF(COUNTBLANK(B946:K946)&lt;&gt;COLUMNS(B946:K946),945,"")</f>
        <v>0</v>
      </c>
      <c r="C946" s="1">
        <f>IF(B946="", "", "animal secretion")</f>
        <v>0</v>
      </c>
      <c r="D946" s="1">
        <f>IF(B946="", "", "saliva")</f>
        <v>0</v>
      </c>
      <c r="E946" s="1">
        <f>IF(B946="", "", "human-oral")</f>
        <v>0</v>
      </c>
      <c r="F946" s="1">
        <f>IF(B946="", "", "UBERON:oral cavity")</f>
        <v>0</v>
      </c>
      <c r="G946" s="1">
        <f>IF(B946="", "", "UBERON:saliva")</f>
        <v>0</v>
      </c>
      <c r="H946" s="1">
        <f>IF(B946="", "", "UBERON:tongue")</f>
        <v>0</v>
      </c>
      <c r="I946" s="1">
        <f>IF(B946="", "", "tongue")</f>
        <v>0</v>
      </c>
      <c r="J946" s="1">
        <f>IF(B946="", "", "human oral metagenome")</f>
        <v>0</v>
      </c>
      <c r="K946" s="1">
        <f>IF(B946="", "", "447426")</f>
        <v>0</v>
      </c>
    </row>
    <row r="947" spans="1:11">
      <c r="A947">
        <f>IF(COUNTBLANK(B947:K947)&lt;&gt;COLUMNS(B947:K947),946,"")</f>
        <v>0</v>
      </c>
      <c r="C947" s="1">
        <f>IF(B947="", "", "animal secretion")</f>
        <v>0</v>
      </c>
      <c r="D947" s="1">
        <f>IF(B947="", "", "saliva")</f>
        <v>0</v>
      </c>
      <c r="E947" s="1">
        <f>IF(B947="", "", "human-oral")</f>
        <v>0</v>
      </c>
      <c r="F947" s="1">
        <f>IF(B947="", "", "UBERON:oral cavity")</f>
        <v>0</v>
      </c>
      <c r="G947" s="1">
        <f>IF(B947="", "", "UBERON:saliva")</f>
        <v>0</v>
      </c>
      <c r="H947" s="1">
        <f>IF(B947="", "", "UBERON:tongue")</f>
        <v>0</v>
      </c>
      <c r="I947" s="1">
        <f>IF(B947="", "", "tongue")</f>
        <v>0</v>
      </c>
      <c r="J947" s="1">
        <f>IF(B947="", "", "human oral metagenome")</f>
        <v>0</v>
      </c>
      <c r="K947" s="1">
        <f>IF(B947="", "", "447426")</f>
        <v>0</v>
      </c>
    </row>
    <row r="948" spans="1:11">
      <c r="A948">
        <f>IF(COUNTBLANK(B948:K948)&lt;&gt;COLUMNS(B948:K948),947,"")</f>
        <v>0</v>
      </c>
      <c r="C948" s="1">
        <f>IF(B948="", "", "animal secretion")</f>
        <v>0</v>
      </c>
      <c r="D948" s="1">
        <f>IF(B948="", "", "saliva")</f>
        <v>0</v>
      </c>
      <c r="E948" s="1">
        <f>IF(B948="", "", "human-oral")</f>
        <v>0</v>
      </c>
      <c r="F948" s="1">
        <f>IF(B948="", "", "UBERON:oral cavity")</f>
        <v>0</v>
      </c>
      <c r="G948" s="1">
        <f>IF(B948="", "", "UBERON:saliva")</f>
        <v>0</v>
      </c>
      <c r="H948" s="1">
        <f>IF(B948="", "", "UBERON:tongue")</f>
        <v>0</v>
      </c>
      <c r="I948" s="1">
        <f>IF(B948="", "", "tongue")</f>
        <v>0</v>
      </c>
      <c r="J948" s="1">
        <f>IF(B948="", "", "human oral metagenome")</f>
        <v>0</v>
      </c>
      <c r="K948" s="1">
        <f>IF(B948="", "", "447426")</f>
        <v>0</v>
      </c>
    </row>
    <row r="949" spans="1:11">
      <c r="A949">
        <f>IF(COUNTBLANK(B949:K949)&lt;&gt;COLUMNS(B949:K949),948,"")</f>
        <v>0</v>
      </c>
      <c r="C949" s="1">
        <f>IF(B949="", "", "animal secretion")</f>
        <v>0</v>
      </c>
      <c r="D949" s="1">
        <f>IF(B949="", "", "saliva")</f>
        <v>0</v>
      </c>
      <c r="E949" s="1">
        <f>IF(B949="", "", "human-oral")</f>
        <v>0</v>
      </c>
      <c r="F949" s="1">
        <f>IF(B949="", "", "UBERON:oral cavity")</f>
        <v>0</v>
      </c>
      <c r="G949" s="1">
        <f>IF(B949="", "", "UBERON:saliva")</f>
        <v>0</v>
      </c>
      <c r="H949" s="1">
        <f>IF(B949="", "", "UBERON:tongue")</f>
        <v>0</v>
      </c>
      <c r="I949" s="1">
        <f>IF(B949="", "", "tongue")</f>
        <v>0</v>
      </c>
      <c r="J949" s="1">
        <f>IF(B949="", "", "human oral metagenome")</f>
        <v>0</v>
      </c>
      <c r="K949" s="1">
        <f>IF(B949="", "", "447426")</f>
        <v>0</v>
      </c>
    </row>
    <row r="950" spans="1:11">
      <c r="A950">
        <f>IF(COUNTBLANK(B950:K950)&lt;&gt;COLUMNS(B950:K950),949,"")</f>
        <v>0</v>
      </c>
      <c r="C950" s="1">
        <f>IF(B950="", "", "animal secretion")</f>
        <v>0</v>
      </c>
      <c r="D950" s="1">
        <f>IF(B950="", "", "saliva")</f>
        <v>0</v>
      </c>
      <c r="E950" s="1">
        <f>IF(B950="", "", "human-oral")</f>
        <v>0</v>
      </c>
      <c r="F950" s="1">
        <f>IF(B950="", "", "UBERON:oral cavity")</f>
        <v>0</v>
      </c>
      <c r="G950" s="1">
        <f>IF(B950="", "", "UBERON:saliva")</f>
        <v>0</v>
      </c>
      <c r="H950" s="1">
        <f>IF(B950="", "", "UBERON:tongue")</f>
        <v>0</v>
      </c>
      <c r="I950" s="1">
        <f>IF(B950="", "", "tongue")</f>
        <v>0</v>
      </c>
      <c r="J950" s="1">
        <f>IF(B950="", "", "human oral metagenome")</f>
        <v>0</v>
      </c>
      <c r="K950" s="1">
        <f>IF(B950="", "", "447426")</f>
        <v>0</v>
      </c>
    </row>
    <row r="951" spans="1:11">
      <c r="A951">
        <f>IF(COUNTBLANK(B951:K951)&lt;&gt;COLUMNS(B951:K951),950,"")</f>
        <v>0</v>
      </c>
      <c r="C951" s="1">
        <f>IF(B951="", "", "animal secretion")</f>
        <v>0</v>
      </c>
      <c r="D951" s="1">
        <f>IF(B951="", "", "saliva")</f>
        <v>0</v>
      </c>
      <c r="E951" s="1">
        <f>IF(B951="", "", "human-oral")</f>
        <v>0</v>
      </c>
      <c r="F951" s="1">
        <f>IF(B951="", "", "UBERON:oral cavity")</f>
        <v>0</v>
      </c>
      <c r="G951" s="1">
        <f>IF(B951="", "", "UBERON:saliva")</f>
        <v>0</v>
      </c>
      <c r="H951" s="1">
        <f>IF(B951="", "", "UBERON:tongue")</f>
        <v>0</v>
      </c>
      <c r="I951" s="1">
        <f>IF(B951="", "", "tongue")</f>
        <v>0</v>
      </c>
      <c r="J951" s="1">
        <f>IF(B951="", "", "human oral metagenome")</f>
        <v>0</v>
      </c>
      <c r="K951" s="1">
        <f>IF(B951="", "", "447426")</f>
        <v>0</v>
      </c>
    </row>
    <row r="952" spans="1:11">
      <c r="A952">
        <f>IF(COUNTBLANK(B952:K952)&lt;&gt;COLUMNS(B952:K952),951,"")</f>
        <v>0</v>
      </c>
      <c r="C952" s="1">
        <f>IF(B952="", "", "animal secretion")</f>
        <v>0</v>
      </c>
      <c r="D952" s="1">
        <f>IF(B952="", "", "saliva")</f>
        <v>0</v>
      </c>
      <c r="E952" s="1">
        <f>IF(B952="", "", "human-oral")</f>
        <v>0</v>
      </c>
      <c r="F952" s="1">
        <f>IF(B952="", "", "UBERON:oral cavity")</f>
        <v>0</v>
      </c>
      <c r="G952" s="1">
        <f>IF(B952="", "", "UBERON:saliva")</f>
        <v>0</v>
      </c>
      <c r="H952" s="1">
        <f>IF(B952="", "", "UBERON:tongue")</f>
        <v>0</v>
      </c>
      <c r="I952" s="1">
        <f>IF(B952="", "", "tongue")</f>
        <v>0</v>
      </c>
      <c r="J952" s="1">
        <f>IF(B952="", "", "human oral metagenome")</f>
        <v>0</v>
      </c>
      <c r="K952" s="1">
        <f>IF(B952="", "", "447426")</f>
        <v>0</v>
      </c>
    </row>
    <row r="953" spans="1:11">
      <c r="A953">
        <f>IF(COUNTBLANK(B953:K953)&lt;&gt;COLUMNS(B953:K953),952,"")</f>
        <v>0</v>
      </c>
      <c r="C953" s="1">
        <f>IF(B953="", "", "animal secretion")</f>
        <v>0</v>
      </c>
      <c r="D953" s="1">
        <f>IF(B953="", "", "saliva")</f>
        <v>0</v>
      </c>
      <c r="E953" s="1">
        <f>IF(B953="", "", "human-oral")</f>
        <v>0</v>
      </c>
      <c r="F953" s="1">
        <f>IF(B953="", "", "UBERON:oral cavity")</f>
        <v>0</v>
      </c>
      <c r="G953" s="1">
        <f>IF(B953="", "", "UBERON:saliva")</f>
        <v>0</v>
      </c>
      <c r="H953" s="1">
        <f>IF(B953="", "", "UBERON:tongue")</f>
        <v>0</v>
      </c>
      <c r="I953" s="1">
        <f>IF(B953="", "", "tongue")</f>
        <v>0</v>
      </c>
      <c r="J953" s="1">
        <f>IF(B953="", "", "human oral metagenome")</f>
        <v>0</v>
      </c>
      <c r="K953" s="1">
        <f>IF(B953="", "", "447426")</f>
        <v>0</v>
      </c>
    </row>
    <row r="954" spans="1:11">
      <c r="A954">
        <f>IF(COUNTBLANK(B954:K954)&lt;&gt;COLUMNS(B954:K954),953,"")</f>
        <v>0</v>
      </c>
      <c r="C954" s="1">
        <f>IF(B954="", "", "animal secretion")</f>
        <v>0</v>
      </c>
      <c r="D954" s="1">
        <f>IF(B954="", "", "saliva")</f>
        <v>0</v>
      </c>
      <c r="E954" s="1">
        <f>IF(B954="", "", "human-oral")</f>
        <v>0</v>
      </c>
      <c r="F954" s="1">
        <f>IF(B954="", "", "UBERON:oral cavity")</f>
        <v>0</v>
      </c>
      <c r="G954" s="1">
        <f>IF(B954="", "", "UBERON:saliva")</f>
        <v>0</v>
      </c>
      <c r="H954" s="1">
        <f>IF(B954="", "", "UBERON:tongue")</f>
        <v>0</v>
      </c>
      <c r="I954" s="1">
        <f>IF(B954="", "", "tongue")</f>
        <v>0</v>
      </c>
      <c r="J954" s="1">
        <f>IF(B954="", "", "human oral metagenome")</f>
        <v>0</v>
      </c>
      <c r="K954" s="1">
        <f>IF(B954="", "", "447426")</f>
        <v>0</v>
      </c>
    </row>
    <row r="955" spans="1:11">
      <c r="A955">
        <f>IF(COUNTBLANK(B955:K955)&lt;&gt;COLUMNS(B955:K955),954,"")</f>
        <v>0</v>
      </c>
      <c r="C955" s="1">
        <f>IF(B955="", "", "animal secretion")</f>
        <v>0</v>
      </c>
      <c r="D955" s="1">
        <f>IF(B955="", "", "saliva")</f>
        <v>0</v>
      </c>
      <c r="E955" s="1">
        <f>IF(B955="", "", "human-oral")</f>
        <v>0</v>
      </c>
      <c r="F955" s="1">
        <f>IF(B955="", "", "UBERON:oral cavity")</f>
        <v>0</v>
      </c>
      <c r="G955" s="1">
        <f>IF(B955="", "", "UBERON:saliva")</f>
        <v>0</v>
      </c>
      <c r="H955" s="1">
        <f>IF(B955="", "", "UBERON:tongue")</f>
        <v>0</v>
      </c>
      <c r="I955" s="1">
        <f>IF(B955="", "", "tongue")</f>
        <v>0</v>
      </c>
      <c r="J955" s="1">
        <f>IF(B955="", "", "human oral metagenome")</f>
        <v>0</v>
      </c>
      <c r="K955" s="1">
        <f>IF(B955="", "", "447426")</f>
        <v>0</v>
      </c>
    </row>
    <row r="956" spans="1:11">
      <c r="A956">
        <f>IF(COUNTBLANK(B956:K956)&lt;&gt;COLUMNS(B956:K956),955,"")</f>
        <v>0</v>
      </c>
      <c r="C956" s="1">
        <f>IF(B956="", "", "animal secretion")</f>
        <v>0</v>
      </c>
      <c r="D956" s="1">
        <f>IF(B956="", "", "saliva")</f>
        <v>0</v>
      </c>
      <c r="E956" s="1">
        <f>IF(B956="", "", "human-oral")</f>
        <v>0</v>
      </c>
      <c r="F956" s="1">
        <f>IF(B956="", "", "UBERON:oral cavity")</f>
        <v>0</v>
      </c>
      <c r="G956" s="1">
        <f>IF(B956="", "", "UBERON:saliva")</f>
        <v>0</v>
      </c>
      <c r="H956" s="1">
        <f>IF(B956="", "", "UBERON:tongue")</f>
        <v>0</v>
      </c>
      <c r="I956" s="1">
        <f>IF(B956="", "", "tongue")</f>
        <v>0</v>
      </c>
      <c r="J956" s="1">
        <f>IF(B956="", "", "human oral metagenome")</f>
        <v>0</v>
      </c>
      <c r="K956" s="1">
        <f>IF(B956="", "", "447426")</f>
        <v>0</v>
      </c>
    </row>
    <row r="957" spans="1:11">
      <c r="A957">
        <f>IF(COUNTBLANK(B957:K957)&lt;&gt;COLUMNS(B957:K957),956,"")</f>
        <v>0</v>
      </c>
      <c r="C957" s="1">
        <f>IF(B957="", "", "animal secretion")</f>
        <v>0</v>
      </c>
      <c r="D957" s="1">
        <f>IF(B957="", "", "saliva")</f>
        <v>0</v>
      </c>
      <c r="E957" s="1">
        <f>IF(B957="", "", "human-oral")</f>
        <v>0</v>
      </c>
      <c r="F957" s="1">
        <f>IF(B957="", "", "UBERON:oral cavity")</f>
        <v>0</v>
      </c>
      <c r="G957" s="1">
        <f>IF(B957="", "", "UBERON:saliva")</f>
        <v>0</v>
      </c>
      <c r="H957" s="1">
        <f>IF(B957="", "", "UBERON:tongue")</f>
        <v>0</v>
      </c>
      <c r="I957" s="1">
        <f>IF(B957="", "", "tongue")</f>
        <v>0</v>
      </c>
      <c r="J957" s="1">
        <f>IF(B957="", "", "human oral metagenome")</f>
        <v>0</v>
      </c>
      <c r="K957" s="1">
        <f>IF(B957="", "", "447426")</f>
        <v>0</v>
      </c>
    </row>
    <row r="958" spans="1:11">
      <c r="A958">
        <f>IF(COUNTBLANK(B958:K958)&lt;&gt;COLUMNS(B958:K958),957,"")</f>
        <v>0</v>
      </c>
      <c r="C958" s="1">
        <f>IF(B958="", "", "animal secretion")</f>
        <v>0</v>
      </c>
      <c r="D958" s="1">
        <f>IF(B958="", "", "saliva")</f>
        <v>0</v>
      </c>
      <c r="E958" s="1">
        <f>IF(B958="", "", "human-oral")</f>
        <v>0</v>
      </c>
      <c r="F958" s="1">
        <f>IF(B958="", "", "UBERON:oral cavity")</f>
        <v>0</v>
      </c>
      <c r="G958" s="1">
        <f>IF(B958="", "", "UBERON:saliva")</f>
        <v>0</v>
      </c>
      <c r="H958" s="1">
        <f>IF(B958="", "", "UBERON:tongue")</f>
        <v>0</v>
      </c>
      <c r="I958" s="1">
        <f>IF(B958="", "", "tongue")</f>
        <v>0</v>
      </c>
      <c r="J958" s="1">
        <f>IF(B958="", "", "human oral metagenome")</f>
        <v>0</v>
      </c>
      <c r="K958" s="1">
        <f>IF(B958="", "", "447426")</f>
        <v>0</v>
      </c>
    </row>
    <row r="959" spans="1:11">
      <c r="A959">
        <f>IF(COUNTBLANK(B959:K959)&lt;&gt;COLUMNS(B959:K959),958,"")</f>
        <v>0</v>
      </c>
      <c r="C959" s="1">
        <f>IF(B959="", "", "animal secretion")</f>
        <v>0</v>
      </c>
      <c r="D959" s="1">
        <f>IF(B959="", "", "saliva")</f>
        <v>0</v>
      </c>
      <c r="E959" s="1">
        <f>IF(B959="", "", "human-oral")</f>
        <v>0</v>
      </c>
      <c r="F959" s="1">
        <f>IF(B959="", "", "UBERON:oral cavity")</f>
        <v>0</v>
      </c>
      <c r="G959" s="1">
        <f>IF(B959="", "", "UBERON:saliva")</f>
        <v>0</v>
      </c>
      <c r="H959" s="1">
        <f>IF(B959="", "", "UBERON:tongue")</f>
        <v>0</v>
      </c>
      <c r="I959" s="1">
        <f>IF(B959="", "", "tongue")</f>
        <v>0</v>
      </c>
      <c r="J959" s="1">
        <f>IF(B959="", "", "human oral metagenome")</f>
        <v>0</v>
      </c>
      <c r="K959" s="1">
        <f>IF(B959="", "", "447426")</f>
        <v>0</v>
      </c>
    </row>
    <row r="960" spans="1:11">
      <c r="A960">
        <f>IF(COUNTBLANK(B960:K960)&lt;&gt;COLUMNS(B960:K960),959,"")</f>
        <v>0</v>
      </c>
      <c r="C960" s="1">
        <f>IF(B960="", "", "animal secretion")</f>
        <v>0</v>
      </c>
      <c r="D960" s="1">
        <f>IF(B960="", "", "saliva")</f>
        <v>0</v>
      </c>
      <c r="E960" s="1">
        <f>IF(B960="", "", "human-oral")</f>
        <v>0</v>
      </c>
      <c r="F960" s="1">
        <f>IF(B960="", "", "UBERON:oral cavity")</f>
        <v>0</v>
      </c>
      <c r="G960" s="1">
        <f>IF(B960="", "", "UBERON:saliva")</f>
        <v>0</v>
      </c>
      <c r="H960" s="1">
        <f>IF(B960="", "", "UBERON:tongue")</f>
        <v>0</v>
      </c>
      <c r="I960" s="1">
        <f>IF(B960="", "", "tongue")</f>
        <v>0</v>
      </c>
      <c r="J960" s="1">
        <f>IF(B960="", "", "human oral metagenome")</f>
        <v>0</v>
      </c>
      <c r="K960" s="1">
        <f>IF(B960="", "", "447426")</f>
        <v>0</v>
      </c>
    </row>
    <row r="961" spans="1:11">
      <c r="A961">
        <f>IF(COUNTBLANK(B961:K961)&lt;&gt;COLUMNS(B961:K961),960,"")</f>
        <v>0</v>
      </c>
      <c r="C961" s="1">
        <f>IF(B961="", "", "animal secretion")</f>
        <v>0</v>
      </c>
      <c r="D961" s="1">
        <f>IF(B961="", "", "saliva")</f>
        <v>0</v>
      </c>
      <c r="E961" s="1">
        <f>IF(B961="", "", "human-oral")</f>
        <v>0</v>
      </c>
      <c r="F961" s="1">
        <f>IF(B961="", "", "UBERON:oral cavity")</f>
        <v>0</v>
      </c>
      <c r="G961" s="1">
        <f>IF(B961="", "", "UBERON:saliva")</f>
        <v>0</v>
      </c>
      <c r="H961" s="1">
        <f>IF(B961="", "", "UBERON:tongue")</f>
        <v>0</v>
      </c>
      <c r="I961" s="1">
        <f>IF(B961="", "", "tongue")</f>
        <v>0</v>
      </c>
      <c r="J961" s="1">
        <f>IF(B961="", "", "human oral metagenome")</f>
        <v>0</v>
      </c>
      <c r="K961" s="1">
        <f>IF(B961="", "", "447426")</f>
        <v>0</v>
      </c>
    </row>
    <row r="962" spans="1:11">
      <c r="A962">
        <f>IF(COUNTBLANK(B962:K962)&lt;&gt;COLUMNS(B962:K962),961,"")</f>
        <v>0</v>
      </c>
      <c r="C962" s="1">
        <f>IF(B962="", "", "animal secretion")</f>
        <v>0</v>
      </c>
      <c r="D962" s="1">
        <f>IF(B962="", "", "saliva")</f>
        <v>0</v>
      </c>
      <c r="E962" s="1">
        <f>IF(B962="", "", "human-oral")</f>
        <v>0</v>
      </c>
      <c r="F962" s="1">
        <f>IF(B962="", "", "UBERON:oral cavity")</f>
        <v>0</v>
      </c>
      <c r="G962" s="1">
        <f>IF(B962="", "", "UBERON:saliva")</f>
        <v>0</v>
      </c>
      <c r="H962" s="1">
        <f>IF(B962="", "", "UBERON:tongue")</f>
        <v>0</v>
      </c>
      <c r="I962" s="1">
        <f>IF(B962="", "", "tongue")</f>
        <v>0</v>
      </c>
      <c r="J962" s="1">
        <f>IF(B962="", "", "human oral metagenome")</f>
        <v>0</v>
      </c>
      <c r="K962" s="1">
        <f>IF(B962="", "", "447426")</f>
        <v>0</v>
      </c>
    </row>
    <row r="963" spans="1:11">
      <c r="A963">
        <f>IF(COUNTBLANK(B963:K963)&lt;&gt;COLUMNS(B963:K963),962,"")</f>
        <v>0</v>
      </c>
      <c r="C963" s="1">
        <f>IF(B963="", "", "animal secretion")</f>
        <v>0</v>
      </c>
      <c r="D963" s="1">
        <f>IF(B963="", "", "saliva")</f>
        <v>0</v>
      </c>
      <c r="E963" s="1">
        <f>IF(B963="", "", "human-oral")</f>
        <v>0</v>
      </c>
      <c r="F963" s="1">
        <f>IF(B963="", "", "UBERON:oral cavity")</f>
        <v>0</v>
      </c>
      <c r="G963" s="1">
        <f>IF(B963="", "", "UBERON:saliva")</f>
        <v>0</v>
      </c>
      <c r="H963" s="1">
        <f>IF(B963="", "", "UBERON:tongue")</f>
        <v>0</v>
      </c>
      <c r="I963" s="1">
        <f>IF(B963="", "", "tongue")</f>
        <v>0</v>
      </c>
      <c r="J963" s="1">
        <f>IF(B963="", "", "human oral metagenome")</f>
        <v>0</v>
      </c>
      <c r="K963" s="1">
        <f>IF(B963="", "", "447426")</f>
        <v>0</v>
      </c>
    </row>
    <row r="964" spans="1:11">
      <c r="A964">
        <f>IF(COUNTBLANK(B964:K964)&lt;&gt;COLUMNS(B964:K964),963,"")</f>
        <v>0</v>
      </c>
      <c r="C964" s="1">
        <f>IF(B964="", "", "animal secretion")</f>
        <v>0</v>
      </c>
      <c r="D964" s="1">
        <f>IF(B964="", "", "saliva")</f>
        <v>0</v>
      </c>
      <c r="E964" s="1">
        <f>IF(B964="", "", "human-oral")</f>
        <v>0</v>
      </c>
      <c r="F964" s="1">
        <f>IF(B964="", "", "UBERON:oral cavity")</f>
        <v>0</v>
      </c>
      <c r="G964" s="1">
        <f>IF(B964="", "", "UBERON:saliva")</f>
        <v>0</v>
      </c>
      <c r="H964" s="1">
        <f>IF(B964="", "", "UBERON:tongue")</f>
        <v>0</v>
      </c>
      <c r="I964" s="1">
        <f>IF(B964="", "", "tongue")</f>
        <v>0</v>
      </c>
      <c r="J964" s="1">
        <f>IF(B964="", "", "human oral metagenome")</f>
        <v>0</v>
      </c>
      <c r="K964" s="1">
        <f>IF(B964="", "", "447426")</f>
        <v>0</v>
      </c>
    </row>
    <row r="965" spans="1:11">
      <c r="A965">
        <f>IF(COUNTBLANK(B965:K965)&lt;&gt;COLUMNS(B965:K965),964,"")</f>
        <v>0</v>
      </c>
      <c r="C965" s="1">
        <f>IF(B965="", "", "animal secretion")</f>
        <v>0</v>
      </c>
      <c r="D965" s="1">
        <f>IF(B965="", "", "saliva")</f>
        <v>0</v>
      </c>
      <c r="E965" s="1">
        <f>IF(B965="", "", "human-oral")</f>
        <v>0</v>
      </c>
      <c r="F965" s="1">
        <f>IF(B965="", "", "UBERON:oral cavity")</f>
        <v>0</v>
      </c>
      <c r="G965" s="1">
        <f>IF(B965="", "", "UBERON:saliva")</f>
        <v>0</v>
      </c>
      <c r="H965" s="1">
        <f>IF(B965="", "", "UBERON:tongue")</f>
        <v>0</v>
      </c>
      <c r="I965" s="1">
        <f>IF(B965="", "", "tongue")</f>
        <v>0</v>
      </c>
      <c r="J965" s="1">
        <f>IF(B965="", "", "human oral metagenome")</f>
        <v>0</v>
      </c>
      <c r="K965" s="1">
        <f>IF(B965="", "", "447426")</f>
        <v>0</v>
      </c>
    </row>
    <row r="966" spans="1:11">
      <c r="A966">
        <f>IF(COUNTBLANK(B966:K966)&lt;&gt;COLUMNS(B966:K966),965,"")</f>
        <v>0</v>
      </c>
      <c r="C966" s="1">
        <f>IF(B966="", "", "animal secretion")</f>
        <v>0</v>
      </c>
      <c r="D966" s="1">
        <f>IF(B966="", "", "saliva")</f>
        <v>0</v>
      </c>
      <c r="E966" s="1">
        <f>IF(B966="", "", "human-oral")</f>
        <v>0</v>
      </c>
      <c r="F966" s="1">
        <f>IF(B966="", "", "UBERON:oral cavity")</f>
        <v>0</v>
      </c>
      <c r="G966" s="1">
        <f>IF(B966="", "", "UBERON:saliva")</f>
        <v>0</v>
      </c>
      <c r="H966" s="1">
        <f>IF(B966="", "", "UBERON:tongue")</f>
        <v>0</v>
      </c>
      <c r="I966" s="1">
        <f>IF(B966="", "", "tongue")</f>
        <v>0</v>
      </c>
      <c r="J966" s="1">
        <f>IF(B966="", "", "human oral metagenome")</f>
        <v>0</v>
      </c>
      <c r="K966" s="1">
        <f>IF(B966="", "", "447426")</f>
        <v>0</v>
      </c>
    </row>
    <row r="967" spans="1:11">
      <c r="A967">
        <f>IF(COUNTBLANK(B967:K967)&lt;&gt;COLUMNS(B967:K967),966,"")</f>
        <v>0</v>
      </c>
      <c r="C967" s="1">
        <f>IF(B967="", "", "animal secretion")</f>
        <v>0</v>
      </c>
      <c r="D967" s="1">
        <f>IF(B967="", "", "saliva")</f>
        <v>0</v>
      </c>
      <c r="E967" s="1">
        <f>IF(B967="", "", "human-oral")</f>
        <v>0</v>
      </c>
      <c r="F967" s="1">
        <f>IF(B967="", "", "UBERON:oral cavity")</f>
        <v>0</v>
      </c>
      <c r="G967" s="1">
        <f>IF(B967="", "", "UBERON:saliva")</f>
        <v>0</v>
      </c>
      <c r="H967" s="1">
        <f>IF(B967="", "", "UBERON:tongue")</f>
        <v>0</v>
      </c>
      <c r="I967" s="1">
        <f>IF(B967="", "", "tongue")</f>
        <v>0</v>
      </c>
      <c r="J967" s="1">
        <f>IF(B967="", "", "human oral metagenome")</f>
        <v>0</v>
      </c>
      <c r="K967" s="1">
        <f>IF(B967="", "", "447426")</f>
        <v>0</v>
      </c>
    </row>
    <row r="968" spans="1:11">
      <c r="A968">
        <f>IF(COUNTBLANK(B968:K968)&lt;&gt;COLUMNS(B968:K968),967,"")</f>
        <v>0</v>
      </c>
      <c r="C968" s="1">
        <f>IF(B968="", "", "animal secretion")</f>
        <v>0</v>
      </c>
      <c r="D968" s="1">
        <f>IF(B968="", "", "saliva")</f>
        <v>0</v>
      </c>
      <c r="E968" s="1">
        <f>IF(B968="", "", "human-oral")</f>
        <v>0</v>
      </c>
      <c r="F968" s="1">
        <f>IF(B968="", "", "UBERON:oral cavity")</f>
        <v>0</v>
      </c>
      <c r="G968" s="1">
        <f>IF(B968="", "", "UBERON:saliva")</f>
        <v>0</v>
      </c>
      <c r="H968" s="1">
        <f>IF(B968="", "", "UBERON:tongue")</f>
        <v>0</v>
      </c>
      <c r="I968" s="1">
        <f>IF(B968="", "", "tongue")</f>
        <v>0</v>
      </c>
      <c r="J968" s="1">
        <f>IF(B968="", "", "human oral metagenome")</f>
        <v>0</v>
      </c>
      <c r="K968" s="1">
        <f>IF(B968="", "", "447426")</f>
        <v>0</v>
      </c>
    </row>
    <row r="969" spans="1:11">
      <c r="A969">
        <f>IF(COUNTBLANK(B969:K969)&lt;&gt;COLUMNS(B969:K969),968,"")</f>
        <v>0</v>
      </c>
      <c r="C969" s="1">
        <f>IF(B969="", "", "animal secretion")</f>
        <v>0</v>
      </c>
      <c r="D969" s="1">
        <f>IF(B969="", "", "saliva")</f>
        <v>0</v>
      </c>
      <c r="E969" s="1">
        <f>IF(B969="", "", "human-oral")</f>
        <v>0</v>
      </c>
      <c r="F969" s="1">
        <f>IF(B969="", "", "UBERON:oral cavity")</f>
        <v>0</v>
      </c>
      <c r="G969" s="1">
        <f>IF(B969="", "", "UBERON:saliva")</f>
        <v>0</v>
      </c>
      <c r="H969" s="1">
        <f>IF(B969="", "", "UBERON:tongue")</f>
        <v>0</v>
      </c>
      <c r="I969" s="1">
        <f>IF(B969="", "", "tongue")</f>
        <v>0</v>
      </c>
      <c r="J969" s="1">
        <f>IF(B969="", "", "human oral metagenome")</f>
        <v>0</v>
      </c>
      <c r="K969" s="1">
        <f>IF(B969="", "", "447426")</f>
        <v>0</v>
      </c>
    </row>
    <row r="970" spans="1:11">
      <c r="A970">
        <f>IF(COUNTBLANK(B970:K970)&lt;&gt;COLUMNS(B970:K970),969,"")</f>
        <v>0</v>
      </c>
      <c r="C970" s="1">
        <f>IF(B970="", "", "animal secretion")</f>
        <v>0</v>
      </c>
      <c r="D970" s="1">
        <f>IF(B970="", "", "saliva")</f>
        <v>0</v>
      </c>
      <c r="E970" s="1">
        <f>IF(B970="", "", "human-oral")</f>
        <v>0</v>
      </c>
      <c r="F970" s="1">
        <f>IF(B970="", "", "UBERON:oral cavity")</f>
        <v>0</v>
      </c>
      <c r="G970" s="1">
        <f>IF(B970="", "", "UBERON:saliva")</f>
        <v>0</v>
      </c>
      <c r="H970" s="1">
        <f>IF(B970="", "", "UBERON:tongue")</f>
        <v>0</v>
      </c>
      <c r="I970" s="1">
        <f>IF(B970="", "", "tongue")</f>
        <v>0</v>
      </c>
      <c r="J970" s="1">
        <f>IF(B970="", "", "human oral metagenome")</f>
        <v>0</v>
      </c>
      <c r="K970" s="1">
        <f>IF(B970="", "", "447426")</f>
        <v>0</v>
      </c>
    </row>
    <row r="971" spans="1:11">
      <c r="A971">
        <f>IF(COUNTBLANK(B971:K971)&lt;&gt;COLUMNS(B971:K971),970,"")</f>
        <v>0</v>
      </c>
      <c r="C971" s="1">
        <f>IF(B971="", "", "animal secretion")</f>
        <v>0</v>
      </c>
      <c r="D971" s="1">
        <f>IF(B971="", "", "saliva")</f>
        <v>0</v>
      </c>
      <c r="E971" s="1">
        <f>IF(B971="", "", "human-oral")</f>
        <v>0</v>
      </c>
      <c r="F971" s="1">
        <f>IF(B971="", "", "UBERON:oral cavity")</f>
        <v>0</v>
      </c>
      <c r="G971" s="1">
        <f>IF(B971="", "", "UBERON:saliva")</f>
        <v>0</v>
      </c>
      <c r="H971" s="1">
        <f>IF(B971="", "", "UBERON:tongue")</f>
        <v>0</v>
      </c>
      <c r="I971" s="1">
        <f>IF(B971="", "", "tongue")</f>
        <v>0</v>
      </c>
      <c r="J971" s="1">
        <f>IF(B971="", "", "human oral metagenome")</f>
        <v>0</v>
      </c>
      <c r="K971" s="1">
        <f>IF(B971="", "", "447426")</f>
        <v>0</v>
      </c>
    </row>
    <row r="972" spans="1:11">
      <c r="A972">
        <f>IF(COUNTBLANK(B972:K972)&lt;&gt;COLUMNS(B972:K972),971,"")</f>
        <v>0</v>
      </c>
      <c r="C972" s="1">
        <f>IF(B972="", "", "animal secretion")</f>
        <v>0</v>
      </c>
      <c r="D972" s="1">
        <f>IF(B972="", "", "saliva")</f>
        <v>0</v>
      </c>
      <c r="E972" s="1">
        <f>IF(B972="", "", "human-oral")</f>
        <v>0</v>
      </c>
      <c r="F972" s="1">
        <f>IF(B972="", "", "UBERON:oral cavity")</f>
        <v>0</v>
      </c>
      <c r="G972" s="1">
        <f>IF(B972="", "", "UBERON:saliva")</f>
        <v>0</v>
      </c>
      <c r="H972" s="1">
        <f>IF(B972="", "", "UBERON:tongue")</f>
        <v>0</v>
      </c>
      <c r="I972" s="1">
        <f>IF(B972="", "", "tongue")</f>
        <v>0</v>
      </c>
      <c r="J972" s="1">
        <f>IF(B972="", "", "human oral metagenome")</f>
        <v>0</v>
      </c>
      <c r="K972" s="1">
        <f>IF(B972="", "", "447426")</f>
        <v>0</v>
      </c>
    </row>
    <row r="973" spans="1:11">
      <c r="A973">
        <f>IF(COUNTBLANK(B973:K973)&lt;&gt;COLUMNS(B973:K973),972,"")</f>
        <v>0</v>
      </c>
      <c r="C973" s="1">
        <f>IF(B973="", "", "animal secretion")</f>
        <v>0</v>
      </c>
      <c r="D973" s="1">
        <f>IF(B973="", "", "saliva")</f>
        <v>0</v>
      </c>
      <c r="E973" s="1">
        <f>IF(B973="", "", "human-oral")</f>
        <v>0</v>
      </c>
      <c r="F973" s="1">
        <f>IF(B973="", "", "UBERON:oral cavity")</f>
        <v>0</v>
      </c>
      <c r="G973" s="1">
        <f>IF(B973="", "", "UBERON:saliva")</f>
        <v>0</v>
      </c>
      <c r="H973" s="1">
        <f>IF(B973="", "", "UBERON:tongue")</f>
        <v>0</v>
      </c>
      <c r="I973" s="1">
        <f>IF(B973="", "", "tongue")</f>
        <v>0</v>
      </c>
      <c r="J973" s="1">
        <f>IF(B973="", "", "human oral metagenome")</f>
        <v>0</v>
      </c>
      <c r="K973" s="1">
        <f>IF(B973="", "", "447426")</f>
        <v>0</v>
      </c>
    </row>
    <row r="974" spans="1:11">
      <c r="A974">
        <f>IF(COUNTBLANK(B974:K974)&lt;&gt;COLUMNS(B974:K974),973,"")</f>
        <v>0</v>
      </c>
      <c r="C974" s="1">
        <f>IF(B974="", "", "animal secretion")</f>
        <v>0</v>
      </c>
      <c r="D974" s="1">
        <f>IF(B974="", "", "saliva")</f>
        <v>0</v>
      </c>
      <c r="E974" s="1">
        <f>IF(B974="", "", "human-oral")</f>
        <v>0</v>
      </c>
      <c r="F974" s="1">
        <f>IF(B974="", "", "UBERON:oral cavity")</f>
        <v>0</v>
      </c>
      <c r="G974" s="1">
        <f>IF(B974="", "", "UBERON:saliva")</f>
        <v>0</v>
      </c>
      <c r="H974" s="1">
        <f>IF(B974="", "", "UBERON:tongue")</f>
        <v>0</v>
      </c>
      <c r="I974" s="1">
        <f>IF(B974="", "", "tongue")</f>
        <v>0</v>
      </c>
      <c r="J974" s="1">
        <f>IF(B974="", "", "human oral metagenome")</f>
        <v>0</v>
      </c>
      <c r="K974" s="1">
        <f>IF(B974="", "", "447426")</f>
        <v>0</v>
      </c>
    </row>
    <row r="975" spans="1:11">
      <c r="A975">
        <f>IF(COUNTBLANK(B975:K975)&lt;&gt;COLUMNS(B975:K975),974,"")</f>
        <v>0</v>
      </c>
      <c r="C975" s="1">
        <f>IF(B975="", "", "animal secretion")</f>
        <v>0</v>
      </c>
      <c r="D975" s="1">
        <f>IF(B975="", "", "saliva")</f>
        <v>0</v>
      </c>
      <c r="E975" s="1">
        <f>IF(B975="", "", "human-oral")</f>
        <v>0</v>
      </c>
      <c r="F975" s="1">
        <f>IF(B975="", "", "UBERON:oral cavity")</f>
        <v>0</v>
      </c>
      <c r="G975" s="1">
        <f>IF(B975="", "", "UBERON:saliva")</f>
        <v>0</v>
      </c>
      <c r="H975" s="1">
        <f>IF(B975="", "", "UBERON:tongue")</f>
        <v>0</v>
      </c>
      <c r="I975" s="1">
        <f>IF(B975="", "", "tongue")</f>
        <v>0</v>
      </c>
      <c r="J975" s="1">
        <f>IF(B975="", "", "human oral metagenome")</f>
        <v>0</v>
      </c>
      <c r="K975" s="1">
        <f>IF(B975="", "", "447426")</f>
        <v>0</v>
      </c>
    </row>
    <row r="976" spans="1:11">
      <c r="A976">
        <f>IF(COUNTBLANK(B976:K976)&lt;&gt;COLUMNS(B976:K976),975,"")</f>
        <v>0</v>
      </c>
      <c r="C976" s="1">
        <f>IF(B976="", "", "animal secretion")</f>
        <v>0</v>
      </c>
      <c r="D976" s="1">
        <f>IF(B976="", "", "saliva")</f>
        <v>0</v>
      </c>
      <c r="E976" s="1">
        <f>IF(B976="", "", "human-oral")</f>
        <v>0</v>
      </c>
      <c r="F976" s="1">
        <f>IF(B976="", "", "UBERON:oral cavity")</f>
        <v>0</v>
      </c>
      <c r="G976" s="1">
        <f>IF(B976="", "", "UBERON:saliva")</f>
        <v>0</v>
      </c>
      <c r="H976" s="1">
        <f>IF(B976="", "", "UBERON:tongue")</f>
        <v>0</v>
      </c>
      <c r="I976" s="1">
        <f>IF(B976="", "", "tongue")</f>
        <v>0</v>
      </c>
      <c r="J976" s="1">
        <f>IF(B976="", "", "human oral metagenome")</f>
        <v>0</v>
      </c>
      <c r="K976" s="1">
        <f>IF(B976="", "", "447426")</f>
        <v>0</v>
      </c>
    </row>
    <row r="977" spans="1:11">
      <c r="A977">
        <f>IF(COUNTBLANK(B977:K977)&lt;&gt;COLUMNS(B977:K977),976,"")</f>
        <v>0</v>
      </c>
      <c r="C977" s="1">
        <f>IF(B977="", "", "animal secretion")</f>
        <v>0</v>
      </c>
      <c r="D977" s="1">
        <f>IF(B977="", "", "saliva")</f>
        <v>0</v>
      </c>
      <c r="E977" s="1">
        <f>IF(B977="", "", "human-oral")</f>
        <v>0</v>
      </c>
      <c r="F977" s="1">
        <f>IF(B977="", "", "UBERON:oral cavity")</f>
        <v>0</v>
      </c>
      <c r="G977" s="1">
        <f>IF(B977="", "", "UBERON:saliva")</f>
        <v>0</v>
      </c>
      <c r="H977" s="1">
        <f>IF(B977="", "", "UBERON:tongue")</f>
        <v>0</v>
      </c>
      <c r="I977" s="1">
        <f>IF(B977="", "", "tongue")</f>
        <v>0</v>
      </c>
      <c r="J977" s="1">
        <f>IF(B977="", "", "human oral metagenome")</f>
        <v>0</v>
      </c>
      <c r="K977" s="1">
        <f>IF(B977="", "", "447426")</f>
        <v>0</v>
      </c>
    </row>
    <row r="978" spans="1:11">
      <c r="A978">
        <f>IF(COUNTBLANK(B978:K978)&lt;&gt;COLUMNS(B978:K978),977,"")</f>
        <v>0</v>
      </c>
      <c r="C978" s="1">
        <f>IF(B978="", "", "animal secretion")</f>
        <v>0</v>
      </c>
      <c r="D978" s="1">
        <f>IF(B978="", "", "saliva")</f>
        <v>0</v>
      </c>
      <c r="E978" s="1">
        <f>IF(B978="", "", "human-oral")</f>
        <v>0</v>
      </c>
      <c r="F978" s="1">
        <f>IF(B978="", "", "UBERON:oral cavity")</f>
        <v>0</v>
      </c>
      <c r="G978" s="1">
        <f>IF(B978="", "", "UBERON:saliva")</f>
        <v>0</v>
      </c>
      <c r="H978" s="1">
        <f>IF(B978="", "", "UBERON:tongue")</f>
        <v>0</v>
      </c>
      <c r="I978" s="1">
        <f>IF(B978="", "", "tongue")</f>
        <v>0</v>
      </c>
      <c r="J978" s="1">
        <f>IF(B978="", "", "human oral metagenome")</f>
        <v>0</v>
      </c>
      <c r="K978" s="1">
        <f>IF(B978="", "", "447426")</f>
        <v>0</v>
      </c>
    </row>
    <row r="979" spans="1:11">
      <c r="A979">
        <f>IF(COUNTBLANK(B979:K979)&lt;&gt;COLUMNS(B979:K979),978,"")</f>
        <v>0</v>
      </c>
      <c r="C979" s="1">
        <f>IF(B979="", "", "animal secretion")</f>
        <v>0</v>
      </c>
      <c r="D979" s="1">
        <f>IF(B979="", "", "saliva")</f>
        <v>0</v>
      </c>
      <c r="E979" s="1">
        <f>IF(B979="", "", "human-oral")</f>
        <v>0</v>
      </c>
      <c r="F979" s="1">
        <f>IF(B979="", "", "UBERON:oral cavity")</f>
        <v>0</v>
      </c>
      <c r="G979" s="1">
        <f>IF(B979="", "", "UBERON:saliva")</f>
        <v>0</v>
      </c>
      <c r="H979" s="1">
        <f>IF(B979="", "", "UBERON:tongue")</f>
        <v>0</v>
      </c>
      <c r="I979" s="1">
        <f>IF(B979="", "", "tongue")</f>
        <v>0</v>
      </c>
      <c r="J979" s="1">
        <f>IF(B979="", "", "human oral metagenome")</f>
        <v>0</v>
      </c>
      <c r="K979" s="1">
        <f>IF(B979="", "", "447426")</f>
        <v>0</v>
      </c>
    </row>
    <row r="980" spans="1:11">
      <c r="A980">
        <f>IF(COUNTBLANK(B980:K980)&lt;&gt;COLUMNS(B980:K980),979,"")</f>
        <v>0</v>
      </c>
      <c r="C980" s="1">
        <f>IF(B980="", "", "animal secretion")</f>
        <v>0</v>
      </c>
      <c r="D980" s="1">
        <f>IF(B980="", "", "saliva")</f>
        <v>0</v>
      </c>
      <c r="E980" s="1">
        <f>IF(B980="", "", "human-oral")</f>
        <v>0</v>
      </c>
      <c r="F980" s="1">
        <f>IF(B980="", "", "UBERON:oral cavity")</f>
        <v>0</v>
      </c>
      <c r="G980" s="1">
        <f>IF(B980="", "", "UBERON:saliva")</f>
        <v>0</v>
      </c>
      <c r="H980" s="1">
        <f>IF(B980="", "", "UBERON:tongue")</f>
        <v>0</v>
      </c>
      <c r="I980" s="1">
        <f>IF(B980="", "", "tongue")</f>
        <v>0</v>
      </c>
      <c r="J980" s="1">
        <f>IF(B980="", "", "human oral metagenome")</f>
        <v>0</v>
      </c>
      <c r="K980" s="1">
        <f>IF(B980="", "", "447426")</f>
        <v>0</v>
      </c>
    </row>
    <row r="981" spans="1:11">
      <c r="A981">
        <f>IF(COUNTBLANK(B981:K981)&lt;&gt;COLUMNS(B981:K981),980,"")</f>
        <v>0</v>
      </c>
      <c r="C981" s="1">
        <f>IF(B981="", "", "animal secretion")</f>
        <v>0</v>
      </c>
      <c r="D981" s="1">
        <f>IF(B981="", "", "saliva")</f>
        <v>0</v>
      </c>
      <c r="E981" s="1">
        <f>IF(B981="", "", "human-oral")</f>
        <v>0</v>
      </c>
      <c r="F981" s="1">
        <f>IF(B981="", "", "UBERON:oral cavity")</f>
        <v>0</v>
      </c>
      <c r="G981" s="1">
        <f>IF(B981="", "", "UBERON:saliva")</f>
        <v>0</v>
      </c>
      <c r="H981" s="1">
        <f>IF(B981="", "", "UBERON:tongue")</f>
        <v>0</v>
      </c>
      <c r="I981" s="1">
        <f>IF(B981="", "", "tongue")</f>
        <v>0</v>
      </c>
      <c r="J981" s="1">
        <f>IF(B981="", "", "human oral metagenome")</f>
        <v>0</v>
      </c>
      <c r="K981" s="1">
        <f>IF(B981="", "", "447426")</f>
        <v>0</v>
      </c>
    </row>
    <row r="982" spans="1:11">
      <c r="A982">
        <f>IF(COUNTBLANK(B982:K982)&lt;&gt;COLUMNS(B982:K982),981,"")</f>
        <v>0</v>
      </c>
      <c r="C982" s="1">
        <f>IF(B982="", "", "animal secretion")</f>
        <v>0</v>
      </c>
      <c r="D982" s="1">
        <f>IF(B982="", "", "saliva")</f>
        <v>0</v>
      </c>
      <c r="E982" s="1">
        <f>IF(B982="", "", "human-oral")</f>
        <v>0</v>
      </c>
      <c r="F982" s="1">
        <f>IF(B982="", "", "UBERON:oral cavity")</f>
        <v>0</v>
      </c>
      <c r="G982" s="1">
        <f>IF(B982="", "", "UBERON:saliva")</f>
        <v>0</v>
      </c>
      <c r="H982" s="1">
        <f>IF(B982="", "", "UBERON:tongue")</f>
        <v>0</v>
      </c>
      <c r="I982" s="1">
        <f>IF(B982="", "", "tongue")</f>
        <v>0</v>
      </c>
      <c r="J982" s="1">
        <f>IF(B982="", "", "human oral metagenome")</f>
        <v>0</v>
      </c>
      <c r="K982" s="1">
        <f>IF(B982="", "", "447426")</f>
        <v>0</v>
      </c>
    </row>
    <row r="983" spans="1:11">
      <c r="A983">
        <f>IF(COUNTBLANK(B983:K983)&lt;&gt;COLUMNS(B983:K983),982,"")</f>
        <v>0</v>
      </c>
      <c r="C983" s="1">
        <f>IF(B983="", "", "animal secretion")</f>
        <v>0</v>
      </c>
      <c r="D983" s="1">
        <f>IF(B983="", "", "saliva")</f>
        <v>0</v>
      </c>
      <c r="E983" s="1">
        <f>IF(B983="", "", "human-oral")</f>
        <v>0</v>
      </c>
      <c r="F983" s="1">
        <f>IF(B983="", "", "UBERON:oral cavity")</f>
        <v>0</v>
      </c>
      <c r="G983" s="1">
        <f>IF(B983="", "", "UBERON:saliva")</f>
        <v>0</v>
      </c>
      <c r="H983" s="1">
        <f>IF(B983="", "", "UBERON:tongue")</f>
        <v>0</v>
      </c>
      <c r="I983" s="1">
        <f>IF(B983="", "", "tongue")</f>
        <v>0</v>
      </c>
      <c r="J983" s="1">
        <f>IF(B983="", "", "human oral metagenome")</f>
        <v>0</v>
      </c>
      <c r="K983" s="1">
        <f>IF(B983="", "", "447426")</f>
        <v>0</v>
      </c>
    </row>
    <row r="984" spans="1:11">
      <c r="A984">
        <f>IF(COUNTBLANK(B984:K984)&lt;&gt;COLUMNS(B984:K984),983,"")</f>
        <v>0</v>
      </c>
      <c r="C984" s="1">
        <f>IF(B984="", "", "animal secretion")</f>
        <v>0</v>
      </c>
      <c r="D984" s="1">
        <f>IF(B984="", "", "saliva")</f>
        <v>0</v>
      </c>
      <c r="E984" s="1">
        <f>IF(B984="", "", "human-oral")</f>
        <v>0</v>
      </c>
      <c r="F984" s="1">
        <f>IF(B984="", "", "UBERON:oral cavity")</f>
        <v>0</v>
      </c>
      <c r="G984" s="1">
        <f>IF(B984="", "", "UBERON:saliva")</f>
        <v>0</v>
      </c>
      <c r="H984" s="1">
        <f>IF(B984="", "", "UBERON:tongue")</f>
        <v>0</v>
      </c>
      <c r="I984" s="1">
        <f>IF(B984="", "", "tongue")</f>
        <v>0</v>
      </c>
      <c r="J984" s="1">
        <f>IF(B984="", "", "human oral metagenome")</f>
        <v>0</v>
      </c>
      <c r="K984" s="1">
        <f>IF(B984="", "", "447426")</f>
        <v>0</v>
      </c>
    </row>
    <row r="985" spans="1:11">
      <c r="A985">
        <f>IF(COUNTBLANK(B985:K985)&lt;&gt;COLUMNS(B985:K985),984,"")</f>
        <v>0</v>
      </c>
      <c r="C985" s="1">
        <f>IF(B985="", "", "animal secretion")</f>
        <v>0</v>
      </c>
      <c r="D985" s="1">
        <f>IF(B985="", "", "saliva")</f>
        <v>0</v>
      </c>
      <c r="E985" s="1">
        <f>IF(B985="", "", "human-oral")</f>
        <v>0</v>
      </c>
      <c r="F985" s="1">
        <f>IF(B985="", "", "UBERON:oral cavity")</f>
        <v>0</v>
      </c>
      <c r="G985" s="1">
        <f>IF(B985="", "", "UBERON:saliva")</f>
        <v>0</v>
      </c>
      <c r="H985" s="1">
        <f>IF(B985="", "", "UBERON:tongue")</f>
        <v>0</v>
      </c>
      <c r="I985" s="1">
        <f>IF(B985="", "", "tongue")</f>
        <v>0</v>
      </c>
      <c r="J985" s="1">
        <f>IF(B985="", "", "human oral metagenome")</f>
        <v>0</v>
      </c>
      <c r="K985" s="1">
        <f>IF(B985="", "", "447426")</f>
        <v>0</v>
      </c>
    </row>
    <row r="986" spans="1:11">
      <c r="A986">
        <f>IF(COUNTBLANK(B986:K986)&lt;&gt;COLUMNS(B986:K986),985,"")</f>
        <v>0</v>
      </c>
      <c r="C986" s="1">
        <f>IF(B986="", "", "animal secretion")</f>
        <v>0</v>
      </c>
      <c r="D986" s="1">
        <f>IF(B986="", "", "saliva")</f>
        <v>0</v>
      </c>
      <c r="E986" s="1">
        <f>IF(B986="", "", "human-oral")</f>
        <v>0</v>
      </c>
      <c r="F986" s="1">
        <f>IF(B986="", "", "UBERON:oral cavity")</f>
        <v>0</v>
      </c>
      <c r="G986" s="1">
        <f>IF(B986="", "", "UBERON:saliva")</f>
        <v>0</v>
      </c>
      <c r="H986" s="1">
        <f>IF(B986="", "", "UBERON:tongue")</f>
        <v>0</v>
      </c>
      <c r="I986" s="1">
        <f>IF(B986="", "", "tongue")</f>
        <v>0</v>
      </c>
      <c r="J986" s="1">
        <f>IF(B986="", "", "human oral metagenome")</f>
        <v>0</v>
      </c>
      <c r="K986" s="1">
        <f>IF(B986="", "", "447426")</f>
        <v>0</v>
      </c>
    </row>
    <row r="987" spans="1:11">
      <c r="A987">
        <f>IF(COUNTBLANK(B987:K987)&lt;&gt;COLUMNS(B987:K987),986,"")</f>
        <v>0</v>
      </c>
      <c r="C987" s="1">
        <f>IF(B987="", "", "animal secretion")</f>
        <v>0</v>
      </c>
      <c r="D987" s="1">
        <f>IF(B987="", "", "saliva")</f>
        <v>0</v>
      </c>
      <c r="E987" s="1">
        <f>IF(B987="", "", "human-oral")</f>
        <v>0</v>
      </c>
      <c r="F987" s="1">
        <f>IF(B987="", "", "UBERON:oral cavity")</f>
        <v>0</v>
      </c>
      <c r="G987" s="1">
        <f>IF(B987="", "", "UBERON:saliva")</f>
        <v>0</v>
      </c>
      <c r="H987" s="1">
        <f>IF(B987="", "", "UBERON:tongue")</f>
        <v>0</v>
      </c>
      <c r="I987" s="1">
        <f>IF(B987="", "", "tongue")</f>
        <v>0</v>
      </c>
      <c r="J987" s="1">
        <f>IF(B987="", "", "human oral metagenome")</f>
        <v>0</v>
      </c>
      <c r="K987" s="1">
        <f>IF(B987="", "", "447426")</f>
        <v>0</v>
      </c>
    </row>
    <row r="988" spans="1:11">
      <c r="A988">
        <f>IF(COUNTBLANK(B988:K988)&lt;&gt;COLUMNS(B988:K988),987,"")</f>
        <v>0</v>
      </c>
      <c r="C988" s="1">
        <f>IF(B988="", "", "animal secretion")</f>
        <v>0</v>
      </c>
      <c r="D988" s="1">
        <f>IF(B988="", "", "saliva")</f>
        <v>0</v>
      </c>
      <c r="E988" s="1">
        <f>IF(B988="", "", "human-oral")</f>
        <v>0</v>
      </c>
      <c r="F988" s="1">
        <f>IF(B988="", "", "UBERON:oral cavity")</f>
        <v>0</v>
      </c>
      <c r="G988" s="1">
        <f>IF(B988="", "", "UBERON:saliva")</f>
        <v>0</v>
      </c>
      <c r="H988" s="1">
        <f>IF(B988="", "", "UBERON:tongue")</f>
        <v>0</v>
      </c>
      <c r="I988" s="1">
        <f>IF(B988="", "", "tongue")</f>
        <v>0</v>
      </c>
      <c r="J988" s="1">
        <f>IF(B988="", "", "human oral metagenome")</f>
        <v>0</v>
      </c>
      <c r="K988" s="1">
        <f>IF(B988="", "", "447426")</f>
        <v>0</v>
      </c>
    </row>
    <row r="989" spans="1:11">
      <c r="A989">
        <f>IF(COUNTBLANK(B989:K989)&lt;&gt;COLUMNS(B989:K989),988,"")</f>
        <v>0</v>
      </c>
      <c r="C989" s="1">
        <f>IF(B989="", "", "animal secretion")</f>
        <v>0</v>
      </c>
      <c r="D989" s="1">
        <f>IF(B989="", "", "saliva")</f>
        <v>0</v>
      </c>
      <c r="E989" s="1">
        <f>IF(B989="", "", "human-oral")</f>
        <v>0</v>
      </c>
      <c r="F989" s="1">
        <f>IF(B989="", "", "UBERON:oral cavity")</f>
        <v>0</v>
      </c>
      <c r="G989" s="1">
        <f>IF(B989="", "", "UBERON:saliva")</f>
        <v>0</v>
      </c>
      <c r="H989" s="1">
        <f>IF(B989="", "", "UBERON:tongue")</f>
        <v>0</v>
      </c>
      <c r="I989" s="1">
        <f>IF(B989="", "", "tongue")</f>
        <v>0</v>
      </c>
      <c r="J989" s="1">
        <f>IF(B989="", "", "human oral metagenome")</f>
        <v>0</v>
      </c>
      <c r="K989" s="1">
        <f>IF(B989="", "", "447426")</f>
        <v>0</v>
      </c>
    </row>
    <row r="990" spans="1:11">
      <c r="A990">
        <f>IF(COUNTBLANK(B990:K990)&lt;&gt;COLUMNS(B990:K990),989,"")</f>
        <v>0</v>
      </c>
      <c r="C990" s="1">
        <f>IF(B990="", "", "animal secretion")</f>
        <v>0</v>
      </c>
      <c r="D990" s="1">
        <f>IF(B990="", "", "saliva")</f>
        <v>0</v>
      </c>
      <c r="E990" s="1">
        <f>IF(B990="", "", "human-oral")</f>
        <v>0</v>
      </c>
      <c r="F990" s="1">
        <f>IF(B990="", "", "UBERON:oral cavity")</f>
        <v>0</v>
      </c>
      <c r="G990" s="1">
        <f>IF(B990="", "", "UBERON:saliva")</f>
        <v>0</v>
      </c>
      <c r="H990" s="1">
        <f>IF(B990="", "", "UBERON:tongue")</f>
        <v>0</v>
      </c>
      <c r="I990" s="1">
        <f>IF(B990="", "", "tongue")</f>
        <v>0</v>
      </c>
      <c r="J990" s="1">
        <f>IF(B990="", "", "human oral metagenome")</f>
        <v>0</v>
      </c>
      <c r="K990" s="1">
        <f>IF(B990="", "", "447426")</f>
        <v>0</v>
      </c>
    </row>
    <row r="991" spans="1:11">
      <c r="A991">
        <f>IF(COUNTBLANK(B991:K991)&lt;&gt;COLUMNS(B991:K991),990,"")</f>
        <v>0</v>
      </c>
      <c r="C991" s="1">
        <f>IF(B991="", "", "animal secretion")</f>
        <v>0</v>
      </c>
      <c r="D991" s="1">
        <f>IF(B991="", "", "saliva")</f>
        <v>0</v>
      </c>
      <c r="E991" s="1">
        <f>IF(B991="", "", "human-oral")</f>
        <v>0</v>
      </c>
      <c r="F991" s="1">
        <f>IF(B991="", "", "UBERON:oral cavity")</f>
        <v>0</v>
      </c>
      <c r="G991" s="1">
        <f>IF(B991="", "", "UBERON:saliva")</f>
        <v>0</v>
      </c>
      <c r="H991" s="1">
        <f>IF(B991="", "", "UBERON:tongue")</f>
        <v>0</v>
      </c>
      <c r="I991" s="1">
        <f>IF(B991="", "", "tongue")</f>
        <v>0</v>
      </c>
      <c r="J991" s="1">
        <f>IF(B991="", "", "human oral metagenome")</f>
        <v>0</v>
      </c>
      <c r="K991" s="1">
        <f>IF(B991="", "", "447426")</f>
        <v>0</v>
      </c>
    </row>
    <row r="992" spans="1:11">
      <c r="A992">
        <f>IF(COUNTBLANK(B992:K992)&lt;&gt;COLUMNS(B992:K992),991,"")</f>
        <v>0</v>
      </c>
      <c r="C992" s="1">
        <f>IF(B992="", "", "animal secretion")</f>
        <v>0</v>
      </c>
      <c r="D992" s="1">
        <f>IF(B992="", "", "saliva")</f>
        <v>0</v>
      </c>
      <c r="E992" s="1">
        <f>IF(B992="", "", "human-oral")</f>
        <v>0</v>
      </c>
      <c r="F992" s="1">
        <f>IF(B992="", "", "UBERON:oral cavity")</f>
        <v>0</v>
      </c>
      <c r="G992" s="1">
        <f>IF(B992="", "", "UBERON:saliva")</f>
        <v>0</v>
      </c>
      <c r="H992" s="1">
        <f>IF(B992="", "", "UBERON:tongue")</f>
        <v>0</v>
      </c>
      <c r="I992" s="1">
        <f>IF(B992="", "", "tongue")</f>
        <v>0</v>
      </c>
      <c r="J992" s="1">
        <f>IF(B992="", "", "human oral metagenome")</f>
        <v>0</v>
      </c>
      <c r="K992" s="1">
        <f>IF(B992="", "", "447426")</f>
        <v>0</v>
      </c>
    </row>
    <row r="993" spans="1:11">
      <c r="A993">
        <f>IF(COUNTBLANK(B993:K993)&lt;&gt;COLUMNS(B993:K993),992,"")</f>
        <v>0</v>
      </c>
      <c r="C993" s="1">
        <f>IF(B993="", "", "animal secretion")</f>
        <v>0</v>
      </c>
      <c r="D993" s="1">
        <f>IF(B993="", "", "saliva")</f>
        <v>0</v>
      </c>
      <c r="E993" s="1">
        <f>IF(B993="", "", "human-oral")</f>
        <v>0</v>
      </c>
      <c r="F993" s="1">
        <f>IF(B993="", "", "UBERON:oral cavity")</f>
        <v>0</v>
      </c>
      <c r="G993" s="1">
        <f>IF(B993="", "", "UBERON:saliva")</f>
        <v>0</v>
      </c>
      <c r="H993" s="1">
        <f>IF(B993="", "", "UBERON:tongue")</f>
        <v>0</v>
      </c>
      <c r="I993" s="1">
        <f>IF(B993="", "", "tongue")</f>
        <v>0</v>
      </c>
      <c r="J993" s="1">
        <f>IF(B993="", "", "human oral metagenome")</f>
        <v>0</v>
      </c>
      <c r="K993" s="1">
        <f>IF(B993="", "", "447426")</f>
        <v>0</v>
      </c>
    </row>
    <row r="994" spans="1:11">
      <c r="A994">
        <f>IF(COUNTBLANK(B994:K994)&lt;&gt;COLUMNS(B994:K994),993,"")</f>
        <v>0</v>
      </c>
      <c r="C994" s="1">
        <f>IF(B994="", "", "animal secretion")</f>
        <v>0</v>
      </c>
      <c r="D994" s="1">
        <f>IF(B994="", "", "saliva")</f>
        <v>0</v>
      </c>
      <c r="E994" s="1">
        <f>IF(B994="", "", "human-oral")</f>
        <v>0</v>
      </c>
      <c r="F994" s="1">
        <f>IF(B994="", "", "UBERON:oral cavity")</f>
        <v>0</v>
      </c>
      <c r="G994" s="1">
        <f>IF(B994="", "", "UBERON:saliva")</f>
        <v>0</v>
      </c>
      <c r="H994" s="1">
        <f>IF(B994="", "", "UBERON:tongue")</f>
        <v>0</v>
      </c>
      <c r="I994" s="1">
        <f>IF(B994="", "", "tongue")</f>
        <v>0</v>
      </c>
      <c r="J994" s="1">
        <f>IF(B994="", "", "human oral metagenome")</f>
        <v>0</v>
      </c>
      <c r="K994" s="1">
        <f>IF(B994="", "", "447426")</f>
        <v>0</v>
      </c>
    </row>
    <row r="995" spans="1:11">
      <c r="A995">
        <f>IF(COUNTBLANK(B995:K995)&lt;&gt;COLUMNS(B995:K995),994,"")</f>
        <v>0</v>
      </c>
      <c r="C995" s="1">
        <f>IF(B995="", "", "animal secretion")</f>
        <v>0</v>
      </c>
      <c r="D995" s="1">
        <f>IF(B995="", "", "saliva")</f>
        <v>0</v>
      </c>
      <c r="E995" s="1">
        <f>IF(B995="", "", "human-oral")</f>
        <v>0</v>
      </c>
      <c r="F995" s="1">
        <f>IF(B995="", "", "UBERON:oral cavity")</f>
        <v>0</v>
      </c>
      <c r="G995" s="1">
        <f>IF(B995="", "", "UBERON:saliva")</f>
        <v>0</v>
      </c>
      <c r="H995" s="1">
        <f>IF(B995="", "", "UBERON:tongue")</f>
        <v>0</v>
      </c>
      <c r="I995" s="1">
        <f>IF(B995="", "", "tongue")</f>
        <v>0</v>
      </c>
      <c r="J995" s="1">
        <f>IF(B995="", "", "human oral metagenome")</f>
        <v>0</v>
      </c>
      <c r="K995" s="1">
        <f>IF(B995="", "", "447426")</f>
        <v>0</v>
      </c>
    </row>
    <row r="996" spans="1:11">
      <c r="A996">
        <f>IF(COUNTBLANK(B996:K996)&lt;&gt;COLUMNS(B996:K996),995,"")</f>
        <v>0</v>
      </c>
      <c r="C996" s="1">
        <f>IF(B996="", "", "animal secretion")</f>
        <v>0</v>
      </c>
      <c r="D996" s="1">
        <f>IF(B996="", "", "saliva")</f>
        <v>0</v>
      </c>
      <c r="E996" s="1">
        <f>IF(B996="", "", "human-oral")</f>
        <v>0</v>
      </c>
      <c r="F996" s="1">
        <f>IF(B996="", "", "UBERON:oral cavity")</f>
        <v>0</v>
      </c>
      <c r="G996" s="1">
        <f>IF(B996="", "", "UBERON:saliva")</f>
        <v>0</v>
      </c>
      <c r="H996" s="1">
        <f>IF(B996="", "", "UBERON:tongue")</f>
        <v>0</v>
      </c>
      <c r="I996" s="1">
        <f>IF(B996="", "", "tongue")</f>
        <v>0</v>
      </c>
      <c r="J996" s="1">
        <f>IF(B996="", "", "human oral metagenome")</f>
        <v>0</v>
      </c>
      <c r="K996" s="1">
        <f>IF(B996="", "", "447426")</f>
        <v>0</v>
      </c>
    </row>
    <row r="997" spans="1:11">
      <c r="A997">
        <f>IF(COUNTBLANK(B997:K997)&lt;&gt;COLUMNS(B997:K997),996,"")</f>
        <v>0</v>
      </c>
      <c r="C997" s="1">
        <f>IF(B997="", "", "animal secretion")</f>
        <v>0</v>
      </c>
      <c r="D997" s="1">
        <f>IF(B997="", "", "saliva")</f>
        <v>0</v>
      </c>
      <c r="E997" s="1">
        <f>IF(B997="", "", "human-oral")</f>
        <v>0</v>
      </c>
      <c r="F997" s="1">
        <f>IF(B997="", "", "UBERON:oral cavity")</f>
        <v>0</v>
      </c>
      <c r="G997" s="1">
        <f>IF(B997="", "", "UBERON:saliva")</f>
        <v>0</v>
      </c>
      <c r="H997" s="1">
        <f>IF(B997="", "", "UBERON:tongue")</f>
        <v>0</v>
      </c>
      <c r="I997" s="1">
        <f>IF(B997="", "", "tongue")</f>
        <v>0</v>
      </c>
      <c r="J997" s="1">
        <f>IF(B997="", "", "human oral metagenome")</f>
        <v>0</v>
      </c>
      <c r="K997" s="1">
        <f>IF(B997="", "", "447426")</f>
        <v>0</v>
      </c>
    </row>
    <row r="998" spans="1:11">
      <c r="A998">
        <f>IF(COUNTBLANK(B998:K998)&lt;&gt;COLUMNS(B998:K998),997,"")</f>
        <v>0</v>
      </c>
      <c r="C998" s="1">
        <f>IF(B998="", "", "animal secretion")</f>
        <v>0</v>
      </c>
      <c r="D998" s="1">
        <f>IF(B998="", "", "saliva")</f>
        <v>0</v>
      </c>
      <c r="E998" s="1">
        <f>IF(B998="", "", "human-oral")</f>
        <v>0</v>
      </c>
      <c r="F998" s="1">
        <f>IF(B998="", "", "UBERON:oral cavity")</f>
        <v>0</v>
      </c>
      <c r="G998" s="1">
        <f>IF(B998="", "", "UBERON:saliva")</f>
        <v>0</v>
      </c>
      <c r="H998" s="1">
        <f>IF(B998="", "", "UBERON:tongue")</f>
        <v>0</v>
      </c>
      <c r="I998" s="1">
        <f>IF(B998="", "", "tongue")</f>
        <v>0</v>
      </c>
      <c r="J998" s="1">
        <f>IF(B998="", "", "human oral metagenome")</f>
        <v>0</v>
      </c>
      <c r="K998" s="1">
        <f>IF(B998="", "", "447426")</f>
        <v>0</v>
      </c>
    </row>
    <row r="999" spans="1:11">
      <c r="A999">
        <f>IF(COUNTBLANK(B999:K999)&lt;&gt;COLUMNS(B999:K999),998,"")</f>
        <v>0</v>
      </c>
      <c r="C999" s="1">
        <f>IF(B999="", "", "animal secretion")</f>
        <v>0</v>
      </c>
      <c r="D999" s="1">
        <f>IF(B999="", "", "saliva")</f>
        <v>0</v>
      </c>
      <c r="E999" s="1">
        <f>IF(B999="", "", "human-oral")</f>
        <v>0</v>
      </c>
      <c r="F999" s="1">
        <f>IF(B999="", "", "UBERON:oral cavity")</f>
        <v>0</v>
      </c>
      <c r="G999" s="1">
        <f>IF(B999="", "", "UBERON:saliva")</f>
        <v>0</v>
      </c>
      <c r="H999" s="1">
        <f>IF(B999="", "", "UBERON:tongue")</f>
        <v>0</v>
      </c>
      <c r="I999" s="1">
        <f>IF(B999="", "", "tongue")</f>
        <v>0</v>
      </c>
      <c r="J999" s="1">
        <f>IF(B999="", "", "human oral metagenome")</f>
        <v>0</v>
      </c>
      <c r="K999" s="1">
        <f>IF(B999="", "", "447426")</f>
        <v>0</v>
      </c>
    </row>
    <row r="1000" spans="1:11">
      <c r="A1000">
        <f>IF(COUNTBLANK(B1000:K1000)&lt;&gt;COLUMNS(B1000:K1000),999,"")</f>
        <v>0</v>
      </c>
      <c r="C1000" s="1">
        <f>IF(B1000="", "", "animal secretion")</f>
        <v>0</v>
      </c>
      <c r="D1000" s="1">
        <f>IF(B1000="", "", "saliva")</f>
        <v>0</v>
      </c>
      <c r="E1000" s="1">
        <f>IF(B1000="", "", "human-oral")</f>
        <v>0</v>
      </c>
      <c r="F1000" s="1">
        <f>IF(B1000="", "", "UBERON:oral cavity")</f>
        <v>0</v>
      </c>
      <c r="G1000" s="1">
        <f>IF(B1000="", "", "UBERON:saliva")</f>
        <v>0</v>
      </c>
      <c r="H1000" s="1">
        <f>IF(B1000="", "", "UBERON:tongue")</f>
        <v>0</v>
      </c>
      <c r="I1000" s="1">
        <f>IF(B1000="", "", "tongue")</f>
        <v>0</v>
      </c>
      <c r="J1000" s="1">
        <f>IF(B1000="", "", "human oral metagenome")</f>
        <v>0</v>
      </c>
      <c r="K1000" s="1">
        <f>IF(B1000="", "", "447426")</f>
        <v>0</v>
      </c>
    </row>
    <row r="1001" spans="1:11">
      <c r="A1001">
        <f>IF(COUNTBLANK(B1001:K1001)&lt;&gt;COLUMNS(B1001:K1001),1000,"")</f>
        <v>0</v>
      </c>
      <c r="C1001" s="1">
        <f>IF(B1001="", "", "animal secretion")</f>
        <v>0</v>
      </c>
      <c r="D1001" s="1">
        <f>IF(B1001="", "", "saliva")</f>
        <v>0</v>
      </c>
      <c r="E1001" s="1">
        <f>IF(B1001="", "", "human-oral")</f>
        <v>0</v>
      </c>
      <c r="F1001" s="1">
        <f>IF(B1001="", "", "UBERON:oral cavity")</f>
        <v>0</v>
      </c>
      <c r="G1001" s="1">
        <f>IF(B1001="", "", "UBERON:saliva")</f>
        <v>0</v>
      </c>
      <c r="H1001" s="1">
        <f>IF(B1001="", "", "UBERON:tongue")</f>
        <v>0</v>
      </c>
      <c r="I1001" s="1">
        <f>IF(B1001="", "", "tongue")</f>
        <v>0</v>
      </c>
      <c r="J1001" s="1">
        <f>IF(B1001="", "", "human oral metagenome")</f>
        <v>0</v>
      </c>
      <c r="K1001" s="1">
        <f>IF(B1001="", "", "447426")</f>
        <v>0</v>
      </c>
    </row>
    <row r="1002" spans="1:11">
      <c r="B1002" s="2" t="s">
        <v>2</v>
      </c>
    </row>
  </sheetData>
  <sheetProtection sheet="1" objects="1" scenarios="1" formatCells="0" formatColumns="0" formatRows="0"/>
  <dataValidations count="10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secretion&quot;. The default value is animal secretion." promptTitle="Enter empo_3" prompt="The value must be a string and must equal &quot;animal secretion&quot;. The default value is animal secretion." sqref="C2:C1001">
      <formula1>"animal secretion"</formula1>
    </dataValidation>
    <dataValidation type="list" allowBlank="1" showInputMessage="1" showErrorMessage="1" errorTitle="Invalid env_material" error="The env_material value entered is not valid. The value must be a string and must equal &quot;saliva&quot;. The default value is saliva." promptTitle="Enter env_material" prompt="The value must be a string and must equal &quot;saliva&quot;. The default value is saliva." sqref="D2:D1001">
      <formula1>"saliva"</formula1>
    </dataValidation>
    <dataValidation type="list" allowBlank="1" showInputMessage="1" showErrorMessage="1" errorTitle="Invalid env_package" error="The env_package value entered is not valid. The value must be a string and must equal &quot;human-oral&quot;. The default value is human-oral." promptTitle="Enter env_package" prompt="The value must be a string and must equal &quot;human-oral&quot;. The default value is human-oral." sqref="E2:E1001">
      <formula1>"human-oral"</formula1>
    </dataValidation>
    <dataValidation type="list" allowBlank="1" showInputMessage="1" showErrorMessage="1" errorTitle="Invalid host_body_habitat" error="The host_body_habitat value entered is not valid. The value must be a string and must equal &quot;UBERON:oral cavity&quot;. The default value is UBERON:oral cavity." promptTitle="Enter host_body_habitat" prompt="The value must be a string and must equal &quot;UBERON:oral cavity&quot;. The default value is UBERON:oral cavity." sqref="F2:F1001">
      <formula1>"UBERON:oral cavity"</formula1>
    </dataValidation>
    <dataValidation type="list" allowBlank="1" showInputMessage="1" showErrorMessage="1" errorTitle="Invalid host_body_product" error="The host_body_product value entered is not valid. The value must be a string and must equal &quot;UBERON:saliva&quot;. The default value is UBERON:saliva." promptTitle="Enter host_body_product" prompt="The value must be a string and must equal &quot;UBERON:saliva&quot;. The default value is UBERON:saliva." sqref="G2:G1001">
      <formula1>"UBERON:saliva"</formula1>
    </dataValidation>
    <dataValidation type="list" allowBlank="1" showInputMessage="1" showErrorMessage="1" errorTitle="Invalid host_body_site" error="The host_body_site value entered is not valid. The value must be a string and must equal &quot;UBERON:tongue&quot;. The default value is UBERON:tongue." promptTitle="Enter host_body_site" prompt="The value must be a string and must equal &quot;UBERON:tongue&quot;. The default value is UBERON:tongue." sqref="H2:H1001">
      <formula1>"UBERON:tongue"</formula1>
    </dataValidation>
    <dataValidation type="list" allowBlank="1" showInputMessage="1" showErrorMessage="1" errorTitle="Invalid sample_type" error="The sample_type value entered is not valid. The value must be a string and must equal &quot;tongue&quot;. The default value is tongue." promptTitle="Enter sample_type" prompt="The value must be a string and must equal &quot;tongue&quot;. The default value is tongue." sqref="I2:I1001">
      <formula1>"tongue"</formula1>
    </dataValidation>
    <dataValidation type="list" allowBlank="1" showInputMessage="1" showErrorMessage="1" errorTitle="Invalid scientific_name" error="The scientific_name value entered is not valid. The value must be a string and must equal &quot;human oral metagenome&quot;. The default value is human oral metagenome." promptTitle="Enter scientific_name" prompt="The value must be a string and must equal &quot;human oral metagenome&quot;. The default value is human oral metagenome." sqref="J2:J1001">
      <formula1>"human oral metagenome"</formula1>
    </dataValidation>
    <dataValidation type="list" allowBlank="1" showInputMessage="1" showErrorMessage="1" errorTitle="Invalid taxon_id" error="The taxon_id value entered is not valid. The value must be a string and must equal &quot;447426&quot;. The default value is 447426." promptTitle="Enter taxon_id" prompt="The value must be a string and must equal &quot;447426&quot;. The default value is 447426." sqref="K2:K1001">
      <formula1>"447426"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5" max="21" width="0" hidden="1" customWidth="1"/>
    <col min="22" max="31" width="0" hidden="1" customWidth="1"/>
  </cols>
  <sheetData>
    <row r="1" spans="1:31">
      <c r="A1" s="2" t="s">
        <v>1</v>
      </c>
      <c r="B1" s="2">
        <f>IF(B2=" ", " ", INDEX($V$1:$AE$1, 1, MATCH(COLUMNS($V$1006:V1006),$V$1006:$AE$1006,0)))</f>
        <v>0</v>
      </c>
      <c r="C1" s="2">
        <f>IF(C2=" ", " ", INDEX($V$1:$AE$1, 1, MATCH(COLUMNS($V$1006:W1006),$V$1006:$AE$1006,0)))</f>
        <v>0</v>
      </c>
      <c r="D1" s="2">
        <f>IF(D2=" ", " ", INDEX($V$1:$AE$1, 1, MATCH(COLUMNS($V$1006:X1006),$V$1006:$AE$1006,0)))</f>
        <v>0</v>
      </c>
      <c r="E1" s="2">
        <f>IF(E2=" ", " ", INDEX($V$1:$AE$1, 1, MATCH(COLUMNS($V$1006:Y1006),$V$1006:$AE$1006,0)))</f>
        <v>0</v>
      </c>
      <c r="F1" s="2">
        <f>IF(F2=" ", " ", INDEX($V$1:$AE$1, 1, MATCH(COLUMNS($V$1006:Z1006),$V$1006:$AE$1006,0)))</f>
        <v>0</v>
      </c>
      <c r="G1" s="2">
        <f>IF(G2=" ", " ", INDEX($V$1:$AE$1, 1, MATCH(COLUMNS($V$1006:AA1006),$V$1006:$AE$1006,0)))</f>
        <v>0</v>
      </c>
      <c r="H1" s="2">
        <f>IF(H2=" ", " ", INDEX($V$1:$AE$1, 1, MATCH(COLUMNS($V$1006:AB1006),$V$1006:$AE$1006,0)))</f>
        <v>0</v>
      </c>
      <c r="I1" s="2">
        <f>IF(I2=" ", " ", INDEX($V$1:$AE$1, 1, MATCH(COLUMNS($V$1006:AC1006),$V$1006:$AE$1006,0)))</f>
        <v>0</v>
      </c>
      <c r="J1" s="2">
        <f>IF(J2=" ", " ", INDEX($V$1:$AE$1, 1, MATCH(COLUMNS($V$1006:AD1006),$V$1006:$AE$1006,0)))</f>
        <v>0</v>
      </c>
      <c r="K1" s="2">
        <f>IF(K2=" ", " ", INDEX($V$1:$AE$1, 1, MATCH(COLUMNS($V$1006:AE1006),$V$1006:$AE$1006,0)))</f>
        <v>0</v>
      </c>
      <c r="O1" s="2" t="s">
        <v>16</v>
      </c>
      <c r="P1" s="2" t="s">
        <v>15</v>
      </c>
      <c r="Q1" s="2" t="s">
        <v>14</v>
      </c>
      <c r="R1" s="2" t="s">
        <v>13</v>
      </c>
      <c r="S1" s="2" t="s">
        <v>12</v>
      </c>
      <c r="T1" s="2" t="s">
        <v>1</v>
      </c>
      <c r="V1" s="2" t="s">
        <v>1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7</v>
      </c>
      <c r="AB1" s="2" t="s">
        <v>8</v>
      </c>
      <c r="AC1" s="2" t="s">
        <v>9</v>
      </c>
      <c r="AD1" s="2" t="s">
        <v>10</v>
      </c>
      <c r="AE1" s="2" t="s">
        <v>11</v>
      </c>
    </row>
    <row r="2" spans="1:31">
      <c r="A2" s="4">
        <f>IF(B2=" "," ",HYPERLINK(CONCATENATE("#metadata!",ADDRESS(INDEX($Q$2:$Q$1001,MATCH(ROWS($O$2:O2),$O$2:$O$1001,0),0),1)),INDEX($T$2:$T$1001,MATCH(ROWS($O$2:O2),$O$2:$O$1001,0),0)))</f>
        <v>0</v>
      </c>
      <c r="B2" s="3">
        <f>IF(OR(INDEX($P$2:$P$1001,MATCH(ROWS($O$2:O2),$O$2:$O$1001,0),1)&gt;=100000,INDEX($V$1005:$AE$1005,1,MATCH(COLUMNS($V$1006:V1006),$V$1006:$AE$1006,0))&gt;=100000), " ",IF(INDEX($V$2:$AE$1001,MATCH(ROWS($O$2:O2),$O$2:$O$1001,0),MATCH(COLUMNS($V$1006:V1006),$V$1006:$AE$1006,0)), HYPERLINK("#",""), HYPERLINK(CONCATENATE("#Metadata!", ADDRESS(INDEX($Q$2:$Q$1001,MATCH(ROWS($O$2:O2),$O$2:$O$1001,0),0), INDEX($V$1004:$AE$1004,1,MATCH(COLUMNS($V$1006:V1006),$V$1006:$AE$1006,0)))),"Fix")))</f>
        <v>0</v>
      </c>
      <c r="C2" s="3">
        <f>IF(OR(INDEX($P$2:$P$1001,MATCH(ROWS($O$2:O2),$O$2:$O$1001,0),1)&gt;=100000,INDEX($V$1005:$AE$1005,1,MATCH(COLUMNS($V$1006:W1006),$V$1006:$AE$1006,0))&gt;=100000), " ",IF(INDEX($V$2:$AE$1001,MATCH(ROWS($O$2:O2),$O$2:$O$1001,0),MATCH(COLUMNS($V$1006:W1006),$V$1006:$AE$1006,0)), HYPERLINK("#",""), HYPERLINK(CONCATENATE("#Metadata!", ADDRESS(INDEX($Q$2:$Q$1001,MATCH(ROWS($O$2:O2),$O$2:$O$1001,0),0), INDEX($V$1004:$AE$1004,1,MATCH(COLUMNS($V$1006:W1006),$V$1006:$AE$1006,0)))),"Fix")))</f>
        <v>0</v>
      </c>
      <c r="D2" s="3">
        <f>IF(OR(INDEX($P$2:$P$1001,MATCH(ROWS($O$2:O2),$O$2:$O$1001,0),1)&gt;=100000,INDEX($V$1005:$AE$1005,1,MATCH(COLUMNS($V$1006:X1006),$V$1006:$AE$1006,0))&gt;=100000), " ",IF(INDEX($V$2:$AE$1001,MATCH(ROWS($O$2:O2),$O$2:$O$1001,0),MATCH(COLUMNS($V$1006:X1006),$V$1006:$AE$1006,0)), HYPERLINK("#",""), HYPERLINK(CONCATENATE("#Metadata!", ADDRESS(INDEX($Q$2:$Q$1001,MATCH(ROWS($O$2:O2),$O$2:$O$1001,0),0), INDEX($V$1004:$AE$1004,1,MATCH(COLUMNS($V$1006:X1006),$V$1006:$AE$1006,0)))),"Fix")))</f>
        <v>0</v>
      </c>
      <c r="E2" s="3">
        <f>IF(OR(INDEX($P$2:$P$1001,MATCH(ROWS($O$2:O2),$O$2:$O$1001,0),1)&gt;=100000,INDEX($V$1005:$AE$1005,1,MATCH(COLUMNS($V$1006:Y1006),$V$1006:$AE$1006,0))&gt;=100000), " ",IF(INDEX($V$2:$AE$1001,MATCH(ROWS($O$2:O2),$O$2:$O$1001,0),MATCH(COLUMNS($V$1006:Y1006),$V$1006:$AE$1006,0)), HYPERLINK("#",""), HYPERLINK(CONCATENATE("#Metadata!", ADDRESS(INDEX($Q$2:$Q$1001,MATCH(ROWS($O$2:O2),$O$2:$O$1001,0),0), INDEX($V$1004:$AE$1004,1,MATCH(COLUMNS($V$1006:Y1006),$V$1006:$AE$1006,0)))),"Fix")))</f>
        <v>0</v>
      </c>
      <c r="F2" s="3">
        <f>IF(OR(INDEX($P$2:$P$1001,MATCH(ROWS($O$2:O2),$O$2:$O$1001,0),1)&gt;=100000,INDEX($V$1005:$AE$1005,1,MATCH(COLUMNS($V$1006:Z1006),$V$1006:$AE$1006,0))&gt;=100000), " ",IF(INDEX($V$2:$AE$1001,MATCH(ROWS($O$2:O2),$O$2:$O$1001,0),MATCH(COLUMNS($V$1006:Z1006),$V$1006:$AE$1006,0)), HYPERLINK("#",""), HYPERLINK(CONCATENATE("#Metadata!", ADDRESS(INDEX($Q$2:$Q$1001,MATCH(ROWS($O$2:O2),$O$2:$O$1001,0),0), INDEX($V$1004:$AE$1004,1,MATCH(COLUMNS($V$1006:Z1006),$V$1006:$AE$1006,0)))),"Fix")))</f>
        <v>0</v>
      </c>
      <c r="G2" s="3">
        <f>IF(OR(INDEX($P$2:$P$1001,MATCH(ROWS($O$2:O2),$O$2:$O$1001,0),1)&gt;=100000,INDEX($V$1005:$AE$1005,1,MATCH(COLUMNS($V$1006:AA1006),$V$1006:$AE$1006,0))&gt;=100000), " ",IF(INDEX($V$2:$AE$1001,MATCH(ROWS($O$2:O2),$O$2:$O$1001,0),MATCH(COLUMNS($V$1006:AA1006),$V$1006:$AE$1006,0)), HYPERLINK("#",""), HYPERLINK(CONCATENATE("#Metadata!", ADDRESS(INDEX($Q$2:$Q$1001,MATCH(ROWS($O$2:O2),$O$2:$O$1001,0),0), INDEX($V$1004:$AE$1004,1,MATCH(COLUMNS($V$1006:AA1006),$V$1006:$AE$1006,0)))),"Fix")))</f>
        <v>0</v>
      </c>
      <c r="H2" s="3">
        <f>IF(OR(INDEX($P$2:$P$1001,MATCH(ROWS($O$2:O2),$O$2:$O$1001,0),1)&gt;=100000,INDEX($V$1005:$AE$1005,1,MATCH(COLUMNS($V$1006:AB1006),$V$1006:$AE$1006,0))&gt;=100000), " ",IF(INDEX($V$2:$AE$1001,MATCH(ROWS($O$2:O2),$O$2:$O$1001,0),MATCH(COLUMNS($V$1006:AB1006),$V$1006:$AE$1006,0)), HYPERLINK("#",""), HYPERLINK(CONCATENATE("#Metadata!", ADDRESS(INDEX($Q$2:$Q$1001,MATCH(ROWS($O$2:O2),$O$2:$O$1001,0),0), INDEX($V$1004:$AE$1004,1,MATCH(COLUMNS($V$1006:AB1006),$V$1006:$AE$1006,0)))),"Fix")))</f>
        <v>0</v>
      </c>
      <c r="I2" s="3">
        <f>IF(OR(INDEX($P$2:$P$1001,MATCH(ROWS($O$2:O2),$O$2:$O$1001,0),1)&gt;=100000,INDEX($V$1005:$AE$1005,1,MATCH(COLUMNS($V$1006:AC1006),$V$1006:$AE$1006,0))&gt;=100000), " ",IF(INDEX($V$2:$AE$1001,MATCH(ROWS($O$2:O2),$O$2:$O$1001,0),MATCH(COLUMNS($V$1006:AC1006),$V$1006:$AE$1006,0)), HYPERLINK("#",""), HYPERLINK(CONCATENATE("#Metadata!", ADDRESS(INDEX($Q$2:$Q$1001,MATCH(ROWS($O$2:O2),$O$2:$O$1001,0),0), INDEX($V$1004:$AE$1004,1,MATCH(COLUMNS($V$1006:AC1006),$V$1006:$AE$1006,0)))),"Fix")))</f>
        <v>0</v>
      </c>
      <c r="J2" s="3">
        <f>IF(OR(INDEX($P$2:$P$1001,MATCH(ROWS($O$2:O2),$O$2:$O$1001,0),1)&gt;=100000,INDEX($V$1005:$AE$1005,1,MATCH(COLUMNS($V$1006:AD1006),$V$1006:$AE$1006,0))&gt;=100000), " ",IF(INDEX($V$2:$AE$1001,MATCH(ROWS($O$2:O2),$O$2:$O$1001,0),MATCH(COLUMNS($V$1006:AD1006),$V$1006:$AE$1006,0)), HYPERLINK("#",""), HYPERLINK(CONCATENATE("#Metadata!", ADDRESS(INDEX($Q$2:$Q$1001,MATCH(ROWS($O$2:O2),$O$2:$O$1001,0),0), INDEX($V$1004:$AE$1004,1,MATCH(COLUMNS($V$1006:AD1006),$V$1006:$AE$1006,0)))),"Fix")))</f>
        <v>0</v>
      </c>
      <c r="K2" s="3">
        <f>IF(OR(INDEX($P$2:$P$1001,MATCH(ROWS($O$2:O2),$O$2:$O$1001,0),1)&gt;=100000,INDEX($V$1005:$AE$1005,1,MATCH(COLUMNS($V$1006:AE1006),$V$1006:$AE$1006,0))&gt;=100000), " ",IF(INDEX($V$2:$AE$1001,MATCH(ROWS($O$2:O2),$O$2:$O$1001,0),MATCH(COLUMNS($V$1006:AE1006),$V$1006:$AE$1006,0)), HYPERLINK("#",""), HYPERLINK(CONCATENATE("#Metadata!", ADDRESS(INDEX($Q$2:$Q$1001,MATCH(ROWS($O$2:O2),$O$2:$O$1001,0),0), INDEX($V$1004:$AE$1004,1,MATCH(COLUMNS($V$1006:AE1006),$V$1006:$AE$1006,0)))),"Fix")))</f>
        <v>0</v>
      </c>
      <c r="O2">
        <f t="array" ref="O2:O1001">COUNTIF(P$2:P$1001,"&lt;="&amp;$P2:$P1001)</f>
        <v>0</v>
      </c>
      <c r="P2">
        <f t="array" ref="P2:P1001">INT(R2:R1001)*100000+$Q$2:$Q$1001</f>
        <v>0</v>
      </c>
      <c r="Q2">
        <f t="array" ref="Q2:Q1001">ROW(Metadata!B2:B1001)</f>
        <v>0</v>
      </c>
      <c r="R2">
        <f>IF(S2,TRUE,AND(V2:AE2))</f>
        <v>0</v>
      </c>
      <c r="S2">
        <f>COUNTBLANK(Metadata!B2:K2)=COLUMNS(Metadata!B2:K2)</f>
        <v>0</v>
      </c>
      <c r="T2">
        <f t="array" ref="T2:T1001">IF(Metadata!B2:B1001="","",Metadata!B2:B1001)</f>
        <v>0</v>
      </c>
      <c r="V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W2">
        <f>AND(IF(Metadata!C2="",FALSE,TRUE),exact(Metadata!C2,"animal secretion"))</f>
        <v>0</v>
      </c>
      <c r="X2">
        <f>AND(IF(Metadata!D2="",FALSE,TRUE),exact(Metadata!D2,"saliva"))</f>
        <v>0</v>
      </c>
      <c r="Y2">
        <f>AND(IF(Metadata!E2="",FALSE,TRUE),exact(Metadata!E2,"human-oral"))</f>
        <v>0</v>
      </c>
      <c r="Z2">
        <f>AND(IF(Metadata!F2="",FALSE,TRUE),exact(Metadata!F2,"UBERON:oral cavity"))</f>
        <v>0</v>
      </c>
      <c r="AA2">
        <f>AND(IF(Metadata!G2="",FALSE,TRUE),exact(Metadata!G2,"UBERON:saliva"))</f>
        <v>0</v>
      </c>
      <c r="AB2">
        <f>AND(IF(Metadata!H2="",FALSE,TRUE),exact(Metadata!H2,"UBERON:tongue"))</f>
        <v>0</v>
      </c>
      <c r="AC2">
        <f>AND(IF(Metadata!I2="",FALSE,TRUE),exact(Metadata!I2,"tongue"))</f>
        <v>0</v>
      </c>
      <c r="AD2">
        <f>AND(IF(Metadata!J2="",FALSE,TRUE),exact(Metadata!J2,"human oral metagenome"))</f>
        <v>0</v>
      </c>
      <c r="AE2">
        <f>AND(IF(Metadata!K2="",FALSE,TRUE),exact(Metadata!K2,"447426"))</f>
        <v>0</v>
      </c>
    </row>
    <row r="3" spans="1:31">
      <c r="A3" s="4">
        <f>IF(B3=" "," ",HYPERLINK(CONCATENATE("#metadata!",ADDRESS(INDEX($Q$2:$Q$1001,MATCH(ROWS($O$2:O3),$O$2:$O$1001,0),0),1)),INDEX($T$2:$T$1001,MATCH(ROWS($O$2:O3),$O$2:$O$1001,0),0)))</f>
        <v>0</v>
      </c>
      <c r="B3" s="3">
        <f>IF(OR(INDEX($P$2:$P$1001,MATCH(ROWS($O$2:O3),$O$2:$O$1001,0),1)&gt;=100000,INDEX($V$1005:$AE$1005,1,MATCH(COLUMNS($V$1006:V1006),$V$1006:$AE$1006,0))&gt;=100000), " ",IF(INDEX($V$2:$AE$1001,MATCH(ROWS($O$2:O3),$O$2:$O$1001,0),MATCH(COLUMNS($V$1006:V1006),$V$1006:$AE$1006,0)), HYPERLINK("#",""), HYPERLINK(CONCATENATE("#Metadata!", ADDRESS(INDEX($Q$2:$Q$1001,MATCH(ROWS($O$2:O3),$O$2:$O$1001,0),0), INDEX($V$1004:$AE$1004,1,MATCH(COLUMNS($V$1006:V1006),$V$1006:$AE$1006,0)))),"Fix")))</f>
        <v>0</v>
      </c>
      <c r="C3" s="3">
        <f>IF(OR(INDEX($P$2:$P$1001,MATCH(ROWS($O$2:O3),$O$2:$O$1001,0),1)&gt;=100000,INDEX($V$1005:$AE$1005,1,MATCH(COLUMNS($V$1006:W1006),$V$1006:$AE$1006,0))&gt;=100000), " ",IF(INDEX($V$2:$AE$1001,MATCH(ROWS($O$2:O3),$O$2:$O$1001,0),MATCH(COLUMNS($V$1006:W1006),$V$1006:$AE$1006,0)), HYPERLINK("#",""), HYPERLINK(CONCATENATE("#Metadata!", ADDRESS(INDEX($Q$2:$Q$1001,MATCH(ROWS($O$2:O3),$O$2:$O$1001,0),0), INDEX($V$1004:$AE$1004,1,MATCH(COLUMNS($V$1006:W1006),$V$1006:$AE$1006,0)))),"Fix")))</f>
        <v>0</v>
      </c>
      <c r="D3" s="3">
        <f>IF(OR(INDEX($P$2:$P$1001,MATCH(ROWS($O$2:O3),$O$2:$O$1001,0),1)&gt;=100000,INDEX($V$1005:$AE$1005,1,MATCH(COLUMNS($V$1006:X1006),$V$1006:$AE$1006,0))&gt;=100000), " ",IF(INDEX($V$2:$AE$1001,MATCH(ROWS($O$2:O3),$O$2:$O$1001,0),MATCH(COLUMNS($V$1006:X1006),$V$1006:$AE$1006,0)), HYPERLINK("#",""), HYPERLINK(CONCATENATE("#Metadata!", ADDRESS(INDEX($Q$2:$Q$1001,MATCH(ROWS($O$2:O3),$O$2:$O$1001,0),0), INDEX($V$1004:$AE$1004,1,MATCH(COLUMNS($V$1006:X1006),$V$1006:$AE$1006,0)))),"Fix")))</f>
        <v>0</v>
      </c>
      <c r="E3" s="3">
        <f>IF(OR(INDEX($P$2:$P$1001,MATCH(ROWS($O$2:O3),$O$2:$O$1001,0),1)&gt;=100000,INDEX($V$1005:$AE$1005,1,MATCH(COLUMNS($V$1006:Y1006),$V$1006:$AE$1006,0))&gt;=100000), " ",IF(INDEX($V$2:$AE$1001,MATCH(ROWS($O$2:O3),$O$2:$O$1001,0),MATCH(COLUMNS($V$1006:Y1006),$V$1006:$AE$1006,0)), HYPERLINK("#",""), HYPERLINK(CONCATENATE("#Metadata!", ADDRESS(INDEX($Q$2:$Q$1001,MATCH(ROWS($O$2:O3),$O$2:$O$1001,0),0), INDEX($V$1004:$AE$1004,1,MATCH(COLUMNS($V$1006:Y1006),$V$1006:$AE$1006,0)))),"Fix")))</f>
        <v>0</v>
      </c>
      <c r="F3" s="3">
        <f>IF(OR(INDEX($P$2:$P$1001,MATCH(ROWS($O$2:O3),$O$2:$O$1001,0),1)&gt;=100000,INDEX($V$1005:$AE$1005,1,MATCH(COLUMNS($V$1006:Z1006),$V$1006:$AE$1006,0))&gt;=100000), " ",IF(INDEX($V$2:$AE$1001,MATCH(ROWS($O$2:O3),$O$2:$O$1001,0),MATCH(COLUMNS($V$1006:Z1006),$V$1006:$AE$1006,0)), HYPERLINK("#",""), HYPERLINK(CONCATENATE("#Metadata!", ADDRESS(INDEX($Q$2:$Q$1001,MATCH(ROWS($O$2:O3),$O$2:$O$1001,0),0), INDEX($V$1004:$AE$1004,1,MATCH(COLUMNS($V$1006:Z1006),$V$1006:$AE$1006,0)))),"Fix")))</f>
        <v>0</v>
      </c>
      <c r="G3" s="3">
        <f>IF(OR(INDEX($P$2:$P$1001,MATCH(ROWS($O$2:O3),$O$2:$O$1001,0),1)&gt;=100000,INDEX($V$1005:$AE$1005,1,MATCH(COLUMNS($V$1006:AA1006),$V$1006:$AE$1006,0))&gt;=100000), " ",IF(INDEX($V$2:$AE$1001,MATCH(ROWS($O$2:O3),$O$2:$O$1001,0),MATCH(COLUMNS($V$1006:AA1006),$V$1006:$AE$1006,0)), HYPERLINK("#",""), HYPERLINK(CONCATENATE("#Metadata!", ADDRESS(INDEX($Q$2:$Q$1001,MATCH(ROWS($O$2:O3),$O$2:$O$1001,0),0), INDEX($V$1004:$AE$1004,1,MATCH(COLUMNS($V$1006:AA1006),$V$1006:$AE$1006,0)))),"Fix")))</f>
        <v>0</v>
      </c>
      <c r="H3" s="3">
        <f>IF(OR(INDEX($P$2:$P$1001,MATCH(ROWS($O$2:O3),$O$2:$O$1001,0),1)&gt;=100000,INDEX($V$1005:$AE$1005,1,MATCH(COLUMNS($V$1006:AB1006),$V$1006:$AE$1006,0))&gt;=100000), " ",IF(INDEX($V$2:$AE$1001,MATCH(ROWS($O$2:O3),$O$2:$O$1001,0),MATCH(COLUMNS($V$1006:AB1006),$V$1006:$AE$1006,0)), HYPERLINK("#",""), HYPERLINK(CONCATENATE("#Metadata!", ADDRESS(INDEX($Q$2:$Q$1001,MATCH(ROWS($O$2:O3),$O$2:$O$1001,0),0), INDEX($V$1004:$AE$1004,1,MATCH(COLUMNS($V$1006:AB1006),$V$1006:$AE$1006,0)))),"Fix")))</f>
        <v>0</v>
      </c>
      <c r="I3" s="3">
        <f>IF(OR(INDEX($P$2:$P$1001,MATCH(ROWS($O$2:O3),$O$2:$O$1001,0),1)&gt;=100000,INDEX($V$1005:$AE$1005,1,MATCH(COLUMNS($V$1006:AC1006),$V$1006:$AE$1006,0))&gt;=100000), " ",IF(INDEX($V$2:$AE$1001,MATCH(ROWS($O$2:O3),$O$2:$O$1001,0),MATCH(COLUMNS($V$1006:AC1006),$V$1006:$AE$1006,0)), HYPERLINK("#",""), HYPERLINK(CONCATENATE("#Metadata!", ADDRESS(INDEX($Q$2:$Q$1001,MATCH(ROWS($O$2:O3),$O$2:$O$1001,0),0), INDEX($V$1004:$AE$1004,1,MATCH(COLUMNS($V$1006:AC1006),$V$1006:$AE$1006,0)))),"Fix")))</f>
        <v>0</v>
      </c>
      <c r="J3" s="3">
        <f>IF(OR(INDEX($P$2:$P$1001,MATCH(ROWS($O$2:O3),$O$2:$O$1001,0),1)&gt;=100000,INDEX($V$1005:$AE$1005,1,MATCH(COLUMNS($V$1006:AD1006),$V$1006:$AE$1006,0))&gt;=100000), " ",IF(INDEX($V$2:$AE$1001,MATCH(ROWS($O$2:O3),$O$2:$O$1001,0),MATCH(COLUMNS($V$1006:AD1006),$V$1006:$AE$1006,0)), HYPERLINK("#",""), HYPERLINK(CONCATENATE("#Metadata!", ADDRESS(INDEX($Q$2:$Q$1001,MATCH(ROWS($O$2:O3),$O$2:$O$1001,0),0), INDEX($V$1004:$AE$1004,1,MATCH(COLUMNS($V$1006:AD1006),$V$1006:$AE$1006,0)))),"Fix")))</f>
        <v>0</v>
      </c>
      <c r="K3" s="3">
        <f>IF(OR(INDEX($P$2:$P$1001,MATCH(ROWS($O$2:O3),$O$2:$O$1001,0),1)&gt;=100000,INDEX($V$1005:$AE$1005,1,MATCH(COLUMNS($V$1006:AE1006),$V$1006:$AE$1006,0))&gt;=100000), " ",IF(INDEX($V$2:$AE$1001,MATCH(ROWS($O$2:O3),$O$2:$O$1001,0),MATCH(COLUMNS($V$1006:AE1006),$V$1006:$AE$1006,0)), HYPERLINK("#",""), HYPERLINK(CONCATENATE("#Metadata!", ADDRESS(INDEX($Q$2:$Q$1001,MATCH(ROWS($O$2:O3),$O$2:$O$1001,0),0), INDEX($V$1004:$AE$1004,1,MATCH(COLUMNS($V$1006:AE1006),$V$1006:$AE$1006,0)))),"Fix")))</f>
        <v>0</v>
      </c>
      <c r="O3">
        <v>0</v>
      </c>
      <c r="P3">
        <v>0</v>
      </c>
      <c r="Q3">
        <v>0</v>
      </c>
      <c r="R3">
        <f>IF(S3,TRUE,AND(V3:AE3))</f>
        <v>0</v>
      </c>
      <c r="S3">
        <f>COUNTBLANK(Metadata!B3:K3)=COLUMNS(Metadata!B3:K3)</f>
        <v>0</v>
      </c>
      <c r="T3">
        <v>0</v>
      </c>
      <c r="V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W3">
        <f>AND(IF(Metadata!C3="",FALSE,TRUE),exact(Metadata!C3,"animal secretion"))</f>
        <v>0</v>
      </c>
      <c r="X3">
        <f>AND(IF(Metadata!D3="",FALSE,TRUE),exact(Metadata!D3,"saliva"))</f>
        <v>0</v>
      </c>
      <c r="Y3">
        <f>AND(IF(Metadata!E3="",FALSE,TRUE),exact(Metadata!E3,"human-oral"))</f>
        <v>0</v>
      </c>
      <c r="Z3">
        <f>AND(IF(Metadata!F3="",FALSE,TRUE),exact(Metadata!F3,"UBERON:oral cavity"))</f>
        <v>0</v>
      </c>
      <c r="AA3">
        <f>AND(IF(Metadata!G3="",FALSE,TRUE),exact(Metadata!G3,"UBERON:saliva"))</f>
        <v>0</v>
      </c>
      <c r="AB3">
        <f>AND(IF(Metadata!H3="",FALSE,TRUE),exact(Metadata!H3,"UBERON:tongue"))</f>
        <v>0</v>
      </c>
      <c r="AC3">
        <f>AND(IF(Metadata!I3="",FALSE,TRUE),exact(Metadata!I3,"tongue"))</f>
        <v>0</v>
      </c>
      <c r="AD3">
        <f>AND(IF(Metadata!J3="",FALSE,TRUE),exact(Metadata!J3,"human oral metagenome"))</f>
        <v>0</v>
      </c>
      <c r="AE3">
        <f>AND(IF(Metadata!K3="",FALSE,TRUE),exact(Metadata!K3,"447426"))</f>
        <v>0</v>
      </c>
    </row>
    <row r="4" spans="1:31">
      <c r="A4" s="4">
        <f>IF(B4=" "," ",HYPERLINK(CONCATENATE("#metadata!",ADDRESS(INDEX($Q$2:$Q$1001,MATCH(ROWS($O$2:O4),$O$2:$O$1001,0),0),1)),INDEX($T$2:$T$1001,MATCH(ROWS($O$2:O4),$O$2:$O$1001,0),0)))</f>
        <v>0</v>
      </c>
      <c r="B4" s="3">
        <f>IF(OR(INDEX($P$2:$P$1001,MATCH(ROWS($O$2:O4),$O$2:$O$1001,0),1)&gt;=100000,INDEX($V$1005:$AE$1005,1,MATCH(COLUMNS($V$1006:V1006),$V$1006:$AE$1006,0))&gt;=100000), " ",IF(INDEX($V$2:$AE$1001,MATCH(ROWS($O$2:O4),$O$2:$O$1001,0),MATCH(COLUMNS($V$1006:V1006),$V$1006:$AE$1006,0)), HYPERLINK("#",""), HYPERLINK(CONCATENATE("#Metadata!", ADDRESS(INDEX($Q$2:$Q$1001,MATCH(ROWS($O$2:O4),$O$2:$O$1001,0),0), INDEX($V$1004:$AE$1004,1,MATCH(COLUMNS($V$1006:V1006),$V$1006:$AE$1006,0)))),"Fix")))</f>
        <v>0</v>
      </c>
      <c r="C4" s="3">
        <f>IF(OR(INDEX($P$2:$P$1001,MATCH(ROWS($O$2:O4),$O$2:$O$1001,0),1)&gt;=100000,INDEX($V$1005:$AE$1005,1,MATCH(COLUMNS($V$1006:W1006),$V$1006:$AE$1006,0))&gt;=100000), " ",IF(INDEX($V$2:$AE$1001,MATCH(ROWS($O$2:O4),$O$2:$O$1001,0),MATCH(COLUMNS($V$1006:W1006),$V$1006:$AE$1006,0)), HYPERLINK("#",""), HYPERLINK(CONCATENATE("#Metadata!", ADDRESS(INDEX($Q$2:$Q$1001,MATCH(ROWS($O$2:O4),$O$2:$O$1001,0),0), INDEX($V$1004:$AE$1004,1,MATCH(COLUMNS($V$1006:W1006),$V$1006:$AE$1006,0)))),"Fix")))</f>
        <v>0</v>
      </c>
      <c r="D4" s="3">
        <f>IF(OR(INDEX($P$2:$P$1001,MATCH(ROWS($O$2:O4),$O$2:$O$1001,0),1)&gt;=100000,INDEX($V$1005:$AE$1005,1,MATCH(COLUMNS($V$1006:X1006),$V$1006:$AE$1006,0))&gt;=100000), " ",IF(INDEX($V$2:$AE$1001,MATCH(ROWS($O$2:O4),$O$2:$O$1001,0),MATCH(COLUMNS($V$1006:X1006),$V$1006:$AE$1006,0)), HYPERLINK("#",""), HYPERLINK(CONCATENATE("#Metadata!", ADDRESS(INDEX($Q$2:$Q$1001,MATCH(ROWS($O$2:O4),$O$2:$O$1001,0),0), INDEX($V$1004:$AE$1004,1,MATCH(COLUMNS($V$1006:X1006),$V$1006:$AE$1006,0)))),"Fix")))</f>
        <v>0</v>
      </c>
      <c r="E4" s="3">
        <f>IF(OR(INDEX($P$2:$P$1001,MATCH(ROWS($O$2:O4),$O$2:$O$1001,0),1)&gt;=100000,INDEX($V$1005:$AE$1005,1,MATCH(COLUMNS($V$1006:Y1006),$V$1006:$AE$1006,0))&gt;=100000), " ",IF(INDEX($V$2:$AE$1001,MATCH(ROWS($O$2:O4),$O$2:$O$1001,0),MATCH(COLUMNS($V$1006:Y1006),$V$1006:$AE$1006,0)), HYPERLINK("#",""), HYPERLINK(CONCATENATE("#Metadata!", ADDRESS(INDEX($Q$2:$Q$1001,MATCH(ROWS($O$2:O4),$O$2:$O$1001,0),0), INDEX($V$1004:$AE$1004,1,MATCH(COLUMNS($V$1006:Y1006),$V$1006:$AE$1006,0)))),"Fix")))</f>
        <v>0</v>
      </c>
      <c r="F4" s="3">
        <f>IF(OR(INDEX($P$2:$P$1001,MATCH(ROWS($O$2:O4),$O$2:$O$1001,0),1)&gt;=100000,INDEX($V$1005:$AE$1005,1,MATCH(COLUMNS($V$1006:Z1006),$V$1006:$AE$1006,0))&gt;=100000), " ",IF(INDEX($V$2:$AE$1001,MATCH(ROWS($O$2:O4),$O$2:$O$1001,0),MATCH(COLUMNS($V$1006:Z1006),$V$1006:$AE$1006,0)), HYPERLINK("#",""), HYPERLINK(CONCATENATE("#Metadata!", ADDRESS(INDEX($Q$2:$Q$1001,MATCH(ROWS($O$2:O4),$O$2:$O$1001,0),0), INDEX($V$1004:$AE$1004,1,MATCH(COLUMNS($V$1006:Z1006),$V$1006:$AE$1006,0)))),"Fix")))</f>
        <v>0</v>
      </c>
      <c r="G4" s="3">
        <f>IF(OR(INDEX($P$2:$P$1001,MATCH(ROWS($O$2:O4),$O$2:$O$1001,0),1)&gt;=100000,INDEX($V$1005:$AE$1005,1,MATCH(COLUMNS($V$1006:AA1006),$V$1006:$AE$1006,0))&gt;=100000), " ",IF(INDEX($V$2:$AE$1001,MATCH(ROWS($O$2:O4),$O$2:$O$1001,0),MATCH(COLUMNS($V$1006:AA1006),$V$1006:$AE$1006,0)), HYPERLINK("#",""), HYPERLINK(CONCATENATE("#Metadata!", ADDRESS(INDEX($Q$2:$Q$1001,MATCH(ROWS($O$2:O4),$O$2:$O$1001,0),0), INDEX($V$1004:$AE$1004,1,MATCH(COLUMNS($V$1006:AA1006),$V$1006:$AE$1006,0)))),"Fix")))</f>
        <v>0</v>
      </c>
      <c r="H4" s="3">
        <f>IF(OR(INDEX($P$2:$P$1001,MATCH(ROWS($O$2:O4),$O$2:$O$1001,0),1)&gt;=100000,INDEX($V$1005:$AE$1005,1,MATCH(COLUMNS($V$1006:AB1006),$V$1006:$AE$1006,0))&gt;=100000), " ",IF(INDEX($V$2:$AE$1001,MATCH(ROWS($O$2:O4),$O$2:$O$1001,0),MATCH(COLUMNS($V$1006:AB1006),$V$1006:$AE$1006,0)), HYPERLINK("#",""), HYPERLINK(CONCATENATE("#Metadata!", ADDRESS(INDEX($Q$2:$Q$1001,MATCH(ROWS($O$2:O4),$O$2:$O$1001,0),0), INDEX($V$1004:$AE$1004,1,MATCH(COLUMNS($V$1006:AB1006),$V$1006:$AE$1006,0)))),"Fix")))</f>
        <v>0</v>
      </c>
      <c r="I4" s="3">
        <f>IF(OR(INDEX($P$2:$P$1001,MATCH(ROWS($O$2:O4),$O$2:$O$1001,0),1)&gt;=100000,INDEX($V$1005:$AE$1005,1,MATCH(COLUMNS($V$1006:AC1006),$V$1006:$AE$1006,0))&gt;=100000), " ",IF(INDEX($V$2:$AE$1001,MATCH(ROWS($O$2:O4),$O$2:$O$1001,0),MATCH(COLUMNS($V$1006:AC1006),$V$1006:$AE$1006,0)), HYPERLINK("#",""), HYPERLINK(CONCATENATE("#Metadata!", ADDRESS(INDEX($Q$2:$Q$1001,MATCH(ROWS($O$2:O4),$O$2:$O$1001,0),0), INDEX($V$1004:$AE$1004,1,MATCH(COLUMNS($V$1006:AC1006),$V$1006:$AE$1006,0)))),"Fix")))</f>
        <v>0</v>
      </c>
      <c r="J4" s="3">
        <f>IF(OR(INDEX($P$2:$P$1001,MATCH(ROWS($O$2:O4),$O$2:$O$1001,0),1)&gt;=100000,INDEX($V$1005:$AE$1005,1,MATCH(COLUMNS($V$1006:AD1006),$V$1006:$AE$1006,0))&gt;=100000), " ",IF(INDEX($V$2:$AE$1001,MATCH(ROWS($O$2:O4),$O$2:$O$1001,0),MATCH(COLUMNS($V$1006:AD1006),$V$1006:$AE$1006,0)), HYPERLINK("#",""), HYPERLINK(CONCATENATE("#Metadata!", ADDRESS(INDEX($Q$2:$Q$1001,MATCH(ROWS($O$2:O4),$O$2:$O$1001,0),0), INDEX($V$1004:$AE$1004,1,MATCH(COLUMNS($V$1006:AD1006),$V$1006:$AE$1006,0)))),"Fix")))</f>
        <v>0</v>
      </c>
      <c r="K4" s="3">
        <f>IF(OR(INDEX($P$2:$P$1001,MATCH(ROWS($O$2:O4),$O$2:$O$1001,0),1)&gt;=100000,INDEX($V$1005:$AE$1005,1,MATCH(COLUMNS($V$1006:AE1006),$V$1006:$AE$1006,0))&gt;=100000), " ",IF(INDEX($V$2:$AE$1001,MATCH(ROWS($O$2:O4),$O$2:$O$1001,0),MATCH(COLUMNS($V$1006:AE1006),$V$1006:$AE$1006,0)), HYPERLINK("#",""), HYPERLINK(CONCATENATE("#Metadata!", ADDRESS(INDEX($Q$2:$Q$1001,MATCH(ROWS($O$2:O4),$O$2:$O$1001,0),0), INDEX($V$1004:$AE$1004,1,MATCH(COLUMNS($V$1006:AE1006),$V$1006:$AE$1006,0)))),"Fix")))</f>
        <v>0</v>
      </c>
      <c r="O4">
        <v>0</v>
      </c>
      <c r="P4">
        <v>0</v>
      </c>
      <c r="Q4">
        <v>0</v>
      </c>
      <c r="R4">
        <f>IF(S4,TRUE,AND(V4:AE4))</f>
        <v>0</v>
      </c>
      <c r="S4">
        <f>COUNTBLANK(Metadata!B4:K4)=COLUMNS(Metadata!B4:K4)</f>
        <v>0</v>
      </c>
      <c r="T4">
        <v>0</v>
      </c>
      <c r="V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W4">
        <f>AND(IF(Metadata!C4="",FALSE,TRUE),exact(Metadata!C4,"animal secretion"))</f>
        <v>0</v>
      </c>
      <c r="X4">
        <f>AND(IF(Metadata!D4="",FALSE,TRUE),exact(Metadata!D4,"saliva"))</f>
        <v>0</v>
      </c>
      <c r="Y4">
        <f>AND(IF(Metadata!E4="",FALSE,TRUE),exact(Metadata!E4,"human-oral"))</f>
        <v>0</v>
      </c>
      <c r="Z4">
        <f>AND(IF(Metadata!F4="",FALSE,TRUE),exact(Metadata!F4,"UBERON:oral cavity"))</f>
        <v>0</v>
      </c>
      <c r="AA4">
        <f>AND(IF(Metadata!G4="",FALSE,TRUE),exact(Metadata!G4,"UBERON:saliva"))</f>
        <v>0</v>
      </c>
      <c r="AB4">
        <f>AND(IF(Metadata!H4="",FALSE,TRUE),exact(Metadata!H4,"UBERON:tongue"))</f>
        <v>0</v>
      </c>
      <c r="AC4">
        <f>AND(IF(Metadata!I4="",FALSE,TRUE),exact(Metadata!I4,"tongue"))</f>
        <v>0</v>
      </c>
      <c r="AD4">
        <f>AND(IF(Metadata!J4="",FALSE,TRUE),exact(Metadata!J4,"human oral metagenome"))</f>
        <v>0</v>
      </c>
      <c r="AE4">
        <f>AND(IF(Metadata!K4="",FALSE,TRUE),exact(Metadata!K4,"447426"))</f>
        <v>0</v>
      </c>
    </row>
    <row r="5" spans="1:31">
      <c r="A5" s="4">
        <f>IF(B5=" "," ",HYPERLINK(CONCATENATE("#metadata!",ADDRESS(INDEX($Q$2:$Q$1001,MATCH(ROWS($O$2:O5),$O$2:$O$1001,0),0),1)),INDEX($T$2:$T$1001,MATCH(ROWS($O$2:O5),$O$2:$O$1001,0),0)))</f>
        <v>0</v>
      </c>
      <c r="B5" s="3">
        <f>IF(OR(INDEX($P$2:$P$1001,MATCH(ROWS($O$2:O5),$O$2:$O$1001,0),1)&gt;=100000,INDEX($V$1005:$AE$1005,1,MATCH(COLUMNS($V$1006:V1006),$V$1006:$AE$1006,0))&gt;=100000), " ",IF(INDEX($V$2:$AE$1001,MATCH(ROWS($O$2:O5),$O$2:$O$1001,0),MATCH(COLUMNS($V$1006:V1006),$V$1006:$AE$1006,0)), HYPERLINK("#",""), HYPERLINK(CONCATENATE("#Metadata!", ADDRESS(INDEX($Q$2:$Q$1001,MATCH(ROWS($O$2:O5),$O$2:$O$1001,0),0), INDEX($V$1004:$AE$1004,1,MATCH(COLUMNS($V$1006:V1006),$V$1006:$AE$1006,0)))),"Fix")))</f>
        <v>0</v>
      </c>
      <c r="C5" s="3">
        <f>IF(OR(INDEX($P$2:$P$1001,MATCH(ROWS($O$2:O5),$O$2:$O$1001,0),1)&gt;=100000,INDEX($V$1005:$AE$1005,1,MATCH(COLUMNS($V$1006:W1006),$V$1006:$AE$1006,0))&gt;=100000), " ",IF(INDEX($V$2:$AE$1001,MATCH(ROWS($O$2:O5),$O$2:$O$1001,0),MATCH(COLUMNS($V$1006:W1006),$V$1006:$AE$1006,0)), HYPERLINK("#",""), HYPERLINK(CONCATENATE("#Metadata!", ADDRESS(INDEX($Q$2:$Q$1001,MATCH(ROWS($O$2:O5),$O$2:$O$1001,0),0), INDEX($V$1004:$AE$1004,1,MATCH(COLUMNS($V$1006:W1006),$V$1006:$AE$1006,0)))),"Fix")))</f>
        <v>0</v>
      </c>
      <c r="D5" s="3">
        <f>IF(OR(INDEX($P$2:$P$1001,MATCH(ROWS($O$2:O5),$O$2:$O$1001,0),1)&gt;=100000,INDEX($V$1005:$AE$1005,1,MATCH(COLUMNS($V$1006:X1006),$V$1006:$AE$1006,0))&gt;=100000), " ",IF(INDEX($V$2:$AE$1001,MATCH(ROWS($O$2:O5),$O$2:$O$1001,0),MATCH(COLUMNS($V$1006:X1006),$V$1006:$AE$1006,0)), HYPERLINK("#",""), HYPERLINK(CONCATENATE("#Metadata!", ADDRESS(INDEX($Q$2:$Q$1001,MATCH(ROWS($O$2:O5),$O$2:$O$1001,0),0), INDEX($V$1004:$AE$1004,1,MATCH(COLUMNS($V$1006:X1006),$V$1006:$AE$1006,0)))),"Fix")))</f>
        <v>0</v>
      </c>
      <c r="E5" s="3">
        <f>IF(OR(INDEX($P$2:$P$1001,MATCH(ROWS($O$2:O5),$O$2:$O$1001,0),1)&gt;=100000,INDEX($V$1005:$AE$1005,1,MATCH(COLUMNS($V$1006:Y1006),$V$1006:$AE$1006,0))&gt;=100000), " ",IF(INDEX($V$2:$AE$1001,MATCH(ROWS($O$2:O5),$O$2:$O$1001,0),MATCH(COLUMNS($V$1006:Y1006),$V$1006:$AE$1006,0)), HYPERLINK("#",""), HYPERLINK(CONCATENATE("#Metadata!", ADDRESS(INDEX($Q$2:$Q$1001,MATCH(ROWS($O$2:O5),$O$2:$O$1001,0),0), INDEX($V$1004:$AE$1004,1,MATCH(COLUMNS($V$1006:Y1006),$V$1006:$AE$1006,0)))),"Fix")))</f>
        <v>0</v>
      </c>
      <c r="F5" s="3">
        <f>IF(OR(INDEX($P$2:$P$1001,MATCH(ROWS($O$2:O5),$O$2:$O$1001,0),1)&gt;=100000,INDEX($V$1005:$AE$1005,1,MATCH(COLUMNS($V$1006:Z1006),$V$1006:$AE$1006,0))&gt;=100000), " ",IF(INDEX($V$2:$AE$1001,MATCH(ROWS($O$2:O5),$O$2:$O$1001,0),MATCH(COLUMNS($V$1006:Z1006),$V$1006:$AE$1006,0)), HYPERLINK("#",""), HYPERLINK(CONCATENATE("#Metadata!", ADDRESS(INDEX($Q$2:$Q$1001,MATCH(ROWS($O$2:O5),$O$2:$O$1001,0),0), INDEX($V$1004:$AE$1004,1,MATCH(COLUMNS($V$1006:Z1006),$V$1006:$AE$1006,0)))),"Fix")))</f>
        <v>0</v>
      </c>
      <c r="G5" s="3">
        <f>IF(OR(INDEX($P$2:$P$1001,MATCH(ROWS($O$2:O5),$O$2:$O$1001,0),1)&gt;=100000,INDEX($V$1005:$AE$1005,1,MATCH(COLUMNS($V$1006:AA1006),$V$1006:$AE$1006,0))&gt;=100000), " ",IF(INDEX($V$2:$AE$1001,MATCH(ROWS($O$2:O5),$O$2:$O$1001,0),MATCH(COLUMNS($V$1006:AA1006),$V$1006:$AE$1006,0)), HYPERLINK("#",""), HYPERLINK(CONCATENATE("#Metadata!", ADDRESS(INDEX($Q$2:$Q$1001,MATCH(ROWS($O$2:O5),$O$2:$O$1001,0),0), INDEX($V$1004:$AE$1004,1,MATCH(COLUMNS($V$1006:AA1006),$V$1006:$AE$1006,0)))),"Fix")))</f>
        <v>0</v>
      </c>
      <c r="H5" s="3">
        <f>IF(OR(INDEX($P$2:$P$1001,MATCH(ROWS($O$2:O5),$O$2:$O$1001,0),1)&gt;=100000,INDEX($V$1005:$AE$1005,1,MATCH(COLUMNS($V$1006:AB1006),$V$1006:$AE$1006,0))&gt;=100000), " ",IF(INDEX($V$2:$AE$1001,MATCH(ROWS($O$2:O5),$O$2:$O$1001,0),MATCH(COLUMNS($V$1006:AB1006),$V$1006:$AE$1006,0)), HYPERLINK("#",""), HYPERLINK(CONCATENATE("#Metadata!", ADDRESS(INDEX($Q$2:$Q$1001,MATCH(ROWS($O$2:O5),$O$2:$O$1001,0),0), INDEX($V$1004:$AE$1004,1,MATCH(COLUMNS($V$1006:AB1006),$V$1006:$AE$1006,0)))),"Fix")))</f>
        <v>0</v>
      </c>
      <c r="I5" s="3">
        <f>IF(OR(INDEX($P$2:$P$1001,MATCH(ROWS($O$2:O5),$O$2:$O$1001,0),1)&gt;=100000,INDEX($V$1005:$AE$1005,1,MATCH(COLUMNS($V$1006:AC1006),$V$1006:$AE$1006,0))&gt;=100000), " ",IF(INDEX($V$2:$AE$1001,MATCH(ROWS($O$2:O5),$O$2:$O$1001,0),MATCH(COLUMNS($V$1006:AC1006),$V$1006:$AE$1006,0)), HYPERLINK("#",""), HYPERLINK(CONCATENATE("#Metadata!", ADDRESS(INDEX($Q$2:$Q$1001,MATCH(ROWS($O$2:O5),$O$2:$O$1001,0),0), INDEX($V$1004:$AE$1004,1,MATCH(COLUMNS($V$1006:AC1006),$V$1006:$AE$1006,0)))),"Fix")))</f>
        <v>0</v>
      </c>
      <c r="J5" s="3">
        <f>IF(OR(INDEX($P$2:$P$1001,MATCH(ROWS($O$2:O5),$O$2:$O$1001,0),1)&gt;=100000,INDEX($V$1005:$AE$1005,1,MATCH(COLUMNS($V$1006:AD1006),$V$1006:$AE$1006,0))&gt;=100000), " ",IF(INDEX($V$2:$AE$1001,MATCH(ROWS($O$2:O5),$O$2:$O$1001,0),MATCH(COLUMNS($V$1006:AD1006),$V$1006:$AE$1006,0)), HYPERLINK("#",""), HYPERLINK(CONCATENATE("#Metadata!", ADDRESS(INDEX($Q$2:$Q$1001,MATCH(ROWS($O$2:O5),$O$2:$O$1001,0),0), INDEX($V$1004:$AE$1004,1,MATCH(COLUMNS($V$1006:AD1006),$V$1006:$AE$1006,0)))),"Fix")))</f>
        <v>0</v>
      </c>
      <c r="K5" s="3">
        <f>IF(OR(INDEX($P$2:$P$1001,MATCH(ROWS($O$2:O5),$O$2:$O$1001,0),1)&gt;=100000,INDEX($V$1005:$AE$1005,1,MATCH(COLUMNS($V$1006:AE1006),$V$1006:$AE$1006,0))&gt;=100000), " ",IF(INDEX($V$2:$AE$1001,MATCH(ROWS($O$2:O5),$O$2:$O$1001,0),MATCH(COLUMNS($V$1006:AE1006),$V$1006:$AE$1006,0)), HYPERLINK("#",""), HYPERLINK(CONCATENATE("#Metadata!", ADDRESS(INDEX($Q$2:$Q$1001,MATCH(ROWS($O$2:O5),$O$2:$O$1001,0),0), INDEX($V$1004:$AE$1004,1,MATCH(COLUMNS($V$1006:AE1006),$V$1006:$AE$1006,0)))),"Fix")))</f>
        <v>0</v>
      </c>
      <c r="O5">
        <v>0</v>
      </c>
      <c r="P5">
        <v>0</v>
      </c>
      <c r="Q5">
        <v>0</v>
      </c>
      <c r="R5">
        <f>IF(S5,TRUE,AND(V5:AE5))</f>
        <v>0</v>
      </c>
      <c r="S5">
        <f>COUNTBLANK(Metadata!B5:K5)=COLUMNS(Metadata!B5:K5)</f>
        <v>0</v>
      </c>
      <c r="T5">
        <v>0</v>
      </c>
      <c r="V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W5">
        <f>AND(IF(Metadata!C5="",FALSE,TRUE),exact(Metadata!C5,"animal secretion"))</f>
        <v>0</v>
      </c>
      <c r="X5">
        <f>AND(IF(Metadata!D5="",FALSE,TRUE),exact(Metadata!D5,"saliva"))</f>
        <v>0</v>
      </c>
      <c r="Y5">
        <f>AND(IF(Metadata!E5="",FALSE,TRUE),exact(Metadata!E5,"human-oral"))</f>
        <v>0</v>
      </c>
      <c r="Z5">
        <f>AND(IF(Metadata!F5="",FALSE,TRUE),exact(Metadata!F5,"UBERON:oral cavity"))</f>
        <v>0</v>
      </c>
      <c r="AA5">
        <f>AND(IF(Metadata!G5="",FALSE,TRUE),exact(Metadata!G5,"UBERON:saliva"))</f>
        <v>0</v>
      </c>
      <c r="AB5">
        <f>AND(IF(Metadata!H5="",FALSE,TRUE),exact(Metadata!H5,"UBERON:tongue"))</f>
        <v>0</v>
      </c>
      <c r="AC5">
        <f>AND(IF(Metadata!I5="",FALSE,TRUE),exact(Metadata!I5,"tongue"))</f>
        <v>0</v>
      </c>
      <c r="AD5">
        <f>AND(IF(Metadata!J5="",FALSE,TRUE),exact(Metadata!J5,"human oral metagenome"))</f>
        <v>0</v>
      </c>
      <c r="AE5">
        <f>AND(IF(Metadata!K5="",FALSE,TRUE),exact(Metadata!K5,"447426"))</f>
        <v>0</v>
      </c>
    </row>
    <row r="6" spans="1:31">
      <c r="A6" s="4">
        <f>IF(B6=" "," ",HYPERLINK(CONCATENATE("#metadata!",ADDRESS(INDEX($Q$2:$Q$1001,MATCH(ROWS($O$2:O6),$O$2:$O$1001,0),0),1)),INDEX($T$2:$T$1001,MATCH(ROWS($O$2:O6),$O$2:$O$1001,0),0)))</f>
        <v>0</v>
      </c>
      <c r="B6" s="3">
        <f>IF(OR(INDEX($P$2:$P$1001,MATCH(ROWS($O$2:O6),$O$2:$O$1001,0),1)&gt;=100000,INDEX($V$1005:$AE$1005,1,MATCH(COLUMNS($V$1006:V1006),$V$1006:$AE$1006,0))&gt;=100000), " ",IF(INDEX($V$2:$AE$1001,MATCH(ROWS($O$2:O6),$O$2:$O$1001,0),MATCH(COLUMNS($V$1006:V1006),$V$1006:$AE$1006,0)), HYPERLINK("#",""), HYPERLINK(CONCATENATE("#Metadata!", ADDRESS(INDEX($Q$2:$Q$1001,MATCH(ROWS($O$2:O6),$O$2:$O$1001,0),0), INDEX($V$1004:$AE$1004,1,MATCH(COLUMNS($V$1006:V1006),$V$1006:$AE$1006,0)))),"Fix")))</f>
        <v>0</v>
      </c>
      <c r="C6" s="3">
        <f>IF(OR(INDEX($P$2:$P$1001,MATCH(ROWS($O$2:O6),$O$2:$O$1001,0),1)&gt;=100000,INDEX($V$1005:$AE$1005,1,MATCH(COLUMNS($V$1006:W1006),$V$1006:$AE$1006,0))&gt;=100000), " ",IF(INDEX($V$2:$AE$1001,MATCH(ROWS($O$2:O6),$O$2:$O$1001,0),MATCH(COLUMNS($V$1006:W1006),$V$1006:$AE$1006,0)), HYPERLINK("#",""), HYPERLINK(CONCATENATE("#Metadata!", ADDRESS(INDEX($Q$2:$Q$1001,MATCH(ROWS($O$2:O6),$O$2:$O$1001,0),0), INDEX($V$1004:$AE$1004,1,MATCH(COLUMNS($V$1006:W1006),$V$1006:$AE$1006,0)))),"Fix")))</f>
        <v>0</v>
      </c>
      <c r="D6" s="3">
        <f>IF(OR(INDEX($P$2:$P$1001,MATCH(ROWS($O$2:O6),$O$2:$O$1001,0),1)&gt;=100000,INDEX($V$1005:$AE$1005,1,MATCH(COLUMNS($V$1006:X1006),$V$1006:$AE$1006,0))&gt;=100000), " ",IF(INDEX($V$2:$AE$1001,MATCH(ROWS($O$2:O6),$O$2:$O$1001,0),MATCH(COLUMNS($V$1006:X1006),$V$1006:$AE$1006,0)), HYPERLINK("#",""), HYPERLINK(CONCATENATE("#Metadata!", ADDRESS(INDEX($Q$2:$Q$1001,MATCH(ROWS($O$2:O6),$O$2:$O$1001,0),0), INDEX($V$1004:$AE$1004,1,MATCH(COLUMNS($V$1006:X1006),$V$1006:$AE$1006,0)))),"Fix")))</f>
        <v>0</v>
      </c>
      <c r="E6" s="3">
        <f>IF(OR(INDEX($P$2:$P$1001,MATCH(ROWS($O$2:O6),$O$2:$O$1001,0),1)&gt;=100000,INDEX($V$1005:$AE$1005,1,MATCH(COLUMNS($V$1006:Y1006),$V$1006:$AE$1006,0))&gt;=100000), " ",IF(INDEX($V$2:$AE$1001,MATCH(ROWS($O$2:O6),$O$2:$O$1001,0),MATCH(COLUMNS($V$1006:Y1006),$V$1006:$AE$1006,0)), HYPERLINK("#",""), HYPERLINK(CONCATENATE("#Metadata!", ADDRESS(INDEX($Q$2:$Q$1001,MATCH(ROWS($O$2:O6),$O$2:$O$1001,0),0), INDEX($V$1004:$AE$1004,1,MATCH(COLUMNS($V$1006:Y1006),$V$1006:$AE$1006,0)))),"Fix")))</f>
        <v>0</v>
      </c>
      <c r="F6" s="3">
        <f>IF(OR(INDEX($P$2:$P$1001,MATCH(ROWS($O$2:O6),$O$2:$O$1001,0),1)&gt;=100000,INDEX($V$1005:$AE$1005,1,MATCH(COLUMNS($V$1006:Z1006),$V$1006:$AE$1006,0))&gt;=100000), " ",IF(INDEX($V$2:$AE$1001,MATCH(ROWS($O$2:O6),$O$2:$O$1001,0),MATCH(COLUMNS($V$1006:Z1006),$V$1006:$AE$1006,0)), HYPERLINK("#",""), HYPERLINK(CONCATENATE("#Metadata!", ADDRESS(INDEX($Q$2:$Q$1001,MATCH(ROWS($O$2:O6),$O$2:$O$1001,0),0), INDEX($V$1004:$AE$1004,1,MATCH(COLUMNS($V$1006:Z1006),$V$1006:$AE$1006,0)))),"Fix")))</f>
        <v>0</v>
      </c>
      <c r="G6" s="3">
        <f>IF(OR(INDEX($P$2:$P$1001,MATCH(ROWS($O$2:O6),$O$2:$O$1001,0),1)&gt;=100000,INDEX($V$1005:$AE$1005,1,MATCH(COLUMNS($V$1006:AA1006),$V$1006:$AE$1006,0))&gt;=100000), " ",IF(INDEX($V$2:$AE$1001,MATCH(ROWS($O$2:O6),$O$2:$O$1001,0),MATCH(COLUMNS($V$1006:AA1006),$V$1006:$AE$1006,0)), HYPERLINK("#",""), HYPERLINK(CONCATENATE("#Metadata!", ADDRESS(INDEX($Q$2:$Q$1001,MATCH(ROWS($O$2:O6),$O$2:$O$1001,0),0), INDEX($V$1004:$AE$1004,1,MATCH(COLUMNS($V$1006:AA1006),$V$1006:$AE$1006,0)))),"Fix")))</f>
        <v>0</v>
      </c>
      <c r="H6" s="3">
        <f>IF(OR(INDEX($P$2:$P$1001,MATCH(ROWS($O$2:O6),$O$2:$O$1001,0),1)&gt;=100000,INDEX($V$1005:$AE$1005,1,MATCH(COLUMNS($V$1006:AB1006),$V$1006:$AE$1006,0))&gt;=100000), " ",IF(INDEX($V$2:$AE$1001,MATCH(ROWS($O$2:O6),$O$2:$O$1001,0),MATCH(COLUMNS($V$1006:AB1006),$V$1006:$AE$1006,0)), HYPERLINK("#",""), HYPERLINK(CONCATENATE("#Metadata!", ADDRESS(INDEX($Q$2:$Q$1001,MATCH(ROWS($O$2:O6),$O$2:$O$1001,0),0), INDEX($V$1004:$AE$1004,1,MATCH(COLUMNS($V$1006:AB1006),$V$1006:$AE$1006,0)))),"Fix")))</f>
        <v>0</v>
      </c>
      <c r="I6" s="3">
        <f>IF(OR(INDEX($P$2:$P$1001,MATCH(ROWS($O$2:O6),$O$2:$O$1001,0),1)&gt;=100000,INDEX($V$1005:$AE$1005,1,MATCH(COLUMNS($V$1006:AC1006),$V$1006:$AE$1006,0))&gt;=100000), " ",IF(INDEX($V$2:$AE$1001,MATCH(ROWS($O$2:O6),$O$2:$O$1001,0),MATCH(COLUMNS($V$1006:AC1006),$V$1006:$AE$1006,0)), HYPERLINK("#",""), HYPERLINK(CONCATENATE("#Metadata!", ADDRESS(INDEX($Q$2:$Q$1001,MATCH(ROWS($O$2:O6),$O$2:$O$1001,0),0), INDEX($V$1004:$AE$1004,1,MATCH(COLUMNS($V$1006:AC1006),$V$1006:$AE$1006,0)))),"Fix")))</f>
        <v>0</v>
      </c>
      <c r="J6" s="3">
        <f>IF(OR(INDEX($P$2:$P$1001,MATCH(ROWS($O$2:O6),$O$2:$O$1001,0),1)&gt;=100000,INDEX($V$1005:$AE$1005,1,MATCH(COLUMNS($V$1006:AD1006),$V$1006:$AE$1006,0))&gt;=100000), " ",IF(INDEX($V$2:$AE$1001,MATCH(ROWS($O$2:O6),$O$2:$O$1001,0),MATCH(COLUMNS($V$1006:AD1006),$V$1006:$AE$1006,0)), HYPERLINK("#",""), HYPERLINK(CONCATENATE("#Metadata!", ADDRESS(INDEX($Q$2:$Q$1001,MATCH(ROWS($O$2:O6),$O$2:$O$1001,0),0), INDEX($V$1004:$AE$1004,1,MATCH(COLUMNS($V$1006:AD1006),$V$1006:$AE$1006,0)))),"Fix")))</f>
        <v>0</v>
      </c>
      <c r="K6" s="3">
        <f>IF(OR(INDEX($P$2:$P$1001,MATCH(ROWS($O$2:O6),$O$2:$O$1001,0),1)&gt;=100000,INDEX($V$1005:$AE$1005,1,MATCH(COLUMNS($V$1006:AE1006),$V$1006:$AE$1006,0))&gt;=100000), " ",IF(INDEX($V$2:$AE$1001,MATCH(ROWS($O$2:O6),$O$2:$O$1001,0),MATCH(COLUMNS($V$1006:AE1006),$V$1006:$AE$1006,0)), HYPERLINK("#",""), HYPERLINK(CONCATENATE("#Metadata!", ADDRESS(INDEX($Q$2:$Q$1001,MATCH(ROWS($O$2:O6),$O$2:$O$1001,0),0), INDEX($V$1004:$AE$1004,1,MATCH(COLUMNS($V$1006:AE1006),$V$1006:$AE$1006,0)))),"Fix")))</f>
        <v>0</v>
      </c>
      <c r="O6">
        <v>0</v>
      </c>
      <c r="P6">
        <v>0</v>
      </c>
      <c r="Q6">
        <v>0</v>
      </c>
      <c r="R6">
        <f>IF(S6,TRUE,AND(V6:AE6))</f>
        <v>0</v>
      </c>
      <c r="S6">
        <f>COUNTBLANK(Metadata!B6:K6)=COLUMNS(Metadata!B6:K6)</f>
        <v>0</v>
      </c>
      <c r="T6">
        <v>0</v>
      </c>
      <c r="V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W6">
        <f>AND(IF(Metadata!C6="",FALSE,TRUE),exact(Metadata!C6,"animal secretion"))</f>
        <v>0</v>
      </c>
      <c r="X6">
        <f>AND(IF(Metadata!D6="",FALSE,TRUE),exact(Metadata!D6,"saliva"))</f>
        <v>0</v>
      </c>
      <c r="Y6">
        <f>AND(IF(Metadata!E6="",FALSE,TRUE),exact(Metadata!E6,"human-oral"))</f>
        <v>0</v>
      </c>
      <c r="Z6">
        <f>AND(IF(Metadata!F6="",FALSE,TRUE),exact(Metadata!F6,"UBERON:oral cavity"))</f>
        <v>0</v>
      </c>
      <c r="AA6">
        <f>AND(IF(Metadata!G6="",FALSE,TRUE),exact(Metadata!G6,"UBERON:saliva"))</f>
        <v>0</v>
      </c>
      <c r="AB6">
        <f>AND(IF(Metadata!H6="",FALSE,TRUE),exact(Metadata!H6,"UBERON:tongue"))</f>
        <v>0</v>
      </c>
      <c r="AC6">
        <f>AND(IF(Metadata!I6="",FALSE,TRUE),exact(Metadata!I6,"tongue"))</f>
        <v>0</v>
      </c>
      <c r="AD6">
        <f>AND(IF(Metadata!J6="",FALSE,TRUE),exact(Metadata!J6,"human oral metagenome"))</f>
        <v>0</v>
      </c>
      <c r="AE6">
        <f>AND(IF(Metadata!K6="",FALSE,TRUE),exact(Metadata!K6,"447426"))</f>
        <v>0</v>
      </c>
    </row>
    <row r="7" spans="1:31">
      <c r="A7" s="4">
        <f>IF(B7=" "," ",HYPERLINK(CONCATENATE("#metadata!",ADDRESS(INDEX($Q$2:$Q$1001,MATCH(ROWS($O$2:O7),$O$2:$O$1001,0),0),1)),INDEX($T$2:$T$1001,MATCH(ROWS($O$2:O7),$O$2:$O$1001,0),0)))</f>
        <v>0</v>
      </c>
      <c r="B7" s="3">
        <f>IF(OR(INDEX($P$2:$P$1001,MATCH(ROWS($O$2:O7),$O$2:$O$1001,0),1)&gt;=100000,INDEX($V$1005:$AE$1005,1,MATCH(COLUMNS($V$1006:V1006),$V$1006:$AE$1006,0))&gt;=100000), " ",IF(INDEX($V$2:$AE$1001,MATCH(ROWS($O$2:O7),$O$2:$O$1001,0),MATCH(COLUMNS($V$1006:V1006),$V$1006:$AE$1006,0)), HYPERLINK("#",""), HYPERLINK(CONCATENATE("#Metadata!", ADDRESS(INDEX($Q$2:$Q$1001,MATCH(ROWS($O$2:O7),$O$2:$O$1001,0),0), INDEX($V$1004:$AE$1004,1,MATCH(COLUMNS($V$1006:V1006),$V$1006:$AE$1006,0)))),"Fix")))</f>
        <v>0</v>
      </c>
      <c r="C7" s="3">
        <f>IF(OR(INDEX($P$2:$P$1001,MATCH(ROWS($O$2:O7),$O$2:$O$1001,0),1)&gt;=100000,INDEX($V$1005:$AE$1005,1,MATCH(COLUMNS($V$1006:W1006),$V$1006:$AE$1006,0))&gt;=100000), " ",IF(INDEX($V$2:$AE$1001,MATCH(ROWS($O$2:O7),$O$2:$O$1001,0),MATCH(COLUMNS($V$1006:W1006),$V$1006:$AE$1006,0)), HYPERLINK("#",""), HYPERLINK(CONCATENATE("#Metadata!", ADDRESS(INDEX($Q$2:$Q$1001,MATCH(ROWS($O$2:O7),$O$2:$O$1001,0),0), INDEX($V$1004:$AE$1004,1,MATCH(COLUMNS($V$1006:W1006),$V$1006:$AE$1006,0)))),"Fix")))</f>
        <v>0</v>
      </c>
      <c r="D7" s="3">
        <f>IF(OR(INDEX($P$2:$P$1001,MATCH(ROWS($O$2:O7),$O$2:$O$1001,0),1)&gt;=100000,INDEX($V$1005:$AE$1005,1,MATCH(COLUMNS($V$1006:X1006),$V$1006:$AE$1006,0))&gt;=100000), " ",IF(INDEX($V$2:$AE$1001,MATCH(ROWS($O$2:O7),$O$2:$O$1001,0),MATCH(COLUMNS($V$1006:X1006),$V$1006:$AE$1006,0)), HYPERLINK("#",""), HYPERLINK(CONCATENATE("#Metadata!", ADDRESS(INDEX($Q$2:$Q$1001,MATCH(ROWS($O$2:O7),$O$2:$O$1001,0),0), INDEX($V$1004:$AE$1004,1,MATCH(COLUMNS($V$1006:X1006),$V$1006:$AE$1006,0)))),"Fix")))</f>
        <v>0</v>
      </c>
      <c r="E7" s="3">
        <f>IF(OR(INDEX($P$2:$P$1001,MATCH(ROWS($O$2:O7),$O$2:$O$1001,0),1)&gt;=100000,INDEX($V$1005:$AE$1005,1,MATCH(COLUMNS($V$1006:Y1006),$V$1006:$AE$1006,0))&gt;=100000), " ",IF(INDEX($V$2:$AE$1001,MATCH(ROWS($O$2:O7),$O$2:$O$1001,0),MATCH(COLUMNS($V$1006:Y1006),$V$1006:$AE$1006,0)), HYPERLINK("#",""), HYPERLINK(CONCATENATE("#Metadata!", ADDRESS(INDEX($Q$2:$Q$1001,MATCH(ROWS($O$2:O7),$O$2:$O$1001,0),0), INDEX($V$1004:$AE$1004,1,MATCH(COLUMNS($V$1006:Y1006),$V$1006:$AE$1006,0)))),"Fix")))</f>
        <v>0</v>
      </c>
      <c r="F7" s="3">
        <f>IF(OR(INDEX($P$2:$P$1001,MATCH(ROWS($O$2:O7),$O$2:$O$1001,0),1)&gt;=100000,INDEX($V$1005:$AE$1005,1,MATCH(COLUMNS($V$1006:Z1006),$V$1006:$AE$1006,0))&gt;=100000), " ",IF(INDEX($V$2:$AE$1001,MATCH(ROWS($O$2:O7),$O$2:$O$1001,0),MATCH(COLUMNS($V$1006:Z1006),$V$1006:$AE$1006,0)), HYPERLINK("#",""), HYPERLINK(CONCATENATE("#Metadata!", ADDRESS(INDEX($Q$2:$Q$1001,MATCH(ROWS($O$2:O7),$O$2:$O$1001,0),0), INDEX($V$1004:$AE$1004,1,MATCH(COLUMNS($V$1006:Z1006),$V$1006:$AE$1006,0)))),"Fix")))</f>
        <v>0</v>
      </c>
      <c r="G7" s="3">
        <f>IF(OR(INDEX($P$2:$P$1001,MATCH(ROWS($O$2:O7),$O$2:$O$1001,0),1)&gt;=100000,INDEX($V$1005:$AE$1005,1,MATCH(COLUMNS($V$1006:AA1006),$V$1006:$AE$1006,0))&gt;=100000), " ",IF(INDEX($V$2:$AE$1001,MATCH(ROWS($O$2:O7),$O$2:$O$1001,0),MATCH(COLUMNS($V$1006:AA1006),$V$1006:$AE$1006,0)), HYPERLINK("#",""), HYPERLINK(CONCATENATE("#Metadata!", ADDRESS(INDEX($Q$2:$Q$1001,MATCH(ROWS($O$2:O7),$O$2:$O$1001,0),0), INDEX($V$1004:$AE$1004,1,MATCH(COLUMNS($V$1006:AA1006),$V$1006:$AE$1006,0)))),"Fix")))</f>
        <v>0</v>
      </c>
      <c r="H7" s="3">
        <f>IF(OR(INDEX($P$2:$P$1001,MATCH(ROWS($O$2:O7),$O$2:$O$1001,0),1)&gt;=100000,INDEX($V$1005:$AE$1005,1,MATCH(COLUMNS($V$1006:AB1006),$V$1006:$AE$1006,0))&gt;=100000), " ",IF(INDEX($V$2:$AE$1001,MATCH(ROWS($O$2:O7),$O$2:$O$1001,0),MATCH(COLUMNS($V$1006:AB1006),$V$1006:$AE$1006,0)), HYPERLINK("#",""), HYPERLINK(CONCATENATE("#Metadata!", ADDRESS(INDEX($Q$2:$Q$1001,MATCH(ROWS($O$2:O7),$O$2:$O$1001,0),0), INDEX($V$1004:$AE$1004,1,MATCH(COLUMNS($V$1006:AB1006),$V$1006:$AE$1006,0)))),"Fix")))</f>
        <v>0</v>
      </c>
      <c r="I7" s="3">
        <f>IF(OR(INDEX($P$2:$P$1001,MATCH(ROWS($O$2:O7),$O$2:$O$1001,0),1)&gt;=100000,INDEX($V$1005:$AE$1005,1,MATCH(COLUMNS($V$1006:AC1006),$V$1006:$AE$1006,0))&gt;=100000), " ",IF(INDEX($V$2:$AE$1001,MATCH(ROWS($O$2:O7),$O$2:$O$1001,0),MATCH(COLUMNS($V$1006:AC1006),$V$1006:$AE$1006,0)), HYPERLINK("#",""), HYPERLINK(CONCATENATE("#Metadata!", ADDRESS(INDEX($Q$2:$Q$1001,MATCH(ROWS($O$2:O7),$O$2:$O$1001,0),0), INDEX($V$1004:$AE$1004,1,MATCH(COLUMNS($V$1006:AC1006),$V$1006:$AE$1006,0)))),"Fix")))</f>
        <v>0</v>
      </c>
      <c r="J7" s="3">
        <f>IF(OR(INDEX($P$2:$P$1001,MATCH(ROWS($O$2:O7),$O$2:$O$1001,0),1)&gt;=100000,INDEX($V$1005:$AE$1005,1,MATCH(COLUMNS($V$1006:AD1006),$V$1006:$AE$1006,0))&gt;=100000), " ",IF(INDEX($V$2:$AE$1001,MATCH(ROWS($O$2:O7),$O$2:$O$1001,0),MATCH(COLUMNS($V$1006:AD1006),$V$1006:$AE$1006,0)), HYPERLINK("#",""), HYPERLINK(CONCATENATE("#Metadata!", ADDRESS(INDEX($Q$2:$Q$1001,MATCH(ROWS($O$2:O7),$O$2:$O$1001,0),0), INDEX($V$1004:$AE$1004,1,MATCH(COLUMNS($V$1006:AD1006),$V$1006:$AE$1006,0)))),"Fix")))</f>
        <v>0</v>
      </c>
      <c r="K7" s="3">
        <f>IF(OR(INDEX($P$2:$P$1001,MATCH(ROWS($O$2:O7),$O$2:$O$1001,0),1)&gt;=100000,INDEX($V$1005:$AE$1005,1,MATCH(COLUMNS($V$1006:AE1006),$V$1006:$AE$1006,0))&gt;=100000), " ",IF(INDEX($V$2:$AE$1001,MATCH(ROWS($O$2:O7),$O$2:$O$1001,0),MATCH(COLUMNS($V$1006:AE1006),$V$1006:$AE$1006,0)), HYPERLINK("#",""), HYPERLINK(CONCATENATE("#Metadata!", ADDRESS(INDEX($Q$2:$Q$1001,MATCH(ROWS($O$2:O7),$O$2:$O$1001,0),0), INDEX($V$1004:$AE$1004,1,MATCH(COLUMNS($V$1006:AE1006),$V$1006:$AE$1006,0)))),"Fix")))</f>
        <v>0</v>
      </c>
      <c r="O7">
        <v>0</v>
      </c>
      <c r="P7">
        <v>0</v>
      </c>
      <c r="Q7">
        <v>0</v>
      </c>
      <c r="R7">
        <f>IF(S7,TRUE,AND(V7:AE7))</f>
        <v>0</v>
      </c>
      <c r="S7">
        <f>COUNTBLANK(Metadata!B7:K7)=COLUMNS(Metadata!B7:K7)</f>
        <v>0</v>
      </c>
      <c r="T7">
        <v>0</v>
      </c>
      <c r="V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W7">
        <f>AND(IF(Metadata!C7="",FALSE,TRUE),exact(Metadata!C7,"animal secretion"))</f>
        <v>0</v>
      </c>
      <c r="X7">
        <f>AND(IF(Metadata!D7="",FALSE,TRUE),exact(Metadata!D7,"saliva"))</f>
        <v>0</v>
      </c>
      <c r="Y7">
        <f>AND(IF(Metadata!E7="",FALSE,TRUE),exact(Metadata!E7,"human-oral"))</f>
        <v>0</v>
      </c>
      <c r="Z7">
        <f>AND(IF(Metadata!F7="",FALSE,TRUE),exact(Metadata!F7,"UBERON:oral cavity"))</f>
        <v>0</v>
      </c>
      <c r="AA7">
        <f>AND(IF(Metadata!G7="",FALSE,TRUE),exact(Metadata!G7,"UBERON:saliva"))</f>
        <v>0</v>
      </c>
      <c r="AB7">
        <f>AND(IF(Metadata!H7="",FALSE,TRUE),exact(Metadata!H7,"UBERON:tongue"))</f>
        <v>0</v>
      </c>
      <c r="AC7">
        <f>AND(IF(Metadata!I7="",FALSE,TRUE),exact(Metadata!I7,"tongue"))</f>
        <v>0</v>
      </c>
      <c r="AD7">
        <f>AND(IF(Metadata!J7="",FALSE,TRUE),exact(Metadata!J7,"human oral metagenome"))</f>
        <v>0</v>
      </c>
      <c r="AE7">
        <f>AND(IF(Metadata!K7="",FALSE,TRUE),exact(Metadata!K7,"447426"))</f>
        <v>0</v>
      </c>
    </row>
    <row r="8" spans="1:31">
      <c r="A8" s="4">
        <f>IF(B8=" "," ",HYPERLINK(CONCATENATE("#metadata!",ADDRESS(INDEX($Q$2:$Q$1001,MATCH(ROWS($O$2:O8),$O$2:$O$1001,0),0),1)),INDEX($T$2:$T$1001,MATCH(ROWS($O$2:O8),$O$2:$O$1001,0),0)))</f>
        <v>0</v>
      </c>
      <c r="B8" s="3">
        <f>IF(OR(INDEX($P$2:$P$1001,MATCH(ROWS($O$2:O8),$O$2:$O$1001,0),1)&gt;=100000,INDEX($V$1005:$AE$1005,1,MATCH(COLUMNS($V$1006:V1006),$V$1006:$AE$1006,0))&gt;=100000), " ",IF(INDEX($V$2:$AE$1001,MATCH(ROWS($O$2:O8),$O$2:$O$1001,0),MATCH(COLUMNS($V$1006:V1006),$V$1006:$AE$1006,0)), HYPERLINK("#",""), HYPERLINK(CONCATENATE("#Metadata!", ADDRESS(INDEX($Q$2:$Q$1001,MATCH(ROWS($O$2:O8),$O$2:$O$1001,0),0), INDEX($V$1004:$AE$1004,1,MATCH(COLUMNS($V$1006:V1006),$V$1006:$AE$1006,0)))),"Fix")))</f>
        <v>0</v>
      </c>
      <c r="C8" s="3">
        <f>IF(OR(INDEX($P$2:$P$1001,MATCH(ROWS($O$2:O8),$O$2:$O$1001,0),1)&gt;=100000,INDEX($V$1005:$AE$1005,1,MATCH(COLUMNS($V$1006:W1006),$V$1006:$AE$1006,0))&gt;=100000), " ",IF(INDEX($V$2:$AE$1001,MATCH(ROWS($O$2:O8),$O$2:$O$1001,0),MATCH(COLUMNS($V$1006:W1006),$V$1006:$AE$1006,0)), HYPERLINK("#",""), HYPERLINK(CONCATENATE("#Metadata!", ADDRESS(INDEX($Q$2:$Q$1001,MATCH(ROWS($O$2:O8),$O$2:$O$1001,0),0), INDEX($V$1004:$AE$1004,1,MATCH(COLUMNS($V$1006:W1006),$V$1006:$AE$1006,0)))),"Fix")))</f>
        <v>0</v>
      </c>
      <c r="D8" s="3">
        <f>IF(OR(INDEX($P$2:$P$1001,MATCH(ROWS($O$2:O8),$O$2:$O$1001,0),1)&gt;=100000,INDEX($V$1005:$AE$1005,1,MATCH(COLUMNS($V$1006:X1006),$V$1006:$AE$1006,0))&gt;=100000), " ",IF(INDEX($V$2:$AE$1001,MATCH(ROWS($O$2:O8),$O$2:$O$1001,0),MATCH(COLUMNS($V$1006:X1006),$V$1006:$AE$1006,0)), HYPERLINK("#",""), HYPERLINK(CONCATENATE("#Metadata!", ADDRESS(INDEX($Q$2:$Q$1001,MATCH(ROWS($O$2:O8),$O$2:$O$1001,0),0), INDEX($V$1004:$AE$1004,1,MATCH(COLUMNS($V$1006:X1006),$V$1006:$AE$1006,0)))),"Fix")))</f>
        <v>0</v>
      </c>
      <c r="E8" s="3">
        <f>IF(OR(INDEX($P$2:$P$1001,MATCH(ROWS($O$2:O8),$O$2:$O$1001,0),1)&gt;=100000,INDEX($V$1005:$AE$1005,1,MATCH(COLUMNS($V$1006:Y1006),$V$1006:$AE$1006,0))&gt;=100000), " ",IF(INDEX($V$2:$AE$1001,MATCH(ROWS($O$2:O8),$O$2:$O$1001,0),MATCH(COLUMNS($V$1006:Y1006),$V$1006:$AE$1006,0)), HYPERLINK("#",""), HYPERLINK(CONCATENATE("#Metadata!", ADDRESS(INDEX($Q$2:$Q$1001,MATCH(ROWS($O$2:O8),$O$2:$O$1001,0),0), INDEX($V$1004:$AE$1004,1,MATCH(COLUMNS($V$1006:Y1006),$V$1006:$AE$1006,0)))),"Fix")))</f>
        <v>0</v>
      </c>
      <c r="F8" s="3">
        <f>IF(OR(INDEX($P$2:$P$1001,MATCH(ROWS($O$2:O8),$O$2:$O$1001,0),1)&gt;=100000,INDEX($V$1005:$AE$1005,1,MATCH(COLUMNS($V$1006:Z1006),$V$1006:$AE$1006,0))&gt;=100000), " ",IF(INDEX($V$2:$AE$1001,MATCH(ROWS($O$2:O8),$O$2:$O$1001,0),MATCH(COLUMNS($V$1006:Z1006),$V$1006:$AE$1006,0)), HYPERLINK("#",""), HYPERLINK(CONCATENATE("#Metadata!", ADDRESS(INDEX($Q$2:$Q$1001,MATCH(ROWS($O$2:O8),$O$2:$O$1001,0),0), INDEX($V$1004:$AE$1004,1,MATCH(COLUMNS($V$1006:Z1006),$V$1006:$AE$1006,0)))),"Fix")))</f>
        <v>0</v>
      </c>
      <c r="G8" s="3">
        <f>IF(OR(INDEX($P$2:$P$1001,MATCH(ROWS($O$2:O8),$O$2:$O$1001,0),1)&gt;=100000,INDEX($V$1005:$AE$1005,1,MATCH(COLUMNS($V$1006:AA1006),$V$1006:$AE$1006,0))&gt;=100000), " ",IF(INDEX($V$2:$AE$1001,MATCH(ROWS($O$2:O8),$O$2:$O$1001,0),MATCH(COLUMNS($V$1006:AA1006),$V$1006:$AE$1006,0)), HYPERLINK("#",""), HYPERLINK(CONCATENATE("#Metadata!", ADDRESS(INDEX($Q$2:$Q$1001,MATCH(ROWS($O$2:O8),$O$2:$O$1001,0),0), INDEX($V$1004:$AE$1004,1,MATCH(COLUMNS($V$1006:AA1006),$V$1006:$AE$1006,0)))),"Fix")))</f>
        <v>0</v>
      </c>
      <c r="H8" s="3">
        <f>IF(OR(INDEX($P$2:$P$1001,MATCH(ROWS($O$2:O8),$O$2:$O$1001,0),1)&gt;=100000,INDEX($V$1005:$AE$1005,1,MATCH(COLUMNS($V$1006:AB1006),$V$1006:$AE$1006,0))&gt;=100000), " ",IF(INDEX($V$2:$AE$1001,MATCH(ROWS($O$2:O8),$O$2:$O$1001,0),MATCH(COLUMNS($V$1006:AB1006),$V$1006:$AE$1006,0)), HYPERLINK("#",""), HYPERLINK(CONCATENATE("#Metadata!", ADDRESS(INDEX($Q$2:$Q$1001,MATCH(ROWS($O$2:O8),$O$2:$O$1001,0),0), INDEX($V$1004:$AE$1004,1,MATCH(COLUMNS($V$1006:AB1006),$V$1006:$AE$1006,0)))),"Fix")))</f>
        <v>0</v>
      </c>
      <c r="I8" s="3">
        <f>IF(OR(INDEX($P$2:$P$1001,MATCH(ROWS($O$2:O8),$O$2:$O$1001,0),1)&gt;=100000,INDEX($V$1005:$AE$1005,1,MATCH(COLUMNS($V$1006:AC1006),$V$1006:$AE$1006,0))&gt;=100000), " ",IF(INDEX($V$2:$AE$1001,MATCH(ROWS($O$2:O8),$O$2:$O$1001,0),MATCH(COLUMNS($V$1006:AC1006),$V$1006:$AE$1006,0)), HYPERLINK("#",""), HYPERLINK(CONCATENATE("#Metadata!", ADDRESS(INDEX($Q$2:$Q$1001,MATCH(ROWS($O$2:O8),$O$2:$O$1001,0),0), INDEX($V$1004:$AE$1004,1,MATCH(COLUMNS($V$1006:AC1006),$V$1006:$AE$1006,0)))),"Fix")))</f>
        <v>0</v>
      </c>
      <c r="J8" s="3">
        <f>IF(OR(INDEX($P$2:$P$1001,MATCH(ROWS($O$2:O8),$O$2:$O$1001,0),1)&gt;=100000,INDEX($V$1005:$AE$1005,1,MATCH(COLUMNS($V$1006:AD1006),$V$1006:$AE$1006,0))&gt;=100000), " ",IF(INDEX($V$2:$AE$1001,MATCH(ROWS($O$2:O8),$O$2:$O$1001,0),MATCH(COLUMNS($V$1006:AD1006),$V$1006:$AE$1006,0)), HYPERLINK("#",""), HYPERLINK(CONCATENATE("#Metadata!", ADDRESS(INDEX($Q$2:$Q$1001,MATCH(ROWS($O$2:O8),$O$2:$O$1001,0),0), INDEX($V$1004:$AE$1004,1,MATCH(COLUMNS($V$1006:AD1006),$V$1006:$AE$1006,0)))),"Fix")))</f>
        <v>0</v>
      </c>
      <c r="K8" s="3">
        <f>IF(OR(INDEX($P$2:$P$1001,MATCH(ROWS($O$2:O8),$O$2:$O$1001,0),1)&gt;=100000,INDEX($V$1005:$AE$1005,1,MATCH(COLUMNS($V$1006:AE1006),$V$1006:$AE$1006,0))&gt;=100000), " ",IF(INDEX($V$2:$AE$1001,MATCH(ROWS($O$2:O8),$O$2:$O$1001,0),MATCH(COLUMNS($V$1006:AE1006),$V$1006:$AE$1006,0)), HYPERLINK("#",""), HYPERLINK(CONCATENATE("#Metadata!", ADDRESS(INDEX($Q$2:$Q$1001,MATCH(ROWS($O$2:O8),$O$2:$O$1001,0),0), INDEX($V$1004:$AE$1004,1,MATCH(COLUMNS($V$1006:AE1006),$V$1006:$AE$1006,0)))),"Fix")))</f>
        <v>0</v>
      </c>
      <c r="O8">
        <v>0</v>
      </c>
      <c r="P8">
        <v>0</v>
      </c>
      <c r="Q8">
        <v>0</v>
      </c>
      <c r="R8">
        <f>IF(S8,TRUE,AND(V8:AE8))</f>
        <v>0</v>
      </c>
      <c r="S8">
        <f>COUNTBLANK(Metadata!B8:K8)=COLUMNS(Metadata!B8:K8)</f>
        <v>0</v>
      </c>
      <c r="T8">
        <v>0</v>
      </c>
      <c r="V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W8">
        <f>AND(IF(Metadata!C8="",FALSE,TRUE),exact(Metadata!C8,"animal secretion"))</f>
        <v>0</v>
      </c>
      <c r="X8">
        <f>AND(IF(Metadata!D8="",FALSE,TRUE),exact(Metadata!D8,"saliva"))</f>
        <v>0</v>
      </c>
      <c r="Y8">
        <f>AND(IF(Metadata!E8="",FALSE,TRUE),exact(Metadata!E8,"human-oral"))</f>
        <v>0</v>
      </c>
      <c r="Z8">
        <f>AND(IF(Metadata!F8="",FALSE,TRUE),exact(Metadata!F8,"UBERON:oral cavity"))</f>
        <v>0</v>
      </c>
      <c r="AA8">
        <f>AND(IF(Metadata!G8="",FALSE,TRUE),exact(Metadata!G8,"UBERON:saliva"))</f>
        <v>0</v>
      </c>
      <c r="AB8">
        <f>AND(IF(Metadata!H8="",FALSE,TRUE),exact(Metadata!H8,"UBERON:tongue"))</f>
        <v>0</v>
      </c>
      <c r="AC8">
        <f>AND(IF(Metadata!I8="",FALSE,TRUE),exact(Metadata!I8,"tongue"))</f>
        <v>0</v>
      </c>
      <c r="AD8">
        <f>AND(IF(Metadata!J8="",FALSE,TRUE),exact(Metadata!J8,"human oral metagenome"))</f>
        <v>0</v>
      </c>
      <c r="AE8">
        <f>AND(IF(Metadata!K8="",FALSE,TRUE),exact(Metadata!K8,"447426"))</f>
        <v>0</v>
      </c>
    </row>
    <row r="9" spans="1:31">
      <c r="A9" s="4">
        <f>IF(B9=" "," ",HYPERLINK(CONCATENATE("#metadata!",ADDRESS(INDEX($Q$2:$Q$1001,MATCH(ROWS($O$2:O9),$O$2:$O$1001,0),0),1)),INDEX($T$2:$T$1001,MATCH(ROWS($O$2:O9),$O$2:$O$1001,0),0)))</f>
        <v>0</v>
      </c>
      <c r="B9" s="3">
        <f>IF(OR(INDEX($P$2:$P$1001,MATCH(ROWS($O$2:O9),$O$2:$O$1001,0),1)&gt;=100000,INDEX($V$1005:$AE$1005,1,MATCH(COLUMNS($V$1006:V1006),$V$1006:$AE$1006,0))&gt;=100000), " ",IF(INDEX($V$2:$AE$1001,MATCH(ROWS($O$2:O9),$O$2:$O$1001,0),MATCH(COLUMNS($V$1006:V1006),$V$1006:$AE$1006,0)), HYPERLINK("#",""), HYPERLINK(CONCATENATE("#Metadata!", ADDRESS(INDEX($Q$2:$Q$1001,MATCH(ROWS($O$2:O9),$O$2:$O$1001,0),0), INDEX($V$1004:$AE$1004,1,MATCH(COLUMNS($V$1006:V1006),$V$1006:$AE$1006,0)))),"Fix")))</f>
        <v>0</v>
      </c>
      <c r="C9" s="3">
        <f>IF(OR(INDEX($P$2:$P$1001,MATCH(ROWS($O$2:O9),$O$2:$O$1001,0),1)&gt;=100000,INDEX($V$1005:$AE$1005,1,MATCH(COLUMNS($V$1006:W1006),$V$1006:$AE$1006,0))&gt;=100000), " ",IF(INDEX($V$2:$AE$1001,MATCH(ROWS($O$2:O9),$O$2:$O$1001,0),MATCH(COLUMNS($V$1006:W1006),$V$1006:$AE$1006,0)), HYPERLINK("#",""), HYPERLINK(CONCATENATE("#Metadata!", ADDRESS(INDEX($Q$2:$Q$1001,MATCH(ROWS($O$2:O9),$O$2:$O$1001,0),0), INDEX($V$1004:$AE$1004,1,MATCH(COLUMNS($V$1006:W1006),$V$1006:$AE$1006,0)))),"Fix")))</f>
        <v>0</v>
      </c>
      <c r="D9" s="3">
        <f>IF(OR(INDEX($P$2:$P$1001,MATCH(ROWS($O$2:O9),$O$2:$O$1001,0),1)&gt;=100000,INDEX($V$1005:$AE$1005,1,MATCH(COLUMNS($V$1006:X1006),$V$1006:$AE$1006,0))&gt;=100000), " ",IF(INDEX($V$2:$AE$1001,MATCH(ROWS($O$2:O9),$O$2:$O$1001,0),MATCH(COLUMNS($V$1006:X1006),$V$1006:$AE$1006,0)), HYPERLINK("#",""), HYPERLINK(CONCATENATE("#Metadata!", ADDRESS(INDEX($Q$2:$Q$1001,MATCH(ROWS($O$2:O9),$O$2:$O$1001,0),0), INDEX($V$1004:$AE$1004,1,MATCH(COLUMNS($V$1006:X1006),$V$1006:$AE$1006,0)))),"Fix")))</f>
        <v>0</v>
      </c>
      <c r="E9" s="3">
        <f>IF(OR(INDEX($P$2:$P$1001,MATCH(ROWS($O$2:O9),$O$2:$O$1001,0),1)&gt;=100000,INDEX($V$1005:$AE$1005,1,MATCH(COLUMNS($V$1006:Y1006),$V$1006:$AE$1006,0))&gt;=100000), " ",IF(INDEX($V$2:$AE$1001,MATCH(ROWS($O$2:O9),$O$2:$O$1001,0),MATCH(COLUMNS($V$1006:Y1006),$V$1006:$AE$1006,0)), HYPERLINK("#",""), HYPERLINK(CONCATENATE("#Metadata!", ADDRESS(INDEX($Q$2:$Q$1001,MATCH(ROWS($O$2:O9),$O$2:$O$1001,0),0), INDEX($V$1004:$AE$1004,1,MATCH(COLUMNS($V$1006:Y1006),$V$1006:$AE$1006,0)))),"Fix")))</f>
        <v>0</v>
      </c>
      <c r="F9" s="3">
        <f>IF(OR(INDEX($P$2:$P$1001,MATCH(ROWS($O$2:O9),$O$2:$O$1001,0),1)&gt;=100000,INDEX($V$1005:$AE$1005,1,MATCH(COLUMNS($V$1006:Z1006),$V$1006:$AE$1006,0))&gt;=100000), " ",IF(INDEX($V$2:$AE$1001,MATCH(ROWS($O$2:O9),$O$2:$O$1001,0),MATCH(COLUMNS($V$1006:Z1006),$V$1006:$AE$1006,0)), HYPERLINK("#",""), HYPERLINK(CONCATENATE("#Metadata!", ADDRESS(INDEX($Q$2:$Q$1001,MATCH(ROWS($O$2:O9),$O$2:$O$1001,0),0), INDEX($V$1004:$AE$1004,1,MATCH(COLUMNS($V$1006:Z1006),$V$1006:$AE$1006,0)))),"Fix")))</f>
        <v>0</v>
      </c>
      <c r="G9" s="3">
        <f>IF(OR(INDEX($P$2:$P$1001,MATCH(ROWS($O$2:O9),$O$2:$O$1001,0),1)&gt;=100000,INDEX($V$1005:$AE$1005,1,MATCH(COLUMNS($V$1006:AA1006),$V$1006:$AE$1006,0))&gt;=100000), " ",IF(INDEX($V$2:$AE$1001,MATCH(ROWS($O$2:O9),$O$2:$O$1001,0),MATCH(COLUMNS($V$1006:AA1006),$V$1006:$AE$1006,0)), HYPERLINK("#",""), HYPERLINK(CONCATENATE("#Metadata!", ADDRESS(INDEX($Q$2:$Q$1001,MATCH(ROWS($O$2:O9),$O$2:$O$1001,0),0), INDEX($V$1004:$AE$1004,1,MATCH(COLUMNS($V$1006:AA1006),$V$1006:$AE$1006,0)))),"Fix")))</f>
        <v>0</v>
      </c>
      <c r="H9" s="3">
        <f>IF(OR(INDEX($P$2:$P$1001,MATCH(ROWS($O$2:O9),$O$2:$O$1001,0),1)&gt;=100000,INDEX($V$1005:$AE$1005,1,MATCH(COLUMNS($V$1006:AB1006),$V$1006:$AE$1006,0))&gt;=100000), " ",IF(INDEX($V$2:$AE$1001,MATCH(ROWS($O$2:O9),$O$2:$O$1001,0),MATCH(COLUMNS($V$1006:AB1006),$V$1006:$AE$1006,0)), HYPERLINK("#",""), HYPERLINK(CONCATENATE("#Metadata!", ADDRESS(INDEX($Q$2:$Q$1001,MATCH(ROWS($O$2:O9),$O$2:$O$1001,0),0), INDEX($V$1004:$AE$1004,1,MATCH(COLUMNS($V$1006:AB1006),$V$1006:$AE$1006,0)))),"Fix")))</f>
        <v>0</v>
      </c>
      <c r="I9" s="3">
        <f>IF(OR(INDEX($P$2:$P$1001,MATCH(ROWS($O$2:O9),$O$2:$O$1001,0),1)&gt;=100000,INDEX($V$1005:$AE$1005,1,MATCH(COLUMNS($V$1006:AC1006),$V$1006:$AE$1006,0))&gt;=100000), " ",IF(INDEX($V$2:$AE$1001,MATCH(ROWS($O$2:O9),$O$2:$O$1001,0),MATCH(COLUMNS($V$1006:AC1006),$V$1006:$AE$1006,0)), HYPERLINK("#",""), HYPERLINK(CONCATENATE("#Metadata!", ADDRESS(INDEX($Q$2:$Q$1001,MATCH(ROWS($O$2:O9),$O$2:$O$1001,0),0), INDEX($V$1004:$AE$1004,1,MATCH(COLUMNS($V$1006:AC1006),$V$1006:$AE$1006,0)))),"Fix")))</f>
        <v>0</v>
      </c>
      <c r="J9" s="3">
        <f>IF(OR(INDEX($P$2:$P$1001,MATCH(ROWS($O$2:O9),$O$2:$O$1001,0),1)&gt;=100000,INDEX($V$1005:$AE$1005,1,MATCH(COLUMNS($V$1006:AD1006),$V$1006:$AE$1006,0))&gt;=100000), " ",IF(INDEX($V$2:$AE$1001,MATCH(ROWS($O$2:O9),$O$2:$O$1001,0),MATCH(COLUMNS($V$1006:AD1006),$V$1006:$AE$1006,0)), HYPERLINK("#",""), HYPERLINK(CONCATENATE("#Metadata!", ADDRESS(INDEX($Q$2:$Q$1001,MATCH(ROWS($O$2:O9),$O$2:$O$1001,0),0), INDEX($V$1004:$AE$1004,1,MATCH(COLUMNS($V$1006:AD1006),$V$1006:$AE$1006,0)))),"Fix")))</f>
        <v>0</v>
      </c>
      <c r="K9" s="3">
        <f>IF(OR(INDEX($P$2:$P$1001,MATCH(ROWS($O$2:O9),$O$2:$O$1001,0),1)&gt;=100000,INDEX($V$1005:$AE$1005,1,MATCH(COLUMNS($V$1006:AE1006),$V$1006:$AE$1006,0))&gt;=100000), " ",IF(INDEX($V$2:$AE$1001,MATCH(ROWS($O$2:O9),$O$2:$O$1001,0),MATCH(COLUMNS($V$1006:AE1006),$V$1006:$AE$1006,0)), HYPERLINK("#",""), HYPERLINK(CONCATENATE("#Metadata!", ADDRESS(INDEX($Q$2:$Q$1001,MATCH(ROWS($O$2:O9),$O$2:$O$1001,0),0), INDEX($V$1004:$AE$1004,1,MATCH(COLUMNS($V$1006:AE1006),$V$1006:$AE$1006,0)))),"Fix")))</f>
        <v>0</v>
      </c>
      <c r="O9">
        <v>0</v>
      </c>
      <c r="P9">
        <v>0</v>
      </c>
      <c r="Q9">
        <v>0</v>
      </c>
      <c r="R9">
        <f>IF(S9,TRUE,AND(V9:AE9))</f>
        <v>0</v>
      </c>
      <c r="S9">
        <f>COUNTBLANK(Metadata!B9:K9)=COLUMNS(Metadata!B9:K9)</f>
        <v>0</v>
      </c>
      <c r="T9">
        <v>0</v>
      </c>
      <c r="V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W9">
        <f>AND(IF(Metadata!C9="",FALSE,TRUE),exact(Metadata!C9,"animal secretion"))</f>
        <v>0</v>
      </c>
      <c r="X9">
        <f>AND(IF(Metadata!D9="",FALSE,TRUE),exact(Metadata!D9,"saliva"))</f>
        <v>0</v>
      </c>
      <c r="Y9">
        <f>AND(IF(Metadata!E9="",FALSE,TRUE),exact(Metadata!E9,"human-oral"))</f>
        <v>0</v>
      </c>
      <c r="Z9">
        <f>AND(IF(Metadata!F9="",FALSE,TRUE),exact(Metadata!F9,"UBERON:oral cavity"))</f>
        <v>0</v>
      </c>
      <c r="AA9">
        <f>AND(IF(Metadata!G9="",FALSE,TRUE),exact(Metadata!G9,"UBERON:saliva"))</f>
        <v>0</v>
      </c>
      <c r="AB9">
        <f>AND(IF(Metadata!H9="",FALSE,TRUE),exact(Metadata!H9,"UBERON:tongue"))</f>
        <v>0</v>
      </c>
      <c r="AC9">
        <f>AND(IF(Metadata!I9="",FALSE,TRUE),exact(Metadata!I9,"tongue"))</f>
        <v>0</v>
      </c>
      <c r="AD9">
        <f>AND(IF(Metadata!J9="",FALSE,TRUE),exact(Metadata!J9,"human oral metagenome"))</f>
        <v>0</v>
      </c>
      <c r="AE9">
        <f>AND(IF(Metadata!K9="",FALSE,TRUE),exact(Metadata!K9,"447426"))</f>
        <v>0</v>
      </c>
    </row>
    <row r="10" spans="1:31">
      <c r="A10" s="4">
        <f>IF(B10=" "," ",HYPERLINK(CONCATENATE("#metadata!",ADDRESS(INDEX($Q$2:$Q$1001,MATCH(ROWS($O$2:O10),$O$2:$O$1001,0),0),1)),INDEX($T$2:$T$1001,MATCH(ROWS($O$2:O10),$O$2:$O$1001,0),0)))</f>
        <v>0</v>
      </c>
      <c r="B10" s="3">
        <f>IF(OR(INDEX($P$2:$P$1001,MATCH(ROWS($O$2:O10),$O$2:$O$1001,0),1)&gt;=100000,INDEX($V$1005:$AE$1005,1,MATCH(COLUMNS($V$1006:V1006),$V$1006:$AE$1006,0))&gt;=100000), " ",IF(INDEX($V$2:$AE$1001,MATCH(ROWS($O$2:O10),$O$2:$O$1001,0),MATCH(COLUMNS($V$1006:V1006),$V$1006:$AE$1006,0)), HYPERLINK("#",""), HYPERLINK(CONCATENATE("#Metadata!", ADDRESS(INDEX($Q$2:$Q$1001,MATCH(ROWS($O$2:O10),$O$2:$O$1001,0),0), INDEX($V$1004:$AE$1004,1,MATCH(COLUMNS($V$1006:V1006),$V$1006:$AE$1006,0)))),"Fix")))</f>
        <v>0</v>
      </c>
      <c r="C10" s="3">
        <f>IF(OR(INDEX($P$2:$P$1001,MATCH(ROWS($O$2:O10),$O$2:$O$1001,0),1)&gt;=100000,INDEX($V$1005:$AE$1005,1,MATCH(COLUMNS($V$1006:W1006),$V$1006:$AE$1006,0))&gt;=100000), " ",IF(INDEX($V$2:$AE$1001,MATCH(ROWS($O$2:O10),$O$2:$O$1001,0),MATCH(COLUMNS($V$1006:W1006),$V$1006:$AE$1006,0)), HYPERLINK("#",""), HYPERLINK(CONCATENATE("#Metadata!", ADDRESS(INDEX($Q$2:$Q$1001,MATCH(ROWS($O$2:O10),$O$2:$O$1001,0),0), INDEX($V$1004:$AE$1004,1,MATCH(COLUMNS($V$1006:W1006),$V$1006:$AE$1006,0)))),"Fix")))</f>
        <v>0</v>
      </c>
      <c r="D10" s="3">
        <f>IF(OR(INDEX($P$2:$P$1001,MATCH(ROWS($O$2:O10),$O$2:$O$1001,0),1)&gt;=100000,INDEX($V$1005:$AE$1005,1,MATCH(COLUMNS($V$1006:X1006),$V$1006:$AE$1006,0))&gt;=100000), " ",IF(INDEX($V$2:$AE$1001,MATCH(ROWS($O$2:O10),$O$2:$O$1001,0),MATCH(COLUMNS($V$1006:X1006),$V$1006:$AE$1006,0)), HYPERLINK("#",""), HYPERLINK(CONCATENATE("#Metadata!", ADDRESS(INDEX($Q$2:$Q$1001,MATCH(ROWS($O$2:O10),$O$2:$O$1001,0),0), INDEX($V$1004:$AE$1004,1,MATCH(COLUMNS($V$1006:X1006),$V$1006:$AE$1006,0)))),"Fix")))</f>
        <v>0</v>
      </c>
      <c r="E10" s="3">
        <f>IF(OR(INDEX($P$2:$P$1001,MATCH(ROWS($O$2:O10),$O$2:$O$1001,0),1)&gt;=100000,INDEX($V$1005:$AE$1005,1,MATCH(COLUMNS($V$1006:Y1006),$V$1006:$AE$1006,0))&gt;=100000), " ",IF(INDEX($V$2:$AE$1001,MATCH(ROWS($O$2:O10),$O$2:$O$1001,0),MATCH(COLUMNS($V$1006:Y1006),$V$1006:$AE$1006,0)), HYPERLINK("#",""), HYPERLINK(CONCATENATE("#Metadata!", ADDRESS(INDEX($Q$2:$Q$1001,MATCH(ROWS($O$2:O10),$O$2:$O$1001,0),0), INDEX($V$1004:$AE$1004,1,MATCH(COLUMNS($V$1006:Y1006),$V$1006:$AE$1006,0)))),"Fix")))</f>
        <v>0</v>
      </c>
      <c r="F10" s="3">
        <f>IF(OR(INDEX($P$2:$P$1001,MATCH(ROWS($O$2:O10),$O$2:$O$1001,0),1)&gt;=100000,INDEX($V$1005:$AE$1005,1,MATCH(COLUMNS($V$1006:Z1006),$V$1006:$AE$1006,0))&gt;=100000), " ",IF(INDEX($V$2:$AE$1001,MATCH(ROWS($O$2:O10),$O$2:$O$1001,0),MATCH(COLUMNS($V$1006:Z1006),$V$1006:$AE$1006,0)), HYPERLINK("#",""), HYPERLINK(CONCATENATE("#Metadata!", ADDRESS(INDEX($Q$2:$Q$1001,MATCH(ROWS($O$2:O10),$O$2:$O$1001,0),0), INDEX($V$1004:$AE$1004,1,MATCH(COLUMNS($V$1006:Z1006),$V$1006:$AE$1006,0)))),"Fix")))</f>
        <v>0</v>
      </c>
      <c r="G10" s="3">
        <f>IF(OR(INDEX($P$2:$P$1001,MATCH(ROWS($O$2:O10),$O$2:$O$1001,0),1)&gt;=100000,INDEX($V$1005:$AE$1005,1,MATCH(COLUMNS($V$1006:AA1006),$V$1006:$AE$1006,0))&gt;=100000), " ",IF(INDEX($V$2:$AE$1001,MATCH(ROWS($O$2:O10),$O$2:$O$1001,0),MATCH(COLUMNS($V$1006:AA1006),$V$1006:$AE$1006,0)), HYPERLINK("#",""), HYPERLINK(CONCATENATE("#Metadata!", ADDRESS(INDEX($Q$2:$Q$1001,MATCH(ROWS($O$2:O10),$O$2:$O$1001,0),0), INDEX($V$1004:$AE$1004,1,MATCH(COLUMNS($V$1006:AA1006),$V$1006:$AE$1006,0)))),"Fix")))</f>
        <v>0</v>
      </c>
      <c r="H10" s="3">
        <f>IF(OR(INDEX($P$2:$P$1001,MATCH(ROWS($O$2:O10),$O$2:$O$1001,0),1)&gt;=100000,INDEX($V$1005:$AE$1005,1,MATCH(COLUMNS($V$1006:AB1006),$V$1006:$AE$1006,0))&gt;=100000), " ",IF(INDEX($V$2:$AE$1001,MATCH(ROWS($O$2:O10),$O$2:$O$1001,0),MATCH(COLUMNS($V$1006:AB1006),$V$1006:$AE$1006,0)), HYPERLINK("#",""), HYPERLINK(CONCATENATE("#Metadata!", ADDRESS(INDEX($Q$2:$Q$1001,MATCH(ROWS($O$2:O10),$O$2:$O$1001,0),0), INDEX($V$1004:$AE$1004,1,MATCH(COLUMNS($V$1006:AB1006),$V$1006:$AE$1006,0)))),"Fix")))</f>
        <v>0</v>
      </c>
      <c r="I10" s="3">
        <f>IF(OR(INDEX($P$2:$P$1001,MATCH(ROWS($O$2:O10),$O$2:$O$1001,0),1)&gt;=100000,INDEX($V$1005:$AE$1005,1,MATCH(COLUMNS($V$1006:AC1006),$V$1006:$AE$1006,0))&gt;=100000), " ",IF(INDEX($V$2:$AE$1001,MATCH(ROWS($O$2:O10),$O$2:$O$1001,0),MATCH(COLUMNS($V$1006:AC1006),$V$1006:$AE$1006,0)), HYPERLINK("#",""), HYPERLINK(CONCATENATE("#Metadata!", ADDRESS(INDEX($Q$2:$Q$1001,MATCH(ROWS($O$2:O10),$O$2:$O$1001,0),0), INDEX($V$1004:$AE$1004,1,MATCH(COLUMNS($V$1006:AC1006),$V$1006:$AE$1006,0)))),"Fix")))</f>
        <v>0</v>
      </c>
      <c r="J10" s="3">
        <f>IF(OR(INDEX($P$2:$P$1001,MATCH(ROWS($O$2:O10),$O$2:$O$1001,0),1)&gt;=100000,INDEX($V$1005:$AE$1005,1,MATCH(COLUMNS($V$1006:AD1006),$V$1006:$AE$1006,0))&gt;=100000), " ",IF(INDEX($V$2:$AE$1001,MATCH(ROWS($O$2:O10),$O$2:$O$1001,0),MATCH(COLUMNS($V$1006:AD1006),$V$1006:$AE$1006,0)), HYPERLINK("#",""), HYPERLINK(CONCATENATE("#Metadata!", ADDRESS(INDEX($Q$2:$Q$1001,MATCH(ROWS($O$2:O10),$O$2:$O$1001,0),0), INDEX($V$1004:$AE$1004,1,MATCH(COLUMNS($V$1006:AD1006),$V$1006:$AE$1006,0)))),"Fix")))</f>
        <v>0</v>
      </c>
      <c r="K10" s="3">
        <f>IF(OR(INDEX($P$2:$P$1001,MATCH(ROWS($O$2:O10),$O$2:$O$1001,0),1)&gt;=100000,INDEX($V$1005:$AE$1005,1,MATCH(COLUMNS($V$1006:AE1006),$V$1006:$AE$1006,0))&gt;=100000), " ",IF(INDEX($V$2:$AE$1001,MATCH(ROWS($O$2:O10),$O$2:$O$1001,0),MATCH(COLUMNS($V$1006:AE1006),$V$1006:$AE$1006,0)), HYPERLINK("#",""), HYPERLINK(CONCATENATE("#Metadata!", ADDRESS(INDEX($Q$2:$Q$1001,MATCH(ROWS($O$2:O10),$O$2:$O$1001,0),0), INDEX($V$1004:$AE$1004,1,MATCH(COLUMNS($V$1006:AE1006),$V$1006:$AE$1006,0)))),"Fix")))</f>
        <v>0</v>
      </c>
      <c r="O10">
        <v>0</v>
      </c>
      <c r="P10">
        <v>0</v>
      </c>
      <c r="Q10">
        <v>0</v>
      </c>
      <c r="R10">
        <f>IF(S10,TRUE,AND(V10:AE10))</f>
        <v>0</v>
      </c>
      <c r="S10">
        <f>COUNTBLANK(Metadata!B10:K10)=COLUMNS(Metadata!B10:K10)</f>
        <v>0</v>
      </c>
      <c r="T10">
        <v>0</v>
      </c>
      <c r="V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W10">
        <f>AND(IF(Metadata!C10="",FALSE,TRUE),exact(Metadata!C10,"animal secretion"))</f>
        <v>0</v>
      </c>
      <c r="X10">
        <f>AND(IF(Metadata!D10="",FALSE,TRUE),exact(Metadata!D10,"saliva"))</f>
        <v>0</v>
      </c>
      <c r="Y10">
        <f>AND(IF(Metadata!E10="",FALSE,TRUE),exact(Metadata!E10,"human-oral"))</f>
        <v>0</v>
      </c>
      <c r="Z10">
        <f>AND(IF(Metadata!F10="",FALSE,TRUE),exact(Metadata!F10,"UBERON:oral cavity"))</f>
        <v>0</v>
      </c>
      <c r="AA10">
        <f>AND(IF(Metadata!G10="",FALSE,TRUE),exact(Metadata!G10,"UBERON:saliva"))</f>
        <v>0</v>
      </c>
      <c r="AB10">
        <f>AND(IF(Metadata!H10="",FALSE,TRUE),exact(Metadata!H10,"UBERON:tongue"))</f>
        <v>0</v>
      </c>
      <c r="AC10">
        <f>AND(IF(Metadata!I10="",FALSE,TRUE),exact(Metadata!I10,"tongue"))</f>
        <v>0</v>
      </c>
      <c r="AD10">
        <f>AND(IF(Metadata!J10="",FALSE,TRUE),exact(Metadata!J10,"human oral metagenome"))</f>
        <v>0</v>
      </c>
      <c r="AE10">
        <f>AND(IF(Metadata!K10="",FALSE,TRUE),exact(Metadata!K10,"447426"))</f>
        <v>0</v>
      </c>
    </row>
    <row r="11" spans="1:31">
      <c r="A11" s="4">
        <f>IF(B11=" "," ",HYPERLINK(CONCATENATE("#metadata!",ADDRESS(INDEX($Q$2:$Q$1001,MATCH(ROWS($O$2:O11),$O$2:$O$1001,0),0),1)),INDEX($T$2:$T$1001,MATCH(ROWS($O$2:O11),$O$2:$O$1001,0),0)))</f>
        <v>0</v>
      </c>
      <c r="B11" s="3">
        <f>IF(OR(INDEX($P$2:$P$1001,MATCH(ROWS($O$2:O11),$O$2:$O$1001,0),1)&gt;=100000,INDEX($V$1005:$AE$1005,1,MATCH(COLUMNS($V$1006:V1006),$V$1006:$AE$1006,0))&gt;=100000), " ",IF(INDEX($V$2:$AE$1001,MATCH(ROWS($O$2:O11),$O$2:$O$1001,0),MATCH(COLUMNS($V$1006:V1006),$V$1006:$AE$1006,0)), HYPERLINK("#",""), HYPERLINK(CONCATENATE("#Metadata!", ADDRESS(INDEX($Q$2:$Q$1001,MATCH(ROWS($O$2:O11),$O$2:$O$1001,0),0), INDEX($V$1004:$AE$1004,1,MATCH(COLUMNS($V$1006:V1006),$V$1006:$AE$1006,0)))),"Fix")))</f>
        <v>0</v>
      </c>
      <c r="C11" s="3">
        <f>IF(OR(INDEX($P$2:$P$1001,MATCH(ROWS($O$2:O11),$O$2:$O$1001,0),1)&gt;=100000,INDEX($V$1005:$AE$1005,1,MATCH(COLUMNS($V$1006:W1006),$V$1006:$AE$1006,0))&gt;=100000), " ",IF(INDEX($V$2:$AE$1001,MATCH(ROWS($O$2:O11),$O$2:$O$1001,0),MATCH(COLUMNS($V$1006:W1006),$V$1006:$AE$1006,0)), HYPERLINK("#",""), HYPERLINK(CONCATENATE("#Metadata!", ADDRESS(INDEX($Q$2:$Q$1001,MATCH(ROWS($O$2:O11),$O$2:$O$1001,0),0), INDEX($V$1004:$AE$1004,1,MATCH(COLUMNS($V$1006:W1006),$V$1006:$AE$1006,0)))),"Fix")))</f>
        <v>0</v>
      </c>
      <c r="D11" s="3">
        <f>IF(OR(INDEX($P$2:$P$1001,MATCH(ROWS($O$2:O11),$O$2:$O$1001,0),1)&gt;=100000,INDEX($V$1005:$AE$1005,1,MATCH(COLUMNS($V$1006:X1006),$V$1006:$AE$1006,0))&gt;=100000), " ",IF(INDEX($V$2:$AE$1001,MATCH(ROWS($O$2:O11),$O$2:$O$1001,0),MATCH(COLUMNS($V$1006:X1006),$V$1006:$AE$1006,0)), HYPERLINK("#",""), HYPERLINK(CONCATENATE("#Metadata!", ADDRESS(INDEX($Q$2:$Q$1001,MATCH(ROWS($O$2:O11),$O$2:$O$1001,0),0), INDEX($V$1004:$AE$1004,1,MATCH(COLUMNS($V$1006:X1006),$V$1006:$AE$1006,0)))),"Fix")))</f>
        <v>0</v>
      </c>
      <c r="E11" s="3">
        <f>IF(OR(INDEX($P$2:$P$1001,MATCH(ROWS($O$2:O11),$O$2:$O$1001,0),1)&gt;=100000,INDEX($V$1005:$AE$1005,1,MATCH(COLUMNS($V$1006:Y1006),$V$1006:$AE$1006,0))&gt;=100000), " ",IF(INDEX($V$2:$AE$1001,MATCH(ROWS($O$2:O11),$O$2:$O$1001,0),MATCH(COLUMNS($V$1006:Y1006),$V$1006:$AE$1006,0)), HYPERLINK("#",""), HYPERLINK(CONCATENATE("#Metadata!", ADDRESS(INDEX($Q$2:$Q$1001,MATCH(ROWS($O$2:O11),$O$2:$O$1001,0),0), INDEX($V$1004:$AE$1004,1,MATCH(COLUMNS($V$1006:Y1006),$V$1006:$AE$1006,0)))),"Fix")))</f>
        <v>0</v>
      </c>
      <c r="F11" s="3">
        <f>IF(OR(INDEX($P$2:$P$1001,MATCH(ROWS($O$2:O11),$O$2:$O$1001,0),1)&gt;=100000,INDEX($V$1005:$AE$1005,1,MATCH(COLUMNS($V$1006:Z1006),$V$1006:$AE$1006,0))&gt;=100000), " ",IF(INDEX($V$2:$AE$1001,MATCH(ROWS($O$2:O11),$O$2:$O$1001,0),MATCH(COLUMNS($V$1006:Z1006),$V$1006:$AE$1006,0)), HYPERLINK("#",""), HYPERLINK(CONCATENATE("#Metadata!", ADDRESS(INDEX($Q$2:$Q$1001,MATCH(ROWS($O$2:O11),$O$2:$O$1001,0),0), INDEX($V$1004:$AE$1004,1,MATCH(COLUMNS($V$1006:Z1006),$V$1006:$AE$1006,0)))),"Fix")))</f>
        <v>0</v>
      </c>
      <c r="G11" s="3">
        <f>IF(OR(INDEX($P$2:$P$1001,MATCH(ROWS($O$2:O11),$O$2:$O$1001,0),1)&gt;=100000,INDEX($V$1005:$AE$1005,1,MATCH(COLUMNS($V$1006:AA1006),$V$1006:$AE$1006,0))&gt;=100000), " ",IF(INDEX($V$2:$AE$1001,MATCH(ROWS($O$2:O11),$O$2:$O$1001,0),MATCH(COLUMNS($V$1006:AA1006),$V$1006:$AE$1006,0)), HYPERLINK("#",""), HYPERLINK(CONCATENATE("#Metadata!", ADDRESS(INDEX($Q$2:$Q$1001,MATCH(ROWS($O$2:O11),$O$2:$O$1001,0),0), INDEX($V$1004:$AE$1004,1,MATCH(COLUMNS($V$1006:AA1006),$V$1006:$AE$1006,0)))),"Fix")))</f>
        <v>0</v>
      </c>
      <c r="H11" s="3">
        <f>IF(OR(INDEX($P$2:$P$1001,MATCH(ROWS($O$2:O11),$O$2:$O$1001,0),1)&gt;=100000,INDEX($V$1005:$AE$1005,1,MATCH(COLUMNS($V$1006:AB1006),$V$1006:$AE$1006,0))&gt;=100000), " ",IF(INDEX($V$2:$AE$1001,MATCH(ROWS($O$2:O11),$O$2:$O$1001,0),MATCH(COLUMNS($V$1006:AB1006),$V$1006:$AE$1006,0)), HYPERLINK("#",""), HYPERLINK(CONCATENATE("#Metadata!", ADDRESS(INDEX($Q$2:$Q$1001,MATCH(ROWS($O$2:O11),$O$2:$O$1001,0),0), INDEX($V$1004:$AE$1004,1,MATCH(COLUMNS($V$1006:AB1006),$V$1006:$AE$1006,0)))),"Fix")))</f>
        <v>0</v>
      </c>
      <c r="I11" s="3">
        <f>IF(OR(INDEX($P$2:$P$1001,MATCH(ROWS($O$2:O11),$O$2:$O$1001,0),1)&gt;=100000,INDEX($V$1005:$AE$1005,1,MATCH(COLUMNS($V$1006:AC1006),$V$1006:$AE$1006,0))&gt;=100000), " ",IF(INDEX($V$2:$AE$1001,MATCH(ROWS($O$2:O11),$O$2:$O$1001,0),MATCH(COLUMNS($V$1006:AC1006),$V$1006:$AE$1006,0)), HYPERLINK("#",""), HYPERLINK(CONCATENATE("#Metadata!", ADDRESS(INDEX($Q$2:$Q$1001,MATCH(ROWS($O$2:O11),$O$2:$O$1001,0),0), INDEX($V$1004:$AE$1004,1,MATCH(COLUMNS($V$1006:AC1006),$V$1006:$AE$1006,0)))),"Fix")))</f>
        <v>0</v>
      </c>
      <c r="J11" s="3">
        <f>IF(OR(INDEX($P$2:$P$1001,MATCH(ROWS($O$2:O11),$O$2:$O$1001,0),1)&gt;=100000,INDEX($V$1005:$AE$1005,1,MATCH(COLUMNS($V$1006:AD1006),$V$1006:$AE$1006,0))&gt;=100000), " ",IF(INDEX($V$2:$AE$1001,MATCH(ROWS($O$2:O11),$O$2:$O$1001,0),MATCH(COLUMNS($V$1006:AD1006),$V$1006:$AE$1006,0)), HYPERLINK("#",""), HYPERLINK(CONCATENATE("#Metadata!", ADDRESS(INDEX($Q$2:$Q$1001,MATCH(ROWS($O$2:O11),$O$2:$O$1001,0),0), INDEX($V$1004:$AE$1004,1,MATCH(COLUMNS($V$1006:AD1006),$V$1006:$AE$1006,0)))),"Fix")))</f>
        <v>0</v>
      </c>
      <c r="K11" s="3">
        <f>IF(OR(INDEX($P$2:$P$1001,MATCH(ROWS($O$2:O11),$O$2:$O$1001,0),1)&gt;=100000,INDEX($V$1005:$AE$1005,1,MATCH(COLUMNS($V$1006:AE1006),$V$1006:$AE$1006,0))&gt;=100000), " ",IF(INDEX($V$2:$AE$1001,MATCH(ROWS($O$2:O11),$O$2:$O$1001,0),MATCH(COLUMNS($V$1006:AE1006),$V$1006:$AE$1006,0)), HYPERLINK("#",""), HYPERLINK(CONCATENATE("#Metadata!", ADDRESS(INDEX($Q$2:$Q$1001,MATCH(ROWS($O$2:O11),$O$2:$O$1001,0),0), INDEX($V$1004:$AE$1004,1,MATCH(COLUMNS($V$1006:AE1006),$V$1006:$AE$1006,0)))),"Fix")))</f>
        <v>0</v>
      </c>
      <c r="O11">
        <v>0</v>
      </c>
      <c r="P11">
        <v>0</v>
      </c>
      <c r="Q11">
        <v>0</v>
      </c>
      <c r="R11">
        <f>IF(S11,TRUE,AND(V11:AE11))</f>
        <v>0</v>
      </c>
      <c r="S11">
        <f>COUNTBLANK(Metadata!B11:K11)=COLUMNS(Metadata!B11:K11)</f>
        <v>0</v>
      </c>
      <c r="T11">
        <v>0</v>
      </c>
      <c r="V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W11">
        <f>AND(IF(Metadata!C11="",FALSE,TRUE),exact(Metadata!C11,"animal secretion"))</f>
        <v>0</v>
      </c>
      <c r="X11">
        <f>AND(IF(Metadata!D11="",FALSE,TRUE),exact(Metadata!D11,"saliva"))</f>
        <v>0</v>
      </c>
      <c r="Y11">
        <f>AND(IF(Metadata!E11="",FALSE,TRUE),exact(Metadata!E11,"human-oral"))</f>
        <v>0</v>
      </c>
      <c r="Z11">
        <f>AND(IF(Metadata!F11="",FALSE,TRUE),exact(Metadata!F11,"UBERON:oral cavity"))</f>
        <v>0</v>
      </c>
      <c r="AA11">
        <f>AND(IF(Metadata!G11="",FALSE,TRUE),exact(Metadata!G11,"UBERON:saliva"))</f>
        <v>0</v>
      </c>
      <c r="AB11">
        <f>AND(IF(Metadata!H11="",FALSE,TRUE),exact(Metadata!H11,"UBERON:tongue"))</f>
        <v>0</v>
      </c>
      <c r="AC11">
        <f>AND(IF(Metadata!I11="",FALSE,TRUE),exact(Metadata!I11,"tongue"))</f>
        <v>0</v>
      </c>
      <c r="AD11">
        <f>AND(IF(Metadata!J11="",FALSE,TRUE),exact(Metadata!J11,"human oral metagenome"))</f>
        <v>0</v>
      </c>
      <c r="AE11">
        <f>AND(IF(Metadata!K11="",FALSE,TRUE),exact(Metadata!K11,"447426"))</f>
        <v>0</v>
      </c>
    </row>
    <row r="12" spans="1:31">
      <c r="A12" s="4">
        <f>IF(B12=" "," ",HYPERLINK(CONCATENATE("#metadata!",ADDRESS(INDEX($Q$2:$Q$1001,MATCH(ROWS($O$2:O12),$O$2:$O$1001,0),0),1)),INDEX($T$2:$T$1001,MATCH(ROWS($O$2:O12),$O$2:$O$1001,0),0)))</f>
        <v>0</v>
      </c>
      <c r="B12" s="3">
        <f>IF(OR(INDEX($P$2:$P$1001,MATCH(ROWS($O$2:O12),$O$2:$O$1001,0),1)&gt;=100000,INDEX($V$1005:$AE$1005,1,MATCH(COLUMNS($V$1006:V1006),$V$1006:$AE$1006,0))&gt;=100000), " ",IF(INDEX($V$2:$AE$1001,MATCH(ROWS($O$2:O12),$O$2:$O$1001,0),MATCH(COLUMNS($V$1006:V1006),$V$1006:$AE$1006,0)), HYPERLINK("#",""), HYPERLINK(CONCATENATE("#Metadata!", ADDRESS(INDEX($Q$2:$Q$1001,MATCH(ROWS($O$2:O12),$O$2:$O$1001,0),0), INDEX($V$1004:$AE$1004,1,MATCH(COLUMNS($V$1006:V1006),$V$1006:$AE$1006,0)))),"Fix")))</f>
        <v>0</v>
      </c>
      <c r="C12" s="3">
        <f>IF(OR(INDEX($P$2:$P$1001,MATCH(ROWS($O$2:O12),$O$2:$O$1001,0),1)&gt;=100000,INDEX($V$1005:$AE$1005,1,MATCH(COLUMNS($V$1006:W1006),$V$1006:$AE$1006,0))&gt;=100000), " ",IF(INDEX($V$2:$AE$1001,MATCH(ROWS($O$2:O12),$O$2:$O$1001,0),MATCH(COLUMNS($V$1006:W1006),$V$1006:$AE$1006,0)), HYPERLINK("#",""), HYPERLINK(CONCATENATE("#Metadata!", ADDRESS(INDEX($Q$2:$Q$1001,MATCH(ROWS($O$2:O12),$O$2:$O$1001,0),0), INDEX($V$1004:$AE$1004,1,MATCH(COLUMNS($V$1006:W1006),$V$1006:$AE$1006,0)))),"Fix")))</f>
        <v>0</v>
      </c>
      <c r="D12" s="3">
        <f>IF(OR(INDEX($P$2:$P$1001,MATCH(ROWS($O$2:O12),$O$2:$O$1001,0),1)&gt;=100000,INDEX($V$1005:$AE$1005,1,MATCH(COLUMNS($V$1006:X1006),$V$1006:$AE$1006,0))&gt;=100000), " ",IF(INDEX($V$2:$AE$1001,MATCH(ROWS($O$2:O12),$O$2:$O$1001,0),MATCH(COLUMNS($V$1006:X1006),$V$1006:$AE$1006,0)), HYPERLINK("#",""), HYPERLINK(CONCATENATE("#Metadata!", ADDRESS(INDEX($Q$2:$Q$1001,MATCH(ROWS($O$2:O12),$O$2:$O$1001,0),0), INDEX($V$1004:$AE$1004,1,MATCH(COLUMNS($V$1006:X1006),$V$1006:$AE$1006,0)))),"Fix")))</f>
        <v>0</v>
      </c>
      <c r="E12" s="3">
        <f>IF(OR(INDEX($P$2:$P$1001,MATCH(ROWS($O$2:O12),$O$2:$O$1001,0),1)&gt;=100000,INDEX($V$1005:$AE$1005,1,MATCH(COLUMNS($V$1006:Y1006),$V$1006:$AE$1006,0))&gt;=100000), " ",IF(INDEX($V$2:$AE$1001,MATCH(ROWS($O$2:O12),$O$2:$O$1001,0),MATCH(COLUMNS($V$1006:Y1006),$V$1006:$AE$1006,0)), HYPERLINK("#",""), HYPERLINK(CONCATENATE("#Metadata!", ADDRESS(INDEX($Q$2:$Q$1001,MATCH(ROWS($O$2:O12),$O$2:$O$1001,0),0), INDEX($V$1004:$AE$1004,1,MATCH(COLUMNS($V$1006:Y1006),$V$1006:$AE$1006,0)))),"Fix")))</f>
        <v>0</v>
      </c>
      <c r="F12" s="3">
        <f>IF(OR(INDEX($P$2:$P$1001,MATCH(ROWS($O$2:O12),$O$2:$O$1001,0),1)&gt;=100000,INDEX($V$1005:$AE$1005,1,MATCH(COLUMNS($V$1006:Z1006),$V$1006:$AE$1006,0))&gt;=100000), " ",IF(INDEX($V$2:$AE$1001,MATCH(ROWS($O$2:O12),$O$2:$O$1001,0),MATCH(COLUMNS($V$1006:Z1006),$V$1006:$AE$1006,0)), HYPERLINK("#",""), HYPERLINK(CONCATENATE("#Metadata!", ADDRESS(INDEX($Q$2:$Q$1001,MATCH(ROWS($O$2:O12),$O$2:$O$1001,0),0), INDEX($V$1004:$AE$1004,1,MATCH(COLUMNS($V$1006:Z1006),$V$1006:$AE$1006,0)))),"Fix")))</f>
        <v>0</v>
      </c>
      <c r="G12" s="3">
        <f>IF(OR(INDEX($P$2:$P$1001,MATCH(ROWS($O$2:O12),$O$2:$O$1001,0),1)&gt;=100000,INDEX($V$1005:$AE$1005,1,MATCH(COLUMNS($V$1006:AA1006),$V$1006:$AE$1006,0))&gt;=100000), " ",IF(INDEX($V$2:$AE$1001,MATCH(ROWS($O$2:O12),$O$2:$O$1001,0),MATCH(COLUMNS($V$1006:AA1006),$V$1006:$AE$1006,0)), HYPERLINK("#",""), HYPERLINK(CONCATENATE("#Metadata!", ADDRESS(INDEX($Q$2:$Q$1001,MATCH(ROWS($O$2:O12),$O$2:$O$1001,0),0), INDEX($V$1004:$AE$1004,1,MATCH(COLUMNS($V$1006:AA1006),$V$1006:$AE$1006,0)))),"Fix")))</f>
        <v>0</v>
      </c>
      <c r="H12" s="3">
        <f>IF(OR(INDEX($P$2:$P$1001,MATCH(ROWS($O$2:O12),$O$2:$O$1001,0),1)&gt;=100000,INDEX($V$1005:$AE$1005,1,MATCH(COLUMNS($V$1006:AB1006),$V$1006:$AE$1006,0))&gt;=100000), " ",IF(INDEX($V$2:$AE$1001,MATCH(ROWS($O$2:O12),$O$2:$O$1001,0),MATCH(COLUMNS($V$1006:AB1006),$V$1006:$AE$1006,0)), HYPERLINK("#",""), HYPERLINK(CONCATENATE("#Metadata!", ADDRESS(INDEX($Q$2:$Q$1001,MATCH(ROWS($O$2:O12),$O$2:$O$1001,0),0), INDEX($V$1004:$AE$1004,1,MATCH(COLUMNS($V$1006:AB1006),$V$1006:$AE$1006,0)))),"Fix")))</f>
        <v>0</v>
      </c>
      <c r="I12" s="3">
        <f>IF(OR(INDEX($P$2:$P$1001,MATCH(ROWS($O$2:O12),$O$2:$O$1001,0),1)&gt;=100000,INDEX($V$1005:$AE$1005,1,MATCH(COLUMNS($V$1006:AC1006),$V$1006:$AE$1006,0))&gt;=100000), " ",IF(INDEX($V$2:$AE$1001,MATCH(ROWS($O$2:O12),$O$2:$O$1001,0),MATCH(COLUMNS($V$1006:AC1006),$V$1006:$AE$1006,0)), HYPERLINK("#",""), HYPERLINK(CONCATENATE("#Metadata!", ADDRESS(INDEX($Q$2:$Q$1001,MATCH(ROWS($O$2:O12),$O$2:$O$1001,0),0), INDEX($V$1004:$AE$1004,1,MATCH(COLUMNS($V$1006:AC1006),$V$1006:$AE$1006,0)))),"Fix")))</f>
        <v>0</v>
      </c>
      <c r="J12" s="3">
        <f>IF(OR(INDEX($P$2:$P$1001,MATCH(ROWS($O$2:O12),$O$2:$O$1001,0),1)&gt;=100000,INDEX($V$1005:$AE$1005,1,MATCH(COLUMNS($V$1006:AD1006),$V$1006:$AE$1006,0))&gt;=100000), " ",IF(INDEX($V$2:$AE$1001,MATCH(ROWS($O$2:O12),$O$2:$O$1001,0),MATCH(COLUMNS($V$1006:AD1006),$V$1006:$AE$1006,0)), HYPERLINK("#",""), HYPERLINK(CONCATENATE("#Metadata!", ADDRESS(INDEX($Q$2:$Q$1001,MATCH(ROWS($O$2:O12),$O$2:$O$1001,0),0), INDEX($V$1004:$AE$1004,1,MATCH(COLUMNS($V$1006:AD1006),$V$1006:$AE$1006,0)))),"Fix")))</f>
        <v>0</v>
      </c>
      <c r="K12" s="3">
        <f>IF(OR(INDEX($P$2:$P$1001,MATCH(ROWS($O$2:O12),$O$2:$O$1001,0),1)&gt;=100000,INDEX($V$1005:$AE$1005,1,MATCH(COLUMNS($V$1006:AE1006),$V$1006:$AE$1006,0))&gt;=100000), " ",IF(INDEX($V$2:$AE$1001,MATCH(ROWS($O$2:O12),$O$2:$O$1001,0),MATCH(COLUMNS($V$1006:AE1006),$V$1006:$AE$1006,0)), HYPERLINK("#",""), HYPERLINK(CONCATENATE("#Metadata!", ADDRESS(INDEX($Q$2:$Q$1001,MATCH(ROWS($O$2:O12),$O$2:$O$1001,0),0), INDEX($V$1004:$AE$1004,1,MATCH(COLUMNS($V$1006:AE1006),$V$1006:$AE$1006,0)))),"Fix")))</f>
        <v>0</v>
      </c>
      <c r="O12">
        <v>0</v>
      </c>
      <c r="P12">
        <v>0</v>
      </c>
      <c r="Q12">
        <v>0</v>
      </c>
      <c r="R12">
        <f>IF(S12,TRUE,AND(V12:AE12))</f>
        <v>0</v>
      </c>
      <c r="S12">
        <f>COUNTBLANK(Metadata!B12:K12)=COLUMNS(Metadata!B12:K12)</f>
        <v>0</v>
      </c>
      <c r="T12">
        <v>0</v>
      </c>
      <c r="V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W12">
        <f>AND(IF(Metadata!C12="",FALSE,TRUE),exact(Metadata!C12,"animal secretion"))</f>
        <v>0</v>
      </c>
      <c r="X12">
        <f>AND(IF(Metadata!D12="",FALSE,TRUE),exact(Metadata!D12,"saliva"))</f>
        <v>0</v>
      </c>
      <c r="Y12">
        <f>AND(IF(Metadata!E12="",FALSE,TRUE),exact(Metadata!E12,"human-oral"))</f>
        <v>0</v>
      </c>
      <c r="Z12">
        <f>AND(IF(Metadata!F12="",FALSE,TRUE),exact(Metadata!F12,"UBERON:oral cavity"))</f>
        <v>0</v>
      </c>
      <c r="AA12">
        <f>AND(IF(Metadata!G12="",FALSE,TRUE),exact(Metadata!G12,"UBERON:saliva"))</f>
        <v>0</v>
      </c>
      <c r="AB12">
        <f>AND(IF(Metadata!H12="",FALSE,TRUE),exact(Metadata!H12,"UBERON:tongue"))</f>
        <v>0</v>
      </c>
      <c r="AC12">
        <f>AND(IF(Metadata!I12="",FALSE,TRUE),exact(Metadata!I12,"tongue"))</f>
        <v>0</v>
      </c>
      <c r="AD12">
        <f>AND(IF(Metadata!J12="",FALSE,TRUE),exact(Metadata!J12,"human oral metagenome"))</f>
        <v>0</v>
      </c>
      <c r="AE12">
        <f>AND(IF(Metadata!K12="",FALSE,TRUE),exact(Metadata!K12,"447426"))</f>
        <v>0</v>
      </c>
    </row>
    <row r="13" spans="1:31">
      <c r="A13" s="4">
        <f>IF(B13=" "," ",HYPERLINK(CONCATENATE("#metadata!",ADDRESS(INDEX($Q$2:$Q$1001,MATCH(ROWS($O$2:O13),$O$2:$O$1001,0),0),1)),INDEX($T$2:$T$1001,MATCH(ROWS($O$2:O13),$O$2:$O$1001,0),0)))</f>
        <v>0</v>
      </c>
      <c r="B13" s="3">
        <f>IF(OR(INDEX($P$2:$P$1001,MATCH(ROWS($O$2:O13),$O$2:$O$1001,0),1)&gt;=100000,INDEX($V$1005:$AE$1005,1,MATCH(COLUMNS($V$1006:V1006),$V$1006:$AE$1006,0))&gt;=100000), " ",IF(INDEX($V$2:$AE$1001,MATCH(ROWS($O$2:O13),$O$2:$O$1001,0),MATCH(COLUMNS($V$1006:V1006),$V$1006:$AE$1006,0)), HYPERLINK("#",""), HYPERLINK(CONCATENATE("#Metadata!", ADDRESS(INDEX($Q$2:$Q$1001,MATCH(ROWS($O$2:O13),$O$2:$O$1001,0),0), INDEX($V$1004:$AE$1004,1,MATCH(COLUMNS($V$1006:V1006),$V$1006:$AE$1006,0)))),"Fix")))</f>
        <v>0</v>
      </c>
      <c r="C13" s="3">
        <f>IF(OR(INDEX($P$2:$P$1001,MATCH(ROWS($O$2:O13),$O$2:$O$1001,0),1)&gt;=100000,INDEX($V$1005:$AE$1005,1,MATCH(COLUMNS($V$1006:W1006),$V$1006:$AE$1006,0))&gt;=100000), " ",IF(INDEX($V$2:$AE$1001,MATCH(ROWS($O$2:O13),$O$2:$O$1001,0),MATCH(COLUMNS($V$1006:W1006),$V$1006:$AE$1006,0)), HYPERLINK("#",""), HYPERLINK(CONCATENATE("#Metadata!", ADDRESS(INDEX($Q$2:$Q$1001,MATCH(ROWS($O$2:O13),$O$2:$O$1001,0),0), INDEX($V$1004:$AE$1004,1,MATCH(COLUMNS($V$1006:W1006),$V$1006:$AE$1006,0)))),"Fix")))</f>
        <v>0</v>
      </c>
      <c r="D13" s="3">
        <f>IF(OR(INDEX($P$2:$P$1001,MATCH(ROWS($O$2:O13),$O$2:$O$1001,0),1)&gt;=100000,INDEX($V$1005:$AE$1005,1,MATCH(COLUMNS($V$1006:X1006),$V$1006:$AE$1006,0))&gt;=100000), " ",IF(INDEX($V$2:$AE$1001,MATCH(ROWS($O$2:O13),$O$2:$O$1001,0),MATCH(COLUMNS($V$1006:X1006),$V$1006:$AE$1006,0)), HYPERLINK("#",""), HYPERLINK(CONCATENATE("#Metadata!", ADDRESS(INDEX($Q$2:$Q$1001,MATCH(ROWS($O$2:O13),$O$2:$O$1001,0),0), INDEX($V$1004:$AE$1004,1,MATCH(COLUMNS($V$1006:X1006),$V$1006:$AE$1006,0)))),"Fix")))</f>
        <v>0</v>
      </c>
      <c r="E13" s="3">
        <f>IF(OR(INDEX($P$2:$P$1001,MATCH(ROWS($O$2:O13),$O$2:$O$1001,0),1)&gt;=100000,INDEX($V$1005:$AE$1005,1,MATCH(COLUMNS($V$1006:Y1006),$V$1006:$AE$1006,0))&gt;=100000), " ",IF(INDEX($V$2:$AE$1001,MATCH(ROWS($O$2:O13),$O$2:$O$1001,0),MATCH(COLUMNS($V$1006:Y1006),$V$1006:$AE$1006,0)), HYPERLINK("#",""), HYPERLINK(CONCATENATE("#Metadata!", ADDRESS(INDEX($Q$2:$Q$1001,MATCH(ROWS($O$2:O13),$O$2:$O$1001,0),0), INDEX($V$1004:$AE$1004,1,MATCH(COLUMNS($V$1006:Y1006),$V$1006:$AE$1006,0)))),"Fix")))</f>
        <v>0</v>
      </c>
      <c r="F13" s="3">
        <f>IF(OR(INDEX($P$2:$P$1001,MATCH(ROWS($O$2:O13),$O$2:$O$1001,0),1)&gt;=100000,INDEX($V$1005:$AE$1005,1,MATCH(COLUMNS($V$1006:Z1006),$V$1006:$AE$1006,0))&gt;=100000), " ",IF(INDEX($V$2:$AE$1001,MATCH(ROWS($O$2:O13),$O$2:$O$1001,0),MATCH(COLUMNS($V$1006:Z1006),$V$1006:$AE$1006,0)), HYPERLINK("#",""), HYPERLINK(CONCATENATE("#Metadata!", ADDRESS(INDEX($Q$2:$Q$1001,MATCH(ROWS($O$2:O13),$O$2:$O$1001,0),0), INDEX($V$1004:$AE$1004,1,MATCH(COLUMNS($V$1006:Z1006),$V$1006:$AE$1006,0)))),"Fix")))</f>
        <v>0</v>
      </c>
      <c r="G13" s="3">
        <f>IF(OR(INDEX($P$2:$P$1001,MATCH(ROWS($O$2:O13),$O$2:$O$1001,0),1)&gt;=100000,INDEX($V$1005:$AE$1005,1,MATCH(COLUMNS($V$1006:AA1006),$V$1006:$AE$1006,0))&gt;=100000), " ",IF(INDEX($V$2:$AE$1001,MATCH(ROWS($O$2:O13),$O$2:$O$1001,0),MATCH(COLUMNS($V$1006:AA1006),$V$1006:$AE$1006,0)), HYPERLINK("#",""), HYPERLINK(CONCATENATE("#Metadata!", ADDRESS(INDEX($Q$2:$Q$1001,MATCH(ROWS($O$2:O13),$O$2:$O$1001,0),0), INDEX($V$1004:$AE$1004,1,MATCH(COLUMNS($V$1006:AA1006),$V$1006:$AE$1006,0)))),"Fix")))</f>
        <v>0</v>
      </c>
      <c r="H13" s="3">
        <f>IF(OR(INDEX($P$2:$P$1001,MATCH(ROWS($O$2:O13),$O$2:$O$1001,0),1)&gt;=100000,INDEX($V$1005:$AE$1005,1,MATCH(COLUMNS($V$1006:AB1006),$V$1006:$AE$1006,0))&gt;=100000), " ",IF(INDEX($V$2:$AE$1001,MATCH(ROWS($O$2:O13),$O$2:$O$1001,0),MATCH(COLUMNS($V$1006:AB1006),$V$1006:$AE$1006,0)), HYPERLINK("#",""), HYPERLINK(CONCATENATE("#Metadata!", ADDRESS(INDEX($Q$2:$Q$1001,MATCH(ROWS($O$2:O13),$O$2:$O$1001,0),0), INDEX($V$1004:$AE$1004,1,MATCH(COLUMNS($V$1006:AB1006),$V$1006:$AE$1006,0)))),"Fix")))</f>
        <v>0</v>
      </c>
      <c r="I13" s="3">
        <f>IF(OR(INDEX($P$2:$P$1001,MATCH(ROWS($O$2:O13),$O$2:$O$1001,0),1)&gt;=100000,INDEX($V$1005:$AE$1005,1,MATCH(COLUMNS($V$1006:AC1006),$V$1006:$AE$1006,0))&gt;=100000), " ",IF(INDEX($V$2:$AE$1001,MATCH(ROWS($O$2:O13),$O$2:$O$1001,0),MATCH(COLUMNS($V$1006:AC1006),$V$1006:$AE$1006,0)), HYPERLINK("#",""), HYPERLINK(CONCATENATE("#Metadata!", ADDRESS(INDEX($Q$2:$Q$1001,MATCH(ROWS($O$2:O13),$O$2:$O$1001,0),0), INDEX($V$1004:$AE$1004,1,MATCH(COLUMNS($V$1006:AC1006),$V$1006:$AE$1006,0)))),"Fix")))</f>
        <v>0</v>
      </c>
      <c r="J13" s="3">
        <f>IF(OR(INDEX($P$2:$P$1001,MATCH(ROWS($O$2:O13),$O$2:$O$1001,0),1)&gt;=100000,INDEX($V$1005:$AE$1005,1,MATCH(COLUMNS($V$1006:AD1006),$V$1006:$AE$1006,0))&gt;=100000), " ",IF(INDEX($V$2:$AE$1001,MATCH(ROWS($O$2:O13),$O$2:$O$1001,0),MATCH(COLUMNS($V$1006:AD1006),$V$1006:$AE$1006,0)), HYPERLINK("#",""), HYPERLINK(CONCATENATE("#Metadata!", ADDRESS(INDEX($Q$2:$Q$1001,MATCH(ROWS($O$2:O13),$O$2:$O$1001,0),0), INDEX($V$1004:$AE$1004,1,MATCH(COLUMNS($V$1006:AD1006),$V$1006:$AE$1006,0)))),"Fix")))</f>
        <v>0</v>
      </c>
      <c r="K13" s="3">
        <f>IF(OR(INDEX($P$2:$P$1001,MATCH(ROWS($O$2:O13),$O$2:$O$1001,0),1)&gt;=100000,INDEX($V$1005:$AE$1005,1,MATCH(COLUMNS($V$1006:AE1006),$V$1006:$AE$1006,0))&gt;=100000), " ",IF(INDEX($V$2:$AE$1001,MATCH(ROWS($O$2:O13),$O$2:$O$1001,0),MATCH(COLUMNS($V$1006:AE1006),$V$1006:$AE$1006,0)), HYPERLINK("#",""), HYPERLINK(CONCATENATE("#Metadata!", ADDRESS(INDEX($Q$2:$Q$1001,MATCH(ROWS($O$2:O13),$O$2:$O$1001,0),0), INDEX($V$1004:$AE$1004,1,MATCH(COLUMNS($V$1006:AE1006),$V$1006:$AE$1006,0)))),"Fix")))</f>
        <v>0</v>
      </c>
      <c r="O13">
        <v>0</v>
      </c>
      <c r="P13">
        <v>0</v>
      </c>
      <c r="Q13">
        <v>0</v>
      </c>
      <c r="R13">
        <f>IF(S13,TRUE,AND(V13:AE13))</f>
        <v>0</v>
      </c>
      <c r="S13">
        <f>COUNTBLANK(Metadata!B13:K13)=COLUMNS(Metadata!B13:K13)</f>
        <v>0</v>
      </c>
      <c r="T13">
        <v>0</v>
      </c>
      <c r="V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W13">
        <f>AND(IF(Metadata!C13="",FALSE,TRUE),exact(Metadata!C13,"animal secretion"))</f>
        <v>0</v>
      </c>
      <c r="X13">
        <f>AND(IF(Metadata!D13="",FALSE,TRUE),exact(Metadata!D13,"saliva"))</f>
        <v>0</v>
      </c>
      <c r="Y13">
        <f>AND(IF(Metadata!E13="",FALSE,TRUE),exact(Metadata!E13,"human-oral"))</f>
        <v>0</v>
      </c>
      <c r="Z13">
        <f>AND(IF(Metadata!F13="",FALSE,TRUE),exact(Metadata!F13,"UBERON:oral cavity"))</f>
        <v>0</v>
      </c>
      <c r="AA13">
        <f>AND(IF(Metadata!G13="",FALSE,TRUE),exact(Metadata!G13,"UBERON:saliva"))</f>
        <v>0</v>
      </c>
      <c r="AB13">
        <f>AND(IF(Metadata!H13="",FALSE,TRUE),exact(Metadata!H13,"UBERON:tongue"))</f>
        <v>0</v>
      </c>
      <c r="AC13">
        <f>AND(IF(Metadata!I13="",FALSE,TRUE),exact(Metadata!I13,"tongue"))</f>
        <v>0</v>
      </c>
      <c r="AD13">
        <f>AND(IF(Metadata!J13="",FALSE,TRUE),exact(Metadata!J13,"human oral metagenome"))</f>
        <v>0</v>
      </c>
      <c r="AE13">
        <f>AND(IF(Metadata!K13="",FALSE,TRUE),exact(Metadata!K13,"447426"))</f>
        <v>0</v>
      </c>
    </row>
    <row r="14" spans="1:31">
      <c r="A14" s="4">
        <f>IF(B14=" "," ",HYPERLINK(CONCATENATE("#metadata!",ADDRESS(INDEX($Q$2:$Q$1001,MATCH(ROWS($O$2:O14),$O$2:$O$1001,0),0),1)),INDEX($T$2:$T$1001,MATCH(ROWS($O$2:O14),$O$2:$O$1001,0),0)))</f>
        <v>0</v>
      </c>
      <c r="B14" s="3">
        <f>IF(OR(INDEX($P$2:$P$1001,MATCH(ROWS($O$2:O14),$O$2:$O$1001,0),1)&gt;=100000,INDEX($V$1005:$AE$1005,1,MATCH(COLUMNS($V$1006:V1006),$V$1006:$AE$1006,0))&gt;=100000), " ",IF(INDEX($V$2:$AE$1001,MATCH(ROWS($O$2:O14),$O$2:$O$1001,0),MATCH(COLUMNS($V$1006:V1006),$V$1006:$AE$1006,0)), HYPERLINK("#",""), HYPERLINK(CONCATENATE("#Metadata!", ADDRESS(INDEX($Q$2:$Q$1001,MATCH(ROWS($O$2:O14),$O$2:$O$1001,0),0), INDEX($V$1004:$AE$1004,1,MATCH(COLUMNS($V$1006:V1006),$V$1006:$AE$1006,0)))),"Fix")))</f>
        <v>0</v>
      </c>
      <c r="C14" s="3">
        <f>IF(OR(INDEX($P$2:$P$1001,MATCH(ROWS($O$2:O14),$O$2:$O$1001,0),1)&gt;=100000,INDEX($V$1005:$AE$1005,1,MATCH(COLUMNS($V$1006:W1006),$V$1006:$AE$1006,0))&gt;=100000), " ",IF(INDEX($V$2:$AE$1001,MATCH(ROWS($O$2:O14),$O$2:$O$1001,0),MATCH(COLUMNS($V$1006:W1006),$V$1006:$AE$1006,0)), HYPERLINK("#",""), HYPERLINK(CONCATENATE("#Metadata!", ADDRESS(INDEX($Q$2:$Q$1001,MATCH(ROWS($O$2:O14),$O$2:$O$1001,0),0), INDEX($V$1004:$AE$1004,1,MATCH(COLUMNS($V$1006:W1006),$V$1006:$AE$1006,0)))),"Fix")))</f>
        <v>0</v>
      </c>
      <c r="D14" s="3">
        <f>IF(OR(INDEX($P$2:$P$1001,MATCH(ROWS($O$2:O14),$O$2:$O$1001,0),1)&gt;=100000,INDEX($V$1005:$AE$1005,1,MATCH(COLUMNS($V$1006:X1006),$V$1006:$AE$1006,0))&gt;=100000), " ",IF(INDEX($V$2:$AE$1001,MATCH(ROWS($O$2:O14),$O$2:$O$1001,0),MATCH(COLUMNS($V$1006:X1006),$V$1006:$AE$1006,0)), HYPERLINK("#",""), HYPERLINK(CONCATENATE("#Metadata!", ADDRESS(INDEX($Q$2:$Q$1001,MATCH(ROWS($O$2:O14),$O$2:$O$1001,0),0), INDEX($V$1004:$AE$1004,1,MATCH(COLUMNS($V$1006:X1006),$V$1006:$AE$1006,0)))),"Fix")))</f>
        <v>0</v>
      </c>
      <c r="E14" s="3">
        <f>IF(OR(INDEX($P$2:$P$1001,MATCH(ROWS($O$2:O14),$O$2:$O$1001,0),1)&gt;=100000,INDEX($V$1005:$AE$1005,1,MATCH(COLUMNS($V$1006:Y1006),$V$1006:$AE$1006,0))&gt;=100000), " ",IF(INDEX($V$2:$AE$1001,MATCH(ROWS($O$2:O14),$O$2:$O$1001,0),MATCH(COLUMNS($V$1006:Y1006),$V$1006:$AE$1006,0)), HYPERLINK("#",""), HYPERLINK(CONCATENATE("#Metadata!", ADDRESS(INDEX($Q$2:$Q$1001,MATCH(ROWS($O$2:O14),$O$2:$O$1001,0),0), INDEX($V$1004:$AE$1004,1,MATCH(COLUMNS($V$1006:Y1006),$V$1006:$AE$1006,0)))),"Fix")))</f>
        <v>0</v>
      </c>
      <c r="F14" s="3">
        <f>IF(OR(INDEX($P$2:$P$1001,MATCH(ROWS($O$2:O14),$O$2:$O$1001,0),1)&gt;=100000,INDEX($V$1005:$AE$1005,1,MATCH(COLUMNS($V$1006:Z1006),$V$1006:$AE$1006,0))&gt;=100000), " ",IF(INDEX($V$2:$AE$1001,MATCH(ROWS($O$2:O14),$O$2:$O$1001,0),MATCH(COLUMNS($V$1006:Z1006),$V$1006:$AE$1006,0)), HYPERLINK("#",""), HYPERLINK(CONCATENATE("#Metadata!", ADDRESS(INDEX($Q$2:$Q$1001,MATCH(ROWS($O$2:O14),$O$2:$O$1001,0),0), INDEX($V$1004:$AE$1004,1,MATCH(COLUMNS($V$1006:Z1006),$V$1006:$AE$1006,0)))),"Fix")))</f>
        <v>0</v>
      </c>
      <c r="G14" s="3">
        <f>IF(OR(INDEX($P$2:$P$1001,MATCH(ROWS($O$2:O14),$O$2:$O$1001,0),1)&gt;=100000,INDEX($V$1005:$AE$1005,1,MATCH(COLUMNS($V$1006:AA1006),$V$1006:$AE$1006,0))&gt;=100000), " ",IF(INDEX($V$2:$AE$1001,MATCH(ROWS($O$2:O14),$O$2:$O$1001,0),MATCH(COLUMNS($V$1006:AA1006),$V$1006:$AE$1006,0)), HYPERLINK("#",""), HYPERLINK(CONCATENATE("#Metadata!", ADDRESS(INDEX($Q$2:$Q$1001,MATCH(ROWS($O$2:O14),$O$2:$O$1001,0),0), INDEX($V$1004:$AE$1004,1,MATCH(COLUMNS($V$1006:AA1006),$V$1006:$AE$1006,0)))),"Fix")))</f>
        <v>0</v>
      </c>
      <c r="H14" s="3">
        <f>IF(OR(INDEX($P$2:$P$1001,MATCH(ROWS($O$2:O14),$O$2:$O$1001,0),1)&gt;=100000,INDEX($V$1005:$AE$1005,1,MATCH(COLUMNS($V$1006:AB1006),$V$1006:$AE$1006,0))&gt;=100000), " ",IF(INDEX($V$2:$AE$1001,MATCH(ROWS($O$2:O14),$O$2:$O$1001,0),MATCH(COLUMNS($V$1006:AB1006),$V$1006:$AE$1006,0)), HYPERLINK("#",""), HYPERLINK(CONCATENATE("#Metadata!", ADDRESS(INDEX($Q$2:$Q$1001,MATCH(ROWS($O$2:O14),$O$2:$O$1001,0),0), INDEX($V$1004:$AE$1004,1,MATCH(COLUMNS($V$1006:AB1006),$V$1006:$AE$1006,0)))),"Fix")))</f>
        <v>0</v>
      </c>
      <c r="I14" s="3">
        <f>IF(OR(INDEX($P$2:$P$1001,MATCH(ROWS($O$2:O14),$O$2:$O$1001,0),1)&gt;=100000,INDEX($V$1005:$AE$1005,1,MATCH(COLUMNS($V$1006:AC1006),$V$1006:$AE$1006,0))&gt;=100000), " ",IF(INDEX($V$2:$AE$1001,MATCH(ROWS($O$2:O14),$O$2:$O$1001,0),MATCH(COLUMNS($V$1006:AC1006),$V$1006:$AE$1006,0)), HYPERLINK("#",""), HYPERLINK(CONCATENATE("#Metadata!", ADDRESS(INDEX($Q$2:$Q$1001,MATCH(ROWS($O$2:O14),$O$2:$O$1001,0),0), INDEX($V$1004:$AE$1004,1,MATCH(COLUMNS($V$1006:AC1006),$V$1006:$AE$1006,0)))),"Fix")))</f>
        <v>0</v>
      </c>
      <c r="J14" s="3">
        <f>IF(OR(INDEX($P$2:$P$1001,MATCH(ROWS($O$2:O14),$O$2:$O$1001,0),1)&gt;=100000,INDEX($V$1005:$AE$1005,1,MATCH(COLUMNS($V$1006:AD1006),$V$1006:$AE$1006,0))&gt;=100000), " ",IF(INDEX($V$2:$AE$1001,MATCH(ROWS($O$2:O14),$O$2:$O$1001,0),MATCH(COLUMNS($V$1006:AD1006),$V$1006:$AE$1006,0)), HYPERLINK("#",""), HYPERLINK(CONCATENATE("#Metadata!", ADDRESS(INDEX($Q$2:$Q$1001,MATCH(ROWS($O$2:O14),$O$2:$O$1001,0),0), INDEX($V$1004:$AE$1004,1,MATCH(COLUMNS($V$1006:AD1006),$V$1006:$AE$1006,0)))),"Fix")))</f>
        <v>0</v>
      </c>
      <c r="K14" s="3">
        <f>IF(OR(INDEX($P$2:$P$1001,MATCH(ROWS($O$2:O14),$O$2:$O$1001,0),1)&gt;=100000,INDEX($V$1005:$AE$1005,1,MATCH(COLUMNS($V$1006:AE1006),$V$1006:$AE$1006,0))&gt;=100000), " ",IF(INDEX($V$2:$AE$1001,MATCH(ROWS($O$2:O14),$O$2:$O$1001,0),MATCH(COLUMNS($V$1006:AE1006),$V$1006:$AE$1006,0)), HYPERLINK("#",""), HYPERLINK(CONCATENATE("#Metadata!", ADDRESS(INDEX($Q$2:$Q$1001,MATCH(ROWS($O$2:O14),$O$2:$O$1001,0),0), INDEX($V$1004:$AE$1004,1,MATCH(COLUMNS($V$1006:AE1006),$V$1006:$AE$1006,0)))),"Fix")))</f>
        <v>0</v>
      </c>
      <c r="O14">
        <v>0</v>
      </c>
      <c r="P14">
        <v>0</v>
      </c>
      <c r="Q14">
        <v>0</v>
      </c>
      <c r="R14">
        <f>IF(S14,TRUE,AND(V14:AE14))</f>
        <v>0</v>
      </c>
      <c r="S14">
        <f>COUNTBLANK(Metadata!B14:K14)=COLUMNS(Metadata!B14:K14)</f>
        <v>0</v>
      </c>
      <c r="T14">
        <v>0</v>
      </c>
      <c r="V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W14">
        <f>AND(IF(Metadata!C14="",FALSE,TRUE),exact(Metadata!C14,"animal secretion"))</f>
        <v>0</v>
      </c>
      <c r="X14">
        <f>AND(IF(Metadata!D14="",FALSE,TRUE),exact(Metadata!D14,"saliva"))</f>
        <v>0</v>
      </c>
      <c r="Y14">
        <f>AND(IF(Metadata!E14="",FALSE,TRUE),exact(Metadata!E14,"human-oral"))</f>
        <v>0</v>
      </c>
      <c r="Z14">
        <f>AND(IF(Metadata!F14="",FALSE,TRUE),exact(Metadata!F14,"UBERON:oral cavity"))</f>
        <v>0</v>
      </c>
      <c r="AA14">
        <f>AND(IF(Metadata!G14="",FALSE,TRUE),exact(Metadata!G14,"UBERON:saliva"))</f>
        <v>0</v>
      </c>
      <c r="AB14">
        <f>AND(IF(Metadata!H14="",FALSE,TRUE),exact(Metadata!H14,"UBERON:tongue"))</f>
        <v>0</v>
      </c>
      <c r="AC14">
        <f>AND(IF(Metadata!I14="",FALSE,TRUE),exact(Metadata!I14,"tongue"))</f>
        <v>0</v>
      </c>
      <c r="AD14">
        <f>AND(IF(Metadata!J14="",FALSE,TRUE),exact(Metadata!J14,"human oral metagenome"))</f>
        <v>0</v>
      </c>
      <c r="AE14">
        <f>AND(IF(Metadata!K14="",FALSE,TRUE),exact(Metadata!K14,"447426"))</f>
        <v>0</v>
      </c>
    </row>
    <row r="15" spans="1:31">
      <c r="A15" s="4">
        <f>IF(B15=" "," ",HYPERLINK(CONCATENATE("#metadata!",ADDRESS(INDEX($Q$2:$Q$1001,MATCH(ROWS($O$2:O15),$O$2:$O$1001,0),0),1)),INDEX($T$2:$T$1001,MATCH(ROWS($O$2:O15),$O$2:$O$1001,0),0)))</f>
        <v>0</v>
      </c>
      <c r="B15" s="3">
        <f>IF(OR(INDEX($P$2:$P$1001,MATCH(ROWS($O$2:O15),$O$2:$O$1001,0),1)&gt;=100000,INDEX($V$1005:$AE$1005,1,MATCH(COLUMNS($V$1006:V1006),$V$1006:$AE$1006,0))&gt;=100000), " ",IF(INDEX($V$2:$AE$1001,MATCH(ROWS($O$2:O15),$O$2:$O$1001,0),MATCH(COLUMNS($V$1006:V1006),$V$1006:$AE$1006,0)), HYPERLINK("#",""), HYPERLINK(CONCATENATE("#Metadata!", ADDRESS(INDEX($Q$2:$Q$1001,MATCH(ROWS($O$2:O15),$O$2:$O$1001,0),0), INDEX($V$1004:$AE$1004,1,MATCH(COLUMNS($V$1006:V1006),$V$1006:$AE$1006,0)))),"Fix")))</f>
        <v>0</v>
      </c>
      <c r="C15" s="3">
        <f>IF(OR(INDEX($P$2:$P$1001,MATCH(ROWS($O$2:O15),$O$2:$O$1001,0),1)&gt;=100000,INDEX($V$1005:$AE$1005,1,MATCH(COLUMNS($V$1006:W1006),$V$1006:$AE$1006,0))&gt;=100000), " ",IF(INDEX($V$2:$AE$1001,MATCH(ROWS($O$2:O15),$O$2:$O$1001,0),MATCH(COLUMNS($V$1006:W1006),$V$1006:$AE$1006,0)), HYPERLINK("#",""), HYPERLINK(CONCATENATE("#Metadata!", ADDRESS(INDEX($Q$2:$Q$1001,MATCH(ROWS($O$2:O15),$O$2:$O$1001,0),0), INDEX($V$1004:$AE$1004,1,MATCH(COLUMNS($V$1006:W1006),$V$1006:$AE$1006,0)))),"Fix")))</f>
        <v>0</v>
      </c>
      <c r="D15" s="3">
        <f>IF(OR(INDEX($P$2:$P$1001,MATCH(ROWS($O$2:O15),$O$2:$O$1001,0),1)&gt;=100000,INDEX($V$1005:$AE$1005,1,MATCH(COLUMNS($V$1006:X1006),$V$1006:$AE$1006,0))&gt;=100000), " ",IF(INDEX($V$2:$AE$1001,MATCH(ROWS($O$2:O15),$O$2:$O$1001,0),MATCH(COLUMNS($V$1006:X1006),$V$1006:$AE$1006,0)), HYPERLINK("#",""), HYPERLINK(CONCATENATE("#Metadata!", ADDRESS(INDEX($Q$2:$Q$1001,MATCH(ROWS($O$2:O15),$O$2:$O$1001,0),0), INDEX($V$1004:$AE$1004,1,MATCH(COLUMNS($V$1006:X1006),$V$1006:$AE$1006,0)))),"Fix")))</f>
        <v>0</v>
      </c>
      <c r="E15" s="3">
        <f>IF(OR(INDEX($P$2:$P$1001,MATCH(ROWS($O$2:O15),$O$2:$O$1001,0),1)&gt;=100000,INDEX($V$1005:$AE$1005,1,MATCH(COLUMNS($V$1006:Y1006),$V$1006:$AE$1006,0))&gt;=100000), " ",IF(INDEX($V$2:$AE$1001,MATCH(ROWS($O$2:O15),$O$2:$O$1001,0),MATCH(COLUMNS($V$1006:Y1006),$V$1006:$AE$1006,0)), HYPERLINK("#",""), HYPERLINK(CONCATENATE("#Metadata!", ADDRESS(INDEX($Q$2:$Q$1001,MATCH(ROWS($O$2:O15),$O$2:$O$1001,0),0), INDEX($V$1004:$AE$1004,1,MATCH(COLUMNS($V$1006:Y1006),$V$1006:$AE$1006,0)))),"Fix")))</f>
        <v>0</v>
      </c>
      <c r="F15" s="3">
        <f>IF(OR(INDEX($P$2:$P$1001,MATCH(ROWS($O$2:O15),$O$2:$O$1001,0),1)&gt;=100000,INDEX($V$1005:$AE$1005,1,MATCH(COLUMNS($V$1006:Z1006),$V$1006:$AE$1006,0))&gt;=100000), " ",IF(INDEX($V$2:$AE$1001,MATCH(ROWS($O$2:O15),$O$2:$O$1001,0),MATCH(COLUMNS($V$1006:Z1006),$V$1006:$AE$1006,0)), HYPERLINK("#",""), HYPERLINK(CONCATENATE("#Metadata!", ADDRESS(INDEX($Q$2:$Q$1001,MATCH(ROWS($O$2:O15),$O$2:$O$1001,0),0), INDEX($V$1004:$AE$1004,1,MATCH(COLUMNS($V$1006:Z1006),$V$1006:$AE$1006,0)))),"Fix")))</f>
        <v>0</v>
      </c>
      <c r="G15" s="3">
        <f>IF(OR(INDEX($P$2:$P$1001,MATCH(ROWS($O$2:O15),$O$2:$O$1001,0),1)&gt;=100000,INDEX($V$1005:$AE$1005,1,MATCH(COLUMNS($V$1006:AA1006),$V$1006:$AE$1006,0))&gt;=100000), " ",IF(INDEX($V$2:$AE$1001,MATCH(ROWS($O$2:O15),$O$2:$O$1001,0),MATCH(COLUMNS($V$1006:AA1006),$V$1006:$AE$1006,0)), HYPERLINK("#",""), HYPERLINK(CONCATENATE("#Metadata!", ADDRESS(INDEX($Q$2:$Q$1001,MATCH(ROWS($O$2:O15),$O$2:$O$1001,0),0), INDEX($V$1004:$AE$1004,1,MATCH(COLUMNS($V$1006:AA1006),$V$1006:$AE$1006,0)))),"Fix")))</f>
        <v>0</v>
      </c>
      <c r="H15" s="3">
        <f>IF(OR(INDEX($P$2:$P$1001,MATCH(ROWS($O$2:O15),$O$2:$O$1001,0),1)&gt;=100000,INDEX($V$1005:$AE$1005,1,MATCH(COLUMNS($V$1006:AB1006),$V$1006:$AE$1006,0))&gt;=100000), " ",IF(INDEX($V$2:$AE$1001,MATCH(ROWS($O$2:O15),$O$2:$O$1001,0),MATCH(COLUMNS($V$1006:AB1006),$V$1006:$AE$1006,0)), HYPERLINK("#",""), HYPERLINK(CONCATENATE("#Metadata!", ADDRESS(INDEX($Q$2:$Q$1001,MATCH(ROWS($O$2:O15),$O$2:$O$1001,0),0), INDEX($V$1004:$AE$1004,1,MATCH(COLUMNS($V$1006:AB1006),$V$1006:$AE$1006,0)))),"Fix")))</f>
        <v>0</v>
      </c>
      <c r="I15" s="3">
        <f>IF(OR(INDEX($P$2:$P$1001,MATCH(ROWS($O$2:O15),$O$2:$O$1001,0),1)&gt;=100000,INDEX($V$1005:$AE$1005,1,MATCH(COLUMNS($V$1006:AC1006),$V$1006:$AE$1006,0))&gt;=100000), " ",IF(INDEX($V$2:$AE$1001,MATCH(ROWS($O$2:O15),$O$2:$O$1001,0),MATCH(COLUMNS($V$1006:AC1006),$V$1006:$AE$1006,0)), HYPERLINK("#",""), HYPERLINK(CONCATENATE("#Metadata!", ADDRESS(INDEX($Q$2:$Q$1001,MATCH(ROWS($O$2:O15),$O$2:$O$1001,0),0), INDEX($V$1004:$AE$1004,1,MATCH(COLUMNS($V$1006:AC1006),$V$1006:$AE$1006,0)))),"Fix")))</f>
        <v>0</v>
      </c>
      <c r="J15" s="3">
        <f>IF(OR(INDEX($P$2:$P$1001,MATCH(ROWS($O$2:O15),$O$2:$O$1001,0),1)&gt;=100000,INDEX($V$1005:$AE$1005,1,MATCH(COLUMNS($V$1006:AD1006),$V$1006:$AE$1006,0))&gt;=100000), " ",IF(INDEX($V$2:$AE$1001,MATCH(ROWS($O$2:O15),$O$2:$O$1001,0),MATCH(COLUMNS($V$1006:AD1006),$V$1006:$AE$1006,0)), HYPERLINK("#",""), HYPERLINK(CONCATENATE("#Metadata!", ADDRESS(INDEX($Q$2:$Q$1001,MATCH(ROWS($O$2:O15),$O$2:$O$1001,0),0), INDEX($V$1004:$AE$1004,1,MATCH(COLUMNS($V$1006:AD1006),$V$1006:$AE$1006,0)))),"Fix")))</f>
        <v>0</v>
      </c>
      <c r="K15" s="3">
        <f>IF(OR(INDEX($P$2:$P$1001,MATCH(ROWS($O$2:O15),$O$2:$O$1001,0),1)&gt;=100000,INDEX($V$1005:$AE$1005,1,MATCH(COLUMNS($V$1006:AE1006),$V$1006:$AE$1006,0))&gt;=100000), " ",IF(INDEX($V$2:$AE$1001,MATCH(ROWS($O$2:O15),$O$2:$O$1001,0),MATCH(COLUMNS($V$1006:AE1006),$V$1006:$AE$1006,0)), HYPERLINK("#",""), HYPERLINK(CONCATENATE("#Metadata!", ADDRESS(INDEX($Q$2:$Q$1001,MATCH(ROWS($O$2:O15),$O$2:$O$1001,0),0), INDEX($V$1004:$AE$1004,1,MATCH(COLUMNS($V$1006:AE1006),$V$1006:$AE$1006,0)))),"Fix")))</f>
        <v>0</v>
      </c>
      <c r="O15">
        <v>0</v>
      </c>
      <c r="P15">
        <v>0</v>
      </c>
      <c r="Q15">
        <v>0</v>
      </c>
      <c r="R15">
        <f>IF(S15,TRUE,AND(V15:AE15))</f>
        <v>0</v>
      </c>
      <c r="S15">
        <f>COUNTBLANK(Metadata!B15:K15)=COLUMNS(Metadata!B15:K15)</f>
        <v>0</v>
      </c>
      <c r="T15">
        <v>0</v>
      </c>
      <c r="V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W15">
        <f>AND(IF(Metadata!C15="",FALSE,TRUE),exact(Metadata!C15,"animal secretion"))</f>
        <v>0</v>
      </c>
      <c r="X15">
        <f>AND(IF(Metadata!D15="",FALSE,TRUE),exact(Metadata!D15,"saliva"))</f>
        <v>0</v>
      </c>
      <c r="Y15">
        <f>AND(IF(Metadata!E15="",FALSE,TRUE),exact(Metadata!E15,"human-oral"))</f>
        <v>0</v>
      </c>
      <c r="Z15">
        <f>AND(IF(Metadata!F15="",FALSE,TRUE),exact(Metadata!F15,"UBERON:oral cavity"))</f>
        <v>0</v>
      </c>
      <c r="AA15">
        <f>AND(IF(Metadata!G15="",FALSE,TRUE),exact(Metadata!G15,"UBERON:saliva"))</f>
        <v>0</v>
      </c>
      <c r="AB15">
        <f>AND(IF(Metadata!H15="",FALSE,TRUE),exact(Metadata!H15,"UBERON:tongue"))</f>
        <v>0</v>
      </c>
      <c r="AC15">
        <f>AND(IF(Metadata!I15="",FALSE,TRUE),exact(Metadata!I15,"tongue"))</f>
        <v>0</v>
      </c>
      <c r="AD15">
        <f>AND(IF(Metadata!J15="",FALSE,TRUE),exact(Metadata!J15,"human oral metagenome"))</f>
        <v>0</v>
      </c>
      <c r="AE15">
        <f>AND(IF(Metadata!K15="",FALSE,TRUE),exact(Metadata!K15,"447426"))</f>
        <v>0</v>
      </c>
    </row>
    <row r="16" spans="1:31">
      <c r="A16" s="4">
        <f>IF(B16=" "," ",HYPERLINK(CONCATENATE("#metadata!",ADDRESS(INDEX($Q$2:$Q$1001,MATCH(ROWS($O$2:O16),$O$2:$O$1001,0),0),1)),INDEX($T$2:$T$1001,MATCH(ROWS($O$2:O16),$O$2:$O$1001,0),0)))</f>
        <v>0</v>
      </c>
      <c r="B16" s="3">
        <f>IF(OR(INDEX($P$2:$P$1001,MATCH(ROWS($O$2:O16),$O$2:$O$1001,0),1)&gt;=100000,INDEX($V$1005:$AE$1005,1,MATCH(COLUMNS($V$1006:V1006),$V$1006:$AE$1006,0))&gt;=100000), " ",IF(INDEX($V$2:$AE$1001,MATCH(ROWS($O$2:O16),$O$2:$O$1001,0),MATCH(COLUMNS($V$1006:V1006),$V$1006:$AE$1006,0)), HYPERLINK("#",""), HYPERLINK(CONCATENATE("#Metadata!", ADDRESS(INDEX($Q$2:$Q$1001,MATCH(ROWS($O$2:O16),$O$2:$O$1001,0),0), INDEX($V$1004:$AE$1004,1,MATCH(COLUMNS($V$1006:V1006),$V$1006:$AE$1006,0)))),"Fix")))</f>
        <v>0</v>
      </c>
      <c r="C16" s="3">
        <f>IF(OR(INDEX($P$2:$P$1001,MATCH(ROWS($O$2:O16),$O$2:$O$1001,0),1)&gt;=100000,INDEX($V$1005:$AE$1005,1,MATCH(COLUMNS($V$1006:W1006),$V$1006:$AE$1006,0))&gt;=100000), " ",IF(INDEX($V$2:$AE$1001,MATCH(ROWS($O$2:O16),$O$2:$O$1001,0),MATCH(COLUMNS($V$1006:W1006),$V$1006:$AE$1006,0)), HYPERLINK("#",""), HYPERLINK(CONCATENATE("#Metadata!", ADDRESS(INDEX($Q$2:$Q$1001,MATCH(ROWS($O$2:O16),$O$2:$O$1001,0),0), INDEX($V$1004:$AE$1004,1,MATCH(COLUMNS($V$1006:W1006),$V$1006:$AE$1006,0)))),"Fix")))</f>
        <v>0</v>
      </c>
      <c r="D16" s="3">
        <f>IF(OR(INDEX($P$2:$P$1001,MATCH(ROWS($O$2:O16),$O$2:$O$1001,0),1)&gt;=100000,INDEX($V$1005:$AE$1005,1,MATCH(COLUMNS($V$1006:X1006),$V$1006:$AE$1006,0))&gt;=100000), " ",IF(INDEX($V$2:$AE$1001,MATCH(ROWS($O$2:O16),$O$2:$O$1001,0),MATCH(COLUMNS($V$1006:X1006),$V$1006:$AE$1006,0)), HYPERLINK("#",""), HYPERLINK(CONCATENATE("#Metadata!", ADDRESS(INDEX($Q$2:$Q$1001,MATCH(ROWS($O$2:O16),$O$2:$O$1001,0),0), INDEX($V$1004:$AE$1004,1,MATCH(COLUMNS($V$1006:X1006),$V$1006:$AE$1006,0)))),"Fix")))</f>
        <v>0</v>
      </c>
      <c r="E16" s="3">
        <f>IF(OR(INDEX($P$2:$P$1001,MATCH(ROWS($O$2:O16),$O$2:$O$1001,0),1)&gt;=100000,INDEX($V$1005:$AE$1005,1,MATCH(COLUMNS($V$1006:Y1006),$V$1006:$AE$1006,0))&gt;=100000), " ",IF(INDEX($V$2:$AE$1001,MATCH(ROWS($O$2:O16),$O$2:$O$1001,0),MATCH(COLUMNS($V$1006:Y1006),$V$1006:$AE$1006,0)), HYPERLINK("#",""), HYPERLINK(CONCATENATE("#Metadata!", ADDRESS(INDEX($Q$2:$Q$1001,MATCH(ROWS($O$2:O16),$O$2:$O$1001,0),0), INDEX($V$1004:$AE$1004,1,MATCH(COLUMNS($V$1006:Y1006),$V$1006:$AE$1006,0)))),"Fix")))</f>
        <v>0</v>
      </c>
      <c r="F16" s="3">
        <f>IF(OR(INDEX($P$2:$P$1001,MATCH(ROWS($O$2:O16),$O$2:$O$1001,0),1)&gt;=100000,INDEX($V$1005:$AE$1005,1,MATCH(COLUMNS($V$1006:Z1006),$V$1006:$AE$1006,0))&gt;=100000), " ",IF(INDEX($V$2:$AE$1001,MATCH(ROWS($O$2:O16),$O$2:$O$1001,0),MATCH(COLUMNS($V$1006:Z1006),$V$1006:$AE$1006,0)), HYPERLINK("#",""), HYPERLINK(CONCATENATE("#Metadata!", ADDRESS(INDEX($Q$2:$Q$1001,MATCH(ROWS($O$2:O16),$O$2:$O$1001,0),0), INDEX($V$1004:$AE$1004,1,MATCH(COLUMNS($V$1006:Z1006),$V$1006:$AE$1006,0)))),"Fix")))</f>
        <v>0</v>
      </c>
      <c r="G16" s="3">
        <f>IF(OR(INDEX($P$2:$P$1001,MATCH(ROWS($O$2:O16),$O$2:$O$1001,0),1)&gt;=100000,INDEX($V$1005:$AE$1005,1,MATCH(COLUMNS($V$1006:AA1006),$V$1006:$AE$1006,0))&gt;=100000), " ",IF(INDEX($V$2:$AE$1001,MATCH(ROWS($O$2:O16),$O$2:$O$1001,0),MATCH(COLUMNS($V$1006:AA1006),$V$1006:$AE$1006,0)), HYPERLINK("#",""), HYPERLINK(CONCATENATE("#Metadata!", ADDRESS(INDEX($Q$2:$Q$1001,MATCH(ROWS($O$2:O16),$O$2:$O$1001,0),0), INDEX($V$1004:$AE$1004,1,MATCH(COLUMNS($V$1006:AA1006),$V$1006:$AE$1006,0)))),"Fix")))</f>
        <v>0</v>
      </c>
      <c r="H16" s="3">
        <f>IF(OR(INDEX($P$2:$P$1001,MATCH(ROWS($O$2:O16),$O$2:$O$1001,0),1)&gt;=100000,INDEX($V$1005:$AE$1005,1,MATCH(COLUMNS($V$1006:AB1006),$V$1006:$AE$1006,0))&gt;=100000), " ",IF(INDEX($V$2:$AE$1001,MATCH(ROWS($O$2:O16),$O$2:$O$1001,0),MATCH(COLUMNS($V$1006:AB1006),$V$1006:$AE$1006,0)), HYPERLINK("#",""), HYPERLINK(CONCATENATE("#Metadata!", ADDRESS(INDEX($Q$2:$Q$1001,MATCH(ROWS($O$2:O16),$O$2:$O$1001,0),0), INDEX($V$1004:$AE$1004,1,MATCH(COLUMNS($V$1006:AB1006),$V$1006:$AE$1006,0)))),"Fix")))</f>
        <v>0</v>
      </c>
      <c r="I16" s="3">
        <f>IF(OR(INDEX($P$2:$P$1001,MATCH(ROWS($O$2:O16),$O$2:$O$1001,0),1)&gt;=100000,INDEX($V$1005:$AE$1005,1,MATCH(COLUMNS($V$1006:AC1006),$V$1006:$AE$1006,0))&gt;=100000), " ",IF(INDEX($V$2:$AE$1001,MATCH(ROWS($O$2:O16),$O$2:$O$1001,0),MATCH(COLUMNS($V$1006:AC1006),$V$1006:$AE$1006,0)), HYPERLINK("#",""), HYPERLINK(CONCATENATE("#Metadata!", ADDRESS(INDEX($Q$2:$Q$1001,MATCH(ROWS($O$2:O16),$O$2:$O$1001,0),0), INDEX($V$1004:$AE$1004,1,MATCH(COLUMNS($V$1006:AC1006),$V$1006:$AE$1006,0)))),"Fix")))</f>
        <v>0</v>
      </c>
      <c r="J16" s="3">
        <f>IF(OR(INDEX($P$2:$P$1001,MATCH(ROWS($O$2:O16),$O$2:$O$1001,0),1)&gt;=100000,INDEX($V$1005:$AE$1005,1,MATCH(COLUMNS($V$1006:AD1006),$V$1006:$AE$1006,0))&gt;=100000), " ",IF(INDEX($V$2:$AE$1001,MATCH(ROWS($O$2:O16),$O$2:$O$1001,0),MATCH(COLUMNS($V$1006:AD1006),$V$1006:$AE$1006,0)), HYPERLINK("#",""), HYPERLINK(CONCATENATE("#Metadata!", ADDRESS(INDEX($Q$2:$Q$1001,MATCH(ROWS($O$2:O16),$O$2:$O$1001,0),0), INDEX($V$1004:$AE$1004,1,MATCH(COLUMNS($V$1006:AD1006),$V$1006:$AE$1006,0)))),"Fix")))</f>
        <v>0</v>
      </c>
      <c r="K16" s="3">
        <f>IF(OR(INDEX($P$2:$P$1001,MATCH(ROWS($O$2:O16),$O$2:$O$1001,0),1)&gt;=100000,INDEX($V$1005:$AE$1005,1,MATCH(COLUMNS($V$1006:AE1006),$V$1006:$AE$1006,0))&gt;=100000), " ",IF(INDEX($V$2:$AE$1001,MATCH(ROWS($O$2:O16),$O$2:$O$1001,0),MATCH(COLUMNS($V$1006:AE1006),$V$1006:$AE$1006,0)), HYPERLINK("#",""), HYPERLINK(CONCATENATE("#Metadata!", ADDRESS(INDEX($Q$2:$Q$1001,MATCH(ROWS($O$2:O16),$O$2:$O$1001,0),0), INDEX($V$1004:$AE$1004,1,MATCH(COLUMNS($V$1006:AE1006),$V$1006:$AE$1006,0)))),"Fix")))</f>
        <v>0</v>
      </c>
      <c r="O16">
        <v>0</v>
      </c>
      <c r="P16">
        <v>0</v>
      </c>
      <c r="Q16">
        <v>0</v>
      </c>
      <c r="R16">
        <f>IF(S16,TRUE,AND(V16:AE16))</f>
        <v>0</v>
      </c>
      <c r="S16">
        <f>COUNTBLANK(Metadata!B16:K16)=COLUMNS(Metadata!B16:K16)</f>
        <v>0</v>
      </c>
      <c r="T16">
        <v>0</v>
      </c>
      <c r="V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W16">
        <f>AND(IF(Metadata!C16="",FALSE,TRUE),exact(Metadata!C16,"animal secretion"))</f>
        <v>0</v>
      </c>
      <c r="X16">
        <f>AND(IF(Metadata!D16="",FALSE,TRUE),exact(Metadata!D16,"saliva"))</f>
        <v>0</v>
      </c>
      <c r="Y16">
        <f>AND(IF(Metadata!E16="",FALSE,TRUE),exact(Metadata!E16,"human-oral"))</f>
        <v>0</v>
      </c>
      <c r="Z16">
        <f>AND(IF(Metadata!F16="",FALSE,TRUE),exact(Metadata!F16,"UBERON:oral cavity"))</f>
        <v>0</v>
      </c>
      <c r="AA16">
        <f>AND(IF(Metadata!G16="",FALSE,TRUE),exact(Metadata!G16,"UBERON:saliva"))</f>
        <v>0</v>
      </c>
      <c r="AB16">
        <f>AND(IF(Metadata!H16="",FALSE,TRUE),exact(Metadata!H16,"UBERON:tongue"))</f>
        <v>0</v>
      </c>
      <c r="AC16">
        <f>AND(IF(Metadata!I16="",FALSE,TRUE),exact(Metadata!I16,"tongue"))</f>
        <v>0</v>
      </c>
      <c r="AD16">
        <f>AND(IF(Metadata!J16="",FALSE,TRUE),exact(Metadata!J16,"human oral metagenome"))</f>
        <v>0</v>
      </c>
      <c r="AE16">
        <f>AND(IF(Metadata!K16="",FALSE,TRUE),exact(Metadata!K16,"447426"))</f>
        <v>0</v>
      </c>
    </row>
    <row r="17" spans="1:31">
      <c r="A17" s="4">
        <f>IF(B17=" "," ",HYPERLINK(CONCATENATE("#metadata!",ADDRESS(INDEX($Q$2:$Q$1001,MATCH(ROWS($O$2:O17),$O$2:$O$1001,0),0),1)),INDEX($T$2:$T$1001,MATCH(ROWS($O$2:O17),$O$2:$O$1001,0),0)))</f>
        <v>0</v>
      </c>
      <c r="B17" s="3">
        <f>IF(OR(INDEX($P$2:$P$1001,MATCH(ROWS($O$2:O17),$O$2:$O$1001,0),1)&gt;=100000,INDEX($V$1005:$AE$1005,1,MATCH(COLUMNS($V$1006:V1006),$V$1006:$AE$1006,0))&gt;=100000), " ",IF(INDEX($V$2:$AE$1001,MATCH(ROWS($O$2:O17),$O$2:$O$1001,0),MATCH(COLUMNS($V$1006:V1006),$V$1006:$AE$1006,0)), HYPERLINK("#",""), HYPERLINK(CONCATENATE("#Metadata!", ADDRESS(INDEX($Q$2:$Q$1001,MATCH(ROWS($O$2:O17),$O$2:$O$1001,0),0), INDEX($V$1004:$AE$1004,1,MATCH(COLUMNS($V$1006:V1006),$V$1006:$AE$1006,0)))),"Fix")))</f>
        <v>0</v>
      </c>
      <c r="C17" s="3">
        <f>IF(OR(INDEX($P$2:$P$1001,MATCH(ROWS($O$2:O17),$O$2:$O$1001,0),1)&gt;=100000,INDEX($V$1005:$AE$1005,1,MATCH(COLUMNS($V$1006:W1006),$V$1006:$AE$1006,0))&gt;=100000), " ",IF(INDEX($V$2:$AE$1001,MATCH(ROWS($O$2:O17),$O$2:$O$1001,0),MATCH(COLUMNS($V$1006:W1006),$V$1006:$AE$1006,0)), HYPERLINK("#",""), HYPERLINK(CONCATENATE("#Metadata!", ADDRESS(INDEX($Q$2:$Q$1001,MATCH(ROWS($O$2:O17),$O$2:$O$1001,0),0), INDEX($V$1004:$AE$1004,1,MATCH(COLUMNS($V$1006:W1006),$V$1006:$AE$1006,0)))),"Fix")))</f>
        <v>0</v>
      </c>
      <c r="D17" s="3">
        <f>IF(OR(INDEX($P$2:$P$1001,MATCH(ROWS($O$2:O17),$O$2:$O$1001,0),1)&gt;=100000,INDEX($V$1005:$AE$1005,1,MATCH(COLUMNS($V$1006:X1006),$V$1006:$AE$1006,0))&gt;=100000), " ",IF(INDEX($V$2:$AE$1001,MATCH(ROWS($O$2:O17),$O$2:$O$1001,0),MATCH(COLUMNS($V$1006:X1006),$V$1006:$AE$1006,0)), HYPERLINK("#",""), HYPERLINK(CONCATENATE("#Metadata!", ADDRESS(INDEX($Q$2:$Q$1001,MATCH(ROWS($O$2:O17),$O$2:$O$1001,0),0), INDEX($V$1004:$AE$1004,1,MATCH(COLUMNS($V$1006:X1006),$V$1006:$AE$1006,0)))),"Fix")))</f>
        <v>0</v>
      </c>
      <c r="E17" s="3">
        <f>IF(OR(INDEX($P$2:$P$1001,MATCH(ROWS($O$2:O17),$O$2:$O$1001,0),1)&gt;=100000,INDEX($V$1005:$AE$1005,1,MATCH(COLUMNS($V$1006:Y1006),$V$1006:$AE$1006,0))&gt;=100000), " ",IF(INDEX($V$2:$AE$1001,MATCH(ROWS($O$2:O17),$O$2:$O$1001,0),MATCH(COLUMNS($V$1006:Y1006),$V$1006:$AE$1006,0)), HYPERLINK("#",""), HYPERLINK(CONCATENATE("#Metadata!", ADDRESS(INDEX($Q$2:$Q$1001,MATCH(ROWS($O$2:O17),$O$2:$O$1001,0),0), INDEX($V$1004:$AE$1004,1,MATCH(COLUMNS($V$1006:Y1006),$V$1006:$AE$1006,0)))),"Fix")))</f>
        <v>0</v>
      </c>
      <c r="F17" s="3">
        <f>IF(OR(INDEX($P$2:$P$1001,MATCH(ROWS($O$2:O17),$O$2:$O$1001,0),1)&gt;=100000,INDEX($V$1005:$AE$1005,1,MATCH(COLUMNS($V$1006:Z1006),$V$1006:$AE$1006,0))&gt;=100000), " ",IF(INDEX($V$2:$AE$1001,MATCH(ROWS($O$2:O17),$O$2:$O$1001,0),MATCH(COLUMNS($V$1006:Z1006),$V$1006:$AE$1006,0)), HYPERLINK("#",""), HYPERLINK(CONCATENATE("#Metadata!", ADDRESS(INDEX($Q$2:$Q$1001,MATCH(ROWS($O$2:O17),$O$2:$O$1001,0),0), INDEX($V$1004:$AE$1004,1,MATCH(COLUMNS($V$1006:Z1006),$V$1006:$AE$1006,0)))),"Fix")))</f>
        <v>0</v>
      </c>
      <c r="G17" s="3">
        <f>IF(OR(INDEX($P$2:$P$1001,MATCH(ROWS($O$2:O17),$O$2:$O$1001,0),1)&gt;=100000,INDEX($V$1005:$AE$1005,1,MATCH(COLUMNS($V$1006:AA1006),$V$1006:$AE$1006,0))&gt;=100000), " ",IF(INDEX($V$2:$AE$1001,MATCH(ROWS($O$2:O17),$O$2:$O$1001,0),MATCH(COLUMNS($V$1006:AA1006),$V$1006:$AE$1006,0)), HYPERLINK("#",""), HYPERLINK(CONCATENATE("#Metadata!", ADDRESS(INDEX($Q$2:$Q$1001,MATCH(ROWS($O$2:O17),$O$2:$O$1001,0),0), INDEX($V$1004:$AE$1004,1,MATCH(COLUMNS($V$1006:AA1006),$V$1006:$AE$1006,0)))),"Fix")))</f>
        <v>0</v>
      </c>
      <c r="H17" s="3">
        <f>IF(OR(INDEX($P$2:$P$1001,MATCH(ROWS($O$2:O17),$O$2:$O$1001,0),1)&gt;=100000,INDEX($V$1005:$AE$1005,1,MATCH(COLUMNS($V$1006:AB1006),$V$1006:$AE$1006,0))&gt;=100000), " ",IF(INDEX($V$2:$AE$1001,MATCH(ROWS($O$2:O17),$O$2:$O$1001,0),MATCH(COLUMNS($V$1006:AB1006),$V$1006:$AE$1006,0)), HYPERLINK("#",""), HYPERLINK(CONCATENATE("#Metadata!", ADDRESS(INDEX($Q$2:$Q$1001,MATCH(ROWS($O$2:O17),$O$2:$O$1001,0),0), INDEX($V$1004:$AE$1004,1,MATCH(COLUMNS($V$1006:AB1006),$V$1006:$AE$1006,0)))),"Fix")))</f>
        <v>0</v>
      </c>
      <c r="I17" s="3">
        <f>IF(OR(INDEX($P$2:$P$1001,MATCH(ROWS($O$2:O17),$O$2:$O$1001,0),1)&gt;=100000,INDEX($V$1005:$AE$1005,1,MATCH(COLUMNS($V$1006:AC1006),$V$1006:$AE$1006,0))&gt;=100000), " ",IF(INDEX($V$2:$AE$1001,MATCH(ROWS($O$2:O17),$O$2:$O$1001,0),MATCH(COLUMNS($V$1006:AC1006),$V$1006:$AE$1006,0)), HYPERLINK("#",""), HYPERLINK(CONCATENATE("#Metadata!", ADDRESS(INDEX($Q$2:$Q$1001,MATCH(ROWS($O$2:O17),$O$2:$O$1001,0),0), INDEX($V$1004:$AE$1004,1,MATCH(COLUMNS($V$1006:AC1006),$V$1006:$AE$1006,0)))),"Fix")))</f>
        <v>0</v>
      </c>
      <c r="J17" s="3">
        <f>IF(OR(INDEX($P$2:$P$1001,MATCH(ROWS($O$2:O17),$O$2:$O$1001,0),1)&gt;=100000,INDEX($V$1005:$AE$1005,1,MATCH(COLUMNS($V$1006:AD1006),$V$1006:$AE$1006,0))&gt;=100000), " ",IF(INDEX($V$2:$AE$1001,MATCH(ROWS($O$2:O17),$O$2:$O$1001,0),MATCH(COLUMNS($V$1006:AD1006),$V$1006:$AE$1006,0)), HYPERLINK("#",""), HYPERLINK(CONCATENATE("#Metadata!", ADDRESS(INDEX($Q$2:$Q$1001,MATCH(ROWS($O$2:O17),$O$2:$O$1001,0),0), INDEX($V$1004:$AE$1004,1,MATCH(COLUMNS($V$1006:AD1006),$V$1006:$AE$1006,0)))),"Fix")))</f>
        <v>0</v>
      </c>
      <c r="K17" s="3">
        <f>IF(OR(INDEX($P$2:$P$1001,MATCH(ROWS($O$2:O17),$O$2:$O$1001,0),1)&gt;=100000,INDEX($V$1005:$AE$1005,1,MATCH(COLUMNS($V$1006:AE1006),$V$1006:$AE$1006,0))&gt;=100000), " ",IF(INDEX($V$2:$AE$1001,MATCH(ROWS($O$2:O17),$O$2:$O$1001,0),MATCH(COLUMNS($V$1006:AE1006),$V$1006:$AE$1006,0)), HYPERLINK("#",""), HYPERLINK(CONCATENATE("#Metadata!", ADDRESS(INDEX($Q$2:$Q$1001,MATCH(ROWS($O$2:O17),$O$2:$O$1001,0),0), INDEX($V$1004:$AE$1004,1,MATCH(COLUMNS($V$1006:AE1006),$V$1006:$AE$1006,0)))),"Fix")))</f>
        <v>0</v>
      </c>
      <c r="O17">
        <v>0</v>
      </c>
      <c r="P17">
        <v>0</v>
      </c>
      <c r="Q17">
        <v>0</v>
      </c>
      <c r="R17">
        <f>IF(S17,TRUE,AND(V17:AE17))</f>
        <v>0</v>
      </c>
      <c r="S17">
        <f>COUNTBLANK(Metadata!B17:K17)=COLUMNS(Metadata!B17:K17)</f>
        <v>0</v>
      </c>
      <c r="T17">
        <v>0</v>
      </c>
      <c r="V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W17">
        <f>AND(IF(Metadata!C17="",FALSE,TRUE),exact(Metadata!C17,"animal secretion"))</f>
        <v>0</v>
      </c>
      <c r="X17">
        <f>AND(IF(Metadata!D17="",FALSE,TRUE),exact(Metadata!D17,"saliva"))</f>
        <v>0</v>
      </c>
      <c r="Y17">
        <f>AND(IF(Metadata!E17="",FALSE,TRUE),exact(Metadata!E17,"human-oral"))</f>
        <v>0</v>
      </c>
      <c r="Z17">
        <f>AND(IF(Metadata!F17="",FALSE,TRUE),exact(Metadata!F17,"UBERON:oral cavity"))</f>
        <v>0</v>
      </c>
      <c r="AA17">
        <f>AND(IF(Metadata!G17="",FALSE,TRUE),exact(Metadata!G17,"UBERON:saliva"))</f>
        <v>0</v>
      </c>
      <c r="AB17">
        <f>AND(IF(Metadata!H17="",FALSE,TRUE),exact(Metadata!H17,"UBERON:tongue"))</f>
        <v>0</v>
      </c>
      <c r="AC17">
        <f>AND(IF(Metadata!I17="",FALSE,TRUE),exact(Metadata!I17,"tongue"))</f>
        <v>0</v>
      </c>
      <c r="AD17">
        <f>AND(IF(Metadata!J17="",FALSE,TRUE),exact(Metadata!J17,"human oral metagenome"))</f>
        <v>0</v>
      </c>
      <c r="AE17">
        <f>AND(IF(Metadata!K17="",FALSE,TRUE),exact(Metadata!K17,"447426"))</f>
        <v>0</v>
      </c>
    </row>
    <row r="18" spans="1:31">
      <c r="A18" s="4">
        <f>IF(B18=" "," ",HYPERLINK(CONCATENATE("#metadata!",ADDRESS(INDEX($Q$2:$Q$1001,MATCH(ROWS($O$2:O18),$O$2:$O$1001,0),0),1)),INDEX($T$2:$T$1001,MATCH(ROWS($O$2:O18),$O$2:$O$1001,0),0)))</f>
        <v>0</v>
      </c>
      <c r="B18" s="3">
        <f>IF(OR(INDEX($P$2:$P$1001,MATCH(ROWS($O$2:O18),$O$2:$O$1001,0),1)&gt;=100000,INDEX($V$1005:$AE$1005,1,MATCH(COLUMNS($V$1006:V1006),$V$1006:$AE$1006,0))&gt;=100000), " ",IF(INDEX($V$2:$AE$1001,MATCH(ROWS($O$2:O18),$O$2:$O$1001,0),MATCH(COLUMNS($V$1006:V1006),$V$1006:$AE$1006,0)), HYPERLINK("#",""), HYPERLINK(CONCATENATE("#Metadata!", ADDRESS(INDEX($Q$2:$Q$1001,MATCH(ROWS($O$2:O18),$O$2:$O$1001,0),0), INDEX($V$1004:$AE$1004,1,MATCH(COLUMNS($V$1006:V1006),$V$1006:$AE$1006,0)))),"Fix")))</f>
        <v>0</v>
      </c>
      <c r="C18" s="3">
        <f>IF(OR(INDEX($P$2:$P$1001,MATCH(ROWS($O$2:O18),$O$2:$O$1001,0),1)&gt;=100000,INDEX($V$1005:$AE$1005,1,MATCH(COLUMNS($V$1006:W1006),$V$1006:$AE$1006,0))&gt;=100000), " ",IF(INDEX($V$2:$AE$1001,MATCH(ROWS($O$2:O18),$O$2:$O$1001,0),MATCH(COLUMNS($V$1006:W1006),$V$1006:$AE$1006,0)), HYPERLINK("#",""), HYPERLINK(CONCATENATE("#Metadata!", ADDRESS(INDEX($Q$2:$Q$1001,MATCH(ROWS($O$2:O18),$O$2:$O$1001,0),0), INDEX($V$1004:$AE$1004,1,MATCH(COLUMNS($V$1006:W1006),$V$1006:$AE$1006,0)))),"Fix")))</f>
        <v>0</v>
      </c>
      <c r="D18" s="3">
        <f>IF(OR(INDEX($P$2:$P$1001,MATCH(ROWS($O$2:O18),$O$2:$O$1001,0),1)&gt;=100000,INDEX($V$1005:$AE$1005,1,MATCH(COLUMNS($V$1006:X1006),$V$1006:$AE$1006,0))&gt;=100000), " ",IF(INDEX($V$2:$AE$1001,MATCH(ROWS($O$2:O18),$O$2:$O$1001,0),MATCH(COLUMNS($V$1006:X1006),$V$1006:$AE$1006,0)), HYPERLINK("#",""), HYPERLINK(CONCATENATE("#Metadata!", ADDRESS(INDEX($Q$2:$Q$1001,MATCH(ROWS($O$2:O18),$O$2:$O$1001,0),0), INDEX($V$1004:$AE$1004,1,MATCH(COLUMNS($V$1006:X1006),$V$1006:$AE$1006,0)))),"Fix")))</f>
        <v>0</v>
      </c>
      <c r="E18" s="3">
        <f>IF(OR(INDEX($P$2:$P$1001,MATCH(ROWS($O$2:O18),$O$2:$O$1001,0),1)&gt;=100000,INDEX($V$1005:$AE$1005,1,MATCH(COLUMNS($V$1006:Y1006),$V$1006:$AE$1006,0))&gt;=100000), " ",IF(INDEX($V$2:$AE$1001,MATCH(ROWS($O$2:O18),$O$2:$O$1001,0),MATCH(COLUMNS($V$1006:Y1006),$V$1006:$AE$1006,0)), HYPERLINK("#",""), HYPERLINK(CONCATENATE("#Metadata!", ADDRESS(INDEX($Q$2:$Q$1001,MATCH(ROWS($O$2:O18),$O$2:$O$1001,0),0), INDEX($V$1004:$AE$1004,1,MATCH(COLUMNS($V$1006:Y1006),$V$1006:$AE$1006,0)))),"Fix")))</f>
        <v>0</v>
      </c>
      <c r="F18" s="3">
        <f>IF(OR(INDEX($P$2:$P$1001,MATCH(ROWS($O$2:O18),$O$2:$O$1001,0),1)&gt;=100000,INDEX($V$1005:$AE$1005,1,MATCH(COLUMNS($V$1006:Z1006),$V$1006:$AE$1006,0))&gt;=100000), " ",IF(INDEX($V$2:$AE$1001,MATCH(ROWS($O$2:O18),$O$2:$O$1001,0),MATCH(COLUMNS($V$1006:Z1006),$V$1006:$AE$1006,0)), HYPERLINK("#",""), HYPERLINK(CONCATENATE("#Metadata!", ADDRESS(INDEX($Q$2:$Q$1001,MATCH(ROWS($O$2:O18),$O$2:$O$1001,0),0), INDEX($V$1004:$AE$1004,1,MATCH(COLUMNS($V$1006:Z1006),$V$1006:$AE$1006,0)))),"Fix")))</f>
        <v>0</v>
      </c>
      <c r="G18" s="3">
        <f>IF(OR(INDEX($P$2:$P$1001,MATCH(ROWS($O$2:O18),$O$2:$O$1001,0),1)&gt;=100000,INDEX($V$1005:$AE$1005,1,MATCH(COLUMNS($V$1006:AA1006),$V$1006:$AE$1006,0))&gt;=100000), " ",IF(INDEX($V$2:$AE$1001,MATCH(ROWS($O$2:O18),$O$2:$O$1001,0),MATCH(COLUMNS($V$1006:AA1006),$V$1006:$AE$1006,0)), HYPERLINK("#",""), HYPERLINK(CONCATENATE("#Metadata!", ADDRESS(INDEX($Q$2:$Q$1001,MATCH(ROWS($O$2:O18),$O$2:$O$1001,0),0), INDEX($V$1004:$AE$1004,1,MATCH(COLUMNS($V$1006:AA1006),$V$1006:$AE$1006,0)))),"Fix")))</f>
        <v>0</v>
      </c>
      <c r="H18" s="3">
        <f>IF(OR(INDEX($P$2:$P$1001,MATCH(ROWS($O$2:O18),$O$2:$O$1001,0),1)&gt;=100000,INDEX($V$1005:$AE$1005,1,MATCH(COLUMNS($V$1006:AB1006),$V$1006:$AE$1006,0))&gt;=100000), " ",IF(INDEX($V$2:$AE$1001,MATCH(ROWS($O$2:O18),$O$2:$O$1001,0),MATCH(COLUMNS($V$1006:AB1006),$V$1006:$AE$1006,0)), HYPERLINK("#",""), HYPERLINK(CONCATENATE("#Metadata!", ADDRESS(INDEX($Q$2:$Q$1001,MATCH(ROWS($O$2:O18),$O$2:$O$1001,0),0), INDEX($V$1004:$AE$1004,1,MATCH(COLUMNS($V$1006:AB1006),$V$1006:$AE$1006,0)))),"Fix")))</f>
        <v>0</v>
      </c>
      <c r="I18" s="3">
        <f>IF(OR(INDEX($P$2:$P$1001,MATCH(ROWS($O$2:O18),$O$2:$O$1001,0),1)&gt;=100000,INDEX($V$1005:$AE$1005,1,MATCH(COLUMNS($V$1006:AC1006),$V$1006:$AE$1006,0))&gt;=100000), " ",IF(INDEX($V$2:$AE$1001,MATCH(ROWS($O$2:O18),$O$2:$O$1001,0),MATCH(COLUMNS($V$1006:AC1006),$V$1006:$AE$1006,0)), HYPERLINK("#",""), HYPERLINK(CONCATENATE("#Metadata!", ADDRESS(INDEX($Q$2:$Q$1001,MATCH(ROWS($O$2:O18),$O$2:$O$1001,0),0), INDEX($V$1004:$AE$1004,1,MATCH(COLUMNS($V$1006:AC1006),$V$1006:$AE$1006,0)))),"Fix")))</f>
        <v>0</v>
      </c>
      <c r="J18" s="3">
        <f>IF(OR(INDEX($P$2:$P$1001,MATCH(ROWS($O$2:O18),$O$2:$O$1001,0),1)&gt;=100000,INDEX($V$1005:$AE$1005,1,MATCH(COLUMNS($V$1006:AD1006),$V$1006:$AE$1006,0))&gt;=100000), " ",IF(INDEX($V$2:$AE$1001,MATCH(ROWS($O$2:O18),$O$2:$O$1001,0),MATCH(COLUMNS($V$1006:AD1006),$V$1006:$AE$1006,0)), HYPERLINK("#",""), HYPERLINK(CONCATENATE("#Metadata!", ADDRESS(INDEX($Q$2:$Q$1001,MATCH(ROWS($O$2:O18),$O$2:$O$1001,0),0), INDEX($V$1004:$AE$1004,1,MATCH(COLUMNS($V$1006:AD1006),$V$1006:$AE$1006,0)))),"Fix")))</f>
        <v>0</v>
      </c>
      <c r="K18" s="3">
        <f>IF(OR(INDEX($P$2:$P$1001,MATCH(ROWS($O$2:O18),$O$2:$O$1001,0),1)&gt;=100000,INDEX($V$1005:$AE$1005,1,MATCH(COLUMNS($V$1006:AE1006),$V$1006:$AE$1006,0))&gt;=100000), " ",IF(INDEX($V$2:$AE$1001,MATCH(ROWS($O$2:O18),$O$2:$O$1001,0),MATCH(COLUMNS($V$1006:AE1006),$V$1006:$AE$1006,0)), HYPERLINK("#",""), HYPERLINK(CONCATENATE("#Metadata!", ADDRESS(INDEX($Q$2:$Q$1001,MATCH(ROWS($O$2:O18),$O$2:$O$1001,0),0), INDEX($V$1004:$AE$1004,1,MATCH(COLUMNS($V$1006:AE1006),$V$1006:$AE$1006,0)))),"Fix")))</f>
        <v>0</v>
      </c>
      <c r="O18">
        <v>0</v>
      </c>
      <c r="P18">
        <v>0</v>
      </c>
      <c r="Q18">
        <v>0</v>
      </c>
      <c r="R18">
        <f>IF(S18,TRUE,AND(V18:AE18))</f>
        <v>0</v>
      </c>
      <c r="S18">
        <f>COUNTBLANK(Metadata!B18:K18)=COLUMNS(Metadata!B18:K18)</f>
        <v>0</v>
      </c>
      <c r="T18">
        <v>0</v>
      </c>
      <c r="V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W18">
        <f>AND(IF(Metadata!C18="",FALSE,TRUE),exact(Metadata!C18,"animal secretion"))</f>
        <v>0</v>
      </c>
      <c r="X18">
        <f>AND(IF(Metadata!D18="",FALSE,TRUE),exact(Metadata!D18,"saliva"))</f>
        <v>0</v>
      </c>
      <c r="Y18">
        <f>AND(IF(Metadata!E18="",FALSE,TRUE),exact(Metadata!E18,"human-oral"))</f>
        <v>0</v>
      </c>
      <c r="Z18">
        <f>AND(IF(Metadata!F18="",FALSE,TRUE),exact(Metadata!F18,"UBERON:oral cavity"))</f>
        <v>0</v>
      </c>
      <c r="AA18">
        <f>AND(IF(Metadata!G18="",FALSE,TRUE),exact(Metadata!G18,"UBERON:saliva"))</f>
        <v>0</v>
      </c>
      <c r="AB18">
        <f>AND(IF(Metadata!H18="",FALSE,TRUE),exact(Metadata!H18,"UBERON:tongue"))</f>
        <v>0</v>
      </c>
      <c r="AC18">
        <f>AND(IF(Metadata!I18="",FALSE,TRUE),exact(Metadata!I18,"tongue"))</f>
        <v>0</v>
      </c>
      <c r="AD18">
        <f>AND(IF(Metadata!J18="",FALSE,TRUE),exact(Metadata!J18,"human oral metagenome"))</f>
        <v>0</v>
      </c>
      <c r="AE18">
        <f>AND(IF(Metadata!K18="",FALSE,TRUE),exact(Metadata!K18,"447426"))</f>
        <v>0</v>
      </c>
    </row>
    <row r="19" spans="1:31">
      <c r="A19" s="4">
        <f>IF(B19=" "," ",HYPERLINK(CONCATENATE("#metadata!",ADDRESS(INDEX($Q$2:$Q$1001,MATCH(ROWS($O$2:O19),$O$2:$O$1001,0),0),1)),INDEX($T$2:$T$1001,MATCH(ROWS($O$2:O19),$O$2:$O$1001,0),0)))</f>
        <v>0</v>
      </c>
      <c r="B19" s="3">
        <f>IF(OR(INDEX($P$2:$P$1001,MATCH(ROWS($O$2:O19),$O$2:$O$1001,0),1)&gt;=100000,INDEX($V$1005:$AE$1005,1,MATCH(COLUMNS($V$1006:V1006),$V$1006:$AE$1006,0))&gt;=100000), " ",IF(INDEX($V$2:$AE$1001,MATCH(ROWS($O$2:O19),$O$2:$O$1001,0),MATCH(COLUMNS($V$1006:V1006),$V$1006:$AE$1006,0)), HYPERLINK("#",""), HYPERLINK(CONCATENATE("#Metadata!", ADDRESS(INDEX($Q$2:$Q$1001,MATCH(ROWS($O$2:O19),$O$2:$O$1001,0),0), INDEX($V$1004:$AE$1004,1,MATCH(COLUMNS($V$1006:V1006),$V$1006:$AE$1006,0)))),"Fix")))</f>
        <v>0</v>
      </c>
      <c r="C19" s="3">
        <f>IF(OR(INDEX($P$2:$P$1001,MATCH(ROWS($O$2:O19),$O$2:$O$1001,0),1)&gt;=100000,INDEX($V$1005:$AE$1005,1,MATCH(COLUMNS($V$1006:W1006),$V$1006:$AE$1006,0))&gt;=100000), " ",IF(INDEX($V$2:$AE$1001,MATCH(ROWS($O$2:O19),$O$2:$O$1001,0),MATCH(COLUMNS($V$1006:W1006),$V$1006:$AE$1006,0)), HYPERLINK("#",""), HYPERLINK(CONCATENATE("#Metadata!", ADDRESS(INDEX($Q$2:$Q$1001,MATCH(ROWS($O$2:O19),$O$2:$O$1001,0),0), INDEX($V$1004:$AE$1004,1,MATCH(COLUMNS($V$1006:W1006),$V$1006:$AE$1006,0)))),"Fix")))</f>
        <v>0</v>
      </c>
      <c r="D19" s="3">
        <f>IF(OR(INDEX($P$2:$P$1001,MATCH(ROWS($O$2:O19),$O$2:$O$1001,0),1)&gt;=100000,INDEX($V$1005:$AE$1005,1,MATCH(COLUMNS($V$1006:X1006),$V$1006:$AE$1006,0))&gt;=100000), " ",IF(INDEX($V$2:$AE$1001,MATCH(ROWS($O$2:O19),$O$2:$O$1001,0),MATCH(COLUMNS($V$1006:X1006),$V$1006:$AE$1006,0)), HYPERLINK("#",""), HYPERLINK(CONCATENATE("#Metadata!", ADDRESS(INDEX($Q$2:$Q$1001,MATCH(ROWS($O$2:O19),$O$2:$O$1001,0),0), INDEX($V$1004:$AE$1004,1,MATCH(COLUMNS($V$1006:X1006),$V$1006:$AE$1006,0)))),"Fix")))</f>
        <v>0</v>
      </c>
      <c r="E19" s="3">
        <f>IF(OR(INDEX($P$2:$P$1001,MATCH(ROWS($O$2:O19),$O$2:$O$1001,0),1)&gt;=100000,INDEX($V$1005:$AE$1005,1,MATCH(COLUMNS($V$1006:Y1006),$V$1006:$AE$1006,0))&gt;=100000), " ",IF(INDEX($V$2:$AE$1001,MATCH(ROWS($O$2:O19),$O$2:$O$1001,0),MATCH(COLUMNS($V$1006:Y1006),$V$1006:$AE$1006,0)), HYPERLINK("#",""), HYPERLINK(CONCATENATE("#Metadata!", ADDRESS(INDEX($Q$2:$Q$1001,MATCH(ROWS($O$2:O19),$O$2:$O$1001,0),0), INDEX($V$1004:$AE$1004,1,MATCH(COLUMNS($V$1006:Y1006),$V$1006:$AE$1006,0)))),"Fix")))</f>
        <v>0</v>
      </c>
      <c r="F19" s="3">
        <f>IF(OR(INDEX($P$2:$P$1001,MATCH(ROWS($O$2:O19),$O$2:$O$1001,0),1)&gt;=100000,INDEX($V$1005:$AE$1005,1,MATCH(COLUMNS($V$1006:Z1006),$V$1006:$AE$1006,0))&gt;=100000), " ",IF(INDEX($V$2:$AE$1001,MATCH(ROWS($O$2:O19),$O$2:$O$1001,0),MATCH(COLUMNS($V$1006:Z1006),$V$1006:$AE$1006,0)), HYPERLINK("#",""), HYPERLINK(CONCATENATE("#Metadata!", ADDRESS(INDEX($Q$2:$Q$1001,MATCH(ROWS($O$2:O19),$O$2:$O$1001,0),0), INDEX($V$1004:$AE$1004,1,MATCH(COLUMNS($V$1006:Z1006),$V$1006:$AE$1006,0)))),"Fix")))</f>
        <v>0</v>
      </c>
      <c r="G19" s="3">
        <f>IF(OR(INDEX($P$2:$P$1001,MATCH(ROWS($O$2:O19),$O$2:$O$1001,0),1)&gt;=100000,INDEX($V$1005:$AE$1005,1,MATCH(COLUMNS($V$1006:AA1006),$V$1006:$AE$1006,0))&gt;=100000), " ",IF(INDEX($V$2:$AE$1001,MATCH(ROWS($O$2:O19),$O$2:$O$1001,0),MATCH(COLUMNS($V$1006:AA1006),$V$1006:$AE$1006,0)), HYPERLINK("#",""), HYPERLINK(CONCATENATE("#Metadata!", ADDRESS(INDEX($Q$2:$Q$1001,MATCH(ROWS($O$2:O19),$O$2:$O$1001,0),0), INDEX($V$1004:$AE$1004,1,MATCH(COLUMNS($V$1006:AA1006),$V$1006:$AE$1006,0)))),"Fix")))</f>
        <v>0</v>
      </c>
      <c r="H19" s="3">
        <f>IF(OR(INDEX($P$2:$P$1001,MATCH(ROWS($O$2:O19),$O$2:$O$1001,0),1)&gt;=100000,INDEX($V$1005:$AE$1005,1,MATCH(COLUMNS($V$1006:AB1006),$V$1006:$AE$1006,0))&gt;=100000), " ",IF(INDEX($V$2:$AE$1001,MATCH(ROWS($O$2:O19),$O$2:$O$1001,0),MATCH(COLUMNS($V$1006:AB1006),$V$1006:$AE$1006,0)), HYPERLINK("#",""), HYPERLINK(CONCATENATE("#Metadata!", ADDRESS(INDEX($Q$2:$Q$1001,MATCH(ROWS($O$2:O19),$O$2:$O$1001,0),0), INDEX($V$1004:$AE$1004,1,MATCH(COLUMNS($V$1006:AB1006),$V$1006:$AE$1006,0)))),"Fix")))</f>
        <v>0</v>
      </c>
      <c r="I19" s="3">
        <f>IF(OR(INDEX($P$2:$P$1001,MATCH(ROWS($O$2:O19),$O$2:$O$1001,0),1)&gt;=100000,INDEX($V$1005:$AE$1005,1,MATCH(COLUMNS($V$1006:AC1006),$V$1006:$AE$1006,0))&gt;=100000), " ",IF(INDEX($V$2:$AE$1001,MATCH(ROWS($O$2:O19),$O$2:$O$1001,0),MATCH(COLUMNS($V$1006:AC1006),$V$1006:$AE$1006,0)), HYPERLINK("#",""), HYPERLINK(CONCATENATE("#Metadata!", ADDRESS(INDEX($Q$2:$Q$1001,MATCH(ROWS($O$2:O19),$O$2:$O$1001,0),0), INDEX($V$1004:$AE$1004,1,MATCH(COLUMNS($V$1006:AC1006),$V$1006:$AE$1006,0)))),"Fix")))</f>
        <v>0</v>
      </c>
      <c r="J19" s="3">
        <f>IF(OR(INDEX($P$2:$P$1001,MATCH(ROWS($O$2:O19),$O$2:$O$1001,0),1)&gt;=100000,INDEX($V$1005:$AE$1005,1,MATCH(COLUMNS($V$1006:AD1006),$V$1006:$AE$1006,0))&gt;=100000), " ",IF(INDEX($V$2:$AE$1001,MATCH(ROWS($O$2:O19),$O$2:$O$1001,0),MATCH(COLUMNS($V$1006:AD1006),$V$1006:$AE$1006,0)), HYPERLINK("#",""), HYPERLINK(CONCATENATE("#Metadata!", ADDRESS(INDEX($Q$2:$Q$1001,MATCH(ROWS($O$2:O19),$O$2:$O$1001,0),0), INDEX($V$1004:$AE$1004,1,MATCH(COLUMNS($V$1006:AD1006),$V$1006:$AE$1006,0)))),"Fix")))</f>
        <v>0</v>
      </c>
      <c r="K19" s="3">
        <f>IF(OR(INDEX($P$2:$P$1001,MATCH(ROWS($O$2:O19),$O$2:$O$1001,0),1)&gt;=100000,INDEX($V$1005:$AE$1005,1,MATCH(COLUMNS($V$1006:AE1006),$V$1006:$AE$1006,0))&gt;=100000), " ",IF(INDEX($V$2:$AE$1001,MATCH(ROWS($O$2:O19),$O$2:$O$1001,0),MATCH(COLUMNS($V$1006:AE1006),$V$1006:$AE$1006,0)), HYPERLINK("#",""), HYPERLINK(CONCATENATE("#Metadata!", ADDRESS(INDEX($Q$2:$Q$1001,MATCH(ROWS($O$2:O19),$O$2:$O$1001,0),0), INDEX($V$1004:$AE$1004,1,MATCH(COLUMNS($V$1006:AE1006),$V$1006:$AE$1006,0)))),"Fix")))</f>
        <v>0</v>
      </c>
      <c r="O19">
        <v>0</v>
      </c>
      <c r="P19">
        <v>0</v>
      </c>
      <c r="Q19">
        <v>0</v>
      </c>
      <c r="R19">
        <f>IF(S19,TRUE,AND(V19:AE19))</f>
        <v>0</v>
      </c>
      <c r="S19">
        <f>COUNTBLANK(Metadata!B19:K19)=COLUMNS(Metadata!B19:K19)</f>
        <v>0</v>
      </c>
      <c r="T19">
        <v>0</v>
      </c>
      <c r="V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W19">
        <f>AND(IF(Metadata!C19="",FALSE,TRUE),exact(Metadata!C19,"animal secretion"))</f>
        <v>0</v>
      </c>
      <c r="X19">
        <f>AND(IF(Metadata!D19="",FALSE,TRUE),exact(Metadata!D19,"saliva"))</f>
        <v>0</v>
      </c>
      <c r="Y19">
        <f>AND(IF(Metadata!E19="",FALSE,TRUE),exact(Metadata!E19,"human-oral"))</f>
        <v>0</v>
      </c>
      <c r="Z19">
        <f>AND(IF(Metadata!F19="",FALSE,TRUE),exact(Metadata!F19,"UBERON:oral cavity"))</f>
        <v>0</v>
      </c>
      <c r="AA19">
        <f>AND(IF(Metadata!G19="",FALSE,TRUE),exact(Metadata!G19,"UBERON:saliva"))</f>
        <v>0</v>
      </c>
      <c r="AB19">
        <f>AND(IF(Metadata!H19="",FALSE,TRUE),exact(Metadata!H19,"UBERON:tongue"))</f>
        <v>0</v>
      </c>
      <c r="AC19">
        <f>AND(IF(Metadata!I19="",FALSE,TRUE),exact(Metadata!I19,"tongue"))</f>
        <v>0</v>
      </c>
      <c r="AD19">
        <f>AND(IF(Metadata!J19="",FALSE,TRUE),exact(Metadata!J19,"human oral metagenome"))</f>
        <v>0</v>
      </c>
      <c r="AE19">
        <f>AND(IF(Metadata!K19="",FALSE,TRUE),exact(Metadata!K19,"447426"))</f>
        <v>0</v>
      </c>
    </row>
    <row r="20" spans="1:31">
      <c r="A20" s="4">
        <f>IF(B20=" "," ",HYPERLINK(CONCATENATE("#metadata!",ADDRESS(INDEX($Q$2:$Q$1001,MATCH(ROWS($O$2:O20),$O$2:$O$1001,0),0),1)),INDEX($T$2:$T$1001,MATCH(ROWS($O$2:O20),$O$2:$O$1001,0),0)))</f>
        <v>0</v>
      </c>
      <c r="B20" s="3">
        <f>IF(OR(INDEX($P$2:$P$1001,MATCH(ROWS($O$2:O20),$O$2:$O$1001,0),1)&gt;=100000,INDEX($V$1005:$AE$1005,1,MATCH(COLUMNS($V$1006:V1006),$V$1006:$AE$1006,0))&gt;=100000), " ",IF(INDEX($V$2:$AE$1001,MATCH(ROWS($O$2:O20),$O$2:$O$1001,0),MATCH(COLUMNS($V$1006:V1006),$V$1006:$AE$1006,0)), HYPERLINK("#",""), HYPERLINK(CONCATENATE("#Metadata!", ADDRESS(INDEX($Q$2:$Q$1001,MATCH(ROWS($O$2:O20),$O$2:$O$1001,0),0), INDEX($V$1004:$AE$1004,1,MATCH(COLUMNS($V$1006:V1006),$V$1006:$AE$1006,0)))),"Fix")))</f>
        <v>0</v>
      </c>
      <c r="C20" s="3">
        <f>IF(OR(INDEX($P$2:$P$1001,MATCH(ROWS($O$2:O20),$O$2:$O$1001,0),1)&gt;=100000,INDEX($V$1005:$AE$1005,1,MATCH(COLUMNS($V$1006:W1006),$V$1006:$AE$1006,0))&gt;=100000), " ",IF(INDEX($V$2:$AE$1001,MATCH(ROWS($O$2:O20),$O$2:$O$1001,0),MATCH(COLUMNS($V$1006:W1006),$V$1006:$AE$1006,0)), HYPERLINK("#",""), HYPERLINK(CONCATENATE("#Metadata!", ADDRESS(INDEX($Q$2:$Q$1001,MATCH(ROWS($O$2:O20),$O$2:$O$1001,0),0), INDEX($V$1004:$AE$1004,1,MATCH(COLUMNS($V$1006:W1006),$V$1006:$AE$1006,0)))),"Fix")))</f>
        <v>0</v>
      </c>
      <c r="D20" s="3">
        <f>IF(OR(INDEX($P$2:$P$1001,MATCH(ROWS($O$2:O20),$O$2:$O$1001,0),1)&gt;=100000,INDEX($V$1005:$AE$1005,1,MATCH(COLUMNS($V$1006:X1006),$V$1006:$AE$1006,0))&gt;=100000), " ",IF(INDEX($V$2:$AE$1001,MATCH(ROWS($O$2:O20),$O$2:$O$1001,0),MATCH(COLUMNS($V$1006:X1006),$V$1006:$AE$1006,0)), HYPERLINK("#",""), HYPERLINK(CONCATENATE("#Metadata!", ADDRESS(INDEX($Q$2:$Q$1001,MATCH(ROWS($O$2:O20),$O$2:$O$1001,0),0), INDEX($V$1004:$AE$1004,1,MATCH(COLUMNS($V$1006:X1006),$V$1006:$AE$1006,0)))),"Fix")))</f>
        <v>0</v>
      </c>
      <c r="E20" s="3">
        <f>IF(OR(INDEX($P$2:$P$1001,MATCH(ROWS($O$2:O20),$O$2:$O$1001,0),1)&gt;=100000,INDEX($V$1005:$AE$1005,1,MATCH(COLUMNS($V$1006:Y1006),$V$1006:$AE$1006,0))&gt;=100000), " ",IF(INDEX($V$2:$AE$1001,MATCH(ROWS($O$2:O20),$O$2:$O$1001,0),MATCH(COLUMNS($V$1006:Y1006),$V$1006:$AE$1006,0)), HYPERLINK("#",""), HYPERLINK(CONCATENATE("#Metadata!", ADDRESS(INDEX($Q$2:$Q$1001,MATCH(ROWS($O$2:O20),$O$2:$O$1001,0),0), INDEX($V$1004:$AE$1004,1,MATCH(COLUMNS($V$1006:Y1006),$V$1006:$AE$1006,0)))),"Fix")))</f>
        <v>0</v>
      </c>
      <c r="F20" s="3">
        <f>IF(OR(INDEX($P$2:$P$1001,MATCH(ROWS($O$2:O20),$O$2:$O$1001,0),1)&gt;=100000,INDEX($V$1005:$AE$1005,1,MATCH(COLUMNS($V$1006:Z1006),$V$1006:$AE$1006,0))&gt;=100000), " ",IF(INDEX($V$2:$AE$1001,MATCH(ROWS($O$2:O20),$O$2:$O$1001,0),MATCH(COLUMNS($V$1006:Z1006),$V$1006:$AE$1006,0)), HYPERLINK("#",""), HYPERLINK(CONCATENATE("#Metadata!", ADDRESS(INDEX($Q$2:$Q$1001,MATCH(ROWS($O$2:O20),$O$2:$O$1001,0),0), INDEX($V$1004:$AE$1004,1,MATCH(COLUMNS($V$1006:Z1006),$V$1006:$AE$1006,0)))),"Fix")))</f>
        <v>0</v>
      </c>
      <c r="G20" s="3">
        <f>IF(OR(INDEX($P$2:$P$1001,MATCH(ROWS($O$2:O20),$O$2:$O$1001,0),1)&gt;=100000,INDEX($V$1005:$AE$1005,1,MATCH(COLUMNS($V$1006:AA1006),$V$1006:$AE$1006,0))&gt;=100000), " ",IF(INDEX($V$2:$AE$1001,MATCH(ROWS($O$2:O20),$O$2:$O$1001,0),MATCH(COLUMNS($V$1006:AA1006),$V$1006:$AE$1006,0)), HYPERLINK("#",""), HYPERLINK(CONCATENATE("#Metadata!", ADDRESS(INDEX($Q$2:$Q$1001,MATCH(ROWS($O$2:O20),$O$2:$O$1001,0),0), INDEX($V$1004:$AE$1004,1,MATCH(COLUMNS($V$1006:AA1006),$V$1006:$AE$1006,0)))),"Fix")))</f>
        <v>0</v>
      </c>
      <c r="H20" s="3">
        <f>IF(OR(INDEX($P$2:$P$1001,MATCH(ROWS($O$2:O20),$O$2:$O$1001,0),1)&gt;=100000,INDEX($V$1005:$AE$1005,1,MATCH(COLUMNS($V$1006:AB1006),$V$1006:$AE$1006,0))&gt;=100000), " ",IF(INDEX($V$2:$AE$1001,MATCH(ROWS($O$2:O20),$O$2:$O$1001,0),MATCH(COLUMNS($V$1006:AB1006),$V$1006:$AE$1006,0)), HYPERLINK("#",""), HYPERLINK(CONCATENATE("#Metadata!", ADDRESS(INDEX($Q$2:$Q$1001,MATCH(ROWS($O$2:O20),$O$2:$O$1001,0),0), INDEX($V$1004:$AE$1004,1,MATCH(COLUMNS($V$1006:AB1006),$V$1006:$AE$1006,0)))),"Fix")))</f>
        <v>0</v>
      </c>
      <c r="I20" s="3">
        <f>IF(OR(INDEX($P$2:$P$1001,MATCH(ROWS($O$2:O20),$O$2:$O$1001,0),1)&gt;=100000,INDEX($V$1005:$AE$1005,1,MATCH(COLUMNS($V$1006:AC1006),$V$1006:$AE$1006,0))&gt;=100000), " ",IF(INDEX($V$2:$AE$1001,MATCH(ROWS($O$2:O20),$O$2:$O$1001,0),MATCH(COLUMNS($V$1006:AC1006),$V$1006:$AE$1006,0)), HYPERLINK("#",""), HYPERLINK(CONCATENATE("#Metadata!", ADDRESS(INDEX($Q$2:$Q$1001,MATCH(ROWS($O$2:O20),$O$2:$O$1001,0),0), INDEX($V$1004:$AE$1004,1,MATCH(COLUMNS($V$1006:AC1006),$V$1006:$AE$1006,0)))),"Fix")))</f>
        <v>0</v>
      </c>
      <c r="J20" s="3">
        <f>IF(OR(INDEX($P$2:$P$1001,MATCH(ROWS($O$2:O20),$O$2:$O$1001,0),1)&gt;=100000,INDEX($V$1005:$AE$1005,1,MATCH(COLUMNS($V$1006:AD1006),$V$1006:$AE$1006,0))&gt;=100000), " ",IF(INDEX($V$2:$AE$1001,MATCH(ROWS($O$2:O20),$O$2:$O$1001,0),MATCH(COLUMNS($V$1006:AD1006),$V$1006:$AE$1006,0)), HYPERLINK("#",""), HYPERLINK(CONCATENATE("#Metadata!", ADDRESS(INDEX($Q$2:$Q$1001,MATCH(ROWS($O$2:O20),$O$2:$O$1001,0),0), INDEX($V$1004:$AE$1004,1,MATCH(COLUMNS($V$1006:AD1006),$V$1006:$AE$1006,0)))),"Fix")))</f>
        <v>0</v>
      </c>
      <c r="K20" s="3">
        <f>IF(OR(INDEX($P$2:$P$1001,MATCH(ROWS($O$2:O20),$O$2:$O$1001,0),1)&gt;=100000,INDEX($V$1005:$AE$1005,1,MATCH(COLUMNS($V$1006:AE1006),$V$1006:$AE$1006,0))&gt;=100000), " ",IF(INDEX($V$2:$AE$1001,MATCH(ROWS($O$2:O20),$O$2:$O$1001,0),MATCH(COLUMNS($V$1006:AE1006),$V$1006:$AE$1006,0)), HYPERLINK("#",""), HYPERLINK(CONCATENATE("#Metadata!", ADDRESS(INDEX($Q$2:$Q$1001,MATCH(ROWS($O$2:O20),$O$2:$O$1001,0),0), INDEX($V$1004:$AE$1004,1,MATCH(COLUMNS($V$1006:AE1006),$V$1006:$AE$1006,0)))),"Fix")))</f>
        <v>0</v>
      </c>
      <c r="O20">
        <v>0</v>
      </c>
      <c r="P20">
        <v>0</v>
      </c>
      <c r="Q20">
        <v>0</v>
      </c>
      <c r="R20">
        <f>IF(S20,TRUE,AND(V20:AE20))</f>
        <v>0</v>
      </c>
      <c r="S20">
        <f>COUNTBLANK(Metadata!B20:K20)=COLUMNS(Metadata!B20:K20)</f>
        <v>0</v>
      </c>
      <c r="T20">
        <v>0</v>
      </c>
      <c r="V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W20">
        <f>AND(IF(Metadata!C20="",FALSE,TRUE),exact(Metadata!C20,"animal secretion"))</f>
        <v>0</v>
      </c>
      <c r="X20">
        <f>AND(IF(Metadata!D20="",FALSE,TRUE),exact(Metadata!D20,"saliva"))</f>
        <v>0</v>
      </c>
      <c r="Y20">
        <f>AND(IF(Metadata!E20="",FALSE,TRUE),exact(Metadata!E20,"human-oral"))</f>
        <v>0</v>
      </c>
      <c r="Z20">
        <f>AND(IF(Metadata!F20="",FALSE,TRUE),exact(Metadata!F20,"UBERON:oral cavity"))</f>
        <v>0</v>
      </c>
      <c r="AA20">
        <f>AND(IF(Metadata!G20="",FALSE,TRUE),exact(Metadata!G20,"UBERON:saliva"))</f>
        <v>0</v>
      </c>
      <c r="AB20">
        <f>AND(IF(Metadata!H20="",FALSE,TRUE),exact(Metadata!H20,"UBERON:tongue"))</f>
        <v>0</v>
      </c>
      <c r="AC20">
        <f>AND(IF(Metadata!I20="",FALSE,TRUE),exact(Metadata!I20,"tongue"))</f>
        <v>0</v>
      </c>
      <c r="AD20">
        <f>AND(IF(Metadata!J20="",FALSE,TRUE),exact(Metadata!J20,"human oral metagenome"))</f>
        <v>0</v>
      </c>
      <c r="AE20">
        <f>AND(IF(Metadata!K20="",FALSE,TRUE),exact(Metadata!K20,"447426"))</f>
        <v>0</v>
      </c>
    </row>
    <row r="21" spans="1:31">
      <c r="A21" s="4">
        <f>IF(B21=" "," ",HYPERLINK(CONCATENATE("#metadata!",ADDRESS(INDEX($Q$2:$Q$1001,MATCH(ROWS($O$2:O21),$O$2:$O$1001,0),0),1)),INDEX($T$2:$T$1001,MATCH(ROWS($O$2:O21),$O$2:$O$1001,0),0)))</f>
        <v>0</v>
      </c>
      <c r="B21" s="3">
        <f>IF(OR(INDEX($P$2:$P$1001,MATCH(ROWS($O$2:O21),$O$2:$O$1001,0),1)&gt;=100000,INDEX($V$1005:$AE$1005,1,MATCH(COLUMNS($V$1006:V1006),$V$1006:$AE$1006,0))&gt;=100000), " ",IF(INDEX($V$2:$AE$1001,MATCH(ROWS($O$2:O21),$O$2:$O$1001,0),MATCH(COLUMNS($V$1006:V1006),$V$1006:$AE$1006,0)), HYPERLINK("#",""), HYPERLINK(CONCATENATE("#Metadata!", ADDRESS(INDEX($Q$2:$Q$1001,MATCH(ROWS($O$2:O21),$O$2:$O$1001,0),0), INDEX($V$1004:$AE$1004,1,MATCH(COLUMNS($V$1006:V1006),$V$1006:$AE$1006,0)))),"Fix")))</f>
        <v>0</v>
      </c>
      <c r="C21" s="3">
        <f>IF(OR(INDEX($P$2:$P$1001,MATCH(ROWS($O$2:O21),$O$2:$O$1001,0),1)&gt;=100000,INDEX($V$1005:$AE$1005,1,MATCH(COLUMNS($V$1006:W1006),$V$1006:$AE$1006,0))&gt;=100000), " ",IF(INDEX($V$2:$AE$1001,MATCH(ROWS($O$2:O21),$O$2:$O$1001,0),MATCH(COLUMNS($V$1006:W1006),$V$1006:$AE$1006,0)), HYPERLINK("#",""), HYPERLINK(CONCATENATE("#Metadata!", ADDRESS(INDEX($Q$2:$Q$1001,MATCH(ROWS($O$2:O21),$O$2:$O$1001,0),0), INDEX($V$1004:$AE$1004,1,MATCH(COLUMNS($V$1006:W1006),$V$1006:$AE$1006,0)))),"Fix")))</f>
        <v>0</v>
      </c>
      <c r="D21" s="3">
        <f>IF(OR(INDEX($P$2:$P$1001,MATCH(ROWS($O$2:O21),$O$2:$O$1001,0),1)&gt;=100000,INDEX($V$1005:$AE$1005,1,MATCH(COLUMNS($V$1006:X1006),$V$1006:$AE$1006,0))&gt;=100000), " ",IF(INDEX($V$2:$AE$1001,MATCH(ROWS($O$2:O21),$O$2:$O$1001,0),MATCH(COLUMNS($V$1006:X1006),$V$1006:$AE$1006,0)), HYPERLINK("#",""), HYPERLINK(CONCATENATE("#Metadata!", ADDRESS(INDEX($Q$2:$Q$1001,MATCH(ROWS($O$2:O21),$O$2:$O$1001,0),0), INDEX($V$1004:$AE$1004,1,MATCH(COLUMNS($V$1006:X1006),$V$1006:$AE$1006,0)))),"Fix")))</f>
        <v>0</v>
      </c>
      <c r="E21" s="3">
        <f>IF(OR(INDEX($P$2:$P$1001,MATCH(ROWS($O$2:O21),$O$2:$O$1001,0),1)&gt;=100000,INDEX($V$1005:$AE$1005,1,MATCH(COLUMNS($V$1006:Y1006),$V$1006:$AE$1006,0))&gt;=100000), " ",IF(INDEX($V$2:$AE$1001,MATCH(ROWS($O$2:O21),$O$2:$O$1001,0),MATCH(COLUMNS($V$1006:Y1006),$V$1006:$AE$1006,0)), HYPERLINK("#",""), HYPERLINK(CONCATENATE("#Metadata!", ADDRESS(INDEX($Q$2:$Q$1001,MATCH(ROWS($O$2:O21),$O$2:$O$1001,0),0), INDEX($V$1004:$AE$1004,1,MATCH(COLUMNS($V$1006:Y1006),$V$1006:$AE$1006,0)))),"Fix")))</f>
        <v>0</v>
      </c>
      <c r="F21" s="3">
        <f>IF(OR(INDEX($P$2:$P$1001,MATCH(ROWS($O$2:O21),$O$2:$O$1001,0),1)&gt;=100000,INDEX($V$1005:$AE$1005,1,MATCH(COLUMNS($V$1006:Z1006),$V$1006:$AE$1006,0))&gt;=100000), " ",IF(INDEX($V$2:$AE$1001,MATCH(ROWS($O$2:O21),$O$2:$O$1001,0),MATCH(COLUMNS($V$1006:Z1006),$V$1006:$AE$1006,0)), HYPERLINK("#",""), HYPERLINK(CONCATENATE("#Metadata!", ADDRESS(INDEX($Q$2:$Q$1001,MATCH(ROWS($O$2:O21),$O$2:$O$1001,0),0), INDEX($V$1004:$AE$1004,1,MATCH(COLUMNS($V$1006:Z1006),$V$1006:$AE$1006,0)))),"Fix")))</f>
        <v>0</v>
      </c>
      <c r="G21" s="3">
        <f>IF(OR(INDEX($P$2:$P$1001,MATCH(ROWS($O$2:O21),$O$2:$O$1001,0),1)&gt;=100000,INDEX($V$1005:$AE$1005,1,MATCH(COLUMNS($V$1006:AA1006),$V$1006:$AE$1006,0))&gt;=100000), " ",IF(INDEX($V$2:$AE$1001,MATCH(ROWS($O$2:O21),$O$2:$O$1001,0),MATCH(COLUMNS($V$1006:AA1006),$V$1006:$AE$1006,0)), HYPERLINK("#",""), HYPERLINK(CONCATENATE("#Metadata!", ADDRESS(INDEX($Q$2:$Q$1001,MATCH(ROWS($O$2:O21),$O$2:$O$1001,0),0), INDEX($V$1004:$AE$1004,1,MATCH(COLUMNS($V$1006:AA1006),$V$1006:$AE$1006,0)))),"Fix")))</f>
        <v>0</v>
      </c>
      <c r="H21" s="3">
        <f>IF(OR(INDEX($P$2:$P$1001,MATCH(ROWS($O$2:O21),$O$2:$O$1001,0),1)&gt;=100000,INDEX($V$1005:$AE$1005,1,MATCH(COLUMNS($V$1006:AB1006),$V$1006:$AE$1006,0))&gt;=100000), " ",IF(INDEX($V$2:$AE$1001,MATCH(ROWS($O$2:O21),$O$2:$O$1001,0),MATCH(COLUMNS($V$1006:AB1006),$V$1006:$AE$1006,0)), HYPERLINK("#",""), HYPERLINK(CONCATENATE("#Metadata!", ADDRESS(INDEX($Q$2:$Q$1001,MATCH(ROWS($O$2:O21),$O$2:$O$1001,0),0), INDEX($V$1004:$AE$1004,1,MATCH(COLUMNS($V$1006:AB1006),$V$1006:$AE$1006,0)))),"Fix")))</f>
        <v>0</v>
      </c>
      <c r="I21" s="3">
        <f>IF(OR(INDEX($P$2:$P$1001,MATCH(ROWS($O$2:O21),$O$2:$O$1001,0),1)&gt;=100000,INDEX($V$1005:$AE$1005,1,MATCH(COLUMNS($V$1006:AC1006),$V$1006:$AE$1006,0))&gt;=100000), " ",IF(INDEX($V$2:$AE$1001,MATCH(ROWS($O$2:O21),$O$2:$O$1001,0),MATCH(COLUMNS($V$1006:AC1006),$V$1006:$AE$1006,0)), HYPERLINK("#",""), HYPERLINK(CONCATENATE("#Metadata!", ADDRESS(INDEX($Q$2:$Q$1001,MATCH(ROWS($O$2:O21),$O$2:$O$1001,0),0), INDEX($V$1004:$AE$1004,1,MATCH(COLUMNS($V$1006:AC1006),$V$1006:$AE$1006,0)))),"Fix")))</f>
        <v>0</v>
      </c>
      <c r="J21" s="3">
        <f>IF(OR(INDEX($P$2:$P$1001,MATCH(ROWS($O$2:O21),$O$2:$O$1001,0),1)&gt;=100000,INDEX($V$1005:$AE$1005,1,MATCH(COLUMNS($V$1006:AD1006),$V$1006:$AE$1006,0))&gt;=100000), " ",IF(INDEX($V$2:$AE$1001,MATCH(ROWS($O$2:O21),$O$2:$O$1001,0),MATCH(COLUMNS($V$1006:AD1006),$V$1006:$AE$1006,0)), HYPERLINK("#",""), HYPERLINK(CONCATENATE("#Metadata!", ADDRESS(INDEX($Q$2:$Q$1001,MATCH(ROWS($O$2:O21),$O$2:$O$1001,0),0), INDEX($V$1004:$AE$1004,1,MATCH(COLUMNS($V$1006:AD1006),$V$1006:$AE$1006,0)))),"Fix")))</f>
        <v>0</v>
      </c>
      <c r="K21" s="3">
        <f>IF(OR(INDEX($P$2:$P$1001,MATCH(ROWS($O$2:O21),$O$2:$O$1001,0),1)&gt;=100000,INDEX($V$1005:$AE$1005,1,MATCH(COLUMNS($V$1006:AE1006),$V$1006:$AE$1006,0))&gt;=100000), " ",IF(INDEX($V$2:$AE$1001,MATCH(ROWS($O$2:O21),$O$2:$O$1001,0),MATCH(COLUMNS($V$1006:AE1006),$V$1006:$AE$1006,0)), HYPERLINK("#",""), HYPERLINK(CONCATENATE("#Metadata!", ADDRESS(INDEX($Q$2:$Q$1001,MATCH(ROWS($O$2:O21),$O$2:$O$1001,0),0), INDEX($V$1004:$AE$1004,1,MATCH(COLUMNS($V$1006:AE1006),$V$1006:$AE$1006,0)))),"Fix")))</f>
        <v>0</v>
      </c>
      <c r="O21">
        <v>0</v>
      </c>
      <c r="P21">
        <v>0</v>
      </c>
      <c r="Q21">
        <v>0</v>
      </c>
      <c r="R21">
        <f>IF(S21,TRUE,AND(V21:AE21))</f>
        <v>0</v>
      </c>
      <c r="S21">
        <f>COUNTBLANK(Metadata!B21:K21)=COLUMNS(Metadata!B21:K21)</f>
        <v>0</v>
      </c>
      <c r="T21">
        <v>0</v>
      </c>
      <c r="V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W21">
        <f>AND(IF(Metadata!C21="",FALSE,TRUE),exact(Metadata!C21,"animal secretion"))</f>
        <v>0</v>
      </c>
      <c r="X21">
        <f>AND(IF(Metadata!D21="",FALSE,TRUE),exact(Metadata!D21,"saliva"))</f>
        <v>0</v>
      </c>
      <c r="Y21">
        <f>AND(IF(Metadata!E21="",FALSE,TRUE),exact(Metadata!E21,"human-oral"))</f>
        <v>0</v>
      </c>
      <c r="Z21">
        <f>AND(IF(Metadata!F21="",FALSE,TRUE),exact(Metadata!F21,"UBERON:oral cavity"))</f>
        <v>0</v>
      </c>
      <c r="AA21">
        <f>AND(IF(Metadata!G21="",FALSE,TRUE),exact(Metadata!G21,"UBERON:saliva"))</f>
        <v>0</v>
      </c>
      <c r="AB21">
        <f>AND(IF(Metadata!H21="",FALSE,TRUE),exact(Metadata!H21,"UBERON:tongue"))</f>
        <v>0</v>
      </c>
      <c r="AC21">
        <f>AND(IF(Metadata!I21="",FALSE,TRUE),exact(Metadata!I21,"tongue"))</f>
        <v>0</v>
      </c>
      <c r="AD21">
        <f>AND(IF(Metadata!J21="",FALSE,TRUE),exact(Metadata!J21,"human oral metagenome"))</f>
        <v>0</v>
      </c>
      <c r="AE21">
        <f>AND(IF(Metadata!K21="",FALSE,TRUE),exact(Metadata!K21,"447426"))</f>
        <v>0</v>
      </c>
    </row>
    <row r="22" spans="1:31">
      <c r="A22" s="4">
        <f>IF(B22=" "," ",HYPERLINK(CONCATENATE("#metadata!",ADDRESS(INDEX($Q$2:$Q$1001,MATCH(ROWS($O$2:O22),$O$2:$O$1001,0),0),1)),INDEX($T$2:$T$1001,MATCH(ROWS($O$2:O22),$O$2:$O$1001,0),0)))</f>
        <v>0</v>
      </c>
      <c r="B22" s="3">
        <f>IF(OR(INDEX($P$2:$P$1001,MATCH(ROWS($O$2:O22),$O$2:$O$1001,0),1)&gt;=100000,INDEX($V$1005:$AE$1005,1,MATCH(COLUMNS($V$1006:V1006),$V$1006:$AE$1006,0))&gt;=100000), " ",IF(INDEX($V$2:$AE$1001,MATCH(ROWS($O$2:O22),$O$2:$O$1001,0),MATCH(COLUMNS($V$1006:V1006),$V$1006:$AE$1006,0)), HYPERLINK("#",""), HYPERLINK(CONCATENATE("#Metadata!", ADDRESS(INDEX($Q$2:$Q$1001,MATCH(ROWS($O$2:O22),$O$2:$O$1001,0),0), INDEX($V$1004:$AE$1004,1,MATCH(COLUMNS($V$1006:V1006),$V$1006:$AE$1006,0)))),"Fix")))</f>
        <v>0</v>
      </c>
      <c r="C22" s="3">
        <f>IF(OR(INDEX($P$2:$P$1001,MATCH(ROWS($O$2:O22),$O$2:$O$1001,0),1)&gt;=100000,INDEX($V$1005:$AE$1005,1,MATCH(COLUMNS($V$1006:W1006),$V$1006:$AE$1006,0))&gt;=100000), " ",IF(INDEX($V$2:$AE$1001,MATCH(ROWS($O$2:O22),$O$2:$O$1001,0),MATCH(COLUMNS($V$1006:W1006),$V$1006:$AE$1006,0)), HYPERLINK("#",""), HYPERLINK(CONCATENATE("#Metadata!", ADDRESS(INDEX($Q$2:$Q$1001,MATCH(ROWS($O$2:O22),$O$2:$O$1001,0),0), INDEX($V$1004:$AE$1004,1,MATCH(COLUMNS($V$1006:W1006),$V$1006:$AE$1006,0)))),"Fix")))</f>
        <v>0</v>
      </c>
      <c r="D22" s="3">
        <f>IF(OR(INDEX($P$2:$P$1001,MATCH(ROWS($O$2:O22),$O$2:$O$1001,0),1)&gt;=100000,INDEX($V$1005:$AE$1005,1,MATCH(COLUMNS($V$1006:X1006),$V$1006:$AE$1006,0))&gt;=100000), " ",IF(INDEX($V$2:$AE$1001,MATCH(ROWS($O$2:O22),$O$2:$O$1001,0),MATCH(COLUMNS($V$1006:X1006),$V$1006:$AE$1006,0)), HYPERLINK("#",""), HYPERLINK(CONCATENATE("#Metadata!", ADDRESS(INDEX($Q$2:$Q$1001,MATCH(ROWS($O$2:O22),$O$2:$O$1001,0),0), INDEX($V$1004:$AE$1004,1,MATCH(COLUMNS($V$1006:X1006),$V$1006:$AE$1006,0)))),"Fix")))</f>
        <v>0</v>
      </c>
      <c r="E22" s="3">
        <f>IF(OR(INDEX($P$2:$P$1001,MATCH(ROWS($O$2:O22),$O$2:$O$1001,0),1)&gt;=100000,INDEX($V$1005:$AE$1005,1,MATCH(COLUMNS($V$1006:Y1006),$V$1006:$AE$1006,0))&gt;=100000), " ",IF(INDEX($V$2:$AE$1001,MATCH(ROWS($O$2:O22),$O$2:$O$1001,0),MATCH(COLUMNS($V$1006:Y1006),$V$1006:$AE$1006,0)), HYPERLINK("#",""), HYPERLINK(CONCATENATE("#Metadata!", ADDRESS(INDEX($Q$2:$Q$1001,MATCH(ROWS($O$2:O22),$O$2:$O$1001,0),0), INDEX($V$1004:$AE$1004,1,MATCH(COLUMNS($V$1006:Y1006),$V$1006:$AE$1006,0)))),"Fix")))</f>
        <v>0</v>
      </c>
      <c r="F22" s="3">
        <f>IF(OR(INDEX($P$2:$P$1001,MATCH(ROWS($O$2:O22),$O$2:$O$1001,0),1)&gt;=100000,INDEX($V$1005:$AE$1005,1,MATCH(COLUMNS($V$1006:Z1006),$V$1006:$AE$1006,0))&gt;=100000), " ",IF(INDEX($V$2:$AE$1001,MATCH(ROWS($O$2:O22),$O$2:$O$1001,0),MATCH(COLUMNS($V$1006:Z1006),$V$1006:$AE$1006,0)), HYPERLINK("#",""), HYPERLINK(CONCATENATE("#Metadata!", ADDRESS(INDEX($Q$2:$Q$1001,MATCH(ROWS($O$2:O22),$O$2:$O$1001,0),0), INDEX($V$1004:$AE$1004,1,MATCH(COLUMNS($V$1006:Z1006),$V$1006:$AE$1006,0)))),"Fix")))</f>
        <v>0</v>
      </c>
      <c r="G22" s="3">
        <f>IF(OR(INDEX($P$2:$P$1001,MATCH(ROWS($O$2:O22),$O$2:$O$1001,0),1)&gt;=100000,INDEX($V$1005:$AE$1005,1,MATCH(COLUMNS($V$1006:AA1006),$V$1006:$AE$1006,0))&gt;=100000), " ",IF(INDEX($V$2:$AE$1001,MATCH(ROWS($O$2:O22),$O$2:$O$1001,0),MATCH(COLUMNS($V$1006:AA1006),$V$1006:$AE$1006,0)), HYPERLINK("#",""), HYPERLINK(CONCATENATE("#Metadata!", ADDRESS(INDEX($Q$2:$Q$1001,MATCH(ROWS($O$2:O22),$O$2:$O$1001,0),0), INDEX($V$1004:$AE$1004,1,MATCH(COLUMNS($V$1006:AA1006),$V$1006:$AE$1006,0)))),"Fix")))</f>
        <v>0</v>
      </c>
      <c r="H22" s="3">
        <f>IF(OR(INDEX($P$2:$P$1001,MATCH(ROWS($O$2:O22),$O$2:$O$1001,0),1)&gt;=100000,INDEX($V$1005:$AE$1005,1,MATCH(COLUMNS($V$1006:AB1006),$V$1006:$AE$1006,0))&gt;=100000), " ",IF(INDEX($V$2:$AE$1001,MATCH(ROWS($O$2:O22),$O$2:$O$1001,0),MATCH(COLUMNS($V$1006:AB1006),$V$1006:$AE$1006,0)), HYPERLINK("#",""), HYPERLINK(CONCATENATE("#Metadata!", ADDRESS(INDEX($Q$2:$Q$1001,MATCH(ROWS($O$2:O22),$O$2:$O$1001,0),0), INDEX($V$1004:$AE$1004,1,MATCH(COLUMNS($V$1006:AB1006),$V$1006:$AE$1006,0)))),"Fix")))</f>
        <v>0</v>
      </c>
      <c r="I22" s="3">
        <f>IF(OR(INDEX($P$2:$P$1001,MATCH(ROWS($O$2:O22),$O$2:$O$1001,0),1)&gt;=100000,INDEX($V$1005:$AE$1005,1,MATCH(COLUMNS($V$1006:AC1006),$V$1006:$AE$1006,0))&gt;=100000), " ",IF(INDEX($V$2:$AE$1001,MATCH(ROWS($O$2:O22),$O$2:$O$1001,0),MATCH(COLUMNS($V$1006:AC1006),$V$1006:$AE$1006,0)), HYPERLINK("#",""), HYPERLINK(CONCATENATE("#Metadata!", ADDRESS(INDEX($Q$2:$Q$1001,MATCH(ROWS($O$2:O22),$O$2:$O$1001,0),0), INDEX($V$1004:$AE$1004,1,MATCH(COLUMNS($V$1006:AC1006),$V$1006:$AE$1006,0)))),"Fix")))</f>
        <v>0</v>
      </c>
      <c r="J22" s="3">
        <f>IF(OR(INDEX($P$2:$P$1001,MATCH(ROWS($O$2:O22),$O$2:$O$1001,0),1)&gt;=100000,INDEX($V$1005:$AE$1005,1,MATCH(COLUMNS($V$1006:AD1006),$V$1006:$AE$1006,0))&gt;=100000), " ",IF(INDEX($V$2:$AE$1001,MATCH(ROWS($O$2:O22),$O$2:$O$1001,0),MATCH(COLUMNS($V$1006:AD1006),$V$1006:$AE$1006,0)), HYPERLINK("#",""), HYPERLINK(CONCATENATE("#Metadata!", ADDRESS(INDEX($Q$2:$Q$1001,MATCH(ROWS($O$2:O22),$O$2:$O$1001,0),0), INDEX($V$1004:$AE$1004,1,MATCH(COLUMNS($V$1006:AD1006),$V$1006:$AE$1006,0)))),"Fix")))</f>
        <v>0</v>
      </c>
      <c r="K22" s="3">
        <f>IF(OR(INDEX($P$2:$P$1001,MATCH(ROWS($O$2:O22),$O$2:$O$1001,0),1)&gt;=100000,INDEX($V$1005:$AE$1005,1,MATCH(COLUMNS($V$1006:AE1006),$V$1006:$AE$1006,0))&gt;=100000), " ",IF(INDEX($V$2:$AE$1001,MATCH(ROWS($O$2:O22),$O$2:$O$1001,0),MATCH(COLUMNS($V$1006:AE1006),$V$1006:$AE$1006,0)), HYPERLINK("#",""), HYPERLINK(CONCATENATE("#Metadata!", ADDRESS(INDEX($Q$2:$Q$1001,MATCH(ROWS($O$2:O22),$O$2:$O$1001,0),0), INDEX($V$1004:$AE$1004,1,MATCH(COLUMNS($V$1006:AE1006),$V$1006:$AE$1006,0)))),"Fix")))</f>
        <v>0</v>
      </c>
      <c r="O22">
        <v>0</v>
      </c>
      <c r="P22">
        <v>0</v>
      </c>
      <c r="Q22">
        <v>0</v>
      </c>
      <c r="R22">
        <f>IF(S22,TRUE,AND(V22:AE22))</f>
        <v>0</v>
      </c>
      <c r="S22">
        <f>COUNTBLANK(Metadata!B22:K22)=COLUMNS(Metadata!B22:K22)</f>
        <v>0</v>
      </c>
      <c r="T22">
        <v>0</v>
      </c>
      <c r="V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W22">
        <f>AND(IF(Metadata!C22="",FALSE,TRUE),exact(Metadata!C22,"animal secretion"))</f>
        <v>0</v>
      </c>
      <c r="X22">
        <f>AND(IF(Metadata!D22="",FALSE,TRUE),exact(Metadata!D22,"saliva"))</f>
        <v>0</v>
      </c>
      <c r="Y22">
        <f>AND(IF(Metadata!E22="",FALSE,TRUE),exact(Metadata!E22,"human-oral"))</f>
        <v>0</v>
      </c>
      <c r="Z22">
        <f>AND(IF(Metadata!F22="",FALSE,TRUE),exact(Metadata!F22,"UBERON:oral cavity"))</f>
        <v>0</v>
      </c>
      <c r="AA22">
        <f>AND(IF(Metadata!G22="",FALSE,TRUE),exact(Metadata!G22,"UBERON:saliva"))</f>
        <v>0</v>
      </c>
      <c r="AB22">
        <f>AND(IF(Metadata!H22="",FALSE,TRUE),exact(Metadata!H22,"UBERON:tongue"))</f>
        <v>0</v>
      </c>
      <c r="AC22">
        <f>AND(IF(Metadata!I22="",FALSE,TRUE),exact(Metadata!I22,"tongue"))</f>
        <v>0</v>
      </c>
      <c r="AD22">
        <f>AND(IF(Metadata!J22="",FALSE,TRUE),exact(Metadata!J22,"human oral metagenome"))</f>
        <v>0</v>
      </c>
      <c r="AE22">
        <f>AND(IF(Metadata!K22="",FALSE,TRUE),exact(Metadata!K22,"447426"))</f>
        <v>0</v>
      </c>
    </row>
    <row r="23" spans="1:31">
      <c r="A23" s="4">
        <f>IF(B23=" "," ",HYPERLINK(CONCATENATE("#metadata!",ADDRESS(INDEX($Q$2:$Q$1001,MATCH(ROWS($O$2:O23),$O$2:$O$1001,0),0),1)),INDEX($T$2:$T$1001,MATCH(ROWS($O$2:O23),$O$2:$O$1001,0),0)))</f>
        <v>0</v>
      </c>
      <c r="B23" s="3">
        <f>IF(OR(INDEX($P$2:$P$1001,MATCH(ROWS($O$2:O23),$O$2:$O$1001,0),1)&gt;=100000,INDEX($V$1005:$AE$1005,1,MATCH(COLUMNS($V$1006:V1006),$V$1006:$AE$1006,0))&gt;=100000), " ",IF(INDEX($V$2:$AE$1001,MATCH(ROWS($O$2:O23),$O$2:$O$1001,0),MATCH(COLUMNS($V$1006:V1006),$V$1006:$AE$1006,0)), HYPERLINK("#",""), HYPERLINK(CONCATENATE("#Metadata!", ADDRESS(INDEX($Q$2:$Q$1001,MATCH(ROWS($O$2:O23),$O$2:$O$1001,0),0), INDEX($V$1004:$AE$1004,1,MATCH(COLUMNS($V$1006:V1006),$V$1006:$AE$1006,0)))),"Fix")))</f>
        <v>0</v>
      </c>
      <c r="C23" s="3">
        <f>IF(OR(INDEX($P$2:$P$1001,MATCH(ROWS($O$2:O23),$O$2:$O$1001,0),1)&gt;=100000,INDEX($V$1005:$AE$1005,1,MATCH(COLUMNS($V$1006:W1006),$V$1006:$AE$1006,0))&gt;=100000), " ",IF(INDEX($V$2:$AE$1001,MATCH(ROWS($O$2:O23),$O$2:$O$1001,0),MATCH(COLUMNS($V$1006:W1006),$V$1006:$AE$1006,0)), HYPERLINK("#",""), HYPERLINK(CONCATENATE("#Metadata!", ADDRESS(INDEX($Q$2:$Q$1001,MATCH(ROWS($O$2:O23),$O$2:$O$1001,0),0), INDEX($V$1004:$AE$1004,1,MATCH(COLUMNS($V$1006:W1006),$V$1006:$AE$1006,0)))),"Fix")))</f>
        <v>0</v>
      </c>
      <c r="D23" s="3">
        <f>IF(OR(INDEX($P$2:$P$1001,MATCH(ROWS($O$2:O23),$O$2:$O$1001,0),1)&gt;=100000,INDEX($V$1005:$AE$1005,1,MATCH(COLUMNS($V$1006:X1006),$V$1006:$AE$1006,0))&gt;=100000), " ",IF(INDEX($V$2:$AE$1001,MATCH(ROWS($O$2:O23),$O$2:$O$1001,0),MATCH(COLUMNS($V$1006:X1006),$V$1006:$AE$1006,0)), HYPERLINK("#",""), HYPERLINK(CONCATENATE("#Metadata!", ADDRESS(INDEX($Q$2:$Q$1001,MATCH(ROWS($O$2:O23),$O$2:$O$1001,0),0), INDEX($V$1004:$AE$1004,1,MATCH(COLUMNS($V$1006:X1006),$V$1006:$AE$1006,0)))),"Fix")))</f>
        <v>0</v>
      </c>
      <c r="E23" s="3">
        <f>IF(OR(INDEX($P$2:$P$1001,MATCH(ROWS($O$2:O23),$O$2:$O$1001,0),1)&gt;=100000,INDEX($V$1005:$AE$1005,1,MATCH(COLUMNS($V$1006:Y1006),$V$1006:$AE$1006,0))&gt;=100000), " ",IF(INDEX($V$2:$AE$1001,MATCH(ROWS($O$2:O23),$O$2:$O$1001,0),MATCH(COLUMNS($V$1006:Y1006),$V$1006:$AE$1006,0)), HYPERLINK("#",""), HYPERLINK(CONCATENATE("#Metadata!", ADDRESS(INDEX($Q$2:$Q$1001,MATCH(ROWS($O$2:O23),$O$2:$O$1001,0),0), INDEX($V$1004:$AE$1004,1,MATCH(COLUMNS($V$1006:Y1006),$V$1006:$AE$1006,0)))),"Fix")))</f>
        <v>0</v>
      </c>
      <c r="F23" s="3">
        <f>IF(OR(INDEX($P$2:$P$1001,MATCH(ROWS($O$2:O23),$O$2:$O$1001,0),1)&gt;=100000,INDEX($V$1005:$AE$1005,1,MATCH(COLUMNS($V$1006:Z1006),$V$1006:$AE$1006,0))&gt;=100000), " ",IF(INDEX($V$2:$AE$1001,MATCH(ROWS($O$2:O23),$O$2:$O$1001,0),MATCH(COLUMNS($V$1006:Z1006),$V$1006:$AE$1006,0)), HYPERLINK("#",""), HYPERLINK(CONCATENATE("#Metadata!", ADDRESS(INDEX($Q$2:$Q$1001,MATCH(ROWS($O$2:O23),$O$2:$O$1001,0),0), INDEX($V$1004:$AE$1004,1,MATCH(COLUMNS($V$1006:Z1006),$V$1006:$AE$1006,0)))),"Fix")))</f>
        <v>0</v>
      </c>
      <c r="G23" s="3">
        <f>IF(OR(INDEX($P$2:$P$1001,MATCH(ROWS($O$2:O23),$O$2:$O$1001,0),1)&gt;=100000,INDEX($V$1005:$AE$1005,1,MATCH(COLUMNS($V$1006:AA1006),$V$1006:$AE$1006,0))&gt;=100000), " ",IF(INDEX($V$2:$AE$1001,MATCH(ROWS($O$2:O23),$O$2:$O$1001,0),MATCH(COLUMNS($V$1006:AA1006),$V$1006:$AE$1006,0)), HYPERLINK("#",""), HYPERLINK(CONCATENATE("#Metadata!", ADDRESS(INDEX($Q$2:$Q$1001,MATCH(ROWS($O$2:O23),$O$2:$O$1001,0),0), INDEX($V$1004:$AE$1004,1,MATCH(COLUMNS($V$1006:AA1006),$V$1006:$AE$1006,0)))),"Fix")))</f>
        <v>0</v>
      </c>
      <c r="H23" s="3">
        <f>IF(OR(INDEX($P$2:$P$1001,MATCH(ROWS($O$2:O23),$O$2:$O$1001,0),1)&gt;=100000,INDEX($V$1005:$AE$1005,1,MATCH(COLUMNS($V$1006:AB1006),$V$1006:$AE$1006,0))&gt;=100000), " ",IF(INDEX($V$2:$AE$1001,MATCH(ROWS($O$2:O23),$O$2:$O$1001,0),MATCH(COLUMNS($V$1006:AB1006),$V$1006:$AE$1006,0)), HYPERLINK("#",""), HYPERLINK(CONCATENATE("#Metadata!", ADDRESS(INDEX($Q$2:$Q$1001,MATCH(ROWS($O$2:O23),$O$2:$O$1001,0),0), INDEX($V$1004:$AE$1004,1,MATCH(COLUMNS($V$1006:AB1006),$V$1006:$AE$1006,0)))),"Fix")))</f>
        <v>0</v>
      </c>
      <c r="I23" s="3">
        <f>IF(OR(INDEX($P$2:$P$1001,MATCH(ROWS($O$2:O23),$O$2:$O$1001,0),1)&gt;=100000,INDEX($V$1005:$AE$1005,1,MATCH(COLUMNS($V$1006:AC1006),$V$1006:$AE$1006,0))&gt;=100000), " ",IF(INDEX($V$2:$AE$1001,MATCH(ROWS($O$2:O23),$O$2:$O$1001,0),MATCH(COLUMNS($V$1006:AC1006),$V$1006:$AE$1006,0)), HYPERLINK("#",""), HYPERLINK(CONCATENATE("#Metadata!", ADDRESS(INDEX($Q$2:$Q$1001,MATCH(ROWS($O$2:O23),$O$2:$O$1001,0),0), INDEX($V$1004:$AE$1004,1,MATCH(COLUMNS($V$1006:AC1006),$V$1006:$AE$1006,0)))),"Fix")))</f>
        <v>0</v>
      </c>
      <c r="J23" s="3">
        <f>IF(OR(INDEX($P$2:$P$1001,MATCH(ROWS($O$2:O23),$O$2:$O$1001,0),1)&gt;=100000,INDEX($V$1005:$AE$1005,1,MATCH(COLUMNS($V$1006:AD1006),$V$1006:$AE$1006,0))&gt;=100000), " ",IF(INDEX($V$2:$AE$1001,MATCH(ROWS($O$2:O23),$O$2:$O$1001,0),MATCH(COLUMNS($V$1006:AD1006),$V$1006:$AE$1006,0)), HYPERLINK("#",""), HYPERLINK(CONCATENATE("#Metadata!", ADDRESS(INDEX($Q$2:$Q$1001,MATCH(ROWS($O$2:O23),$O$2:$O$1001,0),0), INDEX($V$1004:$AE$1004,1,MATCH(COLUMNS($V$1006:AD1006),$V$1006:$AE$1006,0)))),"Fix")))</f>
        <v>0</v>
      </c>
      <c r="K23" s="3">
        <f>IF(OR(INDEX($P$2:$P$1001,MATCH(ROWS($O$2:O23),$O$2:$O$1001,0),1)&gt;=100000,INDEX($V$1005:$AE$1005,1,MATCH(COLUMNS($V$1006:AE1006),$V$1006:$AE$1006,0))&gt;=100000), " ",IF(INDEX($V$2:$AE$1001,MATCH(ROWS($O$2:O23),$O$2:$O$1001,0),MATCH(COLUMNS($V$1006:AE1006),$V$1006:$AE$1006,0)), HYPERLINK("#",""), HYPERLINK(CONCATENATE("#Metadata!", ADDRESS(INDEX($Q$2:$Q$1001,MATCH(ROWS($O$2:O23),$O$2:$O$1001,0),0), INDEX($V$1004:$AE$1004,1,MATCH(COLUMNS($V$1006:AE1006),$V$1006:$AE$1006,0)))),"Fix")))</f>
        <v>0</v>
      </c>
      <c r="O23">
        <v>0</v>
      </c>
      <c r="P23">
        <v>0</v>
      </c>
      <c r="Q23">
        <v>0</v>
      </c>
      <c r="R23">
        <f>IF(S23,TRUE,AND(V23:AE23))</f>
        <v>0</v>
      </c>
      <c r="S23">
        <f>COUNTBLANK(Metadata!B23:K23)=COLUMNS(Metadata!B23:K23)</f>
        <v>0</v>
      </c>
      <c r="T23">
        <v>0</v>
      </c>
      <c r="V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W23">
        <f>AND(IF(Metadata!C23="",FALSE,TRUE),exact(Metadata!C23,"animal secretion"))</f>
        <v>0</v>
      </c>
      <c r="X23">
        <f>AND(IF(Metadata!D23="",FALSE,TRUE),exact(Metadata!D23,"saliva"))</f>
        <v>0</v>
      </c>
      <c r="Y23">
        <f>AND(IF(Metadata!E23="",FALSE,TRUE),exact(Metadata!E23,"human-oral"))</f>
        <v>0</v>
      </c>
      <c r="Z23">
        <f>AND(IF(Metadata!F23="",FALSE,TRUE),exact(Metadata!F23,"UBERON:oral cavity"))</f>
        <v>0</v>
      </c>
      <c r="AA23">
        <f>AND(IF(Metadata!G23="",FALSE,TRUE),exact(Metadata!G23,"UBERON:saliva"))</f>
        <v>0</v>
      </c>
      <c r="AB23">
        <f>AND(IF(Metadata!H23="",FALSE,TRUE),exact(Metadata!H23,"UBERON:tongue"))</f>
        <v>0</v>
      </c>
      <c r="AC23">
        <f>AND(IF(Metadata!I23="",FALSE,TRUE),exact(Metadata!I23,"tongue"))</f>
        <v>0</v>
      </c>
      <c r="AD23">
        <f>AND(IF(Metadata!J23="",FALSE,TRUE),exact(Metadata!J23,"human oral metagenome"))</f>
        <v>0</v>
      </c>
      <c r="AE23">
        <f>AND(IF(Metadata!K23="",FALSE,TRUE),exact(Metadata!K23,"447426"))</f>
        <v>0</v>
      </c>
    </row>
    <row r="24" spans="1:31">
      <c r="A24" s="4">
        <f>IF(B24=" "," ",HYPERLINK(CONCATENATE("#metadata!",ADDRESS(INDEX($Q$2:$Q$1001,MATCH(ROWS($O$2:O24),$O$2:$O$1001,0),0),1)),INDEX($T$2:$T$1001,MATCH(ROWS($O$2:O24),$O$2:$O$1001,0),0)))</f>
        <v>0</v>
      </c>
      <c r="B24" s="3">
        <f>IF(OR(INDEX($P$2:$P$1001,MATCH(ROWS($O$2:O24),$O$2:$O$1001,0),1)&gt;=100000,INDEX($V$1005:$AE$1005,1,MATCH(COLUMNS($V$1006:V1006),$V$1006:$AE$1006,0))&gt;=100000), " ",IF(INDEX($V$2:$AE$1001,MATCH(ROWS($O$2:O24),$O$2:$O$1001,0),MATCH(COLUMNS($V$1006:V1006),$V$1006:$AE$1006,0)), HYPERLINK("#",""), HYPERLINK(CONCATENATE("#Metadata!", ADDRESS(INDEX($Q$2:$Q$1001,MATCH(ROWS($O$2:O24),$O$2:$O$1001,0),0), INDEX($V$1004:$AE$1004,1,MATCH(COLUMNS($V$1006:V1006),$V$1006:$AE$1006,0)))),"Fix")))</f>
        <v>0</v>
      </c>
      <c r="C24" s="3">
        <f>IF(OR(INDEX($P$2:$P$1001,MATCH(ROWS($O$2:O24),$O$2:$O$1001,0),1)&gt;=100000,INDEX($V$1005:$AE$1005,1,MATCH(COLUMNS($V$1006:W1006),$V$1006:$AE$1006,0))&gt;=100000), " ",IF(INDEX($V$2:$AE$1001,MATCH(ROWS($O$2:O24),$O$2:$O$1001,0),MATCH(COLUMNS($V$1006:W1006),$V$1006:$AE$1006,0)), HYPERLINK("#",""), HYPERLINK(CONCATENATE("#Metadata!", ADDRESS(INDEX($Q$2:$Q$1001,MATCH(ROWS($O$2:O24),$O$2:$O$1001,0),0), INDEX($V$1004:$AE$1004,1,MATCH(COLUMNS($V$1006:W1006),$V$1006:$AE$1006,0)))),"Fix")))</f>
        <v>0</v>
      </c>
      <c r="D24" s="3">
        <f>IF(OR(INDEX($P$2:$P$1001,MATCH(ROWS($O$2:O24),$O$2:$O$1001,0),1)&gt;=100000,INDEX($V$1005:$AE$1005,1,MATCH(COLUMNS($V$1006:X1006),$V$1006:$AE$1006,0))&gt;=100000), " ",IF(INDEX($V$2:$AE$1001,MATCH(ROWS($O$2:O24),$O$2:$O$1001,0),MATCH(COLUMNS($V$1006:X1006),$V$1006:$AE$1006,0)), HYPERLINK("#",""), HYPERLINK(CONCATENATE("#Metadata!", ADDRESS(INDEX($Q$2:$Q$1001,MATCH(ROWS($O$2:O24),$O$2:$O$1001,0),0), INDEX($V$1004:$AE$1004,1,MATCH(COLUMNS($V$1006:X1006),$V$1006:$AE$1006,0)))),"Fix")))</f>
        <v>0</v>
      </c>
      <c r="E24" s="3">
        <f>IF(OR(INDEX($P$2:$P$1001,MATCH(ROWS($O$2:O24),$O$2:$O$1001,0),1)&gt;=100000,INDEX($V$1005:$AE$1005,1,MATCH(COLUMNS($V$1006:Y1006),$V$1006:$AE$1006,0))&gt;=100000), " ",IF(INDEX($V$2:$AE$1001,MATCH(ROWS($O$2:O24),$O$2:$O$1001,0),MATCH(COLUMNS($V$1006:Y1006),$V$1006:$AE$1006,0)), HYPERLINK("#",""), HYPERLINK(CONCATENATE("#Metadata!", ADDRESS(INDEX($Q$2:$Q$1001,MATCH(ROWS($O$2:O24),$O$2:$O$1001,0),0), INDEX($V$1004:$AE$1004,1,MATCH(COLUMNS($V$1006:Y1006),$V$1006:$AE$1006,0)))),"Fix")))</f>
        <v>0</v>
      </c>
      <c r="F24" s="3">
        <f>IF(OR(INDEX($P$2:$P$1001,MATCH(ROWS($O$2:O24),$O$2:$O$1001,0),1)&gt;=100000,INDEX($V$1005:$AE$1005,1,MATCH(COLUMNS($V$1006:Z1006),$V$1006:$AE$1006,0))&gt;=100000), " ",IF(INDEX($V$2:$AE$1001,MATCH(ROWS($O$2:O24),$O$2:$O$1001,0),MATCH(COLUMNS($V$1006:Z1006),$V$1006:$AE$1006,0)), HYPERLINK("#",""), HYPERLINK(CONCATENATE("#Metadata!", ADDRESS(INDEX($Q$2:$Q$1001,MATCH(ROWS($O$2:O24),$O$2:$O$1001,0),0), INDEX($V$1004:$AE$1004,1,MATCH(COLUMNS($V$1006:Z1006),$V$1006:$AE$1006,0)))),"Fix")))</f>
        <v>0</v>
      </c>
      <c r="G24" s="3">
        <f>IF(OR(INDEX($P$2:$P$1001,MATCH(ROWS($O$2:O24),$O$2:$O$1001,0),1)&gt;=100000,INDEX($V$1005:$AE$1005,1,MATCH(COLUMNS($V$1006:AA1006),$V$1006:$AE$1006,0))&gt;=100000), " ",IF(INDEX($V$2:$AE$1001,MATCH(ROWS($O$2:O24),$O$2:$O$1001,0),MATCH(COLUMNS($V$1006:AA1006),$V$1006:$AE$1006,0)), HYPERLINK("#",""), HYPERLINK(CONCATENATE("#Metadata!", ADDRESS(INDEX($Q$2:$Q$1001,MATCH(ROWS($O$2:O24),$O$2:$O$1001,0),0), INDEX($V$1004:$AE$1004,1,MATCH(COLUMNS($V$1006:AA1006),$V$1006:$AE$1006,0)))),"Fix")))</f>
        <v>0</v>
      </c>
      <c r="H24" s="3">
        <f>IF(OR(INDEX($P$2:$P$1001,MATCH(ROWS($O$2:O24),$O$2:$O$1001,0),1)&gt;=100000,INDEX($V$1005:$AE$1005,1,MATCH(COLUMNS($V$1006:AB1006),$V$1006:$AE$1006,0))&gt;=100000), " ",IF(INDEX($V$2:$AE$1001,MATCH(ROWS($O$2:O24),$O$2:$O$1001,0),MATCH(COLUMNS($V$1006:AB1006),$V$1006:$AE$1006,0)), HYPERLINK("#",""), HYPERLINK(CONCATENATE("#Metadata!", ADDRESS(INDEX($Q$2:$Q$1001,MATCH(ROWS($O$2:O24),$O$2:$O$1001,0),0), INDEX($V$1004:$AE$1004,1,MATCH(COLUMNS($V$1006:AB1006),$V$1006:$AE$1006,0)))),"Fix")))</f>
        <v>0</v>
      </c>
      <c r="I24" s="3">
        <f>IF(OR(INDEX($P$2:$P$1001,MATCH(ROWS($O$2:O24),$O$2:$O$1001,0),1)&gt;=100000,INDEX($V$1005:$AE$1005,1,MATCH(COLUMNS($V$1006:AC1006),$V$1006:$AE$1006,0))&gt;=100000), " ",IF(INDEX($V$2:$AE$1001,MATCH(ROWS($O$2:O24),$O$2:$O$1001,0),MATCH(COLUMNS($V$1006:AC1006),$V$1006:$AE$1006,0)), HYPERLINK("#",""), HYPERLINK(CONCATENATE("#Metadata!", ADDRESS(INDEX($Q$2:$Q$1001,MATCH(ROWS($O$2:O24),$O$2:$O$1001,0),0), INDEX($V$1004:$AE$1004,1,MATCH(COLUMNS($V$1006:AC1006),$V$1006:$AE$1006,0)))),"Fix")))</f>
        <v>0</v>
      </c>
      <c r="J24" s="3">
        <f>IF(OR(INDEX($P$2:$P$1001,MATCH(ROWS($O$2:O24),$O$2:$O$1001,0),1)&gt;=100000,INDEX($V$1005:$AE$1005,1,MATCH(COLUMNS($V$1006:AD1006),$V$1006:$AE$1006,0))&gt;=100000), " ",IF(INDEX($V$2:$AE$1001,MATCH(ROWS($O$2:O24),$O$2:$O$1001,0),MATCH(COLUMNS($V$1006:AD1006),$V$1006:$AE$1006,0)), HYPERLINK("#",""), HYPERLINK(CONCATENATE("#Metadata!", ADDRESS(INDEX($Q$2:$Q$1001,MATCH(ROWS($O$2:O24),$O$2:$O$1001,0),0), INDEX($V$1004:$AE$1004,1,MATCH(COLUMNS($V$1006:AD1006),$V$1006:$AE$1006,0)))),"Fix")))</f>
        <v>0</v>
      </c>
      <c r="K24" s="3">
        <f>IF(OR(INDEX($P$2:$P$1001,MATCH(ROWS($O$2:O24),$O$2:$O$1001,0),1)&gt;=100000,INDEX($V$1005:$AE$1005,1,MATCH(COLUMNS($V$1006:AE1006),$V$1006:$AE$1006,0))&gt;=100000), " ",IF(INDEX($V$2:$AE$1001,MATCH(ROWS($O$2:O24),$O$2:$O$1001,0),MATCH(COLUMNS($V$1006:AE1006),$V$1006:$AE$1006,0)), HYPERLINK("#",""), HYPERLINK(CONCATENATE("#Metadata!", ADDRESS(INDEX($Q$2:$Q$1001,MATCH(ROWS($O$2:O24),$O$2:$O$1001,0),0), INDEX($V$1004:$AE$1004,1,MATCH(COLUMNS($V$1006:AE1006),$V$1006:$AE$1006,0)))),"Fix")))</f>
        <v>0</v>
      </c>
      <c r="O24">
        <v>0</v>
      </c>
      <c r="P24">
        <v>0</v>
      </c>
      <c r="Q24">
        <v>0</v>
      </c>
      <c r="R24">
        <f>IF(S24,TRUE,AND(V24:AE24))</f>
        <v>0</v>
      </c>
      <c r="S24">
        <f>COUNTBLANK(Metadata!B24:K24)=COLUMNS(Metadata!B24:K24)</f>
        <v>0</v>
      </c>
      <c r="T24">
        <v>0</v>
      </c>
      <c r="V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W24">
        <f>AND(IF(Metadata!C24="",FALSE,TRUE),exact(Metadata!C24,"animal secretion"))</f>
        <v>0</v>
      </c>
      <c r="X24">
        <f>AND(IF(Metadata!D24="",FALSE,TRUE),exact(Metadata!D24,"saliva"))</f>
        <v>0</v>
      </c>
      <c r="Y24">
        <f>AND(IF(Metadata!E24="",FALSE,TRUE),exact(Metadata!E24,"human-oral"))</f>
        <v>0</v>
      </c>
      <c r="Z24">
        <f>AND(IF(Metadata!F24="",FALSE,TRUE),exact(Metadata!F24,"UBERON:oral cavity"))</f>
        <v>0</v>
      </c>
      <c r="AA24">
        <f>AND(IF(Metadata!G24="",FALSE,TRUE),exact(Metadata!G24,"UBERON:saliva"))</f>
        <v>0</v>
      </c>
      <c r="AB24">
        <f>AND(IF(Metadata!H24="",FALSE,TRUE),exact(Metadata!H24,"UBERON:tongue"))</f>
        <v>0</v>
      </c>
      <c r="AC24">
        <f>AND(IF(Metadata!I24="",FALSE,TRUE),exact(Metadata!I24,"tongue"))</f>
        <v>0</v>
      </c>
      <c r="AD24">
        <f>AND(IF(Metadata!J24="",FALSE,TRUE),exact(Metadata!J24,"human oral metagenome"))</f>
        <v>0</v>
      </c>
      <c r="AE24">
        <f>AND(IF(Metadata!K24="",FALSE,TRUE),exact(Metadata!K24,"447426"))</f>
        <v>0</v>
      </c>
    </row>
    <row r="25" spans="1:31">
      <c r="A25" s="4">
        <f>IF(B25=" "," ",HYPERLINK(CONCATENATE("#metadata!",ADDRESS(INDEX($Q$2:$Q$1001,MATCH(ROWS($O$2:O25),$O$2:$O$1001,0),0),1)),INDEX($T$2:$T$1001,MATCH(ROWS($O$2:O25),$O$2:$O$1001,0),0)))</f>
        <v>0</v>
      </c>
      <c r="B25" s="3">
        <f>IF(OR(INDEX($P$2:$P$1001,MATCH(ROWS($O$2:O25),$O$2:$O$1001,0),1)&gt;=100000,INDEX($V$1005:$AE$1005,1,MATCH(COLUMNS($V$1006:V1006),$V$1006:$AE$1006,0))&gt;=100000), " ",IF(INDEX($V$2:$AE$1001,MATCH(ROWS($O$2:O25),$O$2:$O$1001,0),MATCH(COLUMNS($V$1006:V1006),$V$1006:$AE$1006,0)), HYPERLINK("#",""), HYPERLINK(CONCATENATE("#Metadata!", ADDRESS(INDEX($Q$2:$Q$1001,MATCH(ROWS($O$2:O25),$O$2:$O$1001,0),0), INDEX($V$1004:$AE$1004,1,MATCH(COLUMNS($V$1006:V1006),$V$1006:$AE$1006,0)))),"Fix")))</f>
        <v>0</v>
      </c>
      <c r="C25" s="3">
        <f>IF(OR(INDEX($P$2:$P$1001,MATCH(ROWS($O$2:O25),$O$2:$O$1001,0),1)&gt;=100000,INDEX($V$1005:$AE$1005,1,MATCH(COLUMNS($V$1006:W1006),$V$1006:$AE$1006,0))&gt;=100000), " ",IF(INDEX($V$2:$AE$1001,MATCH(ROWS($O$2:O25),$O$2:$O$1001,0),MATCH(COLUMNS($V$1006:W1006),$V$1006:$AE$1006,0)), HYPERLINK("#",""), HYPERLINK(CONCATENATE("#Metadata!", ADDRESS(INDEX($Q$2:$Q$1001,MATCH(ROWS($O$2:O25),$O$2:$O$1001,0),0), INDEX($V$1004:$AE$1004,1,MATCH(COLUMNS($V$1006:W1006),$V$1006:$AE$1006,0)))),"Fix")))</f>
        <v>0</v>
      </c>
      <c r="D25" s="3">
        <f>IF(OR(INDEX($P$2:$P$1001,MATCH(ROWS($O$2:O25),$O$2:$O$1001,0),1)&gt;=100000,INDEX($V$1005:$AE$1005,1,MATCH(COLUMNS($V$1006:X1006),$V$1006:$AE$1006,0))&gt;=100000), " ",IF(INDEX($V$2:$AE$1001,MATCH(ROWS($O$2:O25),$O$2:$O$1001,0),MATCH(COLUMNS($V$1006:X1006),$V$1006:$AE$1006,0)), HYPERLINK("#",""), HYPERLINK(CONCATENATE("#Metadata!", ADDRESS(INDEX($Q$2:$Q$1001,MATCH(ROWS($O$2:O25),$O$2:$O$1001,0),0), INDEX($V$1004:$AE$1004,1,MATCH(COLUMNS($V$1006:X1006),$V$1006:$AE$1006,0)))),"Fix")))</f>
        <v>0</v>
      </c>
      <c r="E25" s="3">
        <f>IF(OR(INDEX($P$2:$P$1001,MATCH(ROWS($O$2:O25),$O$2:$O$1001,0),1)&gt;=100000,INDEX($V$1005:$AE$1005,1,MATCH(COLUMNS($V$1006:Y1006),$V$1006:$AE$1006,0))&gt;=100000), " ",IF(INDEX($V$2:$AE$1001,MATCH(ROWS($O$2:O25),$O$2:$O$1001,0),MATCH(COLUMNS($V$1006:Y1006),$V$1006:$AE$1006,0)), HYPERLINK("#",""), HYPERLINK(CONCATENATE("#Metadata!", ADDRESS(INDEX($Q$2:$Q$1001,MATCH(ROWS($O$2:O25),$O$2:$O$1001,0),0), INDEX($V$1004:$AE$1004,1,MATCH(COLUMNS($V$1006:Y1006),$V$1006:$AE$1006,0)))),"Fix")))</f>
        <v>0</v>
      </c>
      <c r="F25" s="3">
        <f>IF(OR(INDEX($P$2:$P$1001,MATCH(ROWS($O$2:O25),$O$2:$O$1001,0),1)&gt;=100000,INDEX($V$1005:$AE$1005,1,MATCH(COLUMNS($V$1006:Z1006),$V$1006:$AE$1006,0))&gt;=100000), " ",IF(INDEX($V$2:$AE$1001,MATCH(ROWS($O$2:O25),$O$2:$O$1001,0),MATCH(COLUMNS($V$1006:Z1006),$V$1006:$AE$1006,0)), HYPERLINK("#",""), HYPERLINK(CONCATENATE("#Metadata!", ADDRESS(INDEX($Q$2:$Q$1001,MATCH(ROWS($O$2:O25),$O$2:$O$1001,0),0), INDEX($V$1004:$AE$1004,1,MATCH(COLUMNS($V$1006:Z1006),$V$1006:$AE$1006,0)))),"Fix")))</f>
        <v>0</v>
      </c>
      <c r="G25" s="3">
        <f>IF(OR(INDEX($P$2:$P$1001,MATCH(ROWS($O$2:O25),$O$2:$O$1001,0),1)&gt;=100000,INDEX($V$1005:$AE$1005,1,MATCH(COLUMNS($V$1006:AA1006),$V$1006:$AE$1006,0))&gt;=100000), " ",IF(INDEX($V$2:$AE$1001,MATCH(ROWS($O$2:O25),$O$2:$O$1001,0),MATCH(COLUMNS($V$1006:AA1006),$V$1006:$AE$1006,0)), HYPERLINK("#",""), HYPERLINK(CONCATENATE("#Metadata!", ADDRESS(INDEX($Q$2:$Q$1001,MATCH(ROWS($O$2:O25),$O$2:$O$1001,0),0), INDEX($V$1004:$AE$1004,1,MATCH(COLUMNS($V$1006:AA1006),$V$1006:$AE$1006,0)))),"Fix")))</f>
        <v>0</v>
      </c>
      <c r="H25" s="3">
        <f>IF(OR(INDEX($P$2:$P$1001,MATCH(ROWS($O$2:O25),$O$2:$O$1001,0),1)&gt;=100000,INDEX($V$1005:$AE$1005,1,MATCH(COLUMNS($V$1006:AB1006),$V$1006:$AE$1006,0))&gt;=100000), " ",IF(INDEX($V$2:$AE$1001,MATCH(ROWS($O$2:O25),$O$2:$O$1001,0),MATCH(COLUMNS($V$1006:AB1006),$V$1006:$AE$1006,0)), HYPERLINK("#",""), HYPERLINK(CONCATENATE("#Metadata!", ADDRESS(INDEX($Q$2:$Q$1001,MATCH(ROWS($O$2:O25),$O$2:$O$1001,0),0), INDEX($V$1004:$AE$1004,1,MATCH(COLUMNS($V$1006:AB1006),$V$1006:$AE$1006,0)))),"Fix")))</f>
        <v>0</v>
      </c>
      <c r="I25" s="3">
        <f>IF(OR(INDEX($P$2:$P$1001,MATCH(ROWS($O$2:O25),$O$2:$O$1001,0),1)&gt;=100000,INDEX($V$1005:$AE$1005,1,MATCH(COLUMNS($V$1006:AC1006),$V$1006:$AE$1006,0))&gt;=100000), " ",IF(INDEX($V$2:$AE$1001,MATCH(ROWS($O$2:O25),$O$2:$O$1001,0),MATCH(COLUMNS($V$1006:AC1006),$V$1006:$AE$1006,0)), HYPERLINK("#",""), HYPERLINK(CONCATENATE("#Metadata!", ADDRESS(INDEX($Q$2:$Q$1001,MATCH(ROWS($O$2:O25),$O$2:$O$1001,0),0), INDEX($V$1004:$AE$1004,1,MATCH(COLUMNS($V$1006:AC1006),$V$1006:$AE$1006,0)))),"Fix")))</f>
        <v>0</v>
      </c>
      <c r="J25" s="3">
        <f>IF(OR(INDEX($P$2:$P$1001,MATCH(ROWS($O$2:O25),$O$2:$O$1001,0),1)&gt;=100000,INDEX($V$1005:$AE$1005,1,MATCH(COLUMNS($V$1006:AD1006),$V$1006:$AE$1006,0))&gt;=100000), " ",IF(INDEX($V$2:$AE$1001,MATCH(ROWS($O$2:O25),$O$2:$O$1001,0),MATCH(COLUMNS($V$1006:AD1006),$V$1006:$AE$1006,0)), HYPERLINK("#",""), HYPERLINK(CONCATENATE("#Metadata!", ADDRESS(INDEX($Q$2:$Q$1001,MATCH(ROWS($O$2:O25),$O$2:$O$1001,0),0), INDEX($V$1004:$AE$1004,1,MATCH(COLUMNS($V$1006:AD1006),$V$1006:$AE$1006,0)))),"Fix")))</f>
        <v>0</v>
      </c>
      <c r="K25" s="3">
        <f>IF(OR(INDEX($P$2:$P$1001,MATCH(ROWS($O$2:O25),$O$2:$O$1001,0),1)&gt;=100000,INDEX($V$1005:$AE$1005,1,MATCH(COLUMNS($V$1006:AE1006),$V$1006:$AE$1006,0))&gt;=100000), " ",IF(INDEX($V$2:$AE$1001,MATCH(ROWS($O$2:O25),$O$2:$O$1001,0),MATCH(COLUMNS($V$1006:AE1006),$V$1006:$AE$1006,0)), HYPERLINK("#",""), HYPERLINK(CONCATENATE("#Metadata!", ADDRESS(INDEX($Q$2:$Q$1001,MATCH(ROWS($O$2:O25),$O$2:$O$1001,0),0), INDEX($V$1004:$AE$1004,1,MATCH(COLUMNS($V$1006:AE1006),$V$1006:$AE$1006,0)))),"Fix")))</f>
        <v>0</v>
      </c>
      <c r="O25">
        <v>0</v>
      </c>
      <c r="P25">
        <v>0</v>
      </c>
      <c r="Q25">
        <v>0</v>
      </c>
      <c r="R25">
        <f>IF(S25,TRUE,AND(V25:AE25))</f>
        <v>0</v>
      </c>
      <c r="S25">
        <f>COUNTBLANK(Metadata!B25:K25)=COLUMNS(Metadata!B25:K25)</f>
        <v>0</v>
      </c>
      <c r="T25">
        <v>0</v>
      </c>
      <c r="V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W25">
        <f>AND(IF(Metadata!C25="",FALSE,TRUE),exact(Metadata!C25,"animal secretion"))</f>
        <v>0</v>
      </c>
      <c r="X25">
        <f>AND(IF(Metadata!D25="",FALSE,TRUE),exact(Metadata!D25,"saliva"))</f>
        <v>0</v>
      </c>
      <c r="Y25">
        <f>AND(IF(Metadata!E25="",FALSE,TRUE),exact(Metadata!E25,"human-oral"))</f>
        <v>0</v>
      </c>
      <c r="Z25">
        <f>AND(IF(Metadata!F25="",FALSE,TRUE),exact(Metadata!F25,"UBERON:oral cavity"))</f>
        <v>0</v>
      </c>
      <c r="AA25">
        <f>AND(IF(Metadata!G25="",FALSE,TRUE),exact(Metadata!G25,"UBERON:saliva"))</f>
        <v>0</v>
      </c>
      <c r="AB25">
        <f>AND(IF(Metadata!H25="",FALSE,TRUE),exact(Metadata!H25,"UBERON:tongue"))</f>
        <v>0</v>
      </c>
      <c r="AC25">
        <f>AND(IF(Metadata!I25="",FALSE,TRUE),exact(Metadata!I25,"tongue"))</f>
        <v>0</v>
      </c>
      <c r="AD25">
        <f>AND(IF(Metadata!J25="",FALSE,TRUE),exact(Metadata!J25,"human oral metagenome"))</f>
        <v>0</v>
      </c>
      <c r="AE25">
        <f>AND(IF(Metadata!K25="",FALSE,TRUE),exact(Metadata!K25,"447426"))</f>
        <v>0</v>
      </c>
    </row>
    <row r="26" spans="1:31">
      <c r="A26" s="4">
        <f>IF(B26=" "," ",HYPERLINK(CONCATENATE("#metadata!",ADDRESS(INDEX($Q$2:$Q$1001,MATCH(ROWS($O$2:O26),$O$2:$O$1001,0),0),1)),INDEX($T$2:$T$1001,MATCH(ROWS($O$2:O26),$O$2:$O$1001,0),0)))</f>
        <v>0</v>
      </c>
      <c r="B26" s="3">
        <f>IF(OR(INDEX($P$2:$P$1001,MATCH(ROWS($O$2:O26),$O$2:$O$1001,0),1)&gt;=100000,INDEX($V$1005:$AE$1005,1,MATCH(COLUMNS($V$1006:V1006),$V$1006:$AE$1006,0))&gt;=100000), " ",IF(INDEX($V$2:$AE$1001,MATCH(ROWS($O$2:O26),$O$2:$O$1001,0),MATCH(COLUMNS($V$1006:V1006),$V$1006:$AE$1006,0)), HYPERLINK("#",""), HYPERLINK(CONCATENATE("#Metadata!", ADDRESS(INDEX($Q$2:$Q$1001,MATCH(ROWS($O$2:O26),$O$2:$O$1001,0),0), INDEX($V$1004:$AE$1004,1,MATCH(COLUMNS($V$1006:V1006),$V$1006:$AE$1006,0)))),"Fix")))</f>
        <v>0</v>
      </c>
      <c r="C26" s="3">
        <f>IF(OR(INDEX($P$2:$P$1001,MATCH(ROWS($O$2:O26),$O$2:$O$1001,0),1)&gt;=100000,INDEX($V$1005:$AE$1005,1,MATCH(COLUMNS($V$1006:W1006),$V$1006:$AE$1006,0))&gt;=100000), " ",IF(INDEX($V$2:$AE$1001,MATCH(ROWS($O$2:O26),$O$2:$O$1001,0),MATCH(COLUMNS($V$1006:W1006),$V$1006:$AE$1006,0)), HYPERLINK("#",""), HYPERLINK(CONCATENATE("#Metadata!", ADDRESS(INDEX($Q$2:$Q$1001,MATCH(ROWS($O$2:O26),$O$2:$O$1001,0),0), INDEX($V$1004:$AE$1004,1,MATCH(COLUMNS($V$1006:W1006),$V$1006:$AE$1006,0)))),"Fix")))</f>
        <v>0</v>
      </c>
      <c r="D26" s="3">
        <f>IF(OR(INDEX($P$2:$P$1001,MATCH(ROWS($O$2:O26),$O$2:$O$1001,0),1)&gt;=100000,INDEX($V$1005:$AE$1005,1,MATCH(COLUMNS($V$1006:X1006),$V$1006:$AE$1006,0))&gt;=100000), " ",IF(INDEX($V$2:$AE$1001,MATCH(ROWS($O$2:O26),$O$2:$O$1001,0),MATCH(COLUMNS($V$1006:X1006),$V$1006:$AE$1006,0)), HYPERLINK("#",""), HYPERLINK(CONCATENATE("#Metadata!", ADDRESS(INDEX($Q$2:$Q$1001,MATCH(ROWS($O$2:O26),$O$2:$O$1001,0),0), INDEX($V$1004:$AE$1004,1,MATCH(COLUMNS($V$1006:X1006),$V$1006:$AE$1006,0)))),"Fix")))</f>
        <v>0</v>
      </c>
      <c r="E26" s="3">
        <f>IF(OR(INDEX($P$2:$P$1001,MATCH(ROWS($O$2:O26),$O$2:$O$1001,0),1)&gt;=100000,INDEX($V$1005:$AE$1005,1,MATCH(COLUMNS($V$1006:Y1006),$V$1006:$AE$1006,0))&gt;=100000), " ",IF(INDEX($V$2:$AE$1001,MATCH(ROWS($O$2:O26),$O$2:$O$1001,0),MATCH(COLUMNS($V$1006:Y1006),$V$1006:$AE$1006,0)), HYPERLINK("#",""), HYPERLINK(CONCATENATE("#Metadata!", ADDRESS(INDEX($Q$2:$Q$1001,MATCH(ROWS($O$2:O26),$O$2:$O$1001,0),0), INDEX($V$1004:$AE$1004,1,MATCH(COLUMNS($V$1006:Y1006),$V$1006:$AE$1006,0)))),"Fix")))</f>
        <v>0</v>
      </c>
      <c r="F26" s="3">
        <f>IF(OR(INDEX($P$2:$P$1001,MATCH(ROWS($O$2:O26),$O$2:$O$1001,0),1)&gt;=100000,INDEX($V$1005:$AE$1005,1,MATCH(COLUMNS($V$1006:Z1006),$V$1006:$AE$1006,0))&gt;=100000), " ",IF(INDEX($V$2:$AE$1001,MATCH(ROWS($O$2:O26),$O$2:$O$1001,0),MATCH(COLUMNS($V$1006:Z1006),$V$1006:$AE$1006,0)), HYPERLINK("#",""), HYPERLINK(CONCATENATE("#Metadata!", ADDRESS(INDEX($Q$2:$Q$1001,MATCH(ROWS($O$2:O26),$O$2:$O$1001,0),0), INDEX($V$1004:$AE$1004,1,MATCH(COLUMNS($V$1006:Z1006),$V$1006:$AE$1006,0)))),"Fix")))</f>
        <v>0</v>
      </c>
      <c r="G26" s="3">
        <f>IF(OR(INDEX($P$2:$P$1001,MATCH(ROWS($O$2:O26),$O$2:$O$1001,0),1)&gt;=100000,INDEX($V$1005:$AE$1005,1,MATCH(COLUMNS($V$1006:AA1006),$V$1006:$AE$1006,0))&gt;=100000), " ",IF(INDEX($V$2:$AE$1001,MATCH(ROWS($O$2:O26),$O$2:$O$1001,0),MATCH(COLUMNS($V$1006:AA1006),$V$1006:$AE$1006,0)), HYPERLINK("#",""), HYPERLINK(CONCATENATE("#Metadata!", ADDRESS(INDEX($Q$2:$Q$1001,MATCH(ROWS($O$2:O26),$O$2:$O$1001,0),0), INDEX($V$1004:$AE$1004,1,MATCH(COLUMNS($V$1006:AA1006),$V$1006:$AE$1006,0)))),"Fix")))</f>
        <v>0</v>
      </c>
      <c r="H26" s="3">
        <f>IF(OR(INDEX($P$2:$P$1001,MATCH(ROWS($O$2:O26),$O$2:$O$1001,0),1)&gt;=100000,INDEX($V$1005:$AE$1005,1,MATCH(COLUMNS($V$1006:AB1006),$V$1006:$AE$1006,0))&gt;=100000), " ",IF(INDEX($V$2:$AE$1001,MATCH(ROWS($O$2:O26),$O$2:$O$1001,0),MATCH(COLUMNS($V$1006:AB1006),$V$1006:$AE$1006,0)), HYPERLINK("#",""), HYPERLINK(CONCATENATE("#Metadata!", ADDRESS(INDEX($Q$2:$Q$1001,MATCH(ROWS($O$2:O26),$O$2:$O$1001,0),0), INDEX($V$1004:$AE$1004,1,MATCH(COLUMNS($V$1006:AB1006),$V$1006:$AE$1006,0)))),"Fix")))</f>
        <v>0</v>
      </c>
      <c r="I26" s="3">
        <f>IF(OR(INDEX($P$2:$P$1001,MATCH(ROWS($O$2:O26),$O$2:$O$1001,0),1)&gt;=100000,INDEX($V$1005:$AE$1005,1,MATCH(COLUMNS($V$1006:AC1006),$V$1006:$AE$1006,0))&gt;=100000), " ",IF(INDEX($V$2:$AE$1001,MATCH(ROWS($O$2:O26),$O$2:$O$1001,0),MATCH(COLUMNS($V$1006:AC1006),$V$1006:$AE$1006,0)), HYPERLINK("#",""), HYPERLINK(CONCATENATE("#Metadata!", ADDRESS(INDEX($Q$2:$Q$1001,MATCH(ROWS($O$2:O26),$O$2:$O$1001,0),0), INDEX($V$1004:$AE$1004,1,MATCH(COLUMNS($V$1006:AC1006),$V$1006:$AE$1006,0)))),"Fix")))</f>
        <v>0</v>
      </c>
      <c r="J26" s="3">
        <f>IF(OR(INDEX($P$2:$P$1001,MATCH(ROWS($O$2:O26),$O$2:$O$1001,0),1)&gt;=100000,INDEX($V$1005:$AE$1005,1,MATCH(COLUMNS($V$1006:AD1006),$V$1006:$AE$1006,0))&gt;=100000), " ",IF(INDEX($V$2:$AE$1001,MATCH(ROWS($O$2:O26),$O$2:$O$1001,0),MATCH(COLUMNS($V$1006:AD1006),$V$1006:$AE$1006,0)), HYPERLINK("#",""), HYPERLINK(CONCATENATE("#Metadata!", ADDRESS(INDEX($Q$2:$Q$1001,MATCH(ROWS($O$2:O26),$O$2:$O$1001,0),0), INDEX($V$1004:$AE$1004,1,MATCH(COLUMNS($V$1006:AD1006),$V$1006:$AE$1006,0)))),"Fix")))</f>
        <v>0</v>
      </c>
      <c r="K26" s="3">
        <f>IF(OR(INDEX($P$2:$P$1001,MATCH(ROWS($O$2:O26),$O$2:$O$1001,0),1)&gt;=100000,INDEX($V$1005:$AE$1005,1,MATCH(COLUMNS($V$1006:AE1006),$V$1006:$AE$1006,0))&gt;=100000), " ",IF(INDEX($V$2:$AE$1001,MATCH(ROWS($O$2:O26),$O$2:$O$1001,0),MATCH(COLUMNS($V$1006:AE1006),$V$1006:$AE$1006,0)), HYPERLINK("#",""), HYPERLINK(CONCATENATE("#Metadata!", ADDRESS(INDEX($Q$2:$Q$1001,MATCH(ROWS($O$2:O26),$O$2:$O$1001,0),0), INDEX($V$1004:$AE$1004,1,MATCH(COLUMNS($V$1006:AE1006),$V$1006:$AE$1006,0)))),"Fix")))</f>
        <v>0</v>
      </c>
      <c r="O26">
        <v>0</v>
      </c>
      <c r="P26">
        <v>0</v>
      </c>
      <c r="Q26">
        <v>0</v>
      </c>
      <c r="R26">
        <f>IF(S26,TRUE,AND(V26:AE26))</f>
        <v>0</v>
      </c>
      <c r="S26">
        <f>COUNTBLANK(Metadata!B26:K26)=COLUMNS(Metadata!B26:K26)</f>
        <v>0</v>
      </c>
      <c r="T26">
        <v>0</v>
      </c>
      <c r="V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W26">
        <f>AND(IF(Metadata!C26="",FALSE,TRUE),exact(Metadata!C26,"animal secretion"))</f>
        <v>0</v>
      </c>
      <c r="X26">
        <f>AND(IF(Metadata!D26="",FALSE,TRUE),exact(Metadata!D26,"saliva"))</f>
        <v>0</v>
      </c>
      <c r="Y26">
        <f>AND(IF(Metadata!E26="",FALSE,TRUE),exact(Metadata!E26,"human-oral"))</f>
        <v>0</v>
      </c>
      <c r="Z26">
        <f>AND(IF(Metadata!F26="",FALSE,TRUE),exact(Metadata!F26,"UBERON:oral cavity"))</f>
        <v>0</v>
      </c>
      <c r="AA26">
        <f>AND(IF(Metadata!G26="",FALSE,TRUE),exact(Metadata!G26,"UBERON:saliva"))</f>
        <v>0</v>
      </c>
      <c r="AB26">
        <f>AND(IF(Metadata!H26="",FALSE,TRUE),exact(Metadata!H26,"UBERON:tongue"))</f>
        <v>0</v>
      </c>
      <c r="AC26">
        <f>AND(IF(Metadata!I26="",FALSE,TRUE),exact(Metadata!I26,"tongue"))</f>
        <v>0</v>
      </c>
      <c r="AD26">
        <f>AND(IF(Metadata!J26="",FALSE,TRUE),exact(Metadata!J26,"human oral metagenome"))</f>
        <v>0</v>
      </c>
      <c r="AE26">
        <f>AND(IF(Metadata!K26="",FALSE,TRUE),exact(Metadata!K26,"447426"))</f>
        <v>0</v>
      </c>
    </row>
    <row r="27" spans="1:31">
      <c r="A27" s="4">
        <f>IF(B27=" "," ",HYPERLINK(CONCATENATE("#metadata!",ADDRESS(INDEX($Q$2:$Q$1001,MATCH(ROWS($O$2:O27),$O$2:$O$1001,0),0),1)),INDEX($T$2:$T$1001,MATCH(ROWS($O$2:O27),$O$2:$O$1001,0),0)))</f>
        <v>0</v>
      </c>
      <c r="B27" s="3">
        <f>IF(OR(INDEX($P$2:$P$1001,MATCH(ROWS($O$2:O27),$O$2:$O$1001,0),1)&gt;=100000,INDEX($V$1005:$AE$1005,1,MATCH(COLUMNS($V$1006:V1006),$V$1006:$AE$1006,0))&gt;=100000), " ",IF(INDEX($V$2:$AE$1001,MATCH(ROWS($O$2:O27),$O$2:$O$1001,0),MATCH(COLUMNS($V$1006:V1006),$V$1006:$AE$1006,0)), HYPERLINK("#",""), HYPERLINK(CONCATENATE("#Metadata!", ADDRESS(INDEX($Q$2:$Q$1001,MATCH(ROWS($O$2:O27),$O$2:$O$1001,0),0), INDEX($V$1004:$AE$1004,1,MATCH(COLUMNS($V$1006:V1006),$V$1006:$AE$1006,0)))),"Fix")))</f>
        <v>0</v>
      </c>
      <c r="C27" s="3">
        <f>IF(OR(INDEX($P$2:$P$1001,MATCH(ROWS($O$2:O27),$O$2:$O$1001,0),1)&gt;=100000,INDEX($V$1005:$AE$1005,1,MATCH(COLUMNS($V$1006:W1006),$V$1006:$AE$1006,0))&gt;=100000), " ",IF(INDEX($V$2:$AE$1001,MATCH(ROWS($O$2:O27),$O$2:$O$1001,0),MATCH(COLUMNS($V$1006:W1006),$V$1006:$AE$1006,0)), HYPERLINK("#",""), HYPERLINK(CONCATENATE("#Metadata!", ADDRESS(INDEX($Q$2:$Q$1001,MATCH(ROWS($O$2:O27),$O$2:$O$1001,0),0), INDEX($V$1004:$AE$1004,1,MATCH(COLUMNS($V$1006:W1006),$V$1006:$AE$1006,0)))),"Fix")))</f>
        <v>0</v>
      </c>
      <c r="D27" s="3">
        <f>IF(OR(INDEX($P$2:$P$1001,MATCH(ROWS($O$2:O27),$O$2:$O$1001,0),1)&gt;=100000,INDEX($V$1005:$AE$1005,1,MATCH(COLUMNS($V$1006:X1006),$V$1006:$AE$1006,0))&gt;=100000), " ",IF(INDEX($V$2:$AE$1001,MATCH(ROWS($O$2:O27),$O$2:$O$1001,0),MATCH(COLUMNS($V$1006:X1006),$V$1006:$AE$1006,0)), HYPERLINK("#",""), HYPERLINK(CONCATENATE("#Metadata!", ADDRESS(INDEX($Q$2:$Q$1001,MATCH(ROWS($O$2:O27),$O$2:$O$1001,0),0), INDEX($V$1004:$AE$1004,1,MATCH(COLUMNS($V$1006:X1006),$V$1006:$AE$1006,0)))),"Fix")))</f>
        <v>0</v>
      </c>
      <c r="E27" s="3">
        <f>IF(OR(INDEX($P$2:$P$1001,MATCH(ROWS($O$2:O27),$O$2:$O$1001,0),1)&gt;=100000,INDEX($V$1005:$AE$1005,1,MATCH(COLUMNS($V$1006:Y1006),$V$1006:$AE$1006,0))&gt;=100000), " ",IF(INDEX($V$2:$AE$1001,MATCH(ROWS($O$2:O27),$O$2:$O$1001,0),MATCH(COLUMNS($V$1006:Y1006),$V$1006:$AE$1006,0)), HYPERLINK("#",""), HYPERLINK(CONCATENATE("#Metadata!", ADDRESS(INDEX($Q$2:$Q$1001,MATCH(ROWS($O$2:O27),$O$2:$O$1001,0),0), INDEX($V$1004:$AE$1004,1,MATCH(COLUMNS($V$1006:Y1006),$V$1006:$AE$1006,0)))),"Fix")))</f>
        <v>0</v>
      </c>
      <c r="F27" s="3">
        <f>IF(OR(INDEX($P$2:$P$1001,MATCH(ROWS($O$2:O27),$O$2:$O$1001,0),1)&gt;=100000,INDEX($V$1005:$AE$1005,1,MATCH(COLUMNS($V$1006:Z1006),$V$1006:$AE$1006,0))&gt;=100000), " ",IF(INDEX($V$2:$AE$1001,MATCH(ROWS($O$2:O27),$O$2:$O$1001,0),MATCH(COLUMNS($V$1006:Z1006),$V$1006:$AE$1006,0)), HYPERLINK("#",""), HYPERLINK(CONCATENATE("#Metadata!", ADDRESS(INDEX($Q$2:$Q$1001,MATCH(ROWS($O$2:O27),$O$2:$O$1001,0),0), INDEX($V$1004:$AE$1004,1,MATCH(COLUMNS($V$1006:Z1006),$V$1006:$AE$1006,0)))),"Fix")))</f>
        <v>0</v>
      </c>
      <c r="G27" s="3">
        <f>IF(OR(INDEX($P$2:$P$1001,MATCH(ROWS($O$2:O27),$O$2:$O$1001,0),1)&gt;=100000,INDEX($V$1005:$AE$1005,1,MATCH(COLUMNS($V$1006:AA1006),$V$1006:$AE$1006,0))&gt;=100000), " ",IF(INDEX($V$2:$AE$1001,MATCH(ROWS($O$2:O27),$O$2:$O$1001,0),MATCH(COLUMNS($V$1006:AA1006),$V$1006:$AE$1006,0)), HYPERLINK("#",""), HYPERLINK(CONCATENATE("#Metadata!", ADDRESS(INDEX($Q$2:$Q$1001,MATCH(ROWS($O$2:O27),$O$2:$O$1001,0),0), INDEX($V$1004:$AE$1004,1,MATCH(COLUMNS($V$1006:AA1006),$V$1006:$AE$1006,0)))),"Fix")))</f>
        <v>0</v>
      </c>
      <c r="H27" s="3">
        <f>IF(OR(INDEX($P$2:$P$1001,MATCH(ROWS($O$2:O27),$O$2:$O$1001,0),1)&gt;=100000,INDEX($V$1005:$AE$1005,1,MATCH(COLUMNS($V$1006:AB1006),$V$1006:$AE$1006,0))&gt;=100000), " ",IF(INDEX($V$2:$AE$1001,MATCH(ROWS($O$2:O27),$O$2:$O$1001,0),MATCH(COLUMNS($V$1006:AB1006),$V$1006:$AE$1006,0)), HYPERLINK("#",""), HYPERLINK(CONCATENATE("#Metadata!", ADDRESS(INDEX($Q$2:$Q$1001,MATCH(ROWS($O$2:O27),$O$2:$O$1001,0),0), INDEX($V$1004:$AE$1004,1,MATCH(COLUMNS($V$1006:AB1006),$V$1006:$AE$1006,0)))),"Fix")))</f>
        <v>0</v>
      </c>
      <c r="I27" s="3">
        <f>IF(OR(INDEX($P$2:$P$1001,MATCH(ROWS($O$2:O27),$O$2:$O$1001,0),1)&gt;=100000,INDEX($V$1005:$AE$1005,1,MATCH(COLUMNS($V$1006:AC1006),$V$1006:$AE$1006,0))&gt;=100000), " ",IF(INDEX($V$2:$AE$1001,MATCH(ROWS($O$2:O27),$O$2:$O$1001,0),MATCH(COLUMNS($V$1006:AC1006),$V$1006:$AE$1006,0)), HYPERLINK("#",""), HYPERLINK(CONCATENATE("#Metadata!", ADDRESS(INDEX($Q$2:$Q$1001,MATCH(ROWS($O$2:O27),$O$2:$O$1001,0),0), INDEX($V$1004:$AE$1004,1,MATCH(COLUMNS($V$1006:AC1006),$V$1006:$AE$1006,0)))),"Fix")))</f>
        <v>0</v>
      </c>
      <c r="J27" s="3">
        <f>IF(OR(INDEX($P$2:$P$1001,MATCH(ROWS($O$2:O27),$O$2:$O$1001,0),1)&gt;=100000,INDEX($V$1005:$AE$1005,1,MATCH(COLUMNS($V$1006:AD1006),$V$1006:$AE$1006,0))&gt;=100000), " ",IF(INDEX($V$2:$AE$1001,MATCH(ROWS($O$2:O27),$O$2:$O$1001,0),MATCH(COLUMNS($V$1006:AD1006),$V$1006:$AE$1006,0)), HYPERLINK("#",""), HYPERLINK(CONCATENATE("#Metadata!", ADDRESS(INDEX($Q$2:$Q$1001,MATCH(ROWS($O$2:O27),$O$2:$O$1001,0),0), INDEX($V$1004:$AE$1004,1,MATCH(COLUMNS($V$1006:AD1006),$V$1006:$AE$1006,0)))),"Fix")))</f>
        <v>0</v>
      </c>
      <c r="K27" s="3">
        <f>IF(OR(INDEX($P$2:$P$1001,MATCH(ROWS($O$2:O27),$O$2:$O$1001,0),1)&gt;=100000,INDEX($V$1005:$AE$1005,1,MATCH(COLUMNS($V$1006:AE1006),$V$1006:$AE$1006,0))&gt;=100000), " ",IF(INDEX($V$2:$AE$1001,MATCH(ROWS($O$2:O27),$O$2:$O$1001,0),MATCH(COLUMNS($V$1006:AE1006),$V$1006:$AE$1006,0)), HYPERLINK("#",""), HYPERLINK(CONCATENATE("#Metadata!", ADDRESS(INDEX($Q$2:$Q$1001,MATCH(ROWS($O$2:O27),$O$2:$O$1001,0),0), INDEX($V$1004:$AE$1004,1,MATCH(COLUMNS($V$1006:AE1006),$V$1006:$AE$1006,0)))),"Fix")))</f>
        <v>0</v>
      </c>
      <c r="O27">
        <v>0</v>
      </c>
      <c r="P27">
        <v>0</v>
      </c>
      <c r="Q27">
        <v>0</v>
      </c>
      <c r="R27">
        <f>IF(S27,TRUE,AND(V27:AE27))</f>
        <v>0</v>
      </c>
      <c r="S27">
        <f>COUNTBLANK(Metadata!B27:K27)=COLUMNS(Metadata!B27:K27)</f>
        <v>0</v>
      </c>
      <c r="T27">
        <v>0</v>
      </c>
      <c r="V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W27">
        <f>AND(IF(Metadata!C27="",FALSE,TRUE),exact(Metadata!C27,"animal secretion"))</f>
        <v>0</v>
      </c>
      <c r="X27">
        <f>AND(IF(Metadata!D27="",FALSE,TRUE),exact(Metadata!D27,"saliva"))</f>
        <v>0</v>
      </c>
      <c r="Y27">
        <f>AND(IF(Metadata!E27="",FALSE,TRUE),exact(Metadata!E27,"human-oral"))</f>
        <v>0</v>
      </c>
      <c r="Z27">
        <f>AND(IF(Metadata!F27="",FALSE,TRUE),exact(Metadata!F27,"UBERON:oral cavity"))</f>
        <v>0</v>
      </c>
      <c r="AA27">
        <f>AND(IF(Metadata!G27="",FALSE,TRUE),exact(Metadata!G27,"UBERON:saliva"))</f>
        <v>0</v>
      </c>
      <c r="AB27">
        <f>AND(IF(Metadata!H27="",FALSE,TRUE),exact(Metadata!H27,"UBERON:tongue"))</f>
        <v>0</v>
      </c>
      <c r="AC27">
        <f>AND(IF(Metadata!I27="",FALSE,TRUE),exact(Metadata!I27,"tongue"))</f>
        <v>0</v>
      </c>
      <c r="AD27">
        <f>AND(IF(Metadata!J27="",FALSE,TRUE),exact(Metadata!J27,"human oral metagenome"))</f>
        <v>0</v>
      </c>
      <c r="AE27">
        <f>AND(IF(Metadata!K27="",FALSE,TRUE),exact(Metadata!K27,"447426"))</f>
        <v>0</v>
      </c>
    </row>
    <row r="28" spans="1:31">
      <c r="A28" s="4">
        <f>IF(B28=" "," ",HYPERLINK(CONCATENATE("#metadata!",ADDRESS(INDEX($Q$2:$Q$1001,MATCH(ROWS($O$2:O28),$O$2:$O$1001,0),0),1)),INDEX($T$2:$T$1001,MATCH(ROWS($O$2:O28),$O$2:$O$1001,0),0)))</f>
        <v>0</v>
      </c>
      <c r="B28" s="3">
        <f>IF(OR(INDEX($P$2:$P$1001,MATCH(ROWS($O$2:O28),$O$2:$O$1001,0),1)&gt;=100000,INDEX($V$1005:$AE$1005,1,MATCH(COLUMNS($V$1006:V1006),$V$1006:$AE$1006,0))&gt;=100000), " ",IF(INDEX($V$2:$AE$1001,MATCH(ROWS($O$2:O28),$O$2:$O$1001,0),MATCH(COLUMNS($V$1006:V1006),$V$1006:$AE$1006,0)), HYPERLINK("#",""), HYPERLINK(CONCATENATE("#Metadata!", ADDRESS(INDEX($Q$2:$Q$1001,MATCH(ROWS($O$2:O28),$O$2:$O$1001,0),0), INDEX($V$1004:$AE$1004,1,MATCH(COLUMNS($V$1006:V1006),$V$1006:$AE$1006,0)))),"Fix")))</f>
        <v>0</v>
      </c>
      <c r="C28" s="3">
        <f>IF(OR(INDEX($P$2:$P$1001,MATCH(ROWS($O$2:O28),$O$2:$O$1001,0),1)&gt;=100000,INDEX($V$1005:$AE$1005,1,MATCH(COLUMNS($V$1006:W1006),$V$1006:$AE$1006,0))&gt;=100000), " ",IF(INDEX($V$2:$AE$1001,MATCH(ROWS($O$2:O28),$O$2:$O$1001,0),MATCH(COLUMNS($V$1006:W1006),$V$1006:$AE$1006,0)), HYPERLINK("#",""), HYPERLINK(CONCATENATE("#Metadata!", ADDRESS(INDEX($Q$2:$Q$1001,MATCH(ROWS($O$2:O28),$O$2:$O$1001,0),0), INDEX($V$1004:$AE$1004,1,MATCH(COLUMNS($V$1006:W1006),$V$1006:$AE$1006,0)))),"Fix")))</f>
        <v>0</v>
      </c>
      <c r="D28" s="3">
        <f>IF(OR(INDEX($P$2:$P$1001,MATCH(ROWS($O$2:O28),$O$2:$O$1001,0),1)&gt;=100000,INDEX($V$1005:$AE$1005,1,MATCH(COLUMNS($V$1006:X1006),$V$1006:$AE$1006,0))&gt;=100000), " ",IF(INDEX($V$2:$AE$1001,MATCH(ROWS($O$2:O28),$O$2:$O$1001,0),MATCH(COLUMNS($V$1006:X1006),$V$1006:$AE$1006,0)), HYPERLINK("#",""), HYPERLINK(CONCATENATE("#Metadata!", ADDRESS(INDEX($Q$2:$Q$1001,MATCH(ROWS($O$2:O28),$O$2:$O$1001,0),0), INDEX($V$1004:$AE$1004,1,MATCH(COLUMNS($V$1006:X1006),$V$1006:$AE$1006,0)))),"Fix")))</f>
        <v>0</v>
      </c>
      <c r="E28" s="3">
        <f>IF(OR(INDEX($P$2:$P$1001,MATCH(ROWS($O$2:O28),$O$2:$O$1001,0),1)&gt;=100000,INDEX($V$1005:$AE$1005,1,MATCH(COLUMNS($V$1006:Y1006),$V$1006:$AE$1006,0))&gt;=100000), " ",IF(INDEX($V$2:$AE$1001,MATCH(ROWS($O$2:O28),$O$2:$O$1001,0),MATCH(COLUMNS($V$1006:Y1006),$V$1006:$AE$1006,0)), HYPERLINK("#",""), HYPERLINK(CONCATENATE("#Metadata!", ADDRESS(INDEX($Q$2:$Q$1001,MATCH(ROWS($O$2:O28),$O$2:$O$1001,0),0), INDEX($V$1004:$AE$1004,1,MATCH(COLUMNS($V$1006:Y1006),$V$1006:$AE$1006,0)))),"Fix")))</f>
        <v>0</v>
      </c>
      <c r="F28" s="3">
        <f>IF(OR(INDEX($P$2:$P$1001,MATCH(ROWS($O$2:O28),$O$2:$O$1001,0),1)&gt;=100000,INDEX($V$1005:$AE$1005,1,MATCH(COLUMNS($V$1006:Z1006),$V$1006:$AE$1006,0))&gt;=100000), " ",IF(INDEX($V$2:$AE$1001,MATCH(ROWS($O$2:O28),$O$2:$O$1001,0),MATCH(COLUMNS($V$1006:Z1006),$V$1006:$AE$1006,0)), HYPERLINK("#",""), HYPERLINK(CONCATENATE("#Metadata!", ADDRESS(INDEX($Q$2:$Q$1001,MATCH(ROWS($O$2:O28),$O$2:$O$1001,0),0), INDEX($V$1004:$AE$1004,1,MATCH(COLUMNS($V$1006:Z1006),$V$1006:$AE$1006,0)))),"Fix")))</f>
        <v>0</v>
      </c>
      <c r="G28" s="3">
        <f>IF(OR(INDEX($P$2:$P$1001,MATCH(ROWS($O$2:O28),$O$2:$O$1001,0),1)&gt;=100000,INDEX($V$1005:$AE$1005,1,MATCH(COLUMNS($V$1006:AA1006),$V$1006:$AE$1006,0))&gt;=100000), " ",IF(INDEX($V$2:$AE$1001,MATCH(ROWS($O$2:O28),$O$2:$O$1001,0),MATCH(COLUMNS($V$1006:AA1006),$V$1006:$AE$1006,0)), HYPERLINK("#",""), HYPERLINK(CONCATENATE("#Metadata!", ADDRESS(INDEX($Q$2:$Q$1001,MATCH(ROWS($O$2:O28),$O$2:$O$1001,0),0), INDEX($V$1004:$AE$1004,1,MATCH(COLUMNS($V$1006:AA1006),$V$1006:$AE$1006,0)))),"Fix")))</f>
        <v>0</v>
      </c>
      <c r="H28" s="3">
        <f>IF(OR(INDEX($P$2:$P$1001,MATCH(ROWS($O$2:O28),$O$2:$O$1001,0),1)&gt;=100000,INDEX($V$1005:$AE$1005,1,MATCH(COLUMNS($V$1006:AB1006),$V$1006:$AE$1006,0))&gt;=100000), " ",IF(INDEX($V$2:$AE$1001,MATCH(ROWS($O$2:O28),$O$2:$O$1001,0),MATCH(COLUMNS($V$1006:AB1006),$V$1006:$AE$1006,0)), HYPERLINK("#",""), HYPERLINK(CONCATENATE("#Metadata!", ADDRESS(INDEX($Q$2:$Q$1001,MATCH(ROWS($O$2:O28),$O$2:$O$1001,0),0), INDEX($V$1004:$AE$1004,1,MATCH(COLUMNS($V$1006:AB1006),$V$1006:$AE$1006,0)))),"Fix")))</f>
        <v>0</v>
      </c>
      <c r="I28" s="3">
        <f>IF(OR(INDEX($P$2:$P$1001,MATCH(ROWS($O$2:O28),$O$2:$O$1001,0),1)&gt;=100000,INDEX($V$1005:$AE$1005,1,MATCH(COLUMNS($V$1006:AC1006),$V$1006:$AE$1006,0))&gt;=100000), " ",IF(INDEX($V$2:$AE$1001,MATCH(ROWS($O$2:O28),$O$2:$O$1001,0),MATCH(COLUMNS($V$1006:AC1006),$V$1006:$AE$1006,0)), HYPERLINK("#",""), HYPERLINK(CONCATENATE("#Metadata!", ADDRESS(INDEX($Q$2:$Q$1001,MATCH(ROWS($O$2:O28),$O$2:$O$1001,0),0), INDEX($V$1004:$AE$1004,1,MATCH(COLUMNS($V$1006:AC1006),$V$1006:$AE$1006,0)))),"Fix")))</f>
        <v>0</v>
      </c>
      <c r="J28" s="3">
        <f>IF(OR(INDEX($P$2:$P$1001,MATCH(ROWS($O$2:O28),$O$2:$O$1001,0),1)&gt;=100000,INDEX($V$1005:$AE$1005,1,MATCH(COLUMNS($V$1006:AD1006),$V$1006:$AE$1006,0))&gt;=100000), " ",IF(INDEX($V$2:$AE$1001,MATCH(ROWS($O$2:O28),$O$2:$O$1001,0),MATCH(COLUMNS($V$1006:AD1006),$V$1006:$AE$1006,0)), HYPERLINK("#",""), HYPERLINK(CONCATENATE("#Metadata!", ADDRESS(INDEX($Q$2:$Q$1001,MATCH(ROWS($O$2:O28),$O$2:$O$1001,0),0), INDEX($V$1004:$AE$1004,1,MATCH(COLUMNS($V$1006:AD1006),$V$1006:$AE$1006,0)))),"Fix")))</f>
        <v>0</v>
      </c>
      <c r="K28" s="3">
        <f>IF(OR(INDEX($P$2:$P$1001,MATCH(ROWS($O$2:O28),$O$2:$O$1001,0),1)&gt;=100000,INDEX($V$1005:$AE$1005,1,MATCH(COLUMNS($V$1006:AE1006),$V$1006:$AE$1006,0))&gt;=100000), " ",IF(INDEX($V$2:$AE$1001,MATCH(ROWS($O$2:O28),$O$2:$O$1001,0),MATCH(COLUMNS($V$1006:AE1006),$V$1006:$AE$1006,0)), HYPERLINK("#",""), HYPERLINK(CONCATENATE("#Metadata!", ADDRESS(INDEX($Q$2:$Q$1001,MATCH(ROWS($O$2:O28),$O$2:$O$1001,0),0), INDEX($V$1004:$AE$1004,1,MATCH(COLUMNS($V$1006:AE1006),$V$1006:$AE$1006,0)))),"Fix")))</f>
        <v>0</v>
      </c>
      <c r="O28">
        <v>0</v>
      </c>
      <c r="P28">
        <v>0</v>
      </c>
      <c r="Q28">
        <v>0</v>
      </c>
      <c r="R28">
        <f>IF(S28,TRUE,AND(V28:AE28))</f>
        <v>0</v>
      </c>
      <c r="S28">
        <f>COUNTBLANK(Metadata!B28:K28)=COLUMNS(Metadata!B28:K28)</f>
        <v>0</v>
      </c>
      <c r="T28">
        <v>0</v>
      </c>
      <c r="V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W28">
        <f>AND(IF(Metadata!C28="",FALSE,TRUE),exact(Metadata!C28,"animal secretion"))</f>
        <v>0</v>
      </c>
      <c r="X28">
        <f>AND(IF(Metadata!D28="",FALSE,TRUE),exact(Metadata!D28,"saliva"))</f>
        <v>0</v>
      </c>
      <c r="Y28">
        <f>AND(IF(Metadata!E28="",FALSE,TRUE),exact(Metadata!E28,"human-oral"))</f>
        <v>0</v>
      </c>
      <c r="Z28">
        <f>AND(IF(Metadata!F28="",FALSE,TRUE),exact(Metadata!F28,"UBERON:oral cavity"))</f>
        <v>0</v>
      </c>
      <c r="AA28">
        <f>AND(IF(Metadata!G28="",FALSE,TRUE),exact(Metadata!G28,"UBERON:saliva"))</f>
        <v>0</v>
      </c>
      <c r="AB28">
        <f>AND(IF(Metadata!H28="",FALSE,TRUE),exact(Metadata!H28,"UBERON:tongue"))</f>
        <v>0</v>
      </c>
      <c r="AC28">
        <f>AND(IF(Metadata!I28="",FALSE,TRUE),exact(Metadata!I28,"tongue"))</f>
        <v>0</v>
      </c>
      <c r="AD28">
        <f>AND(IF(Metadata!J28="",FALSE,TRUE),exact(Metadata!J28,"human oral metagenome"))</f>
        <v>0</v>
      </c>
      <c r="AE28">
        <f>AND(IF(Metadata!K28="",FALSE,TRUE),exact(Metadata!K28,"447426"))</f>
        <v>0</v>
      </c>
    </row>
    <row r="29" spans="1:31">
      <c r="A29" s="4">
        <f>IF(B29=" "," ",HYPERLINK(CONCATENATE("#metadata!",ADDRESS(INDEX($Q$2:$Q$1001,MATCH(ROWS($O$2:O29),$O$2:$O$1001,0),0),1)),INDEX($T$2:$T$1001,MATCH(ROWS($O$2:O29),$O$2:$O$1001,0),0)))</f>
        <v>0</v>
      </c>
      <c r="B29" s="3">
        <f>IF(OR(INDEX($P$2:$P$1001,MATCH(ROWS($O$2:O29),$O$2:$O$1001,0),1)&gt;=100000,INDEX($V$1005:$AE$1005,1,MATCH(COLUMNS($V$1006:V1006),$V$1006:$AE$1006,0))&gt;=100000), " ",IF(INDEX($V$2:$AE$1001,MATCH(ROWS($O$2:O29),$O$2:$O$1001,0),MATCH(COLUMNS($V$1006:V1006),$V$1006:$AE$1006,0)), HYPERLINK("#",""), HYPERLINK(CONCATENATE("#Metadata!", ADDRESS(INDEX($Q$2:$Q$1001,MATCH(ROWS($O$2:O29),$O$2:$O$1001,0),0), INDEX($V$1004:$AE$1004,1,MATCH(COLUMNS($V$1006:V1006),$V$1006:$AE$1006,0)))),"Fix")))</f>
        <v>0</v>
      </c>
      <c r="C29" s="3">
        <f>IF(OR(INDEX($P$2:$P$1001,MATCH(ROWS($O$2:O29),$O$2:$O$1001,0),1)&gt;=100000,INDEX($V$1005:$AE$1005,1,MATCH(COLUMNS($V$1006:W1006),$V$1006:$AE$1006,0))&gt;=100000), " ",IF(INDEX($V$2:$AE$1001,MATCH(ROWS($O$2:O29),$O$2:$O$1001,0),MATCH(COLUMNS($V$1006:W1006),$V$1006:$AE$1006,0)), HYPERLINK("#",""), HYPERLINK(CONCATENATE("#Metadata!", ADDRESS(INDEX($Q$2:$Q$1001,MATCH(ROWS($O$2:O29),$O$2:$O$1001,0),0), INDEX($V$1004:$AE$1004,1,MATCH(COLUMNS($V$1006:W1006),$V$1006:$AE$1006,0)))),"Fix")))</f>
        <v>0</v>
      </c>
      <c r="D29" s="3">
        <f>IF(OR(INDEX($P$2:$P$1001,MATCH(ROWS($O$2:O29),$O$2:$O$1001,0),1)&gt;=100000,INDEX($V$1005:$AE$1005,1,MATCH(COLUMNS($V$1006:X1006),$V$1006:$AE$1006,0))&gt;=100000), " ",IF(INDEX($V$2:$AE$1001,MATCH(ROWS($O$2:O29),$O$2:$O$1001,0),MATCH(COLUMNS($V$1006:X1006),$V$1006:$AE$1006,0)), HYPERLINK("#",""), HYPERLINK(CONCATENATE("#Metadata!", ADDRESS(INDEX($Q$2:$Q$1001,MATCH(ROWS($O$2:O29),$O$2:$O$1001,0),0), INDEX($V$1004:$AE$1004,1,MATCH(COLUMNS($V$1006:X1006),$V$1006:$AE$1006,0)))),"Fix")))</f>
        <v>0</v>
      </c>
      <c r="E29" s="3">
        <f>IF(OR(INDEX($P$2:$P$1001,MATCH(ROWS($O$2:O29),$O$2:$O$1001,0),1)&gt;=100000,INDEX($V$1005:$AE$1005,1,MATCH(COLUMNS($V$1006:Y1006),$V$1006:$AE$1006,0))&gt;=100000), " ",IF(INDEX($V$2:$AE$1001,MATCH(ROWS($O$2:O29),$O$2:$O$1001,0),MATCH(COLUMNS($V$1006:Y1006),$V$1006:$AE$1006,0)), HYPERLINK("#",""), HYPERLINK(CONCATENATE("#Metadata!", ADDRESS(INDEX($Q$2:$Q$1001,MATCH(ROWS($O$2:O29),$O$2:$O$1001,0),0), INDEX($V$1004:$AE$1004,1,MATCH(COLUMNS($V$1006:Y1006),$V$1006:$AE$1006,0)))),"Fix")))</f>
        <v>0</v>
      </c>
      <c r="F29" s="3">
        <f>IF(OR(INDEX($P$2:$P$1001,MATCH(ROWS($O$2:O29),$O$2:$O$1001,0),1)&gt;=100000,INDEX($V$1005:$AE$1005,1,MATCH(COLUMNS($V$1006:Z1006),$V$1006:$AE$1006,0))&gt;=100000), " ",IF(INDEX($V$2:$AE$1001,MATCH(ROWS($O$2:O29),$O$2:$O$1001,0),MATCH(COLUMNS($V$1006:Z1006),$V$1006:$AE$1006,0)), HYPERLINK("#",""), HYPERLINK(CONCATENATE("#Metadata!", ADDRESS(INDEX($Q$2:$Q$1001,MATCH(ROWS($O$2:O29),$O$2:$O$1001,0),0), INDEX($V$1004:$AE$1004,1,MATCH(COLUMNS($V$1006:Z1006),$V$1006:$AE$1006,0)))),"Fix")))</f>
        <v>0</v>
      </c>
      <c r="G29" s="3">
        <f>IF(OR(INDEX($P$2:$P$1001,MATCH(ROWS($O$2:O29),$O$2:$O$1001,0),1)&gt;=100000,INDEX($V$1005:$AE$1005,1,MATCH(COLUMNS($V$1006:AA1006),$V$1006:$AE$1006,0))&gt;=100000), " ",IF(INDEX($V$2:$AE$1001,MATCH(ROWS($O$2:O29),$O$2:$O$1001,0),MATCH(COLUMNS($V$1006:AA1006),$V$1006:$AE$1006,0)), HYPERLINK("#",""), HYPERLINK(CONCATENATE("#Metadata!", ADDRESS(INDEX($Q$2:$Q$1001,MATCH(ROWS($O$2:O29),$O$2:$O$1001,0),0), INDEX($V$1004:$AE$1004,1,MATCH(COLUMNS($V$1006:AA1006),$V$1006:$AE$1006,0)))),"Fix")))</f>
        <v>0</v>
      </c>
      <c r="H29" s="3">
        <f>IF(OR(INDEX($P$2:$P$1001,MATCH(ROWS($O$2:O29),$O$2:$O$1001,0),1)&gt;=100000,INDEX($V$1005:$AE$1005,1,MATCH(COLUMNS($V$1006:AB1006),$V$1006:$AE$1006,0))&gt;=100000), " ",IF(INDEX($V$2:$AE$1001,MATCH(ROWS($O$2:O29),$O$2:$O$1001,0),MATCH(COLUMNS($V$1006:AB1006),$V$1006:$AE$1006,0)), HYPERLINK("#",""), HYPERLINK(CONCATENATE("#Metadata!", ADDRESS(INDEX($Q$2:$Q$1001,MATCH(ROWS($O$2:O29),$O$2:$O$1001,0),0), INDEX($V$1004:$AE$1004,1,MATCH(COLUMNS($V$1006:AB1006),$V$1006:$AE$1006,0)))),"Fix")))</f>
        <v>0</v>
      </c>
      <c r="I29" s="3">
        <f>IF(OR(INDEX($P$2:$P$1001,MATCH(ROWS($O$2:O29),$O$2:$O$1001,0),1)&gt;=100000,INDEX($V$1005:$AE$1005,1,MATCH(COLUMNS($V$1006:AC1006),$V$1006:$AE$1006,0))&gt;=100000), " ",IF(INDEX($V$2:$AE$1001,MATCH(ROWS($O$2:O29),$O$2:$O$1001,0),MATCH(COLUMNS($V$1006:AC1006),$V$1006:$AE$1006,0)), HYPERLINK("#",""), HYPERLINK(CONCATENATE("#Metadata!", ADDRESS(INDEX($Q$2:$Q$1001,MATCH(ROWS($O$2:O29),$O$2:$O$1001,0),0), INDEX($V$1004:$AE$1004,1,MATCH(COLUMNS($V$1006:AC1006),$V$1006:$AE$1006,0)))),"Fix")))</f>
        <v>0</v>
      </c>
      <c r="J29" s="3">
        <f>IF(OR(INDEX($P$2:$P$1001,MATCH(ROWS($O$2:O29),$O$2:$O$1001,0),1)&gt;=100000,INDEX($V$1005:$AE$1005,1,MATCH(COLUMNS($V$1006:AD1006),$V$1006:$AE$1006,0))&gt;=100000), " ",IF(INDEX($V$2:$AE$1001,MATCH(ROWS($O$2:O29),$O$2:$O$1001,0),MATCH(COLUMNS($V$1006:AD1006),$V$1006:$AE$1006,0)), HYPERLINK("#",""), HYPERLINK(CONCATENATE("#Metadata!", ADDRESS(INDEX($Q$2:$Q$1001,MATCH(ROWS($O$2:O29),$O$2:$O$1001,0),0), INDEX($V$1004:$AE$1004,1,MATCH(COLUMNS($V$1006:AD1006),$V$1006:$AE$1006,0)))),"Fix")))</f>
        <v>0</v>
      </c>
      <c r="K29" s="3">
        <f>IF(OR(INDEX($P$2:$P$1001,MATCH(ROWS($O$2:O29),$O$2:$O$1001,0),1)&gt;=100000,INDEX($V$1005:$AE$1005,1,MATCH(COLUMNS($V$1006:AE1006),$V$1006:$AE$1006,0))&gt;=100000), " ",IF(INDEX($V$2:$AE$1001,MATCH(ROWS($O$2:O29),$O$2:$O$1001,0),MATCH(COLUMNS($V$1006:AE1006),$V$1006:$AE$1006,0)), HYPERLINK("#",""), HYPERLINK(CONCATENATE("#Metadata!", ADDRESS(INDEX($Q$2:$Q$1001,MATCH(ROWS($O$2:O29),$O$2:$O$1001,0),0), INDEX($V$1004:$AE$1004,1,MATCH(COLUMNS($V$1006:AE1006),$V$1006:$AE$1006,0)))),"Fix")))</f>
        <v>0</v>
      </c>
      <c r="O29">
        <v>0</v>
      </c>
      <c r="P29">
        <v>0</v>
      </c>
      <c r="Q29">
        <v>0</v>
      </c>
      <c r="R29">
        <f>IF(S29,TRUE,AND(V29:AE29))</f>
        <v>0</v>
      </c>
      <c r="S29">
        <f>COUNTBLANK(Metadata!B29:K29)=COLUMNS(Metadata!B29:K29)</f>
        <v>0</v>
      </c>
      <c r="T29">
        <v>0</v>
      </c>
      <c r="V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W29">
        <f>AND(IF(Metadata!C29="",FALSE,TRUE),exact(Metadata!C29,"animal secretion"))</f>
        <v>0</v>
      </c>
      <c r="X29">
        <f>AND(IF(Metadata!D29="",FALSE,TRUE),exact(Metadata!D29,"saliva"))</f>
        <v>0</v>
      </c>
      <c r="Y29">
        <f>AND(IF(Metadata!E29="",FALSE,TRUE),exact(Metadata!E29,"human-oral"))</f>
        <v>0</v>
      </c>
      <c r="Z29">
        <f>AND(IF(Metadata!F29="",FALSE,TRUE),exact(Metadata!F29,"UBERON:oral cavity"))</f>
        <v>0</v>
      </c>
      <c r="AA29">
        <f>AND(IF(Metadata!G29="",FALSE,TRUE),exact(Metadata!G29,"UBERON:saliva"))</f>
        <v>0</v>
      </c>
      <c r="AB29">
        <f>AND(IF(Metadata!H29="",FALSE,TRUE),exact(Metadata!H29,"UBERON:tongue"))</f>
        <v>0</v>
      </c>
      <c r="AC29">
        <f>AND(IF(Metadata!I29="",FALSE,TRUE),exact(Metadata!I29,"tongue"))</f>
        <v>0</v>
      </c>
      <c r="AD29">
        <f>AND(IF(Metadata!J29="",FALSE,TRUE),exact(Metadata!J29,"human oral metagenome"))</f>
        <v>0</v>
      </c>
      <c r="AE29">
        <f>AND(IF(Metadata!K29="",FALSE,TRUE),exact(Metadata!K29,"447426"))</f>
        <v>0</v>
      </c>
    </row>
    <row r="30" spans="1:31">
      <c r="A30" s="4">
        <f>IF(B30=" "," ",HYPERLINK(CONCATENATE("#metadata!",ADDRESS(INDEX($Q$2:$Q$1001,MATCH(ROWS($O$2:O30),$O$2:$O$1001,0),0),1)),INDEX($T$2:$T$1001,MATCH(ROWS($O$2:O30),$O$2:$O$1001,0),0)))</f>
        <v>0</v>
      </c>
      <c r="B30" s="3">
        <f>IF(OR(INDEX($P$2:$P$1001,MATCH(ROWS($O$2:O30),$O$2:$O$1001,0),1)&gt;=100000,INDEX($V$1005:$AE$1005,1,MATCH(COLUMNS($V$1006:V1006),$V$1006:$AE$1006,0))&gt;=100000), " ",IF(INDEX($V$2:$AE$1001,MATCH(ROWS($O$2:O30),$O$2:$O$1001,0),MATCH(COLUMNS($V$1006:V1006),$V$1006:$AE$1006,0)), HYPERLINK("#",""), HYPERLINK(CONCATENATE("#Metadata!", ADDRESS(INDEX($Q$2:$Q$1001,MATCH(ROWS($O$2:O30),$O$2:$O$1001,0),0), INDEX($V$1004:$AE$1004,1,MATCH(COLUMNS($V$1006:V1006),$V$1006:$AE$1006,0)))),"Fix")))</f>
        <v>0</v>
      </c>
      <c r="C30" s="3">
        <f>IF(OR(INDEX($P$2:$P$1001,MATCH(ROWS($O$2:O30),$O$2:$O$1001,0),1)&gt;=100000,INDEX($V$1005:$AE$1005,1,MATCH(COLUMNS($V$1006:W1006),$V$1006:$AE$1006,0))&gt;=100000), " ",IF(INDEX($V$2:$AE$1001,MATCH(ROWS($O$2:O30),$O$2:$O$1001,0),MATCH(COLUMNS($V$1006:W1006),$V$1006:$AE$1006,0)), HYPERLINK("#",""), HYPERLINK(CONCATENATE("#Metadata!", ADDRESS(INDEX($Q$2:$Q$1001,MATCH(ROWS($O$2:O30),$O$2:$O$1001,0),0), INDEX($V$1004:$AE$1004,1,MATCH(COLUMNS($V$1006:W1006),$V$1006:$AE$1006,0)))),"Fix")))</f>
        <v>0</v>
      </c>
      <c r="D30" s="3">
        <f>IF(OR(INDEX($P$2:$P$1001,MATCH(ROWS($O$2:O30),$O$2:$O$1001,0),1)&gt;=100000,INDEX($V$1005:$AE$1005,1,MATCH(COLUMNS($V$1006:X1006),$V$1006:$AE$1006,0))&gt;=100000), " ",IF(INDEX($V$2:$AE$1001,MATCH(ROWS($O$2:O30),$O$2:$O$1001,0),MATCH(COLUMNS($V$1006:X1006),$V$1006:$AE$1006,0)), HYPERLINK("#",""), HYPERLINK(CONCATENATE("#Metadata!", ADDRESS(INDEX($Q$2:$Q$1001,MATCH(ROWS($O$2:O30),$O$2:$O$1001,0),0), INDEX($V$1004:$AE$1004,1,MATCH(COLUMNS($V$1006:X1006),$V$1006:$AE$1006,0)))),"Fix")))</f>
        <v>0</v>
      </c>
      <c r="E30" s="3">
        <f>IF(OR(INDEX($P$2:$P$1001,MATCH(ROWS($O$2:O30),$O$2:$O$1001,0),1)&gt;=100000,INDEX($V$1005:$AE$1005,1,MATCH(COLUMNS($V$1006:Y1006),$V$1006:$AE$1006,0))&gt;=100000), " ",IF(INDEX($V$2:$AE$1001,MATCH(ROWS($O$2:O30),$O$2:$O$1001,0),MATCH(COLUMNS($V$1006:Y1006),$V$1006:$AE$1006,0)), HYPERLINK("#",""), HYPERLINK(CONCATENATE("#Metadata!", ADDRESS(INDEX($Q$2:$Q$1001,MATCH(ROWS($O$2:O30),$O$2:$O$1001,0),0), INDEX($V$1004:$AE$1004,1,MATCH(COLUMNS($V$1006:Y1006),$V$1006:$AE$1006,0)))),"Fix")))</f>
        <v>0</v>
      </c>
      <c r="F30" s="3">
        <f>IF(OR(INDEX($P$2:$P$1001,MATCH(ROWS($O$2:O30),$O$2:$O$1001,0),1)&gt;=100000,INDEX($V$1005:$AE$1005,1,MATCH(COLUMNS($V$1006:Z1006),$V$1006:$AE$1006,0))&gt;=100000), " ",IF(INDEX($V$2:$AE$1001,MATCH(ROWS($O$2:O30),$O$2:$O$1001,0),MATCH(COLUMNS($V$1006:Z1006),$V$1006:$AE$1006,0)), HYPERLINK("#",""), HYPERLINK(CONCATENATE("#Metadata!", ADDRESS(INDEX($Q$2:$Q$1001,MATCH(ROWS($O$2:O30),$O$2:$O$1001,0),0), INDEX($V$1004:$AE$1004,1,MATCH(COLUMNS($V$1006:Z1006),$V$1006:$AE$1006,0)))),"Fix")))</f>
        <v>0</v>
      </c>
      <c r="G30" s="3">
        <f>IF(OR(INDEX($P$2:$P$1001,MATCH(ROWS($O$2:O30),$O$2:$O$1001,0),1)&gt;=100000,INDEX($V$1005:$AE$1005,1,MATCH(COLUMNS($V$1006:AA1006),$V$1006:$AE$1006,0))&gt;=100000), " ",IF(INDEX($V$2:$AE$1001,MATCH(ROWS($O$2:O30),$O$2:$O$1001,0),MATCH(COLUMNS($V$1006:AA1006),$V$1006:$AE$1006,0)), HYPERLINK("#",""), HYPERLINK(CONCATENATE("#Metadata!", ADDRESS(INDEX($Q$2:$Q$1001,MATCH(ROWS($O$2:O30),$O$2:$O$1001,0),0), INDEX($V$1004:$AE$1004,1,MATCH(COLUMNS($V$1006:AA1006),$V$1006:$AE$1006,0)))),"Fix")))</f>
        <v>0</v>
      </c>
      <c r="H30" s="3">
        <f>IF(OR(INDEX($P$2:$P$1001,MATCH(ROWS($O$2:O30),$O$2:$O$1001,0),1)&gt;=100000,INDEX($V$1005:$AE$1005,1,MATCH(COLUMNS($V$1006:AB1006),$V$1006:$AE$1006,0))&gt;=100000), " ",IF(INDEX($V$2:$AE$1001,MATCH(ROWS($O$2:O30),$O$2:$O$1001,0),MATCH(COLUMNS($V$1006:AB1006),$V$1006:$AE$1006,0)), HYPERLINK("#",""), HYPERLINK(CONCATENATE("#Metadata!", ADDRESS(INDEX($Q$2:$Q$1001,MATCH(ROWS($O$2:O30),$O$2:$O$1001,0),0), INDEX($V$1004:$AE$1004,1,MATCH(COLUMNS($V$1006:AB1006),$V$1006:$AE$1006,0)))),"Fix")))</f>
        <v>0</v>
      </c>
      <c r="I30" s="3">
        <f>IF(OR(INDEX($P$2:$P$1001,MATCH(ROWS($O$2:O30),$O$2:$O$1001,0),1)&gt;=100000,INDEX($V$1005:$AE$1005,1,MATCH(COLUMNS($V$1006:AC1006),$V$1006:$AE$1006,0))&gt;=100000), " ",IF(INDEX($V$2:$AE$1001,MATCH(ROWS($O$2:O30),$O$2:$O$1001,0),MATCH(COLUMNS($V$1006:AC1006),$V$1006:$AE$1006,0)), HYPERLINK("#",""), HYPERLINK(CONCATENATE("#Metadata!", ADDRESS(INDEX($Q$2:$Q$1001,MATCH(ROWS($O$2:O30),$O$2:$O$1001,0),0), INDEX($V$1004:$AE$1004,1,MATCH(COLUMNS($V$1006:AC1006),$V$1006:$AE$1006,0)))),"Fix")))</f>
        <v>0</v>
      </c>
      <c r="J30" s="3">
        <f>IF(OR(INDEX($P$2:$P$1001,MATCH(ROWS($O$2:O30),$O$2:$O$1001,0),1)&gt;=100000,INDEX($V$1005:$AE$1005,1,MATCH(COLUMNS($V$1006:AD1006),$V$1006:$AE$1006,0))&gt;=100000), " ",IF(INDEX($V$2:$AE$1001,MATCH(ROWS($O$2:O30),$O$2:$O$1001,0),MATCH(COLUMNS($V$1006:AD1006),$V$1006:$AE$1006,0)), HYPERLINK("#",""), HYPERLINK(CONCATENATE("#Metadata!", ADDRESS(INDEX($Q$2:$Q$1001,MATCH(ROWS($O$2:O30),$O$2:$O$1001,0),0), INDEX($V$1004:$AE$1004,1,MATCH(COLUMNS($V$1006:AD1006),$V$1006:$AE$1006,0)))),"Fix")))</f>
        <v>0</v>
      </c>
      <c r="K30" s="3">
        <f>IF(OR(INDEX($P$2:$P$1001,MATCH(ROWS($O$2:O30),$O$2:$O$1001,0),1)&gt;=100000,INDEX($V$1005:$AE$1005,1,MATCH(COLUMNS($V$1006:AE1006),$V$1006:$AE$1006,0))&gt;=100000), " ",IF(INDEX($V$2:$AE$1001,MATCH(ROWS($O$2:O30),$O$2:$O$1001,0),MATCH(COLUMNS($V$1006:AE1006),$V$1006:$AE$1006,0)), HYPERLINK("#",""), HYPERLINK(CONCATENATE("#Metadata!", ADDRESS(INDEX($Q$2:$Q$1001,MATCH(ROWS($O$2:O30),$O$2:$O$1001,0),0), INDEX($V$1004:$AE$1004,1,MATCH(COLUMNS($V$1006:AE1006),$V$1006:$AE$1006,0)))),"Fix")))</f>
        <v>0</v>
      </c>
      <c r="O30">
        <v>0</v>
      </c>
      <c r="P30">
        <v>0</v>
      </c>
      <c r="Q30">
        <v>0</v>
      </c>
      <c r="R30">
        <f>IF(S30,TRUE,AND(V30:AE30))</f>
        <v>0</v>
      </c>
      <c r="S30">
        <f>COUNTBLANK(Metadata!B30:K30)=COLUMNS(Metadata!B30:K30)</f>
        <v>0</v>
      </c>
      <c r="T30">
        <v>0</v>
      </c>
      <c r="V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W30">
        <f>AND(IF(Metadata!C30="",FALSE,TRUE),exact(Metadata!C30,"animal secretion"))</f>
        <v>0</v>
      </c>
      <c r="X30">
        <f>AND(IF(Metadata!D30="",FALSE,TRUE),exact(Metadata!D30,"saliva"))</f>
        <v>0</v>
      </c>
      <c r="Y30">
        <f>AND(IF(Metadata!E30="",FALSE,TRUE),exact(Metadata!E30,"human-oral"))</f>
        <v>0</v>
      </c>
      <c r="Z30">
        <f>AND(IF(Metadata!F30="",FALSE,TRUE),exact(Metadata!F30,"UBERON:oral cavity"))</f>
        <v>0</v>
      </c>
      <c r="AA30">
        <f>AND(IF(Metadata!G30="",FALSE,TRUE),exact(Metadata!G30,"UBERON:saliva"))</f>
        <v>0</v>
      </c>
      <c r="AB30">
        <f>AND(IF(Metadata!H30="",FALSE,TRUE),exact(Metadata!H30,"UBERON:tongue"))</f>
        <v>0</v>
      </c>
      <c r="AC30">
        <f>AND(IF(Metadata!I30="",FALSE,TRUE),exact(Metadata!I30,"tongue"))</f>
        <v>0</v>
      </c>
      <c r="AD30">
        <f>AND(IF(Metadata!J30="",FALSE,TRUE),exact(Metadata!J30,"human oral metagenome"))</f>
        <v>0</v>
      </c>
      <c r="AE30">
        <f>AND(IF(Metadata!K30="",FALSE,TRUE),exact(Metadata!K30,"447426"))</f>
        <v>0</v>
      </c>
    </row>
    <row r="31" spans="1:31">
      <c r="A31" s="4">
        <f>IF(B31=" "," ",HYPERLINK(CONCATENATE("#metadata!",ADDRESS(INDEX($Q$2:$Q$1001,MATCH(ROWS($O$2:O31),$O$2:$O$1001,0),0),1)),INDEX($T$2:$T$1001,MATCH(ROWS($O$2:O31),$O$2:$O$1001,0),0)))</f>
        <v>0</v>
      </c>
      <c r="B31" s="3">
        <f>IF(OR(INDEX($P$2:$P$1001,MATCH(ROWS($O$2:O31),$O$2:$O$1001,0),1)&gt;=100000,INDEX($V$1005:$AE$1005,1,MATCH(COLUMNS($V$1006:V1006),$V$1006:$AE$1006,0))&gt;=100000), " ",IF(INDEX($V$2:$AE$1001,MATCH(ROWS($O$2:O31),$O$2:$O$1001,0),MATCH(COLUMNS($V$1006:V1006),$V$1006:$AE$1006,0)), HYPERLINK("#",""), HYPERLINK(CONCATENATE("#Metadata!", ADDRESS(INDEX($Q$2:$Q$1001,MATCH(ROWS($O$2:O31),$O$2:$O$1001,0),0), INDEX($V$1004:$AE$1004,1,MATCH(COLUMNS($V$1006:V1006),$V$1006:$AE$1006,0)))),"Fix")))</f>
        <v>0</v>
      </c>
      <c r="C31" s="3">
        <f>IF(OR(INDEX($P$2:$P$1001,MATCH(ROWS($O$2:O31),$O$2:$O$1001,0),1)&gt;=100000,INDEX($V$1005:$AE$1005,1,MATCH(COLUMNS($V$1006:W1006),$V$1006:$AE$1006,0))&gt;=100000), " ",IF(INDEX($V$2:$AE$1001,MATCH(ROWS($O$2:O31),$O$2:$O$1001,0),MATCH(COLUMNS($V$1006:W1006),$V$1006:$AE$1006,0)), HYPERLINK("#",""), HYPERLINK(CONCATENATE("#Metadata!", ADDRESS(INDEX($Q$2:$Q$1001,MATCH(ROWS($O$2:O31),$O$2:$O$1001,0),0), INDEX($V$1004:$AE$1004,1,MATCH(COLUMNS($V$1006:W1006),$V$1006:$AE$1006,0)))),"Fix")))</f>
        <v>0</v>
      </c>
      <c r="D31" s="3">
        <f>IF(OR(INDEX($P$2:$P$1001,MATCH(ROWS($O$2:O31),$O$2:$O$1001,0),1)&gt;=100000,INDEX($V$1005:$AE$1005,1,MATCH(COLUMNS($V$1006:X1006),$V$1006:$AE$1006,0))&gt;=100000), " ",IF(INDEX($V$2:$AE$1001,MATCH(ROWS($O$2:O31),$O$2:$O$1001,0),MATCH(COLUMNS($V$1006:X1006),$V$1006:$AE$1006,0)), HYPERLINK("#",""), HYPERLINK(CONCATENATE("#Metadata!", ADDRESS(INDEX($Q$2:$Q$1001,MATCH(ROWS($O$2:O31),$O$2:$O$1001,0),0), INDEX($V$1004:$AE$1004,1,MATCH(COLUMNS($V$1006:X1006),$V$1006:$AE$1006,0)))),"Fix")))</f>
        <v>0</v>
      </c>
      <c r="E31" s="3">
        <f>IF(OR(INDEX($P$2:$P$1001,MATCH(ROWS($O$2:O31),$O$2:$O$1001,0),1)&gt;=100000,INDEX($V$1005:$AE$1005,1,MATCH(COLUMNS($V$1006:Y1006),$V$1006:$AE$1006,0))&gt;=100000), " ",IF(INDEX($V$2:$AE$1001,MATCH(ROWS($O$2:O31),$O$2:$O$1001,0),MATCH(COLUMNS($V$1006:Y1006),$V$1006:$AE$1006,0)), HYPERLINK("#",""), HYPERLINK(CONCATENATE("#Metadata!", ADDRESS(INDEX($Q$2:$Q$1001,MATCH(ROWS($O$2:O31),$O$2:$O$1001,0),0), INDEX($V$1004:$AE$1004,1,MATCH(COLUMNS($V$1006:Y1006),$V$1006:$AE$1006,0)))),"Fix")))</f>
        <v>0</v>
      </c>
      <c r="F31" s="3">
        <f>IF(OR(INDEX($P$2:$P$1001,MATCH(ROWS($O$2:O31),$O$2:$O$1001,0),1)&gt;=100000,INDEX($V$1005:$AE$1005,1,MATCH(COLUMNS($V$1006:Z1006),$V$1006:$AE$1006,0))&gt;=100000), " ",IF(INDEX($V$2:$AE$1001,MATCH(ROWS($O$2:O31),$O$2:$O$1001,0),MATCH(COLUMNS($V$1006:Z1006),$V$1006:$AE$1006,0)), HYPERLINK("#",""), HYPERLINK(CONCATENATE("#Metadata!", ADDRESS(INDEX($Q$2:$Q$1001,MATCH(ROWS($O$2:O31),$O$2:$O$1001,0),0), INDEX($V$1004:$AE$1004,1,MATCH(COLUMNS($V$1006:Z1006),$V$1006:$AE$1006,0)))),"Fix")))</f>
        <v>0</v>
      </c>
      <c r="G31" s="3">
        <f>IF(OR(INDEX($P$2:$P$1001,MATCH(ROWS($O$2:O31),$O$2:$O$1001,0),1)&gt;=100000,INDEX($V$1005:$AE$1005,1,MATCH(COLUMNS($V$1006:AA1006),$V$1006:$AE$1006,0))&gt;=100000), " ",IF(INDEX($V$2:$AE$1001,MATCH(ROWS($O$2:O31),$O$2:$O$1001,0),MATCH(COLUMNS($V$1006:AA1006),$V$1006:$AE$1006,0)), HYPERLINK("#",""), HYPERLINK(CONCATENATE("#Metadata!", ADDRESS(INDEX($Q$2:$Q$1001,MATCH(ROWS($O$2:O31),$O$2:$O$1001,0),0), INDEX($V$1004:$AE$1004,1,MATCH(COLUMNS($V$1006:AA1006),$V$1006:$AE$1006,0)))),"Fix")))</f>
        <v>0</v>
      </c>
      <c r="H31" s="3">
        <f>IF(OR(INDEX($P$2:$P$1001,MATCH(ROWS($O$2:O31),$O$2:$O$1001,0),1)&gt;=100000,INDEX($V$1005:$AE$1005,1,MATCH(COLUMNS($V$1006:AB1006),$V$1006:$AE$1006,0))&gt;=100000), " ",IF(INDEX($V$2:$AE$1001,MATCH(ROWS($O$2:O31),$O$2:$O$1001,0),MATCH(COLUMNS($V$1006:AB1006),$V$1006:$AE$1006,0)), HYPERLINK("#",""), HYPERLINK(CONCATENATE("#Metadata!", ADDRESS(INDEX($Q$2:$Q$1001,MATCH(ROWS($O$2:O31),$O$2:$O$1001,0),0), INDEX($V$1004:$AE$1004,1,MATCH(COLUMNS($V$1006:AB1006),$V$1006:$AE$1006,0)))),"Fix")))</f>
        <v>0</v>
      </c>
      <c r="I31" s="3">
        <f>IF(OR(INDEX($P$2:$P$1001,MATCH(ROWS($O$2:O31),$O$2:$O$1001,0),1)&gt;=100000,INDEX($V$1005:$AE$1005,1,MATCH(COLUMNS($V$1006:AC1006),$V$1006:$AE$1006,0))&gt;=100000), " ",IF(INDEX($V$2:$AE$1001,MATCH(ROWS($O$2:O31),$O$2:$O$1001,0),MATCH(COLUMNS($V$1006:AC1006),$V$1006:$AE$1006,0)), HYPERLINK("#",""), HYPERLINK(CONCATENATE("#Metadata!", ADDRESS(INDEX($Q$2:$Q$1001,MATCH(ROWS($O$2:O31),$O$2:$O$1001,0),0), INDEX($V$1004:$AE$1004,1,MATCH(COLUMNS($V$1006:AC1006),$V$1006:$AE$1006,0)))),"Fix")))</f>
        <v>0</v>
      </c>
      <c r="J31" s="3">
        <f>IF(OR(INDEX($P$2:$P$1001,MATCH(ROWS($O$2:O31),$O$2:$O$1001,0),1)&gt;=100000,INDEX($V$1005:$AE$1005,1,MATCH(COLUMNS($V$1006:AD1006),$V$1006:$AE$1006,0))&gt;=100000), " ",IF(INDEX($V$2:$AE$1001,MATCH(ROWS($O$2:O31),$O$2:$O$1001,0),MATCH(COLUMNS($V$1006:AD1006),$V$1006:$AE$1006,0)), HYPERLINK("#",""), HYPERLINK(CONCATENATE("#Metadata!", ADDRESS(INDEX($Q$2:$Q$1001,MATCH(ROWS($O$2:O31),$O$2:$O$1001,0),0), INDEX($V$1004:$AE$1004,1,MATCH(COLUMNS($V$1006:AD1006),$V$1006:$AE$1006,0)))),"Fix")))</f>
        <v>0</v>
      </c>
      <c r="K31" s="3">
        <f>IF(OR(INDEX($P$2:$P$1001,MATCH(ROWS($O$2:O31),$O$2:$O$1001,0),1)&gt;=100000,INDEX($V$1005:$AE$1005,1,MATCH(COLUMNS($V$1006:AE1006),$V$1006:$AE$1006,0))&gt;=100000), " ",IF(INDEX($V$2:$AE$1001,MATCH(ROWS($O$2:O31),$O$2:$O$1001,0),MATCH(COLUMNS($V$1006:AE1006),$V$1006:$AE$1006,0)), HYPERLINK("#",""), HYPERLINK(CONCATENATE("#Metadata!", ADDRESS(INDEX($Q$2:$Q$1001,MATCH(ROWS($O$2:O31),$O$2:$O$1001,0),0), INDEX($V$1004:$AE$1004,1,MATCH(COLUMNS($V$1006:AE1006),$V$1006:$AE$1006,0)))),"Fix")))</f>
        <v>0</v>
      </c>
      <c r="O31">
        <v>0</v>
      </c>
      <c r="P31">
        <v>0</v>
      </c>
      <c r="Q31">
        <v>0</v>
      </c>
      <c r="R31">
        <f>IF(S31,TRUE,AND(V31:AE31))</f>
        <v>0</v>
      </c>
      <c r="S31">
        <f>COUNTBLANK(Metadata!B31:K31)=COLUMNS(Metadata!B31:K31)</f>
        <v>0</v>
      </c>
      <c r="T31">
        <v>0</v>
      </c>
      <c r="V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W31">
        <f>AND(IF(Metadata!C31="",FALSE,TRUE),exact(Metadata!C31,"animal secretion"))</f>
        <v>0</v>
      </c>
      <c r="X31">
        <f>AND(IF(Metadata!D31="",FALSE,TRUE),exact(Metadata!D31,"saliva"))</f>
        <v>0</v>
      </c>
      <c r="Y31">
        <f>AND(IF(Metadata!E31="",FALSE,TRUE),exact(Metadata!E31,"human-oral"))</f>
        <v>0</v>
      </c>
      <c r="Z31">
        <f>AND(IF(Metadata!F31="",FALSE,TRUE),exact(Metadata!F31,"UBERON:oral cavity"))</f>
        <v>0</v>
      </c>
      <c r="AA31">
        <f>AND(IF(Metadata!G31="",FALSE,TRUE),exact(Metadata!G31,"UBERON:saliva"))</f>
        <v>0</v>
      </c>
      <c r="AB31">
        <f>AND(IF(Metadata!H31="",FALSE,TRUE),exact(Metadata!H31,"UBERON:tongue"))</f>
        <v>0</v>
      </c>
      <c r="AC31">
        <f>AND(IF(Metadata!I31="",FALSE,TRUE),exact(Metadata!I31,"tongue"))</f>
        <v>0</v>
      </c>
      <c r="AD31">
        <f>AND(IF(Metadata!J31="",FALSE,TRUE),exact(Metadata!J31,"human oral metagenome"))</f>
        <v>0</v>
      </c>
      <c r="AE31">
        <f>AND(IF(Metadata!K31="",FALSE,TRUE),exact(Metadata!K31,"447426"))</f>
        <v>0</v>
      </c>
    </row>
    <row r="32" spans="1:31">
      <c r="A32" s="4">
        <f>IF(B32=" "," ",HYPERLINK(CONCATENATE("#metadata!",ADDRESS(INDEX($Q$2:$Q$1001,MATCH(ROWS($O$2:O32),$O$2:$O$1001,0),0),1)),INDEX($T$2:$T$1001,MATCH(ROWS($O$2:O32),$O$2:$O$1001,0),0)))</f>
        <v>0</v>
      </c>
      <c r="B32" s="3">
        <f>IF(OR(INDEX($P$2:$P$1001,MATCH(ROWS($O$2:O32),$O$2:$O$1001,0),1)&gt;=100000,INDEX($V$1005:$AE$1005,1,MATCH(COLUMNS($V$1006:V1006),$V$1006:$AE$1006,0))&gt;=100000), " ",IF(INDEX($V$2:$AE$1001,MATCH(ROWS($O$2:O32),$O$2:$O$1001,0),MATCH(COLUMNS($V$1006:V1006),$V$1006:$AE$1006,0)), HYPERLINK("#",""), HYPERLINK(CONCATENATE("#Metadata!", ADDRESS(INDEX($Q$2:$Q$1001,MATCH(ROWS($O$2:O32),$O$2:$O$1001,0),0), INDEX($V$1004:$AE$1004,1,MATCH(COLUMNS($V$1006:V1006),$V$1006:$AE$1006,0)))),"Fix")))</f>
        <v>0</v>
      </c>
      <c r="C32" s="3">
        <f>IF(OR(INDEX($P$2:$P$1001,MATCH(ROWS($O$2:O32),$O$2:$O$1001,0),1)&gt;=100000,INDEX($V$1005:$AE$1005,1,MATCH(COLUMNS($V$1006:W1006),$V$1006:$AE$1006,0))&gt;=100000), " ",IF(INDEX($V$2:$AE$1001,MATCH(ROWS($O$2:O32),$O$2:$O$1001,0),MATCH(COLUMNS($V$1006:W1006),$V$1006:$AE$1006,0)), HYPERLINK("#",""), HYPERLINK(CONCATENATE("#Metadata!", ADDRESS(INDEX($Q$2:$Q$1001,MATCH(ROWS($O$2:O32),$O$2:$O$1001,0),0), INDEX($V$1004:$AE$1004,1,MATCH(COLUMNS($V$1006:W1006),$V$1006:$AE$1006,0)))),"Fix")))</f>
        <v>0</v>
      </c>
      <c r="D32" s="3">
        <f>IF(OR(INDEX($P$2:$P$1001,MATCH(ROWS($O$2:O32),$O$2:$O$1001,0),1)&gt;=100000,INDEX($V$1005:$AE$1005,1,MATCH(COLUMNS($V$1006:X1006),$V$1006:$AE$1006,0))&gt;=100000), " ",IF(INDEX($V$2:$AE$1001,MATCH(ROWS($O$2:O32),$O$2:$O$1001,0),MATCH(COLUMNS($V$1006:X1006),$V$1006:$AE$1006,0)), HYPERLINK("#",""), HYPERLINK(CONCATENATE("#Metadata!", ADDRESS(INDEX($Q$2:$Q$1001,MATCH(ROWS($O$2:O32),$O$2:$O$1001,0),0), INDEX($V$1004:$AE$1004,1,MATCH(COLUMNS($V$1006:X1006),$V$1006:$AE$1006,0)))),"Fix")))</f>
        <v>0</v>
      </c>
      <c r="E32" s="3">
        <f>IF(OR(INDEX($P$2:$P$1001,MATCH(ROWS($O$2:O32),$O$2:$O$1001,0),1)&gt;=100000,INDEX($V$1005:$AE$1005,1,MATCH(COLUMNS($V$1006:Y1006),$V$1006:$AE$1006,0))&gt;=100000), " ",IF(INDEX($V$2:$AE$1001,MATCH(ROWS($O$2:O32),$O$2:$O$1001,0),MATCH(COLUMNS($V$1006:Y1006),$V$1006:$AE$1006,0)), HYPERLINK("#",""), HYPERLINK(CONCATENATE("#Metadata!", ADDRESS(INDEX($Q$2:$Q$1001,MATCH(ROWS($O$2:O32),$O$2:$O$1001,0),0), INDEX($V$1004:$AE$1004,1,MATCH(COLUMNS($V$1006:Y1006),$V$1006:$AE$1006,0)))),"Fix")))</f>
        <v>0</v>
      </c>
      <c r="F32" s="3">
        <f>IF(OR(INDEX($P$2:$P$1001,MATCH(ROWS($O$2:O32),$O$2:$O$1001,0),1)&gt;=100000,INDEX($V$1005:$AE$1005,1,MATCH(COLUMNS($V$1006:Z1006),$V$1006:$AE$1006,0))&gt;=100000), " ",IF(INDEX($V$2:$AE$1001,MATCH(ROWS($O$2:O32),$O$2:$O$1001,0),MATCH(COLUMNS($V$1006:Z1006),$V$1006:$AE$1006,0)), HYPERLINK("#",""), HYPERLINK(CONCATENATE("#Metadata!", ADDRESS(INDEX($Q$2:$Q$1001,MATCH(ROWS($O$2:O32),$O$2:$O$1001,0),0), INDEX($V$1004:$AE$1004,1,MATCH(COLUMNS($V$1006:Z1006),$V$1006:$AE$1006,0)))),"Fix")))</f>
        <v>0</v>
      </c>
      <c r="G32" s="3">
        <f>IF(OR(INDEX($P$2:$P$1001,MATCH(ROWS($O$2:O32),$O$2:$O$1001,0),1)&gt;=100000,INDEX($V$1005:$AE$1005,1,MATCH(COLUMNS($V$1006:AA1006),$V$1006:$AE$1006,0))&gt;=100000), " ",IF(INDEX($V$2:$AE$1001,MATCH(ROWS($O$2:O32),$O$2:$O$1001,0),MATCH(COLUMNS($V$1006:AA1006),$V$1006:$AE$1006,0)), HYPERLINK("#",""), HYPERLINK(CONCATENATE("#Metadata!", ADDRESS(INDEX($Q$2:$Q$1001,MATCH(ROWS($O$2:O32),$O$2:$O$1001,0),0), INDEX($V$1004:$AE$1004,1,MATCH(COLUMNS($V$1006:AA1006),$V$1006:$AE$1006,0)))),"Fix")))</f>
        <v>0</v>
      </c>
      <c r="H32" s="3">
        <f>IF(OR(INDEX($P$2:$P$1001,MATCH(ROWS($O$2:O32),$O$2:$O$1001,0),1)&gt;=100000,INDEX($V$1005:$AE$1005,1,MATCH(COLUMNS($V$1006:AB1006),$V$1006:$AE$1006,0))&gt;=100000), " ",IF(INDEX($V$2:$AE$1001,MATCH(ROWS($O$2:O32),$O$2:$O$1001,0),MATCH(COLUMNS($V$1006:AB1006),$V$1006:$AE$1006,0)), HYPERLINK("#",""), HYPERLINK(CONCATENATE("#Metadata!", ADDRESS(INDEX($Q$2:$Q$1001,MATCH(ROWS($O$2:O32),$O$2:$O$1001,0),0), INDEX($V$1004:$AE$1004,1,MATCH(COLUMNS($V$1006:AB1006),$V$1006:$AE$1006,0)))),"Fix")))</f>
        <v>0</v>
      </c>
      <c r="I32" s="3">
        <f>IF(OR(INDEX($P$2:$P$1001,MATCH(ROWS($O$2:O32),$O$2:$O$1001,0),1)&gt;=100000,INDEX($V$1005:$AE$1005,1,MATCH(COLUMNS($V$1006:AC1006),$V$1006:$AE$1006,0))&gt;=100000), " ",IF(INDEX($V$2:$AE$1001,MATCH(ROWS($O$2:O32),$O$2:$O$1001,0),MATCH(COLUMNS($V$1006:AC1006),$V$1006:$AE$1006,0)), HYPERLINK("#",""), HYPERLINK(CONCATENATE("#Metadata!", ADDRESS(INDEX($Q$2:$Q$1001,MATCH(ROWS($O$2:O32),$O$2:$O$1001,0),0), INDEX($V$1004:$AE$1004,1,MATCH(COLUMNS($V$1006:AC1006),$V$1006:$AE$1006,0)))),"Fix")))</f>
        <v>0</v>
      </c>
      <c r="J32" s="3">
        <f>IF(OR(INDEX($P$2:$P$1001,MATCH(ROWS($O$2:O32),$O$2:$O$1001,0),1)&gt;=100000,INDEX($V$1005:$AE$1005,1,MATCH(COLUMNS($V$1006:AD1006),$V$1006:$AE$1006,0))&gt;=100000), " ",IF(INDEX($V$2:$AE$1001,MATCH(ROWS($O$2:O32),$O$2:$O$1001,0),MATCH(COLUMNS($V$1006:AD1006),$V$1006:$AE$1006,0)), HYPERLINK("#",""), HYPERLINK(CONCATENATE("#Metadata!", ADDRESS(INDEX($Q$2:$Q$1001,MATCH(ROWS($O$2:O32),$O$2:$O$1001,0),0), INDEX($V$1004:$AE$1004,1,MATCH(COLUMNS($V$1006:AD1006),$V$1006:$AE$1006,0)))),"Fix")))</f>
        <v>0</v>
      </c>
      <c r="K32" s="3">
        <f>IF(OR(INDEX($P$2:$P$1001,MATCH(ROWS($O$2:O32),$O$2:$O$1001,0),1)&gt;=100000,INDEX($V$1005:$AE$1005,1,MATCH(COLUMNS($V$1006:AE1006),$V$1006:$AE$1006,0))&gt;=100000), " ",IF(INDEX($V$2:$AE$1001,MATCH(ROWS($O$2:O32),$O$2:$O$1001,0),MATCH(COLUMNS($V$1006:AE1006),$V$1006:$AE$1006,0)), HYPERLINK("#",""), HYPERLINK(CONCATENATE("#Metadata!", ADDRESS(INDEX($Q$2:$Q$1001,MATCH(ROWS($O$2:O32),$O$2:$O$1001,0),0), INDEX($V$1004:$AE$1004,1,MATCH(COLUMNS($V$1006:AE1006),$V$1006:$AE$1006,0)))),"Fix")))</f>
        <v>0</v>
      </c>
      <c r="O32">
        <v>0</v>
      </c>
      <c r="P32">
        <v>0</v>
      </c>
      <c r="Q32">
        <v>0</v>
      </c>
      <c r="R32">
        <f>IF(S32,TRUE,AND(V32:AE32))</f>
        <v>0</v>
      </c>
      <c r="S32">
        <f>COUNTBLANK(Metadata!B32:K32)=COLUMNS(Metadata!B32:K32)</f>
        <v>0</v>
      </c>
      <c r="T32">
        <v>0</v>
      </c>
      <c r="V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W32">
        <f>AND(IF(Metadata!C32="",FALSE,TRUE),exact(Metadata!C32,"animal secretion"))</f>
        <v>0</v>
      </c>
      <c r="X32">
        <f>AND(IF(Metadata!D32="",FALSE,TRUE),exact(Metadata!D32,"saliva"))</f>
        <v>0</v>
      </c>
      <c r="Y32">
        <f>AND(IF(Metadata!E32="",FALSE,TRUE),exact(Metadata!E32,"human-oral"))</f>
        <v>0</v>
      </c>
      <c r="Z32">
        <f>AND(IF(Metadata!F32="",FALSE,TRUE),exact(Metadata!F32,"UBERON:oral cavity"))</f>
        <v>0</v>
      </c>
      <c r="AA32">
        <f>AND(IF(Metadata!G32="",FALSE,TRUE),exact(Metadata!G32,"UBERON:saliva"))</f>
        <v>0</v>
      </c>
      <c r="AB32">
        <f>AND(IF(Metadata!H32="",FALSE,TRUE),exact(Metadata!H32,"UBERON:tongue"))</f>
        <v>0</v>
      </c>
      <c r="AC32">
        <f>AND(IF(Metadata!I32="",FALSE,TRUE),exact(Metadata!I32,"tongue"))</f>
        <v>0</v>
      </c>
      <c r="AD32">
        <f>AND(IF(Metadata!J32="",FALSE,TRUE),exact(Metadata!J32,"human oral metagenome"))</f>
        <v>0</v>
      </c>
      <c r="AE32">
        <f>AND(IF(Metadata!K32="",FALSE,TRUE),exact(Metadata!K32,"447426"))</f>
        <v>0</v>
      </c>
    </row>
    <row r="33" spans="1:31">
      <c r="A33" s="4">
        <f>IF(B33=" "," ",HYPERLINK(CONCATENATE("#metadata!",ADDRESS(INDEX($Q$2:$Q$1001,MATCH(ROWS($O$2:O33),$O$2:$O$1001,0),0),1)),INDEX($T$2:$T$1001,MATCH(ROWS($O$2:O33),$O$2:$O$1001,0),0)))</f>
        <v>0</v>
      </c>
      <c r="B33" s="3">
        <f>IF(OR(INDEX($P$2:$P$1001,MATCH(ROWS($O$2:O33),$O$2:$O$1001,0),1)&gt;=100000,INDEX($V$1005:$AE$1005,1,MATCH(COLUMNS($V$1006:V1006),$V$1006:$AE$1006,0))&gt;=100000), " ",IF(INDEX($V$2:$AE$1001,MATCH(ROWS($O$2:O33),$O$2:$O$1001,0),MATCH(COLUMNS($V$1006:V1006),$V$1006:$AE$1006,0)), HYPERLINK("#",""), HYPERLINK(CONCATENATE("#Metadata!", ADDRESS(INDEX($Q$2:$Q$1001,MATCH(ROWS($O$2:O33),$O$2:$O$1001,0),0), INDEX($V$1004:$AE$1004,1,MATCH(COLUMNS($V$1006:V1006),$V$1006:$AE$1006,0)))),"Fix")))</f>
        <v>0</v>
      </c>
      <c r="C33" s="3">
        <f>IF(OR(INDEX($P$2:$P$1001,MATCH(ROWS($O$2:O33),$O$2:$O$1001,0),1)&gt;=100000,INDEX($V$1005:$AE$1005,1,MATCH(COLUMNS($V$1006:W1006),$V$1006:$AE$1006,0))&gt;=100000), " ",IF(INDEX($V$2:$AE$1001,MATCH(ROWS($O$2:O33),$O$2:$O$1001,0),MATCH(COLUMNS($V$1006:W1006),$V$1006:$AE$1006,0)), HYPERLINK("#",""), HYPERLINK(CONCATENATE("#Metadata!", ADDRESS(INDEX($Q$2:$Q$1001,MATCH(ROWS($O$2:O33),$O$2:$O$1001,0),0), INDEX($V$1004:$AE$1004,1,MATCH(COLUMNS($V$1006:W1006),$V$1006:$AE$1006,0)))),"Fix")))</f>
        <v>0</v>
      </c>
      <c r="D33" s="3">
        <f>IF(OR(INDEX($P$2:$P$1001,MATCH(ROWS($O$2:O33),$O$2:$O$1001,0),1)&gt;=100000,INDEX($V$1005:$AE$1005,1,MATCH(COLUMNS($V$1006:X1006),$V$1006:$AE$1006,0))&gt;=100000), " ",IF(INDEX($V$2:$AE$1001,MATCH(ROWS($O$2:O33),$O$2:$O$1001,0),MATCH(COLUMNS($V$1006:X1006),$V$1006:$AE$1006,0)), HYPERLINK("#",""), HYPERLINK(CONCATENATE("#Metadata!", ADDRESS(INDEX($Q$2:$Q$1001,MATCH(ROWS($O$2:O33),$O$2:$O$1001,0),0), INDEX($V$1004:$AE$1004,1,MATCH(COLUMNS($V$1006:X1006),$V$1006:$AE$1006,0)))),"Fix")))</f>
        <v>0</v>
      </c>
      <c r="E33" s="3">
        <f>IF(OR(INDEX($P$2:$P$1001,MATCH(ROWS($O$2:O33),$O$2:$O$1001,0),1)&gt;=100000,INDEX($V$1005:$AE$1005,1,MATCH(COLUMNS($V$1006:Y1006),$V$1006:$AE$1006,0))&gt;=100000), " ",IF(INDEX($V$2:$AE$1001,MATCH(ROWS($O$2:O33),$O$2:$O$1001,0),MATCH(COLUMNS($V$1006:Y1006),$V$1006:$AE$1006,0)), HYPERLINK("#",""), HYPERLINK(CONCATENATE("#Metadata!", ADDRESS(INDEX($Q$2:$Q$1001,MATCH(ROWS($O$2:O33),$O$2:$O$1001,0),0), INDEX($V$1004:$AE$1004,1,MATCH(COLUMNS($V$1006:Y1006),$V$1006:$AE$1006,0)))),"Fix")))</f>
        <v>0</v>
      </c>
      <c r="F33" s="3">
        <f>IF(OR(INDEX($P$2:$P$1001,MATCH(ROWS($O$2:O33),$O$2:$O$1001,0),1)&gt;=100000,INDEX($V$1005:$AE$1005,1,MATCH(COLUMNS($V$1006:Z1006),$V$1006:$AE$1006,0))&gt;=100000), " ",IF(INDEX($V$2:$AE$1001,MATCH(ROWS($O$2:O33),$O$2:$O$1001,0),MATCH(COLUMNS($V$1006:Z1006),$V$1006:$AE$1006,0)), HYPERLINK("#",""), HYPERLINK(CONCATENATE("#Metadata!", ADDRESS(INDEX($Q$2:$Q$1001,MATCH(ROWS($O$2:O33),$O$2:$O$1001,0),0), INDEX($V$1004:$AE$1004,1,MATCH(COLUMNS($V$1006:Z1006),$V$1006:$AE$1006,0)))),"Fix")))</f>
        <v>0</v>
      </c>
      <c r="G33" s="3">
        <f>IF(OR(INDEX($P$2:$P$1001,MATCH(ROWS($O$2:O33),$O$2:$O$1001,0),1)&gt;=100000,INDEX($V$1005:$AE$1005,1,MATCH(COLUMNS($V$1006:AA1006),$V$1006:$AE$1006,0))&gt;=100000), " ",IF(INDEX($V$2:$AE$1001,MATCH(ROWS($O$2:O33),$O$2:$O$1001,0),MATCH(COLUMNS($V$1006:AA1006),$V$1006:$AE$1006,0)), HYPERLINK("#",""), HYPERLINK(CONCATENATE("#Metadata!", ADDRESS(INDEX($Q$2:$Q$1001,MATCH(ROWS($O$2:O33),$O$2:$O$1001,0),0), INDEX($V$1004:$AE$1004,1,MATCH(COLUMNS($V$1006:AA1006),$V$1006:$AE$1006,0)))),"Fix")))</f>
        <v>0</v>
      </c>
      <c r="H33" s="3">
        <f>IF(OR(INDEX($P$2:$P$1001,MATCH(ROWS($O$2:O33),$O$2:$O$1001,0),1)&gt;=100000,INDEX($V$1005:$AE$1005,1,MATCH(COLUMNS($V$1006:AB1006),$V$1006:$AE$1006,0))&gt;=100000), " ",IF(INDEX($V$2:$AE$1001,MATCH(ROWS($O$2:O33),$O$2:$O$1001,0),MATCH(COLUMNS($V$1006:AB1006),$V$1006:$AE$1006,0)), HYPERLINK("#",""), HYPERLINK(CONCATENATE("#Metadata!", ADDRESS(INDEX($Q$2:$Q$1001,MATCH(ROWS($O$2:O33),$O$2:$O$1001,0),0), INDEX($V$1004:$AE$1004,1,MATCH(COLUMNS($V$1006:AB1006),$V$1006:$AE$1006,0)))),"Fix")))</f>
        <v>0</v>
      </c>
      <c r="I33" s="3">
        <f>IF(OR(INDEX($P$2:$P$1001,MATCH(ROWS($O$2:O33),$O$2:$O$1001,0),1)&gt;=100000,INDEX($V$1005:$AE$1005,1,MATCH(COLUMNS($V$1006:AC1006),$V$1006:$AE$1006,0))&gt;=100000), " ",IF(INDEX($V$2:$AE$1001,MATCH(ROWS($O$2:O33),$O$2:$O$1001,0),MATCH(COLUMNS($V$1006:AC1006),$V$1006:$AE$1006,0)), HYPERLINK("#",""), HYPERLINK(CONCATENATE("#Metadata!", ADDRESS(INDEX($Q$2:$Q$1001,MATCH(ROWS($O$2:O33),$O$2:$O$1001,0),0), INDEX($V$1004:$AE$1004,1,MATCH(COLUMNS($V$1006:AC1006),$V$1006:$AE$1006,0)))),"Fix")))</f>
        <v>0</v>
      </c>
      <c r="J33" s="3">
        <f>IF(OR(INDEX($P$2:$P$1001,MATCH(ROWS($O$2:O33),$O$2:$O$1001,0),1)&gt;=100000,INDEX($V$1005:$AE$1005,1,MATCH(COLUMNS($V$1006:AD1006),$V$1006:$AE$1006,0))&gt;=100000), " ",IF(INDEX($V$2:$AE$1001,MATCH(ROWS($O$2:O33),$O$2:$O$1001,0),MATCH(COLUMNS($V$1006:AD1006),$V$1006:$AE$1006,0)), HYPERLINK("#",""), HYPERLINK(CONCATENATE("#Metadata!", ADDRESS(INDEX($Q$2:$Q$1001,MATCH(ROWS($O$2:O33),$O$2:$O$1001,0),0), INDEX($V$1004:$AE$1004,1,MATCH(COLUMNS($V$1006:AD1006),$V$1006:$AE$1006,0)))),"Fix")))</f>
        <v>0</v>
      </c>
      <c r="K33" s="3">
        <f>IF(OR(INDEX($P$2:$P$1001,MATCH(ROWS($O$2:O33),$O$2:$O$1001,0),1)&gt;=100000,INDEX($V$1005:$AE$1005,1,MATCH(COLUMNS($V$1006:AE1006),$V$1006:$AE$1006,0))&gt;=100000), " ",IF(INDEX($V$2:$AE$1001,MATCH(ROWS($O$2:O33),$O$2:$O$1001,0),MATCH(COLUMNS($V$1006:AE1006),$V$1006:$AE$1006,0)), HYPERLINK("#",""), HYPERLINK(CONCATENATE("#Metadata!", ADDRESS(INDEX($Q$2:$Q$1001,MATCH(ROWS($O$2:O33),$O$2:$O$1001,0),0), INDEX($V$1004:$AE$1004,1,MATCH(COLUMNS($V$1006:AE1006),$V$1006:$AE$1006,0)))),"Fix")))</f>
        <v>0</v>
      </c>
      <c r="O33">
        <v>0</v>
      </c>
      <c r="P33">
        <v>0</v>
      </c>
      <c r="Q33">
        <v>0</v>
      </c>
      <c r="R33">
        <f>IF(S33,TRUE,AND(V33:AE33))</f>
        <v>0</v>
      </c>
      <c r="S33">
        <f>COUNTBLANK(Metadata!B33:K33)=COLUMNS(Metadata!B33:K33)</f>
        <v>0</v>
      </c>
      <c r="T33">
        <v>0</v>
      </c>
      <c r="V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W33">
        <f>AND(IF(Metadata!C33="",FALSE,TRUE),exact(Metadata!C33,"animal secretion"))</f>
        <v>0</v>
      </c>
      <c r="X33">
        <f>AND(IF(Metadata!D33="",FALSE,TRUE),exact(Metadata!D33,"saliva"))</f>
        <v>0</v>
      </c>
      <c r="Y33">
        <f>AND(IF(Metadata!E33="",FALSE,TRUE),exact(Metadata!E33,"human-oral"))</f>
        <v>0</v>
      </c>
      <c r="Z33">
        <f>AND(IF(Metadata!F33="",FALSE,TRUE),exact(Metadata!F33,"UBERON:oral cavity"))</f>
        <v>0</v>
      </c>
      <c r="AA33">
        <f>AND(IF(Metadata!G33="",FALSE,TRUE),exact(Metadata!G33,"UBERON:saliva"))</f>
        <v>0</v>
      </c>
      <c r="AB33">
        <f>AND(IF(Metadata!H33="",FALSE,TRUE),exact(Metadata!H33,"UBERON:tongue"))</f>
        <v>0</v>
      </c>
      <c r="AC33">
        <f>AND(IF(Metadata!I33="",FALSE,TRUE),exact(Metadata!I33,"tongue"))</f>
        <v>0</v>
      </c>
      <c r="AD33">
        <f>AND(IF(Metadata!J33="",FALSE,TRUE),exact(Metadata!J33,"human oral metagenome"))</f>
        <v>0</v>
      </c>
      <c r="AE33">
        <f>AND(IF(Metadata!K33="",FALSE,TRUE),exact(Metadata!K33,"447426"))</f>
        <v>0</v>
      </c>
    </row>
    <row r="34" spans="1:31">
      <c r="A34" s="4">
        <f>IF(B34=" "," ",HYPERLINK(CONCATENATE("#metadata!",ADDRESS(INDEX($Q$2:$Q$1001,MATCH(ROWS($O$2:O34),$O$2:$O$1001,0),0),1)),INDEX($T$2:$T$1001,MATCH(ROWS($O$2:O34),$O$2:$O$1001,0),0)))</f>
        <v>0</v>
      </c>
      <c r="B34" s="3">
        <f>IF(OR(INDEX($P$2:$P$1001,MATCH(ROWS($O$2:O34),$O$2:$O$1001,0),1)&gt;=100000,INDEX($V$1005:$AE$1005,1,MATCH(COLUMNS($V$1006:V1006),$V$1006:$AE$1006,0))&gt;=100000), " ",IF(INDEX($V$2:$AE$1001,MATCH(ROWS($O$2:O34),$O$2:$O$1001,0),MATCH(COLUMNS($V$1006:V1006),$V$1006:$AE$1006,0)), HYPERLINK("#",""), HYPERLINK(CONCATENATE("#Metadata!", ADDRESS(INDEX($Q$2:$Q$1001,MATCH(ROWS($O$2:O34),$O$2:$O$1001,0),0), INDEX($V$1004:$AE$1004,1,MATCH(COLUMNS($V$1006:V1006),$V$1006:$AE$1006,0)))),"Fix")))</f>
        <v>0</v>
      </c>
      <c r="C34" s="3">
        <f>IF(OR(INDEX($P$2:$P$1001,MATCH(ROWS($O$2:O34),$O$2:$O$1001,0),1)&gt;=100000,INDEX($V$1005:$AE$1005,1,MATCH(COLUMNS($V$1006:W1006),$V$1006:$AE$1006,0))&gt;=100000), " ",IF(INDEX($V$2:$AE$1001,MATCH(ROWS($O$2:O34),$O$2:$O$1001,0),MATCH(COLUMNS($V$1006:W1006),$V$1006:$AE$1006,0)), HYPERLINK("#",""), HYPERLINK(CONCATENATE("#Metadata!", ADDRESS(INDEX($Q$2:$Q$1001,MATCH(ROWS($O$2:O34),$O$2:$O$1001,0),0), INDEX($V$1004:$AE$1004,1,MATCH(COLUMNS($V$1006:W1006),$V$1006:$AE$1006,0)))),"Fix")))</f>
        <v>0</v>
      </c>
      <c r="D34" s="3">
        <f>IF(OR(INDEX($P$2:$P$1001,MATCH(ROWS($O$2:O34),$O$2:$O$1001,0),1)&gt;=100000,INDEX($V$1005:$AE$1005,1,MATCH(COLUMNS($V$1006:X1006),$V$1006:$AE$1006,0))&gt;=100000), " ",IF(INDEX($V$2:$AE$1001,MATCH(ROWS($O$2:O34),$O$2:$O$1001,0),MATCH(COLUMNS($V$1006:X1006),$V$1006:$AE$1006,0)), HYPERLINK("#",""), HYPERLINK(CONCATENATE("#Metadata!", ADDRESS(INDEX($Q$2:$Q$1001,MATCH(ROWS($O$2:O34),$O$2:$O$1001,0),0), INDEX($V$1004:$AE$1004,1,MATCH(COLUMNS($V$1006:X1006),$V$1006:$AE$1006,0)))),"Fix")))</f>
        <v>0</v>
      </c>
      <c r="E34" s="3">
        <f>IF(OR(INDEX($P$2:$P$1001,MATCH(ROWS($O$2:O34),$O$2:$O$1001,0),1)&gt;=100000,INDEX($V$1005:$AE$1005,1,MATCH(COLUMNS($V$1006:Y1006),$V$1006:$AE$1006,0))&gt;=100000), " ",IF(INDEX($V$2:$AE$1001,MATCH(ROWS($O$2:O34),$O$2:$O$1001,0),MATCH(COLUMNS($V$1006:Y1006),$V$1006:$AE$1006,0)), HYPERLINK("#",""), HYPERLINK(CONCATENATE("#Metadata!", ADDRESS(INDEX($Q$2:$Q$1001,MATCH(ROWS($O$2:O34),$O$2:$O$1001,0),0), INDEX($V$1004:$AE$1004,1,MATCH(COLUMNS($V$1006:Y1006),$V$1006:$AE$1006,0)))),"Fix")))</f>
        <v>0</v>
      </c>
      <c r="F34" s="3">
        <f>IF(OR(INDEX($P$2:$P$1001,MATCH(ROWS($O$2:O34),$O$2:$O$1001,0),1)&gt;=100000,INDEX($V$1005:$AE$1005,1,MATCH(COLUMNS($V$1006:Z1006),$V$1006:$AE$1006,0))&gt;=100000), " ",IF(INDEX($V$2:$AE$1001,MATCH(ROWS($O$2:O34),$O$2:$O$1001,0),MATCH(COLUMNS($V$1006:Z1006),$V$1006:$AE$1006,0)), HYPERLINK("#",""), HYPERLINK(CONCATENATE("#Metadata!", ADDRESS(INDEX($Q$2:$Q$1001,MATCH(ROWS($O$2:O34),$O$2:$O$1001,0),0), INDEX($V$1004:$AE$1004,1,MATCH(COLUMNS($V$1006:Z1006),$V$1006:$AE$1006,0)))),"Fix")))</f>
        <v>0</v>
      </c>
      <c r="G34" s="3">
        <f>IF(OR(INDEX($P$2:$P$1001,MATCH(ROWS($O$2:O34),$O$2:$O$1001,0),1)&gt;=100000,INDEX($V$1005:$AE$1005,1,MATCH(COLUMNS($V$1006:AA1006),$V$1006:$AE$1006,0))&gt;=100000), " ",IF(INDEX($V$2:$AE$1001,MATCH(ROWS($O$2:O34),$O$2:$O$1001,0),MATCH(COLUMNS($V$1006:AA1006),$V$1006:$AE$1006,0)), HYPERLINK("#",""), HYPERLINK(CONCATENATE("#Metadata!", ADDRESS(INDEX($Q$2:$Q$1001,MATCH(ROWS($O$2:O34),$O$2:$O$1001,0),0), INDEX($V$1004:$AE$1004,1,MATCH(COLUMNS($V$1006:AA1006),$V$1006:$AE$1006,0)))),"Fix")))</f>
        <v>0</v>
      </c>
      <c r="H34" s="3">
        <f>IF(OR(INDEX($P$2:$P$1001,MATCH(ROWS($O$2:O34),$O$2:$O$1001,0),1)&gt;=100000,INDEX($V$1005:$AE$1005,1,MATCH(COLUMNS($V$1006:AB1006),$V$1006:$AE$1006,0))&gt;=100000), " ",IF(INDEX($V$2:$AE$1001,MATCH(ROWS($O$2:O34),$O$2:$O$1001,0),MATCH(COLUMNS($V$1006:AB1006),$V$1006:$AE$1006,0)), HYPERLINK("#",""), HYPERLINK(CONCATENATE("#Metadata!", ADDRESS(INDEX($Q$2:$Q$1001,MATCH(ROWS($O$2:O34),$O$2:$O$1001,0),0), INDEX($V$1004:$AE$1004,1,MATCH(COLUMNS($V$1006:AB1006),$V$1006:$AE$1006,0)))),"Fix")))</f>
        <v>0</v>
      </c>
      <c r="I34" s="3">
        <f>IF(OR(INDEX($P$2:$P$1001,MATCH(ROWS($O$2:O34),$O$2:$O$1001,0),1)&gt;=100000,INDEX($V$1005:$AE$1005,1,MATCH(COLUMNS($V$1006:AC1006),$V$1006:$AE$1006,0))&gt;=100000), " ",IF(INDEX($V$2:$AE$1001,MATCH(ROWS($O$2:O34),$O$2:$O$1001,0),MATCH(COLUMNS($V$1006:AC1006),$V$1006:$AE$1006,0)), HYPERLINK("#",""), HYPERLINK(CONCATENATE("#Metadata!", ADDRESS(INDEX($Q$2:$Q$1001,MATCH(ROWS($O$2:O34),$O$2:$O$1001,0),0), INDEX($V$1004:$AE$1004,1,MATCH(COLUMNS($V$1006:AC1006),$V$1006:$AE$1006,0)))),"Fix")))</f>
        <v>0</v>
      </c>
      <c r="J34" s="3">
        <f>IF(OR(INDEX($P$2:$P$1001,MATCH(ROWS($O$2:O34),$O$2:$O$1001,0),1)&gt;=100000,INDEX($V$1005:$AE$1005,1,MATCH(COLUMNS($V$1006:AD1006),$V$1006:$AE$1006,0))&gt;=100000), " ",IF(INDEX($V$2:$AE$1001,MATCH(ROWS($O$2:O34),$O$2:$O$1001,0),MATCH(COLUMNS($V$1006:AD1006),$V$1006:$AE$1006,0)), HYPERLINK("#",""), HYPERLINK(CONCATENATE("#Metadata!", ADDRESS(INDEX($Q$2:$Q$1001,MATCH(ROWS($O$2:O34),$O$2:$O$1001,0),0), INDEX($V$1004:$AE$1004,1,MATCH(COLUMNS($V$1006:AD1006),$V$1006:$AE$1006,0)))),"Fix")))</f>
        <v>0</v>
      </c>
      <c r="K34" s="3">
        <f>IF(OR(INDEX($P$2:$P$1001,MATCH(ROWS($O$2:O34),$O$2:$O$1001,0),1)&gt;=100000,INDEX($V$1005:$AE$1005,1,MATCH(COLUMNS($V$1006:AE1006),$V$1006:$AE$1006,0))&gt;=100000), " ",IF(INDEX($V$2:$AE$1001,MATCH(ROWS($O$2:O34),$O$2:$O$1001,0),MATCH(COLUMNS($V$1006:AE1006),$V$1006:$AE$1006,0)), HYPERLINK("#",""), HYPERLINK(CONCATENATE("#Metadata!", ADDRESS(INDEX($Q$2:$Q$1001,MATCH(ROWS($O$2:O34),$O$2:$O$1001,0),0), INDEX($V$1004:$AE$1004,1,MATCH(COLUMNS($V$1006:AE1006),$V$1006:$AE$1006,0)))),"Fix")))</f>
        <v>0</v>
      </c>
      <c r="O34">
        <v>0</v>
      </c>
      <c r="P34">
        <v>0</v>
      </c>
      <c r="Q34">
        <v>0</v>
      </c>
      <c r="R34">
        <f>IF(S34,TRUE,AND(V34:AE34))</f>
        <v>0</v>
      </c>
      <c r="S34">
        <f>COUNTBLANK(Metadata!B34:K34)=COLUMNS(Metadata!B34:K34)</f>
        <v>0</v>
      </c>
      <c r="T34">
        <v>0</v>
      </c>
      <c r="V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W34">
        <f>AND(IF(Metadata!C34="",FALSE,TRUE),exact(Metadata!C34,"animal secretion"))</f>
        <v>0</v>
      </c>
      <c r="X34">
        <f>AND(IF(Metadata!D34="",FALSE,TRUE),exact(Metadata!D34,"saliva"))</f>
        <v>0</v>
      </c>
      <c r="Y34">
        <f>AND(IF(Metadata!E34="",FALSE,TRUE),exact(Metadata!E34,"human-oral"))</f>
        <v>0</v>
      </c>
      <c r="Z34">
        <f>AND(IF(Metadata!F34="",FALSE,TRUE),exact(Metadata!F34,"UBERON:oral cavity"))</f>
        <v>0</v>
      </c>
      <c r="AA34">
        <f>AND(IF(Metadata!G34="",FALSE,TRUE),exact(Metadata!G34,"UBERON:saliva"))</f>
        <v>0</v>
      </c>
      <c r="AB34">
        <f>AND(IF(Metadata!H34="",FALSE,TRUE),exact(Metadata!H34,"UBERON:tongue"))</f>
        <v>0</v>
      </c>
      <c r="AC34">
        <f>AND(IF(Metadata!I34="",FALSE,TRUE),exact(Metadata!I34,"tongue"))</f>
        <v>0</v>
      </c>
      <c r="AD34">
        <f>AND(IF(Metadata!J34="",FALSE,TRUE),exact(Metadata!J34,"human oral metagenome"))</f>
        <v>0</v>
      </c>
      <c r="AE34">
        <f>AND(IF(Metadata!K34="",FALSE,TRUE),exact(Metadata!K34,"447426"))</f>
        <v>0</v>
      </c>
    </row>
    <row r="35" spans="1:31">
      <c r="A35" s="4">
        <f>IF(B35=" "," ",HYPERLINK(CONCATENATE("#metadata!",ADDRESS(INDEX($Q$2:$Q$1001,MATCH(ROWS($O$2:O35),$O$2:$O$1001,0),0),1)),INDEX($T$2:$T$1001,MATCH(ROWS($O$2:O35),$O$2:$O$1001,0),0)))</f>
        <v>0</v>
      </c>
      <c r="B35" s="3">
        <f>IF(OR(INDEX($P$2:$P$1001,MATCH(ROWS($O$2:O35),$O$2:$O$1001,0),1)&gt;=100000,INDEX($V$1005:$AE$1005,1,MATCH(COLUMNS($V$1006:V1006),$V$1006:$AE$1006,0))&gt;=100000), " ",IF(INDEX($V$2:$AE$1001,MATCH(ROWS($O$2:O35),$O$2:$O$1001,0),MATCH(COLUMNS($V$1006:V1006),$V$1006:$AE$1006,0)), HYPERLINK("#",""), HYPERLINK(CONCATENATE("#Metadata!", ADDRESS(INDEX($Q$2:$Q$1001,MATCH(ROWS($O$2:O35),$O$2:$O$1001,0),0), INDEX($V$1004:$AE$1004,1,MATCH(COLUMNS($V$1006:V1006),$V$1006:$AE$1006,0)))),"Fix")))</f>
        <v>0</v>
      </c>
      <c r="C35" s="3">
        <f>IF(OR(INDEX($P$2:$P$1001,MATCH(ROWS($O$2:O35),$O$2:$O$1001,0),1)&gt;=100000,INDEX($V$1005:$AE$1005,1,MATCH(COLUMNS($V$1006:W1006),$V$1006:$AE$1006,0))&gt;=100000), " ",IF(INDEX($V$2:$AE$1001,MATCH(ROWS($O$2:O35),$O$2:$O$1001,0),MATCH(COLUMNS($V$1006:W1006),$V$1006:$AE$1006,0)), HYPERLINK("#",""), HYPERLINK(CONCATENATE("#Metadata!", ADDRESS(INDEX($Q$2:$Q$1001,MATCH(ROWS($O$2:O35),$O$2:$O$1001,0),0), INDEX($V$1004:$AE$1004,1,MATCH(COLUMNS($V$1006:W1006),$V$1006:$AE$1006,0)))),"Fix")))</f>
        <v>0</v>
      </c>
      <c r="D35" s="3">
        <f>IF(OR(INDEX($P$2:$P$1001,MATCH(ROWS($O$2:O35),$O$2:$O$1001,0),1)&gt;=100000,INDEX($V$1005:$AE$1005,1,MATCH(COLUMNS($V$1006:X1006),$V$1006:$AE$1006,0))&gt;=100000), " ",IF(INDEX($V$2:$AE$1001,MATCH(ROWS($O$2:O35),$O$2:$O$1001,0),MATCH(COLUMNS($V$1006:X1006),$V$1006:$AE$1006,0)), HYPERLINK("#",""), HYPERLINK(CONCATENATE("#Metadata!", ADDRESS(INDEX($Q$2:$Q$1001,MATCH(ROWS($O$2:O35),$O$2:$O$1001,0),0), INDEX($V$1004:$AE$1004,1,MATCH(COLUMNS($V$1006:X1006),$V$1006:$AE$1006,0)))),"Fix")))</f>
        <v>0</v>
      </c>
      <c r="E35" s="3">
        <f>IF(OR(INDEX($P$2:$P$1001,MATCH(ROWS($O$2:O35),$O$2:$O$1001,0),1)&gt;=100000,INDEX($V$1005:$AE$1005,1,MATCH(COLUMNS($V$1006:Y1006),$V$1006:$AE$1006,0))&gt;=100000), " ",IF(INDEX($V$2:$AE$1001,MATCH(ROWS($O$2:O35),$O$2:$O$1001,0),MATCH(COLUMNS($V$1006:Y1006),$V$1006:$AE$1006,0)), HYPERLINK("#",""), HYPERLINK(CONCATENATE("#Metadata!", ADDRESS(INDEX($Q$2:$Q$1001,MATCH(ROWS($O$2:O35),$O$2:$O$1001,0),0), INDEX($V$1004:$AE$1004,1,MATCH(COLUMNS($V$1006:Y1006),$V$1006:$AE$1006,0)))),"Fix")))</f>
        <v>0</v>
      </c>
      <c r="F35" s="3">
        <f>IF(OR(INDEX($P$2:$P$1001,MATCH(ROWS($O$2:O35),$O$2:$O$1001,0),1)&gt;=100000,INDEX($V$1005:$AE$1005,1,MATCH(COLUMNS($V$1006:Z1006),$V$1006:$AE$1006,0))&gt;=100000), " ",IF(INDEX($V$2:$AE$1001,MATCH(ROWS($O$2:O35),$O$2:$O$1001,0),MATCH(COLUMNS($V$1006:Z1006),$V$1006:$AE$1006,0)), HYPERLINK("#",""), HYPERLINK(CONCATENATE("#Metadata!", ADDRESS(INDEX($Q$2:$Q$1001,MATCH(ROWS($O$2:O35),$O$2:$O$1001,0),0), INDEX($V$1004:$AE$1004,1,MATCH(COLUMNS($V$1006:Z1006),$V$1006:$AE$1006,0)))),"Fix")))</f>
        <v>0</v>
      </c>
      <c r="G35" s="3">
        <f>IF(OR(INDEX($P$2:$P$1001,MATCH(ROWS($O$2:O35),$O$2:$O$1001,0),1)&gt;=100000,INDEX($V$1005:$AE$1005,1,MATCH(COLUMNS($V$1006:AA1006),$V$1006:$AE$1006,0))&gt;=100000), " ",IF(INDEX($V$2:$AE$1001,MATCH(ROWS($O$2:O35),$O$2:$O$1001,0),MATCH(COLUMNS($V$1006:AA1006),$V$1006:$AE$1006,0)), HYPERLINK("#",""), HYPERLINK(CONCATENATE("#Metadata!", ADDRESS(INDEX($Q$2:$Q$1001,MATCH(ROWS($O$2:O35),$O$2:$O$1001,0),0), INDEX($V$1004:$AE$1004,1,MATCH(COLUMNS($V$1006:AA1006),$V$1006:$AE$1006,0)))),"Fix")))</f>
        <v>0</v>
      </c>
      <c r="H35" s="3">
        <f>IF(OR(INDEX($P$2:$P$1001,MATCH(ROWS($O$2:O35),$O$2:$O$1001,0),1)&gt;=100000,INDEX($V$1005:$AE$1005,1,MATCH(COLUMNS($V$1006:AB1006),$V$1006:$AE$1006,0))&gt;=100000), " ",IF(INDEX($V$2:$AE$1001,MATCH(ROWS($O$2:O35),$O$2:$O$1001,0),MATCH(COLUMNS($V$1006:AB1006),$V$1006:$AE$1006,0)), HYPERLINK("#",""), HYPERLINK(CONCATENATE("#Metadata!", ADDRESS(INDEX($Q$2:$Q$1001,MATCH(ROWS($O$2:O35),$O$2:$O$1001,0),0), INDEX($V$1004:$AE$1004,1,MATCH(COLUMNS($V$1006:AB1006),$V$1006:$AE$1006,0)))),"Fix")))</f>
        <v>0</v>
      </c>
      <c r="I35" s="3">
        <f>IF(OR(INDEX($P$2:$P$1001,MATCH(ROWS($O$2:O35),$O$2:$O$1001,0),1)&gt;=100000,INDEX($V$1005:$AE$1005,1,MATCH(COLUMNS($V$1006:AC1006),$V$1006:$AE$1006,0))&gt;=100000), " ",IF(INDEX($V$2:$AE$1001,MATCH(ROWS($O$2:O35),$O$2:$O$1001,0),MATCH(COLUMNS($V$1006:AC1006),$V$1006:$AE$1006,0)), HYPERLINK("#",""), HYPERLINK(CONCATENATE("#Metadata!", ADDRESS(INDEX($Q$2:$Q$1001,MATCH(ROWS($O$2:O35),$O$2:$O$1001,0),0), INDEX($V$1004:$AE$1004,1,MATCH(COLUMNS($V$1006:AC1006),$V$1006:$AE$1006,0)))),"Fix")))</f>
        <v>0</v>
      </c>
      <c r="J35" s="3">
        <f>IF(OR(INDEX($P$2:$P$1001,MATCH(ROWS($O$2:O35),$O$2:$O$1001,0),1)&gt;=100000,INDEX($V$1005:$AE$1005,1,MATCH(COLUMNS($V$1006:AD1006),$V$1006:$AE$1006,0))&gt;=100000), " ",IF(INDEX($V$2:$AE$1001,MATCH(ROWS($O$2:O35),$O$2:$O$1001,0),MATCH(COLUMNS($V$1006:AD1006),$V$1006:$AE$1006,0)), HYPERLINK("#",""), HYPERLINK(CONCATENATE("#Metadata!", ADDRESS(INDEX($Q$2:$Q$1001,MATCH(ROWS($O$2:O35),$O$2:$O$1001,0),0), INDEX($V$1004:$AE$1004,1,MATCH(COLUMNS($V$1006:AD1006),$V$1006:$AE$1006,0)))),"Fix")))</f>
        <v>0</v>
      </c>
      <c r="K35" s="3">
        <f>IF(OR(INDEX($P$2:$P$1001,MATCH(ROWS($O$2:O35),$O$2:$O$1001,0),1)&gt;=100000,INDEX($V$1005:$AE$1005,1,MATCH(COLUMNS($V$1006:AE1006),$V$1006:$AE$1006,0))&gt;=100000), " ",IF(INDEX($V$2:$AE$1001,MATCH(ROWS($O$2:O35),$O$2:$O$1001,0),MATCH(COLUMNS($V$1006:AE1006),$V$1006:$AE$1006,0)), HYPERLINK("#",""), HYPERLINK(CONCATENATE("#Metadata!", ADDRESS(INDEX($Q$2:$Q$1001,MATCH(ROWS($O$2:O35),$O$2:$O$1001,0),0), INDEX($V$1004:$AE$1004,1,MATCH(COLUMNS($V$1006:AE1006),$V$1006:$AE$1006,0)))),"Fix")))</f>
        <v>0</v>
      </c>
      <c r="O35">
        <v>0</v>
      </c>
      <c r="P35">
        <v>0</v>
      </c>
      <c r="Q35">
        <v>0</v>
      </c>
      <c r="R35">
        <f>IF(S35,TRUE,AND(V35:AE35))</f>
        <v>0</v>
      </c>
      <c r="S35">
        <f>COUNTBLANK(Metadata!B35:K35)=COLUMNS(Metadata!B35:K35)</f>
        <v>0</v>
      </c>
      <c r="T35">
        <v>0</v>
      </c>
      <c r="V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W35">
        <f>AND(IF(Metadata!C35="",FALSE,TRUE),exact(Metadata!C35,"animal secretion"))</f>
        <v>0</v>
      </c>
      <c r="X35">
        <f>AND(IF(Metadata!D35="",FALSE,TRUE),exact(Metadata!D35,"saliva"))</f>
        <v>0</v>
      </c>
      <c r="Y35">
        <f>AND(IF(Metadata!E35="",FALSE,TRUE),exact(Metadata!E35,"human-oral"))</f>
        <v>0</v>
      </c>
      <c r="Z35">
        <f>AND(IF(Metadata!F35="",FALSE,TRUE),exact(Metadata!F35,"UBERON:oral cavity"))</f>
        <v>0</v>
      </c>
      <c r="AA35">
        <f>AND(IF(Metadata!G35="",FALSE,TRUE),exact(Metadata!G35,"UBERON:saliva"))</f>
        <v>0</v>
      </c>
      <c r="AB35">
        <f>AND(IF(Metadata!H35="",FALSE,TRUE),exact(Metadata!H35,"UBERON:tongue"))</f>
        <v>0</v>
      </c>
      <c r="AC35">
        <f>AND(IF(Metadata!I35="",FALSE,TRUE),exact(Metadata!I35,"tongue"))</f>
        <v>0</v>
      </c>
      <c r="AD35">
        <f>AND(IF(Metadata!J35="",FALSE,TRUE),exact(Metadata!J35,"human oral metagenome"))</f>
        <v>0</v>
      </c>
      <c r="AE35">
        <f>AND(IF(Metadata!K35="",FALSE,TRUE),exact(Metadata!K35,"447426"))</f>
        <v>0</v>
      </c>
    </row>
    <row r="36" spans="1:31">
      <c r="A36" s="4">
        <f>IF(B36=" "," ",HYPERLINK(CONCATENATE("#metadata!",ADDRESS(INDEX($Q$2:$Q$1001,MATCH(ROWS($O$2:O36),$O$2:$O$1001,0),0),1)),INDEX($T$2:$T$1001,MATCH(ROWS($O$2:O36),$O$2:$O$1001,0),0)))</f>
        <v>0</v>
      </c>
      <c r="B36" s="3">
        <f>IF(OR(INDEX($P$2:$P$1001,MATCH(ROWS($O$2:O36),$O$2:$O$1001,0),1)&gt;=100000,INDEX($V$1005:$AE$1005,1,MATCH(COLUMNS($V$1006:V1006),$V$1006:$AE$1006,0))&gt;=100000), " ",IF(INDEX($V$2:$AE$1001,MATCH(ROWS($O$2:O36),$O$2:$O$1001,0),MATCH(COLUMNS($V$1006:V1006),$V$1006:$AE$1006,0)), HYPERLINK("#",""), HYPERLINK(CONCATENATE("#Metadata!", ADDRESS(INDEX($Q$2:$Q$1001,MATCH(ROWS($O$2:O36),$O$2:$O$1001,0),0), INDEX($V$1004:$AE$1004,1,MATCH(COLUMNS($V$1006:V1006),$V$1006:$AE$1006,0)))),"Fix")))</f>
        <v>0</v>
      </c>
      <c r="C36" s="3">
        <f>IF(OR(INDEX($P$2:$P$1001,MATCH(ROWS($O$2:O36),$O$2:$O$1001,0),1)&gt;=100000,INDEX($V$1005:$AE$1005,1,MATCH(COLUMNS($V$1006:W1006),$V$1006:$AE$1006,0))&gt;=100000), " ",IF(INDEX($V$2:$AE$1001,MATCH(ROWS($O$2:O36),$O$2:$O$1001,0),MATCH(COLUMNS($V$1006:W1006),$V$1006:$AE$1006,0)), HYPERLINK("#",""), HYPERLINK(CONCATENATE("#Metadata!", ADDRESS(INDEX($Q$2:$Q$1001,MATCH(ROWS($O$2:O36),$O$2:$O$1001,0),0), INDEX($V$1004:$AE$1004,1,MATCH(COLUMNS($V$1006:W1006),$V$1006:$AE$1006,0)))),"Fix")))</f>
        <v>0</v>
      </c>
      <c r="D36" s="3">
        <f>IF(OR(INDEX($P$2:$P$1001,MATCH(ROWS($O$2:O36),$O$2:$O$1001,0),1)&gt;=100000,INDEX($V$1005:$AE$1005,1,MATCH(COLUMNS($V$1006:X1006),$V$1006:$AE$1006,0))&gt;=100000), " ",IF(INDEX($V$2:$AE$1001,MATCH(ROWS($O$2:O36),$O$2:$O$1001,0),MATCH(COLUMNS($V$1006:X1006),$V$1006:$AE$1006,0)), HYPERLINK("#",""), HYPERLINK(CONCATENATE("#Metadata!", ADDRESS(INDEX($Q$2:$Q$1001,MATCH(ROWS($O$2:O36),$O$2:$O$1001,0),0), INDEX($V$1004:$AE$1004,1,MATCH(COLUMNS($V$1006:X1006),$V$1006:$AE$1006,0)))),"Fix")))</f>
        <v>0</v>
      </c>
      <c r="E36" s="3">
        <f>IF(OR(INDEX($P$2:$P$1001,MATCH(ROWS($O$2:O36),$O$2:$O$1001,0),1)&gt;=100000,INDEX($V$1005:$AE$1005,1,MATCH(COLUMNS($V$1006:Y1006),$V$1006:$AE$1006,0))&gt;=100000), " ",IF(INDEX($V$2:$AE$1001,MATCH(ROWS($O$2:O36),$O$2:$O$1001,0),MATCH(COLUMNS($V$1006:Y1006),$V$1006:$AE$1006,0)), HYPERLINK("#",""), HYPERLINK(CONCATENATE("#Metadata!", ADDRESS(INDEX($Q$2:$Q$1001,MATCH(ROWS($O$2:O36),$O$2:$O$1001,0),0), INDEX($V$1004:$AE$1004,1,MATCH(COLUMNS($V$1006:Y1006),$V$1006:$AE$1006,0)))),"Fix")))</f>
        <v>0</v>
      </c>
      <c r="F36" s="3">
        <f>IF(OR(INDEX($P$2:$P$1001,MATCH(ROWS($O$2:O36),$O$2:$O$1001,0),1)&gt;=100000,INDEX($V$1005:$AE$1005,1,MATCH(COLUMNS($V$1006:Z1006),$V$1006:$AE$1006,0))&gt;=100000), " ",IF(INDEX($V$2:$AE$1001,MATCH(ROWS($O$2:O36),$O$2:$O$1001,0),MATCH(COLUMNS($V$1006:Z1006),$V$1006:$AE$1006,0)), HYPERLINK("#",""), HYPERLINK(CONCATENATE("#Metadata!", ADDRESS(INDEX($Q$2:$Q$1001,MATCH(ROWS($O$2:O36),$O$2:$O$1001,0),0), INDEX($V$1004:$AE$1004,1,MATCH(COLUMNS($V$1006:Z1006),$V$1006:$AE$1006,0)))),"Fix")))</f>
        <v>0</v>
      </c>
      <c r="G36" s="3">
        <f>IF(OR(INDEX($P$2:$P$1001,MATCH(ROWS($O$2:O36),$O$2:$O$1001,0),1)&gt;=100000,INDEX($V$1005:$AE$1005,1,MATCH(COLUMNS($V$1006:AA1006),$V$1006:$AE$1006,0))&gt;=100000), " ",IF(INDEX($V$2:$AE$1001,MATCH(ROWS($O$2:O36),$O$2:$O$1001,0),MATCH(COLUMNS($V$1006:AA1006),$V$1006:$AE$1006,0)), HYPERLINK("#",""), HYPERLINK(CONCATENATE("#Metadata!", ADDRESS(INDEX($Q$2:$Q$1001,MATCH(ROWS($O$2:O36),$O$2:$O$1001,0),0), INDEX($V$1004:$AE$1004,1,MATCH(COLUMNS($V$1006:AA1006),$V$1006:$AE$1006,0)))),"Fix")))</f>
        <v>0</v>
      </c>
      <c r="H36" s="3">
        <f>IF(OR(INDEX($P$2:$P$1001,MATCH(ROWS($O$2:O36),$O$2:$O$1001,0),1)&gt;=100000,INDEX($V$1005:$AE$1005,1,MATCH(COLUMNS($V$1006:AB1006),$V$1006:$AE$1006,0))&gt;=100000), " ",IF(INDEX($V$2:$AE$1001,MATCH(ROWS($O$2:O36),$O$2:$O$1001,0),MATCH(COLUMNS($V$1006:AB1006),$V$1006:$AE$1006,0)), HYPERLINK("#",""), HYPERLINK(CONCATENATE("#Metadata!", ADDRESS(INDEX($Q$2:$Q$1001,MATCH(ROWS($O$2:O36),$O$2:$O$1001,0),0), INDEX($V$1004:$AE$1004,1,MATCH(COLUMNS($V$1006:AB1006),$V$1006:$AE$1006,0)))),"Fix")))</f>
        <v>0</v>
      </c>
      <c r="I36" s="3">
        <f>IF(OR(INDEX($P$2:$P$1001,MATCH(ROWS($O$2:O36),$O$2:$O$1001,0),1)&gt;=100000,INDEX($V$1005:$AE$1005,1,MATCH(COLUMNS($V$1006:AC1006),$V$1006:$AE$1006,0))&gt;=100000), " ",IF(INDEX($V$2:$AE$1001,MATCH(ROWS($O$2:O36),$O$2:$O$1001,0),MATCH(COLUMNS($V$1006:AC1006),$V$1006:$AE$1006,0)), HYPERLINK("#",""), HYPERLINK(CONCATENATE("#Metadata!", ADDRESS(INDEX($Q$2:$Q$1001,MATCH(ROWS($O$2:O36),$O$2:$O$1001,0),0), INDEX($V$1004:$AE$1004,1,MATCH(COLUMNS($V$1006:AC1006),$V$1006:$AE$1006,0)))),"Fix")))</f>
        <v>0</v>
      </c>
      <c r="J36" s="3">
        <f>IF(OR(INDEX($P$2:$P$1001,MATCH(ROWS($O$2:O36),$O$2:$O$1001,0),1)&gt;=100000,INDEX($V$1005:$AE$1005,1,MATCH(COLUMNS($V$1006:AD1006),$V$1006:$AE$1006,0))&gt;=100000), " ",IF(INDEX($V$2:$AE$1001,MATCH(ROWS($O$2:O36),$O$2:$O$1001,0),MATCH(COLUMNS($V$1006:AD1006),$V$1006:$AE$1006,0)), HYPERLINK("#",""), HYPERLINK(CONCATENATE("#Metadata!", ADDRESS(INDEX($Q$2:$Q$1001,MATCH(ROWS($O$2:O36),$O$2:$O$1001,0),0), INDEX($V$1004:$AE$1004,1,MATCH(COLUMNS($V$1006:AD1006),$V$1006:$AE$1006,0)))),"Fix")))</f>
        <v>0</v>
      </c>
      <c r="K36" s="3">
        <f>IF(OR(INDEX($P$2:$P$1001,MATCH(ROWS($O$2:O36),$O$2:$O$1001,0),1)&gt;=100000,INDEX($V$1005:$AE$1005,1,MATCH(COLUMNS($V$1006:AE1006),$V$1006:$AE$1006,0))&gt;=100000), " ",IF(INDEX($V$2:$AE$1001,MATCH(ROWS($O$2:O36),$O$2:$O$1001,0),MATCH(COLUMNS($V$1006:AE1006),$V$1006:$AE$1006,0)), HYPERLINK("#",""), HYPERLINK(CONCATENATE("#Metadata!", ADDRESS(INDEX($Q$2:$Q$1001,MATCH(ROWS($O$2:O36),$O$2:$O$1001,0),0), INDEX($V$1004:$AE$1004,1,MATCH(COLUMNS($V$1006:AE1006),$V$1006:$AE$1006,0)))),"Fix")))</f>
        <v>0</v>
      </c>
      <c r="O36">
        <v>0</v>
      </c>
      <c r="P36">
        <v>0</v>
      </c>
      <c r="Q36">
        <v>0</v>
      </c>
      <c r="R36">
        <f>IF(S36,TRUE,AND(V36:AE36))</f>
        <v>0</v>
      </c>
      <c r="S36">
        <f>COUNTBLANK(Metadata!B36:K36)=COLUMNS(Metadata!B36:K36)</f>
        <v>0</v>
      </c>
      <c r="T36">
        <v>0</v>
      </c>
      <c r="V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W36">
        <f>AND(IF(Metadata!C36="",FALSE,TRUE),exact(Metadata!C36,"animal secretion"))</f>
        <v>0</v>
      </c>
      <c r="X36">
        <f>AND(IF(Metadata!D36="",FALSE,TRUE),exact(Metadata!D36,"saliva"))</f>
        <v>0</v>
      </c>
      <c r="Y36">
        <f>AND(IF(Metadata!E36="",FALSE,TRUE),exact(Metadata!E36,"human-oral"))</f>
        <v>0</v>
      </c>
      <c r="Z36">
        <f>AND(IF(Metadata!F36="",FALSE,TRUE),exact(Metadata!F36,"UBERON:oral cavity"))</f>
        <v>0</v>
      </c>
      <c r="AA36">
        <f>AND(IF(Metadata!G36="",FALSE,TRUE),exact(Metadata!G36,"UBERON:saliva"))</f>
        <v>0</v>
      </c>
      <c r="AB36">
        <f>AND(IF(Metadata!H36="",FALSE,TRUE),exact(Metadata!H36,"UBERON:tongue"))</f>
        <v>0</v>
      </c>
      <c r="AC36">
        <f>AND(IF(Metadata!I36="",FALSE,TRUE),exact(Metadata!I36,"tongue"))</f>
        <v>0</v>
      </c>
      <c r="AD36">
        <f>AND(IF(Metadata!J36="",FALSE,TRUE),exact(Metadata!J36,"human oral metagenome"))</f>
        <v>0</v>
      </c>
      <c r="AE36">
        <f>AND(IF(Metadata!K36="",FALSE,TRUE),exact(Metadata!K36,"447426"))</f>
        <v>0</v>
      </c>
    </row>
    <row r="37" spans="1:31">
      <c r="A37" s="4">
        <f>IF(B37=" "," ",HYPERLINK(CONCATENATE("#metadata!",ADDRESS(INDEX($Q$2:$Q$1001,MATCH(ROWS($O$2:O37),$O$2:$O$1001,0),0),1)),INDEX($T$2:$T$1001,MATCH(ROWS($O$2:O37),$O$2:$O$1001,0),0)))</f>
        <v>0</v>
      </c>
      <c r="B37" s="3">
        <f>IF(OR(INDEX($P$2:$P$1001,MATCH(ROWS($O$2:O37),$O$2:$O$1001,0),1)&gt;=100000,INDEX($V$1005:$AE$1005,1,MATCH(COLUMNS($V$1006:V1006),$V$1006:$AE$1006,0))&gt;=100000), " ",IF(INDEX($V$2:$AE$1001,MATCH(ROWS($O$2:O37),$O$2:$O$1001,0),MATCH(COLUMNS($V$1006:V1006),$V$1006:$AE$1006,0)), HYPERLINK("#",""), HYPERLINK(CONCATENATE("#Metadata!", ADDRESS(INDEX($Q$2:$Q$1001,MATCH(ROWS($O$2:O37),$O$2:$O$1001,0),0), INDEX($V$1004:$AE$1004,1,MATCH(COLUMNS($V$1006:V1006),$V$1006:$AE$1006,0)))),"Fix")))</f>
        <v>0</v>
      </c>
      <c r="C37" s="3">
        <f>IF(OR(INDEX($P$2:$P$1001,MATCH(ROWS($O$2:O37),$O$2:$O$1001,0),1)&gt;=100000,INDEX($V$1005:$AE$1005,1,MATCH(COLUMNS($V$1006:W1006),$V$1006:$AE$1006,0))&gt;=100000), " ",IF(INDEX($V$2:$AE$1001,MATCH(ROWS($O$2:O37),$O$2:$O$1001,0),MATCH(COLUMNS($V$1006:W1006),$V$1006:$AE$1006,0)), HYPERLINK("#",""), HYPERLINK(CONCATENATE("#Metadata!", ADDRESS(INDEX($Q$2:$Q$1001,MATCH(ROWS($O$2:O37),$O$2:$O$1001,0),0), INDEX($V$1004:$AE$1004,1,MATCH(COLUMNS($V$1006:W1006),$V$1006:$AE$1006,0)))),"Fix")))</f>
        <v>0</v>
      </c>
      <c r="D37" s="3">
        <f>IF(OR(INDEX($P$2:$P$1001,MATCH(ROWS($O$2:O37),$O$2:$O$1001,0),1)&gt;=100000,INDEX($V$1005:$AE$1005,1,MATCH(COLUMNS($V$1006:X1006),$V$1006:$AE$1006,0))&gt;=100000), " ",IF(INDEX($V$2:$AE$1001,MATCH(ROWS($O$2:O37),$O$2:$O$1001,0),MATCH(COLUMNS($V$1006:X1006),$V$1006:$AE$1006,0)), HYPERLINK("#",""), HYPERLINK(CONCATENATE("#Metadata!", ADDRESS(INDEX($Q$2:$Q$1001,MATCH(ROWS($O$2:O37),$O$2:$O$1001,0),0), INDEX($V$1004:$AE$1004,1,MATCH(COLUMNS($V$1006:X1006),$V$1006:$AE$1006,0)))),"Fix")))</f>
        <v>0</v>
      </c>
      <c r="E37" s="3">
        <f>IF(OR(INDEX($P$2:$P$1001,MATCH(ROWS($O$2:O37),$O$2:$O$1001,0),1)&gt;=100000,INDEX($V$1005:$AE$1005,1,MATCH(COLUMNS($V$1006:Y1006),$V$1006:$AE$1006,0))&gt;=100000), " ",IF(INDEX($V$2:$AE$1001,MATCH(ROWS($O$2:O37),$O$2:$O$1001,0),MATCH(COLUMNS($V$1006:Y1006),$V$1006:$AE$1006,0)), HYPERLINK("#",""), HYPERLINK(CONCATENATE("#Metadata!", ADDRESS(INDEX($Q$2:$Q$1001,MATCH(ROWS($O$2:O37),$O$2:$O$1001,0),0), INDEX($V$1004:$AE$1004,1,MATCH(COLUMNS($V$1006:Y1006),$V$1006:$AE$1006,0)))),"Fix")))</f>
        <v>0</v>
      </c>
      <c r="F37" s="3">
        <f>IF(OR(INDEX($P$2:$P$1001,MATCH(ROWS($O$2:O37),$O$2:$O$1001,0),1)&gt;=100000,INDEX($V$1005:$AE$1005,1,MATCH(COLUMNS($V$1006:Z1006),$V$1006:$AE$1006,0))&gt;=100000), " ",IF(INDEX($V$2:$AE$1001,MATCH(ROWS($O$2:O37),$O$2:$O$1001,0),MATCH(COLUMNS($V$1006:Z1006),$V$1006:$AE$1006,0)), HYPERLINK("#",""), HYPERLINK(CONCATENATE("#Metadata!", ADDRESS(INDEX($Q$2:$Q$1001,MATCH(ROWS($O$2:O37),$O$2:$O$1001,0),0), INDEX($V$1004:$AE$1004,1,MATCH(COLUMNS($V$1006:Z1006),$V$1006:$AE$1006,0)))),"Fix")))</f>
        <v>0</v>
      </c>
      <c r="G37" s="3">
        <f>IF(OR(INDEX($P$2:$P$1001,MATCH(ROWS($O$2:O37),$O$2:$O$1001,0),1)&gt;=100000,INDEX($V$1005:$AE$1005,1,MATCH(COLUMNS($V$1006:AA1006),$V$1006:$AE$1006,0))&gt;=100000), " ",IF(INDEX($V$2:$AE$1001,MATCH(ROWS($O$2:O37),$O$2:$O$1001,0),MATCH(COLUMNS($V$1006:AA1006),$V$1006:$AE$1006,0)), HYPERLINK("#",""), HYPERLINK(CONCATENATE("#Metadata!", ADDRESS(INDEX($Q$2:$Q$1001,MATCH(ROWS($O$2:O37),$O$2:$O$1001,0),0), INDEX($V$1004:$AE$1004,1,MATCH(COLUMNS($V$1006:AA1006),$V$1006:$AE$1006,0)))),"Fix")))</f>
        <v>0</v>
      </c>
      <c r="H37" s="3">
        <f>IF(OR(INDEX($P$2:$P$1001,MATCH(ROWS($O$2:O37),$O$2:$O$1001,0),1)&gt;=100000,INDEX($V$1005:$AE$1005,1,MATCH(COLUMNS($V$1006:AB1006),$V$1006:$AE$1006,0))&gt;=100000), " ",IF(INDEX($V$2:$AE$1001,MATCH(ROWS($O$2:O37),$O$2:$O$1001,0),MATCH(COLUMNS($V$1006:AB1006),$V$1006:$AE$1006,0)), HYPERLINK("#",""), HYPERLINK(CONCATENATE("#Metadata!", ADDRESS(INDEX($Q$2:$Q$1001,MATCH(ROWS($O$2:O37),$O$2:$O$1001,0),0), INDEX($V$1004:$AE$1004,1,MATCH(COLUMNS($V$1006:AB1006),$V$1006:$AE$1006,0)))),"Fix")))</f>
        <v>0</v>
      </c>
      <c r="I37" s="3">
        <f>IF(OR(INDEX($P$2:$P$1001,MATCH(ROWS($O$2:O37),$O$2:$O$1001,0),1)&gt;=100000,INDEX($V$1005:$AE$1005,1,MATCH(COLUMNS($V$1006:AC1006),$V$1006:$AE$1006,0))&gt;=100000), " ",IF(INDEX($V$2:$AE$1001,MATCH(ROWS($O$2:O37),$O$2:$O$1001,0),MATCH(COLUMNS($V$1006:AC1006),$V$1006:$AE$1006,0)), HYPERLINK("#",""), HYPERLINK(CONCATENATE("#Metadata!", ADDRESS(INDEX($Q$2:$Q$1001,MATCH(ROWS($O$2:O37),$O$2:$O$1001,0),0), INDEX($V$1004:$AE$1004,1,MATCH(COLUMNS($V$1006:AC1006),$V$1006:$AE$1006,0)))),"Fix")))</f>
        <v>0</v>
      </c>
      <c r="J37" s="3">
        <f>IF(OR(INDEX($P$2:$P$1001,MATCH(ROWS($O$2:O37),$O$2:$O$1001,0),1)&gt;=100000,INDEX($V$1005:$AE$1005,1,MATCH(COLUMNS($V$1006:AD1006),$V$1006:$AE$1006,0))&gt;=100000), " ",IF(INDEX($V$2:$AE$1001,MATCH(ROWS($O$2:O37),$O$2:$O$1001,0),MATCH(COLUMNS($V$1006:AD1006),$V$1006:$AE$1006,0)), HYPERLINK("#",""), HYPERLINK(CONCATENATE("#Metadata!", ADDRESS(INDEX($Q$2:$Q$1001,MATCH(ROWS($O$2:O37),$O$2:$O$1001,0),0), INDEX($V$1004:$AE$1004,1,MATCH(COLUMNS($V$1006:AD1006),$V$1006:$AE$1006,0)))),"Fix")))</f>
        <v>0</v>
      </c>
      <c r="K37" s="3">
        <f>IF(OR(INDEX($P$2:$P$1001,MATCH(ROWS($O$2:O37),$O$2:$O$1001,0),1)&gt;=100000,INDEX($V$1005:$AE$1005,1,MATCH(COLUMNS($V$1006:AE1006),$V$1006:$AE$1006,0))&gt;=100000), " ",IF(INDEX($V$2:$AE$1001,MATCH(ROWS($O$2:O37),$O$2:$O$1001,0),MATCH(COLUMNS($V$1006:AE1006),$V$1006:$AE$1006,0)), HYPERLINK("#",""), HYPERLINK(CONCATENATE("#Metadata!", ADDRESS(INDEX($Q$2:$Q$1001,MATCH(ROWS($O$2:O37),$O$2:$O$1001,0),0), INDEX($V$1004:$AE$1004,1,MATCH(COLUMNS($V$1006:AE1006),$V$1006:$AE$1006,0)))),"Fix")))</f>
        <v>0</v>
      </c>
      <c r="O37">
        <v>0</v>
      </c>
      <c r="P37">
        <v>0</v>
      </c>
      <c r="Q37">
        <v>0</v>
      </c>
      <c r="R37">
        <f>IF(S37,TRUE,AND(V37:AE37))</f>
        <v>0</v>
      </c>
      <c r="S37">
        <f>COUNTBLANK(Metadata!B37:K37)=COLUMNS(Metadata!B37:K37)</f>
        <v>0</v>
      </c>
      <c r="T37">
        <v>0</v>
      </c>
      <c r="V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W37">
        <f>AND(IF(Metadata!C37="",FALSE,TRUE),exact(Metadata!C37,"animal secretion"))</f>
        <v>0</v>
      </c>
      <c r="X37">
        <f>AND(IF(Metadata!D37="",FALSE,TRUE),exact(Metadata!D37,"saliva"))</f>
        <v>0</v>
      </c>
      <c r="Y37">
        <f>AND(IF(Metadata!E37="",FALSE,TRUE),exact(Metadata!E37,"human-oral"))</f>
        <v>0</v>
      </c>
      <c r="Z37">
        <f>AND(IF(Metadata!F37="",FALSE,TRUE),exact(Metadata!F37,"UBERON:oral cavity"))</f>
        <v>0</v>
      </c>
      <c r="AA37">
        <f>AND(IF(Metadata!G37="",FALSE,TRUE),exact(Metadata!G37,"UBERON:saliva"))</f>
        <v>0</v>
      </c>
      <c r="AB37">
        <f>AND(IF(Metadata!H37="",FALSE,TRUE),exact(Metadata!H37,"UBERON:tongue"))</f>
        <v>0</v>
      </c>
      <c r="AC37">
        <f>AND(IF(Metadata!I37="",FALSE,TRUE),exact(Metadata!I37,"tongue"))</f>
        <v>0</v>
      </c>
      <c r="AD37">
        <f>AND(IF(Metadata!J37="",FALSE,TRUE),exact(Metadata!J37,"human oral metagenome"))</f>
        <v>0</v>
      </c>
      <c r="AE37">
        <f>AND(IF(Metadata!K37="",FALSE,TRUE),exact(Metadata!K37,"447426"))</f>
        <v>0</v>
      </c>
    </row>
    <row r="38" spans="1:31">
      <c r="A38" s="4">
        <f>IF(B38=" "," ",HYPERLINK(CONCATENATE("#metadata!",ADDRESS(INDEX($Q$2:$Q$1001,MATCH(ROWS($O$2:O38),$O$2:$O$1001,0),0),1)),INDEX($T$2:$T$1001,MATCH(ROWS($O$2:O38),$O$2:$O$1001,0),0)))</f>
        <v>0</v>
      </c>
      <c r="B38" s="3">
        <f>IF(OR(INDEX($P$2:$P$1001,MATCH(ROWS($O$2:O38),$O$2:$O$1001,0),1)&gt;=100000,INDEX($V$1005:$AE$1005,1,MATCH(COLUMNS($V$1006:V1006),$V$1006:$AE$1006,0))&gt;=100000), " ",IF(INDEX($V$2:$AE$1001,MATCH(ROWS($O$2:O38),$O$2:$O$1001,0),MATCH(COLUMNS($V$1006:V1006),$V$1006:$AE$1006,0)), HYPERLINK("#",""), HYPERLINK(CONCATENATE("#Metadata!", ADDRESS(INDEX($Q$2:$Q$1001,MATCH(ROWS($O$2:O38),$O$2:$O$1001,0),0), INDEX($V$1004:$AE$1004,1,MATCH(COLUMNS($V$1006:V1006),$V$1006:$AE$1006,0)))),"Fix")))</f>
        <v>0</v>
      </c>
      <c r="C38" s="3">
        <f>IF(OR(INDEX($P$2:$P$1001,MATCH(ROWS($O$2:O38),$O$2:$O$1001,0),1)&gt;=100000,INDEX($V$1005:$AE$1005,1,MATCH(COLUMNS($V$1006:W1006),$V$1006:$AE$1006,0))&gt;=100000), " ",IF(INDEX($V$2:$AE$1001,MATCH(ROWS($O$2:O38),$O$2:$O$1001,0),MATCH(COLUMNS($V$1006:W1006),$V$1006:$AE$1006,0)), HYPERLINK("#",""), HYPERLINK(CONCATENATE("#Metadata!", ADDRESS(INDEX($Q$2:$Q$1001,MATCH(ROWS($O$2:O38),$O$2:$O$1001,0),0), INDEX($V$1004:$AE$1004,1,MATCH(COLUMNS($V$1006:W1006),$V$1006:$AE$1006,0)))),"Fix")))</f>
        <v>0</v>
      </c>
      <c r="D38" s="3">
        <f>IF(OR(INDEX($P$2:$P$1001,MATCH(ROWS($O$2:O38),$O$2:$O$1001,0),1)&gt;=100000,INDEX($V$1005:$AE$1005,1,MATCH(COLUMNS($V$1006:X1006),$V$1006:$AE$1006,0))&gt;=100000), " ",IF(INDEX($V$2:$AE$1001,MATCH(ROWS($O$2:O38),$O$2:$O$1001,0),MATCH(COLUMNS($V$1006:X1006),$V$1006:$AE$1006,0)), HYPERLINK("#",""), HYPERLINK(CONCATENATE("#Metadata!", ADDRESS(INDEX($Q$2:$Q$1001,MATCH(ROWS($O$2:O38),$O$2:$O$1001,0),0), INDEX($V$1004:$AE$1004,1,MATCH(COLUMNS($V$1006:X1006),$V$1006:$AE$1006,0)))),"Fix")))</f>
        <v>0</v>
      </c>
      <c r="E38" s="3">
        <f>IF(OR(INDEX($P$2:$P$1001,MATCH(ROWS($O$2:O38),$O$2:$O$1001,0),1)&gt;=100000,INDEX($V$1005:$AE$1005,1,MATCH(COLUMNS($V$1006:Y1006),$V$1006:$AE$1006,0))&gt;=100000), " ",IF(INDEX($V$2:$AE$1001,MATCH(ROWS($O$2:O38),$O$2:$O$1001,0),MATCH(COLUMNS($V$1006:Y1006),$V$1006:$AE$1006,0)), HYPERLINK("#",""), HYPERLINK(CONCATENATE("#Metadata!", ADDRESS(INDEX($Q$2:$Q$1001,MATCH(ROWS($O$2:O38),$O$2:$O$1001,0),0), INDEX($V$1004:$AE$1004,1,MATCH(COLUMNS($V$1006:Y1006),$V$1006:$AE$1006,0)))),"Fix")))</f>
        <v>0</v>
      </c>
      <c r="F38" s="3">
        <f>IF(OR(INDEX($P$2:$P$1001,MATCH(ROWS($O$2:O38),$O$2:$O$1001,0),1)&gt;=100000,INDEX($V$1005:$AE$1005,1,MATCH(COLUMNS($V$1006:Z1006),$V$1006:$AE$1006,0))&gt;=100000), " ",IF(INDEX($V$2:$AE$1001,MATCH(ROWS($O$2:O38),$O$2:$O$1001,0),MATCH(COLUMNS($V$1006:Z1006),$V$1006:$AE$1006,0)), HYPERLINK("#",""), HYPERLINK(CONCATENATE("#Metadata!", ADDRESS(INDEX($Q$2:$Q$1001,MATCH(ROWS($O$2:O38),$O$2:$O$1001,0),0), INDEX($V$1004:$AE$1004,1,MATCH(COLUMNS($V$1006:Z1006),$V$1006:$AE$1006,0)))),"Fix")))</f>
        <v>0</v>
      </c>
      <c r="G38" s="3">
        <f>IF(OR(INDEX($P$2:$P$1001,MATCH(ROWS($O$2:O38),$O$2:$O$1001,0),1)&gt;=100000,INDEX($V$1005:$AE$1005,1,MATCH(COLUMNS($V$1006:AA1006),$V$1006:$AE$1006,0))&gt;=100000), " ",IF(INDEX($V$2:$AE$1001,MATCH(ROWS($O$2:O38),$O$2:$O$1001,0),MATCH(COLUMNS($V$1006:AA1006),$V$1006:$AE$1006,0)), HYPERLINK("#",""), HYPERLINK(CONCATENATE("#Metadata!", ADDRESS(INDEX($Q$2:$Q$1001,MATCH(ROWS($O$2:O38),$O$2:$O$1001,0),0), INDEX($V$1004:$AE$1004,1,MATCH(COLUMNS($V$1006:AA1006),$V$1006:$AE$1006,0)))),"Fix")))</f>
        <v>0</v>
      </c>
      <c r="H38" s="3">
        <f>IF(OR(INDEX($P$2:$P$1001,MATCH(ROWS($O$2:O38),$O$2:$O$1001,0),1)&gt;=100000,INDEX($V$1005:$AE$1005,1,MATCH(COLUMNS($V$1006:AB1006),$V$1006:$AE$1006,0))&gt;=100000), " ",IF(INDEX($V$2:$AE$1001,MATCH(ROWS($O$2:O38),$O$2:$O$1001,0),MATCH(COLUMNS($V$1006:AB1006),$V$1006:$AE$1006,0)), HYPERLINK("#",""), HYPERLINK(CONCATENATE("#Metadata!", ADDRESS(INDEX($Q$2:$Q$1001,MATCH(ROWS($O$2:O38),$O$2:$O$1001,0),0), INDEX($V$1004:$AE$1004,1,MATCH(COLUMNS($V$1006:AB1006),$V$1006:$AE$1006,0)))),"Fix")))</f>
        <v>0</v>
      </c>
      <c r="I38" s="3">
        <f>IF(OR(INDEX($P$2:$P$1001,MATCH(ROWS($O$2:O38),$O$2:$O$1001,0),1)&gt;=100000,INDEX($V$1005:$AE$1005,1,MATCH(COLUMNS($V$1006:AC1006),$V$1006:$AE$1006,0))&gt;=100000), " ",IF(INDEX($V$2:$AE$1001,MATCH(ROWS($O$2:O38),$O$2:$O$1001,0),MATCH(COLUMNS($V$1006:AC1006),$V$1006:$AE$1006,0)), HYPERLINK("#",""), HYPERLINK(CONCATENATE("#Metadata!", ADDRESS(INDEX($Q$2:$Q$1001,MATCH(ROWS($O$2:O38),$O$2:$O$1001,0),0), INDEX($V$1004:$AE$1004,1,MATCH(COLUMNS($V$1006:AC1006),$V$1006:$AE$1006,0)))),"Fix")))</f>
        <v>0</v>
      </c>
      <c r="J38" s="3">
        <f>IF(OR(INDEX($P$2:$P$1001,MATCH(ROWS($O$2:O38),$O$2:$O$1001,0),1)&gt;=100000,INDEX($V$1005:$AE$1005,1,MATCH(COLUMNS($V$1006:AD1006),$V$1006:$AE$1006,0))&gt;=100000), " ",IF(INDEX($V$2:$AE$1001,MATCH(ROWS($O$2:O38),$O$2:$O$1001,0),MATCH(COLUMNS($V$1006:AD1006),$V$1006:$AE$1006,0)), HYPERLINK("#",""), HYPERLINK(CONCATENATE("#Metadata!", ADDRESS(INDEX($Q$2:$Q$1001,MATCH(ROWS($O$2:O38),$O$2:$O$1001,0),0), INDEX($V$1004:$AE$1004,1,MATCH(COLUMNS($V$1006:AD1006),$V$1006:$AE$1006,0)))),"Fix")))</f>
        <v>0</v>
      </c>
      <c r="K38" s="3">
        <f>IF(OR(INDEX($P$2:$P$1001,MATCH(ROWS($O$2:O38),$O$2:$O$1001,0),1)&gt;=100000,INDEX($V$1005:$AE$1005,1,MATCH(COLUMNS($V$1006:AE1006),$V$1006:$AE$1006,0))&gt;=100000), " ",IF(INDEX($V$2:$AE$1001,MATCH(ROWS($O$2:O38),$O$2:$O$1001,0),MATCH(COLUMNS($V$1006:AE1006),$V$1006:$AE$1006,0)), HYPERLINK("#",""), HYPERLINK(CONCATENATE("#Metadata!", ADDRESS(INDEX($Q$2:$Q$1001,MATCH(ROWS($O$2:O38),$O$2:$O$1001,0),0), INDEX($V$1004:$AE$1004,1,MATCH(COLUMNS($V$1006:AE1006),$V$1006:$AE$1006,0)))),"Fix")))</f>
        <v>0</v>
      </c>
      <c r="O38">
        <v>0</v>
      </c>
      <c r="P38">
        <v>0</v>
      </c>
      <c r="Q38">
        <v>0</v>
      </c>
      <c r="R38">
        <f>IF(S38,TRUE,AND(V38:AE38))</f>
        <v>0</v>
      </c>
      <c r="S38">
        <f>COUNTBLANK(Metadata!B38:K38)=COLUMNS(Metadata!B38:K38)</f>
        <v>0</v>
      </c>
      <c r="T38">
        <v>0</v>
      </c>
      <c r="V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W38">
        <f>AND(IF(Metadata!C38="",FALSE,TRUE),exact(Metadata!C38,"animal secretion"))</f>
        <v>0</v>
      </c>
      <c r="X38">
        <f>AND(IF(Metadata!D38="",FALSE,TRUE),exact(Metadata!D38,"saliva"))</f>
        <v>0</v>
      </c>
      <c r="Y38">
        <f>AND(IF(Metadata!E38="",FALSE,TRUE),exact(Metadata!E38,"human-oral"))</f>
        <v>0</v>
      </c>
      <c r="Z38">
        <f>AND(IF(Metadata!F38="",FALSE,TRUE),exact(Metadata!F38,"UBERON:oral cavity"))</f>
        <v>0</v>
      </c>
      <c r="AA38">
        <f>AND(IF(Metadata!G38="",FALSE,TRUE),exact(Metadata!G38,"UBERON:saliva"))</f>
        <v>0</v>
      </c>
      <c r="AB38">
        <f>AND(IF(Metadata!H38="",FALSE,TRUE),exact(Metadata!H38,"UBERON:tongue"))</f>
        <v>0</v>
      </c>
      <c r="AC38">
        <f>AND(IF(Metadata!I38="",FALSE,TRUE),exact(Metadata!I38,"tongue"))</f>
        <v>0</v>
      </c>
      <c r="AD38">
        <f>AND(IF(Metadata!J38="",FALSE,TRUE),exact(Metadata!J38,"human oral metagenome"))</f>
        <v>0</v>
      </c>
      <c r="AE38">
        <f>AND(IF(Metadata!K38="",FALSE,TRUE),exact(Metadata!K38,"447426"))</f>
        <v>0</v>
      </c>
    </row>
    <row r="39" spans="1:31">
      <c r="A39" s="4">
        <f>IF(B39=" "," ",HYPERLINK(CONCATENATE("#metadata!",ADDRESS(INDEX($Q$2:$Q$1001,MATCH(ROWS($O$2:O39),$O$2:$O$1001,0),0),1)),INDEX($T$2:$T$1001,MATCH(ROWS($O$2:O39),$O$2:$O$1001,0),0)))</f>
        <v>0</v>
      </c>
      <c r="B39" s="3">
        <f>IF(OR(INDEX($P$2:$P$1001,MATCH(ROWS($O$2:O39),$O$2:$O$1001,0),1)&gt;=100000,INDEX($V$1005:$AE$1005,1,MATCH(COLUMNS($V$1006:V1006),$V$1006:$AE$1006,0))&gt;=100000), " ",IF(INDEX($V$2:$AE$1001,MATCH(ROWS($O$2:O39),$O$2:$O$1001,0),MATCH(COLUMNS($V$1006:V1006),$V$1006:$AE$1006,0)), HYPERLINK("#",""), HYPERLINK(CONCATENATE("#Metadata!", ADDRESS(INDEX($Q$2:$Q$1001,MATCH(ROWS($O$2:O39),$O$2:$O$1001,0),0), INDEX($V$1004:$AE$1004,1,MATCH(COLUMNS($V$1006:V1006),$V$1006:$AE$1006,0)))),"Fix")))</f>
        <v>0</v>
      </c>
      <c r="C39" s="3">
        <f>IF(OR(INDEX($P$2:$P$1001,MATCH(ROWS($O$2:O39),$O$2:$O$1001,0),1)&gt;=100000,INDEX($V$1005:$AE$1005,1,MATCH(COLUMNS($V$1006:W1006),$V$1006:$AE$1006,0))&gt;=100000), " ",IF(INDEX($V$2:$AE$1001,MATCH(ROWS($O$2:O39),$O$2:$O$1001,0),MATCH(COLUMNS($V$1006:W1006),$V$1006:$AE$1006,0)), HYPERLINK("#",""), HYPERLINK(CONCATENATE("#Metadata!", ADDRESS(INDEX($Q$2:$Q$1001,MATCH(ROWS($O$2:O39),$O$2:$O$1001,0),0), INDEX($V$1004:$AE$1004,1,MATCH(COLUMNS($V$1006:W1006),$V$1006:$AE$1006,0)))),"Fix")))</f>
        <v>0</v>
      </c>
      <c r="D39" s="3">
        <f>IF(OR(INDEX($P$2:$P$1001,MATCH(ROWS($O$2:O39),$O$2:$O$1001,0),1)&gt;=100000,INDEX($V$1005:$AE$1005,1,MATCH(COLUMNS($V$1006:X1006),$V$1006:$AE$1006,0))&gt;=100000), " ",IF(INDEX($V$2:$AE$1001,MATCH(ROWS($O$2:O39),$O$2:$O$1001,0),MATCH(COLUMNS($V$1006:X1006),$V$1006:$AE$1006,0)), HYPERLINK("#",""), HYPERLINK(CONCATENATE("#Metadata!", ADDRESS(INDEX($Q$2:$Q$1001,MATCH(ROWS($O$2:O39),$O$2:$O$1001,0),0), INDEX($V$1004:$AE$1004,1,MATCH(COLUMNS($V$1006:X1006),$V$1006:$AE$1006,0)))),"Fix")))</f>
        <v>0</v>
      </c>
      <c r="E39" s="3">
        <f>IF(OR(INDEX($P$2:$P$1001,MATCH(ROWS($O$2:O39),$O$2:$O$1001,0),1)&gt;=100000,INDEX($V$1005:$AE$1005,1,MATCH(COLUMNS($V$1006:Y1006),$V$1006:$AE$1006,0))&gt;=100000), " ",IF(INDEX($V$2:$AE$1001,MATCH(ROWS($O$2:O39),$O$2:$O$1001,0),MATCH(COLUMNS($V$1006:Y1006),$V$1006:$AE$1006,0)), HYPERLINK("#",""), HYPERLINK(CONCATENATE("#Metadata!", ADDRESS(INDEX($Q$2:$Q$1001,MATCH(ROWS($O$2:O39),$O$2:$O$1001,0),0), INDEX($V$1004:$AE$1004,1,MATCH(COLUMNS($V$1006:Y1006),$V$1006:$AE$1006,0)))),"Fix")))</f>
        <v>0</v>
      </c>
      <c r="F39" s="3">
        <f>IF(OR(INDEX($P$2:$P$1001,MATCH(ROWS($O$2:O39),$O$2:$O$1001,0),1)&gt;=100000,INDEX($V$1005:$AE$1005,1,MATCH(COLUMNS($V$1006:Z1006),$V$1006:$AE$1006,0))&gt;=100000), " ",IF(INDEX($V$2:$AE$1001,MATCH(ROWS($O$2:O39),$O$2:$O$1001,0),MATCH(COLUMNS($V$1006:Z1006),$V$1006:$AE$1006,0)), HYPERLINK("#",""), HYPERLINK(CONCATENATE("#Metadata!", ADDRESS(INDEX($Q$2:$Q$1001,MATCH(ROWS($O$2:O39),$O$2:$O$1001,0),0), INDEX($V$1004:$AE$1004,1,MATCH(COLUMNS($V$1006:Z1006),$V$1006:$AE$1006,0)))),"Fix")))</f>
        <v>0</v>
      </c>
      <c r="G39" s="3">
        <f>IF(OR(INDEX($P$2:$P$1001,MATCH(ROWS($O$2:O39),$O$2:$O$1001,0),1)&gt;=100000,INDEX($V$1005:$AE$1005,1,MATCH(COLUMNS($V$1006:AA1006),$V$1006:$AE$1006,0))&gt;=100000), " ",IF(INDEX($V$2:$AE$1001,MATCH(ROWS($O$2:O39),$O$2:$O$1001,0),MATCH(COLUMNS($V$1006:AA1006),$V$1006:$AE$1006,0)), HYPERLINK("#",""), HYPERLINK(CONCATENATE("#Metadata!", ADDRESS(INDEX($Q$2:$Q$1001,MATCH(ROWS($O$2:O39),$O$2:$O$1001,0),0), INDEX($V$1004:$AE$1004,1,MATCH(COLUMNS($V$1006:AA1006),$V$1006:$AE$1006,0)))),"Fix")))</f>
        <v>0</v>
      </c>
      <c r="H39" s="3">
        <f>IF(OR(INDEX($P$2:$P$1001,MATCH(ROWS($O$2:O39),$O$2:$O$1001,0),1)&gt;=100000,INDEX($V$1005:$AE$1005,1,MATCH(COLUMNS($V$1006:AB1006),$V$1006:$AE$1006,0))&gt;=100000), " ",IF(INDEX($V$2:$AE$1001,MATCH(ROWS($O$2:O39),$O$2:$O$1001,0),MATCH(COLUMNS($V$1006:AB1006),$V$1006:$AE$1006,0)), HYPERLINK("#",""), HYPERLINK(CONCATENATE("#Metadata!", ADDRESS(INDEX($Q$2:$Q$1001,MATCH(ROWS($O$2:O39),$O$2:$O$1001,0),0), INDEX($V$1004:$AE$1004,1,MATCH(COLUMNS($V$1006:AB1006),$V$1006:$AE$1006,0)))),"Fix")))</f>
        <v>0</v>
      </c>
      <c r="I39" s="3">
        <f>IF(OR(INDEX($P$2:$P$1001,MATCH(ROWS($O$2:O39),$O$2:$O$1001,0),1)&gt;=100000,INDEX($V$1005:$AE$1005,1,MATCH(COLUMNS($V$1006:AC1006),$V$1006:$AE$1006,0))&gt;=100000), " ",IF(INDEX($V$2:$AE$1001,MATCH(ROWS($O$2:O39),$O$2:$O$1001,0),MATCH(COLUMNS($V$1006:AC1006),$V$1006:$AE$1006,0)), HYPERLINK("#",""), HYPERLINK(CONCATENATE("#Metadata!", ADDRESS(INDEX($Q$2:$Q$1001,MATCH(ROWS($O$2:O39),$O$2:$O$1001,0),0), INDEX($V$1004:$AE$1004,1,MATCH(COLUMNS($V$1006:AC1006),$V$1006:$AE$1006,0)))),"Fix")))</f>
        <v>0</v>
      </c>
      <c r="J39" s="3">
        <f>IF(OR(INDEX($P$2:$P$1001,MATCH(ROWS($O$2:O39),$O$2:$O$1001,0),1)&gt;=100000,INDEX($V$1005:$AE$1005,1,MATCH(COLUMNS($V$1006:AD1006),$V$1006:$AE$1006,0))&gt;=100000), " ",IF(INDEX($V$2:$AE$1001,MATCH(ROWS($O$2:O39),$O$2:$O$1001,0),MATCH(COLUMNS($V$1006:AD1006),$V$1006:$AE$1006,0)), HYPERLINK("#",""), HYPERLINK(CONCATENATE("#Metadata!", ADDRESS(INDEX($Q$2:$Q$1001,MATCH(ROWS($O$2:O39),$O$2:$O$1001,0),0), INDEX($V$1004:$AE$1004,1,MATCH(COLUMNS($V$1006:AD1006),$V$1006:$AE$1006,0)))),"Fix")))</f>
        <v>0</v>
      </c>
      <c r="K39" s="3">
        <f>IF(OR(INDEX($P$2:$P$1001,MATCH(ROWS($O$2:O39),$O$2:$O$1001,0),1)&gt;=100000,INDEX($V$1005:$AE$1005,1,MATCH(COLUMNS($V$1006:AE1006),$V$1006:$AE$1006,0))&gt;=100000), " ",IF(INDEX($V$2:$AE$1001,MATCH(ROWS($O$2:O39),$O$2:$O$1001,0),MATCH(COLUMNS($V$1006:AE1006),$V$1006:$AE$1006,0)), HYPERLINK("#",""), HYPERLINK(CONCATENATE("#Metadata!", ADDRESS(INDEX($Q$2:$Q$1001,MATCH(ROWS($O$2:O39),$O$2:$O$1001,0),0), INDEX($V$1004:$AE$1004,1,MATCH(COLUMNS($V$1006:AE1006),$V$1006:$AE$1006,0)))),"Fix")))</f>
        <v>0</v>
      </c>
      <c r="O39">
        <v>0</v>
      </c>
      <c r="P39">
        <v>0</v>
      </c>
      <c r="Q39">
        <v>0</v>
      </c>
      <c r="R39">
        <f>IF(S39,TRUE,AND(V39:AE39))</f>
        <v>0</v>
      </c>
      <c r="S39">
        <f>COUNTBLANK(Metadata!B39:K39)=COLUMNS(Metadata!B39:K39)</f>
        <v>0</v>
      </c>
      <c r="T39">
        <v>0</v>
      </c>
      <c r="V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W39">
        <f>AND(IF(Metadata!C39="",FALSE,TRUE),exact(Metadata!C39,"animal secretion"))</f>
        <v>0</v>
      </c>
      <c r="X39">
        <f>AND(IF(Metadata!D39="",FALSE,TRUE),exact(Metadata!D39,"saliva"))</f>
        <v>0</v>
      </c>
      <c r="Y39">
        <f>AND(IF(Metadata!E39="",FALSE,TRUE),exact(Metadata!E39,"human-oral"))</f>
        <v>0</v>
      </c>
      <c r="Z39">
        <f>AND(IF(Metadata!F39="",FALSE,TRUE),exact(Metadata!F39,"UBERON:oral cavity"))</f>
        <v>0</v>
      </c>
      <c r="AA39">
        <f>AND(IF(Metadata!G39="",FALSE,TRUE),exact(Metadata!G39,"UBERON:saliva"))</f>
        <v>0</v>
      </c>
      <c r="AB39">
        <f>AND(IF(Metadata!H39="",FALSE,TRUE),exact(Metadata!H39,"UBERON:tongue"))</f>
        <v>0</v>
      </c>
      <c r="AC39">
        <f>AND(IF(Metadata!I39="",FALSE,TRUE),exact(Metadata!I39,"tongue"))</f>
        <v>0</v>
      </c>
      <c r="AD39">
        <f>AND(IF(Metadata!J39="",FALSE,TRUE),exact(Metadata!J39,"human oral metagenome"))</f>
        <v>0</v>
      </c>
      <c r="AE39">
        <f>AND(IF(Metadata!K39="",FALSE,TRUE),exact(Metadata!K39,"447426"))</f>
        <v>0</v>
      </c>
    </row>
    <row r="40" spans="1:31">
      <c r="A40" s="4">
        <f>IF(B40=" "," ",HYPERLINK(CONCATENATE("#metadata!",ADDRESS(INDEX($Q$2:$Q$1001,MATCH(ROWS($O$2:O40),$O$2:$O$1001,0),0),1)),INDEX($T$2:$T$1001,MATCH(ROWS($O$2:O40),$O$2:$O$1001,0),0)))</f>
        <v>0</v>
      </c>
      <c r="B40" s="3">
        <f>IF(OR(INDEX($P$2:$P$1001,MATCH(ROWS($O$2:O40),$O$2:$O$1001,0),1)&gt;=100000,INDEX($V$1005:$AE$1005,1,MATCH(COLUMNS($V$1006:V1006),$V$1006:$AE$1006,0))&gt;=100000), " ",IF(INDEX($V$2:$AE$1001,MATCH(ROWS($O$2:O40),$O$2:$O$1001,0),MATCH(COLUMNS($V$1006:V1006),$V$1006:$AE$1006,0)), HYPERLINK("#",""), HYPERLINK(CONCATENATE("#Metadata!", ADDRESS(INDEX($Q$2:$Q$1001,MATCH(ROWS($O$2:O40),$O$2:$O$1001,0),0), INDEX($V$1004:$AE$1004,1,MATCH(COLUMNS($V$1006:V1006),$V$1006:$AE$1006,0)))),"Fix")))</f>
        <v>0</v>
      </c>
      <c r="C40" s="3">
        <f>IF(OR(INDEX($P$2:$P$1001,MATCH(ROWS($O$2:O40),$O$2:$O$1001,0),1)&gt;=100000,INDEX($V$1005:$AE$1005,1,MATCH(COLUMNS($V$1006:W1006),$V$1006:$AE$1006,0))&gt;=100000), " ",IF(INDEX($V$2:$AE$1001,MATCH(ROWS($O$2:O40),$O$2:$O$1001,0),MATCH(COLUMNS($V$1006:W1006),$V$1006:$AE$1006,0)), HYPERLINK("#",""), HYPERLINK(CONCATENATE("#Metadata!", ADDRESS(INDEX($Q$2:$Q$1001,MATCH(ROWS($O$2:O40),$O$2:$O$1001,0),0), INDEX($V$1004:$AE$1004,1,MATCH(COLUMNS($V$1006:W1006),$V$1006:$AE$1006,0)))),"Fix")))</f>
        <v>0</v>
      </c>
      <c r="D40" s="3">
        <f>IF(OR(INDEX($P$2:$P$1001,MATCH(ROWS($O$2:O40),$O$2:$O$1001,0),1)&gt;=100000,INDEX($V$1005:$AE$1005,1,MATCH(COLUMNS($V$1006:X1006),$V$1006:$AE$1006,0))&gt;=100000), " ",IF(INDEX($V$2:$AE$1001,MATCH(ROWS($O$2:O40),$O$2:$O$1001,0),MATCH(COLUMNS($V$1006:X1006),$V$1006:$AE$1006,0)), HYPERLINK("#",""), HYPERLINK(CONCATENATE("#Metadata!", ADDRESS(INDEX($Q$2:$Q$1001,MATCH(ROWS($O$2:O40),$O$2:$O$1001,0),0), INDEX($V$1004:$AE$1004,1,MATCH(COLUMNS($V$1006:X1006),$V$1006:$AE$1006,0)))),"Fix")))</f>
        <v>0</v>
      </c>
      <c r="E40" s="3">
        <f>IF(OR(INDEX($P$2:$P$1001,MATCH(ROWS($O$2:O40),$O$2:$O$1001,0),1)&gt;=100000,INDEX($V$1005:$AE$1005,1,MATCH(COLUMNS($V$1006:Y1006),$V$1006:$AE$1006,0))&gt;=100000), " ",IF(INDEX($V$2:$AE$1001,MATCH(ROWS($O$2:O40),$O$2:$O$1001,0),MATCH(COLUMNS($V$1006:Y1006),$V$1006:$AE$1006,0)), HYPERLINK("#",""), HYPERLINK(CONCATENATE("#Metadata!", ADDRESS(INDEX($Q$2:$Q$1001,MATCH(ROWS($O$2:O40),$O$2:$O$1001,0),0), INDEX($V$1004:$AE$1004,1,MATCH(COLUMNS($V$1006:Y1006),$V$1006:$AE$1006,0)))),"Fix")))</f>
        <v>0</v>
      </c>
      <c r="F40" s="3">
        <f>IF(OR(INDEX($P$2:$P$1001,MATCH(ROWS($O$2:O40),$O$2:$O$1001,0),1)&gt;=100000,INDEX($V$1005:$AE$1005,1,MATCH(COLUMNS($V$1006:Z1006),$V$1006:$AE$1006,0))&gt;=100000), " ",IF(INDEX($V$2:$AE$1001,MATCH(ROWS($O$2:O40),$O$2:$O$1001,0),MATCH(COLUMNS($V$1006:Z1006),$V$1006:$AE$1006,0)), HYPERLINK("#",""), HYPERLINK(CONCATENATE("#Metadata!", ADDRESS(INDEX($Q$2:$Q$1001,MATCH(ROWS($O$2:O40),$O$2:$O$1001,0),0), INDEX($V$1004:$AE$1004,1,MATCH(COLUMNS($V$1006:Z1006),$V$1006:$AE$1006,0)))),"Fix")))</f>
        <v>0</v>
      </c>
      <c r="G40" s="3">
        <f>IF(OR(INDEX($P$2:$P$1001,MATCH(ROWS($O$2:O40),$O$2:$O$1001,0),1)&gt;=100000,INDEX($V$1005:$AE$1005,1,MATCH(COLUMNS($V$1006:AA1006),$V$1006:$AE$1006,0))&gt;=100000), " ",IF(INDEX($V$2:$AE$1001,MATCH(ROWS($O$2:O40),$O$2:$O$1001,0),MATCH(COLUMNS($V$1006:AA1006),$V$1006:$AE$1006,0)), HYPERLINK("#",""), HYPERLINK(CONCATENATE("#Metadata!", ADDRESS(INDEX($Q$2:$Q$1001,MATCH(ROWS($O$2:O40),$O$2:$O$1001,0),0), INDEX($V$1004:$AE$1004,1,MATCH(COLUMNS($V$1006:AA1006),$V$1006:$AE$1006,0)))),"Fix")))</f>
        <v>0</v>
      </c>
      <c r="H40" s="3">
        <f>IF(OR(INDEX($P$2:$P$1001,MATCH(ROWS($O$2:O40),$O$2:$O$1001,0),1)&gt;=100000,INDEX($V$1005:$AE$1005,1,MATCH(COLUMNS($V$1006:AB1006),$V$1006:$AE$1006,0))&gt;=100000), " ",IF(INDEX($V$2:$AE$1001,MATCH(ROWS($O$2:O40),$O$2:$O$1001,0),MATCH(COLUMNS($V$1006:AB1006),$V$1006:$AE$1006,0)), HYPERLINK("#",""), HYPERLINK(CONCATENATE("#Metadata!", ADDRESS(INDEX($Q$2:$Q$1001,MATCH(ROWS($O$2:O40),$O$2:$O$1001,0),0), INDEX($V$1004:$AE$1004,1,MATCH(COLUMNS($V$1006:AB1006),$V$1006:$AE$1006,0)))),"Fix")))</f>
        <v>0</v>
      </c>
      <c r="I40" s="3">
        <f>IF(OR(INDEX($P$2:$P$1001,MATCH(ROWS($O$2:O40),$O$2:$O$1001,0),1)&gt;=100000,INDEX($V$1005:$AE$1005,1,MATCH(COLUMNS($V$1006:AC1006),$V$1006:$AE$1006,0))&gt;=100000), " ",IF(INDEX($V$2:$AE$1001,MATCH(ROWS($O$2:O40),$O$2:$O$1001,0),MATCH(COLUMNS($V$1006:AC1006),$V$1006:$AE$1006,0)), HYPERLINK("#",""), HYPERLINK(CONCATENATE("#Metadata!", ADDRESS(INDEX($Q$2:$Q$1001,MATCH(ROWS($O$2:O40),$O$2:$O$1001,0),0), INDEX($V$1004:$AE$1004,1,MATCH(COLUMNS($V$1006:AC1006),$V$1006:$AE$1006,0)))),"Fix")))</f>
        <v>0</v>
      </c>
      <c r="J40" s="3">
        <f>IF(OR(INDEX($P$2:$P$1001,MATCH(ROWS($O$2:O40),$O$2:$O$1001,0),1)&gt;=100000,INDEX($V$1005:$AE$1005,1,MATCH(COLUMNS($V$1006:AD1006),$V$1006:$AE$1006,0))&gt;=100000), " ",IF(INDEX($V$2:$AE$1001,MATCH(ROWS($O$2:O40),$O$2:$O$1001,0),MATCH(COLUMNS($V$1006:AD1006),$V$1006:$AE$1006,0)), HYPERLINK("#",""), HYPERLINK(CONCATENATE("#Metadata!", ADDRESS(INDEX($Q$2:$Q$1001,MATCH(ROWS($O$2:O40),$O$2:$O$1001,0),0), INDEX($V$1004:$AE$1004,1,MATCH(COLUMNS($V$1006:AD1006),$V$1006:$AE$1006,0)))),"Fix")))</f>
        <v>0</v>
      </c>
      <c r="K40" s="3">
        <f>IF(OR(INDEX($P$2:$P$1001,MATCH(ROWS($O$2:O40),$O$2:$O$1001,0),1)&gt;=100000,INDEX($V$1005:$AE$1005,1,MATCH(COLUMNS($V$1006:AE1006),$V$1006:$AE$1006,0))&gt;=100000), " ",IF(INDEX($V$2:$AE$1001,MATCH(ROWS($O$2:O40),$O$2:$O$1001,0),MATCH(COLUMNS($V$1006:AE1006),$V$1006:$AE$1006,0)), HYPERLINK("#",""), HYPERLINK(CONCATENATE("#Metadata!", ADDRESS(INDEX($Q$2:$Q$1001,MATCH(ROWS($O$2:O40),$O$2:$O$1001,0),0), INDEX($V$1004:$AE$1004,1,MATCH(COLUMNS($V$1006:AE1006),$V$1006:$AE$1006,0)))),"Fix")))</f>
        <v>0</v>
      </c>
      <c r="O40">
        <v>0</v>
      </c>
      <c r="P40">
        <v>0</v>
      </c>
      <c r="Q40">
        <v>0</v>
      </c>
      <c r="R40">
        <f>IF(S40,TRUE,AND(V40:AE40))</f>
        <v>0</v>
      </c>
      <c r="S40">
        <f>COUNTBLANK(Metadata!B40:K40)=COLUMNS(Metadata!B40:K40)</f>
        <v>0</v>
      </c>
      <c r="T40">
        <v>0</v>
      </c>
      <c r="V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W40">
        <f>AND(IF(Metadata!C40="",FALSE,TRUE),exact(Metadata!C40,"animal secretion"))</f>
        <v>0</v>
      </c>
      <c r="X40">
        <f>AND(IF(Metadata!D40="",FALSE,TRUE),exact(Metadata!D40,"saliva"))</f>
        <v>0</v>
      </c>
      <c r="Y40">
        <f>AND(IF(Metadata!E40="",FALSE,TRUE),exact(Metadata!E40,"human-oral"))</f>
        <v>0</v>
      </c>
      <c r="Z40">
        <f>AND(IF(Metadata!F40="",FALSE,TRUE),exact(Metadata!F40,"UBERON:oral cavity"))</f>
        <v>0</v>
      </c>
      <c r="AA40">
        <f>AND(IF(Metadata!G40="",FALSE,TRUE),exact(Metadata!G40,"UBERON:saliva"))</f>
        <v>0</v>
      </c>
      <c r="AB40">
        <f>AND(IF(Metadata!H40="",FALSE,TRUE),exact(Metadata!H40,"UBERON:tongue"))</f>
        <v>0</v>
      </c>
      <c r="AC40">
        <f>AND(IF(Metadata!I40="",FALSE,TRUE),exact(Metadata!I40,"tongue"))</f>
        <v>0</v>
      </c>
      <c r="AD40">
        <f>AND(IF(Metadata!J40="",FALSE,TRUE),exact(Metadata!J40,"human oral metagenome"))</f>
        <v>0</v>
      </c>
      <c r="AE40">
        <f>AND(IF(Metadata!K40="",FALSE,TRUE),exact(Metadata!K40,"447426"))</f>
        <v>0</v>
      </c>
    </row>
    <row r="41" spans="1:31">
      <c r="A41" s="4">
        <f>IF(B41=" "," ",HYPERLINK(CONCATENATE("#metadata!",ADDRESS(INDEX($Q$2:$Q$1001,MATCH(ROWS($O$2:O41),$O$2:$O$1001,0),0),1)),INDEX($T$2:$T$1001,MATCH(ROWS($O$2:O41),$O$2:$O$1001,0),0)))</f>
        <v>0</v>
      </c>
      <c r="B41" s="3">
        <f>IF(OR(INDEX($P$2:$P$1001,MATCH(ROWS($O$2:O41),$O$2:$O$1001,0),1)&gt;=100000,INDEX($V$1005:$AE$1005,1,MATCH(COLUMNS($V$1006:V1006),$V$1006:$AE$1006,0))&gt;=100000), " ",IF(INDEX($V$2:$AE$1001,MATCH(ROWS($O$2:O41),$O$2:$O$1001,0),MATCH(COLUMNS($V$1006:V1006),$V$1006:$AE$1006,0)), HYPERLINK("#",""), HYPERLINK(CONCATENATE("#Metadata!", ADDRESS(INDEX($Q$2:$Q$1001,MATCH(ROWS($O$2:O41),$O$2:$O$1001,0),0), INDEX($V$1004:$AE$1004,1,MATCH(COLUMNS($V$1006:V1006),$V$1006:$AE$1006,0)))),"Fix")))</f>
        <v>0</v>
      </c>
      <c r="C41" s="3">
        <f>IF(OR(INDEX($P$2:$P$1001,MATCH(ROWS($O$2:O41),$O$2:$O$1001,0),1)&gt;=100000,INDEX($V$1005:$AE$1005,1,MATCH(COLUMNS($V$1006:W1006),$V$1006:$AE$1006,0))&gt;=100000), " ",IF(INDEX($V$2:$AE$1001,MATCH(ROWS($O$2:O41),$O$2:$O$1001,0),MATCH(COLUMNS($V$1006:W1006),$V$1006:$AE$1006,0)), HYPERLINK("#",""), HYPERLINK(CONCATENATE("#Metadata!", ADDRESS(INDEX($Q$2:$Q$1001,MATCH(ROWS($O$2:O41),$O$2:$O$1001,0),0), INDEX($V$1004:$AE$1004,1,MATCH(COLUMNS($V$1006:W1006),$V$1006:$AE$1006,0)))),"Fix")))</f>
        <v>0</v>
      </c>
      <c r="D41" s="3">
        <f>IF(OR(INDEX($P$2:$P$1001,MATCH(ROWS($O$2:O41),$O$2:$O$1001,0),1)&gt;=100000,INDEX($V$1005:$AE$1005,1,MATCH(COLUMNS($V$1006:X1006),$V$1006:$AE$1006,0))&gt;=100000), " ",IF(INDEX($V$2:$AE$1001,MATCH(ROWS($O$2:O41),$O$2:$O$1001,0),MATCH(COLUMNS($V$1006:X1006),$V$1006:$AE$1006,0)), HYPERLINK("#",""), HYPERLINK(CONCATENATE("#Metadata!", ADDRESS(INDEX($Q$2:$Q$1001,MATCH(ROWS($O$2:O41),$O$2:$O$1001,0),0), INDEX($V$1004:$AE$1004,1,MATCH(COLUMNS($V$1006:X1006),$V$1006:$AE$1006,0)))),"Fix")))</f>
        <v>0</v>
      </c>
      <c r="E41" s="3">
        <f>IF(OR(INDEX($P$2:$P$1001,MATCH(ROWS($O$2:O41),$O$2:$O$1001,0),1)&gt;=100000,INDEX($V$1005:$AE$1005,1,MATCH(COLUMNS($V$1006:Y1006),$V$1006:$AE$1006,0))&gt;=100000), " ",IF(INDEX($V$2:$AE$1001,MATCH(ROWS($O$2:O41),$O$2:$O$1001,0),MATCH(COLUMNS($V$1006:Y1006),$V$1006:$AE$1006,0)), HYPERLINK("#",""), HYPERLINK(CONCATENATE("#Metadata!", ADDRESS(INDEX($Q$2:$Q$1001,MATCH(ROWS($O$2:O41),$O$2:$O$1001,0),0), INDEX($V$1004:$AE$1004,1,MATCH(COLUMNS($V$1006:Y1006),$V$1006:$AE$1006,0)))),"Fix")))</f>
        <v>0</v>
      </c>
      <c r="F41" s="3">
        <f>IF(OR(INDEX($P$2:$P$1001,MATCH(ROWS($O$2:O41),$O$2:$O$1001,0),1)&gt;=100000,INDEX($V$1005:$AE$1005,1,MATCH(COLUMNS($V$1006:Z1006),$V$1006:$AE$1006,0))&gt;=100000), " ",IF(INDEX($V$2:$AE$1001,MATCH(ROWS($O$2:O41),$O$2:$O$1001,0),MATCH(COLUMNS($V$1006:Z1006),$V$1006:$AE$1006,0)), HYPERLINK("#",""), HYPERLINK(CONCATENATE("#Metadata!", ADDRESS(INDEX($Q$2:$Q$1001,MATCH(ROWS($O$2:O41),$O$2:$O$1001,0),0), INDEX($V$1004:$AE$1004,1,MATCH(COLUMNS($V$1006:Z1006),$V$1006:$AE$1006,0)))),"Fix")))</f>
        <v>0</v>
      </c>
      <c r="G41" s="3">
        <f>IF(OR(INDEX($P$2:$P$1001,MATCH(ROWS($O$2:O41),$O$2:$O$1001,0),1)&gt;=100000,INDEX($V$1005:$AE$1005,1,MATCH(COLUMNS($V$1006:AA1006),$V$1006:$AE$1006,0))&gt;=100000), " ",IF(INDEX($V$2:$AE$1001,MATCH(ROWS($O$2:O41),$O$2:$O$1001,0),MATCH(COLUMNS($V$1006:AA1006),$V$1006:$AE$1006,0)), HYPERLINK("#",""), HYPERLINK(CONCATENATE("#Metadata!", ADDRESS(INDEX($Q$2:$Q$1001,MATCH(ROWS($O$2:O41),$O$2:$O$1001,0),0), INDEX($V$1004:$AE$1004,1,MATCH(COLUMNS($V$1006:AA1006),$V$1006:$AE$1006,0)))),"Fix")))</f>
        <v>0</v>
      </c>
      <c r="H41" s="3">
        <f>IF(OR(INDEX($P$2:$P$1001,MATCH(ROWS($O$2:O41),$O$2:$O$1001,0),1)&gt;=100000,INDEX($V$1005:$AE$1005,1,MATCH(COLUMNS($V$1006:AB1006),$V$1006:$AE$1006,0))&gt;=100000), " ",IF(INDEX($V$2:$AE$1001,MATCH(ROWS($O$2:O41),$O$2:$O$1001,0),MATCH(COLUMNS($V$1006:AB1006),$V$1006:$AE$1006,0)), HYPERLINK("#",""), HYPERLINK(CONCATENATE("#Metadata!", ADDRESS(INDEX($Q$2:$Q$1001,MATCH(ROWS($O$2:O41),$O$2:$O$1001,0),0), INDEX($V$1004:$AE$1004,1,MATCH(COLUMNS($V$1006:AB1006),$V$1006:$AE$1006,0)))),"Fix")))</f>
        <v>0</v>
      </c>
      <c r="I41" s="3">
        <f>IF(OR(INDEX($P$2:$P$1001,MATCH(ROWS($O$2:O41),$O$2:$O$1001,0),1)&gt;=100000,INDEX($V$1005:$AE$1005,1,MATCH(COLUMNS($V$1006:AC1006),$V$1006:$AE$1006,0))&gt;=100000), " ",IF(INDEX($V$2:$AE$1001,MATCH(ROWS($O$2:O41),$O$2:$O$1001,0),MATCH(COLUMNS($V$1006:AC1006),$V$1006:$AE$1006,0)), HYPERLINK("#",""), HYPERLINK(CONCATENATE("#Metadata!", ADDRESS(INDEX($Q$2:$Q$1001,MATCH(ROWS($O$2:O41),$O$2:$O$1001,0),0), INDEX($V$1004:$AE$1004,1,MATCH(COLUMNS($V$1006:AC1006),$V$1006:$AE$1006,0)))),"Fix")))</f>
        <v>0</v>
      </c>
      <c r="J41" s="3">
        <f>IF(OR(INDEX($P$2:$P$1001,MATCH(ROWS($O$2:O41),$O$2:$O$1001,0),1)&gt;=100000,INDEX($V$1005:$AE$1005,1,MATCH(COLUMNS($V$1006:AD1006),$V$1006:$AE$1006,0))&gt;=100000), " ",IF(INDEX($V$2:$AE$1001,MATCH(ROWS($O$2:O41),$O$2:$O$1001,0),MATCH(COLUMNS($V$1006:AD1006),$V$1006:$AE$1006,0)), HYPERLINK("#",""), HYPERLINK(CONCATENATE("#Metadata!", ADDRESS(INDEX($Q$2:$Q$1001,MATCH(ROWS($O$2:O41),$O$2:$O$1001,0),0), INDEX($V$1004:$AE$1004,1,MATCH(COLUMNS($V$1006:AD1006),$V$1006:$AE$1006,0)))),"Fix")))</f>
        <v>0</v>
      </c>
      <c r="K41" s="3">
        <f>IF(OR(INDEX($P$2:$P$1001,MATCH(ROWS($O$2:O41),$O$2:$O$1001,0),1)&gt;=100000,INDEX($V$1005:$AE$1005,1,MATCH(COLUMNS($V$1006:AE1006),$V$1006:$AE$1006,0))&gt;=100000), " ",IF(INDEX($V$2:$AE$1001,MATCH(ROWS($O$2:O41),$O$2:$O$1001,0),MATCH(COLUMNS($V$1006:AE1006),$V$1006:$AE$1006,0)), HYPERLINK("#",""), HYPERLINK(CONCATENATE("#Metadata!", ADDRESS(INDEX($Q$2:$Q$1001,MATCH(ROWS($O$2:O41),$O$2:$O$1001,0),0), INDEX($V$1004:$AE$1004,1,MATCH(COLUMNS($V$1006:AE1006),$V$1006:$AE$1006,0)))),"Fix")))</f>
        <v>0</v>
      </c>
      <c r="O41">
        <v>0</v>
      </c>
      <c r="P41">
        <v>0</v>
      </c>
      <c r="Q41">
        <v>0</v>
      </c>
      <c r="R41">
        <f>IF(S41,TRUE,AND(V41:AE41))</f>
        <v>0</v>
      </c>
      <c r="S41">
        <f>COUNTBLANK(Metadata!B41:K41)=COLUMNS(Metadata!B41:K41)</f>
        <v>0</v>
      </c>
      <c r="T41">
        <v>0</v>
      </c>
      <c r="V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W41">
        <f>AND(IF(Metadata!C41="",FALSE,TRUE),exact(Metadata!C41,"animal secretion"))</f>
        <v>0</v>
      </c>
      <c r="X41">
        <f>AND(IF(Metadata!D41="",FALSE,TRUE),exact(Metadata!D41,"saliva"))</f>
        <v>0</v>
      </c>
      <c r="Y41">
        <f>AND(IF(Metadata!E41="",FALSE,TRUE),exact(Metadata!E41,"human-oral"))</f>
        <v>0</v>
      </c>
      <c r="Z41">
        <f>AND(IF(Metadata!F41="",FALSE,TRUE),exact(Metadata!F41,"UBERON:oral cavity"))</f>
        <v>0</v>
      </c>
      <c r="AA41">
        <f>AND(IF(Metadata!G41="",FALSE,TRUE),exact(Metadata!G41,"UBERON:saliva"))</f>
        <v>0</v>
      </c>
      <c r="AB41">
        <f>AND(IF(Metadata!H41="",FALSE,TRUE),exact(Metadata!H41,"UBERON:tongue"))</f>
        <v>0</v>
      </c>
      <c r="AC41">
        <f>AND(IF(Metadata!I41="",FALSE,TRUE),exact(Metadata!I41,"tongue"))</f>
        <v>0</v>
      </c>
      <c r="AD41">
        <f>AND(IF(Metadata!J41="",FALSE,TRUE),exact(Metadata!J41,"human oral metagenome"))</f>
        <v>0</v>
      </c>
      <c r="AE41">
        <f>AND(IF(Metadata!K41="",FALSE,TRUE),exact(Metadata!K41,"447426"))</f>
        <v>0</v>
      </c>
    </row>
    <row r="42" spans="1:31">
      <c r="A42" s="4">
        <f>IF(B42=" "," ",HYPERLINK(CONCATENATE("#metadata!",ADDRESS(INDEX($Q$2:$Q$1001,MATCH(ROWS($O$2:O42),$O$2:$O$1001,0),0),1)),INDEX($T$2:$T$1001,MATCH(ROWS($O$2:O42),$O$2:$O$1001,0),0)))</f>
        <v>0</v>
      </c>
      <c r="B42" s="3">
        <f>IF(OR(INDEX($P$2:$P$1001,MATCH(ROWS($O$2:O42),$O$2:$O$1001,0),1)&gt;=100000,INDEX($V$1005:$AE$1005,1,MATCH(COLUMNS($V$1006:V1006),$V$1006:$AE$1006,0))&gt;=100000), " ",IF(INDEX($V$2:$AE$1001,MATCH(ROWS($O$2:O42),$O$2:$O$1001,0),MATCH(COLUMNS($V$1006:V1006),$V$1006:$AE$1006,0)), HYPERLINK("#",""), HYPERLINK(CONCATENATE("#Metadata!", ADDRESS(INDEX($Q$2:$Q$1001,MATCH(ROWS($O$2:O42),$O$2:$O$1001,0),0), INDEX($V$1004:$AE$1004,1,MATCH(COLUMNS($V$1006:V1006),$V$1006:$AE$1006,0)))),"Fix")))</f>
        <v>0</v>
      </c>
      <c r="C42" s="3">
        <f>IF(OR(INDEX($P$2:$P$1001,MATCH(ROWS($O$2:O42),$O$2:$O$1001,0),1)&gt;=100000,INDEX($V$1005:$AE$1005,1,MATCH(COLUMNS($V$1006:W1006),$V$1006:$AE$1006,0))&gt;=100000), " ",IF(INDEX($V$2:$AE$1001,MATCH(ROWS($O$2:O42),$O$2:$O$1001,0),MATCH(COLUMNS($V$1006:W1006),$V$1006:$AE$1006,0)), HYPERLINK("#",""), HYPERLINK(CONCATENATE("#Metadata!", ADDRESS(INDEX($Q$2:$Q$1001,MATCH(ROWS($O$2:O42),$O$2:$O$1001,0),0), INDEX($V$1004:$AE$1004,1,MATCH(COLUMNS($V$1006:W1006),$V$1006:$AE$1006,0)))),"Fix")))</f>
        <v>0</v>
      </c>
      <c r="D42" s="3">
        <f>IF(OR(INDEX($P$2:$P$1001,MATCH(ROWS($O$2:O42),$O$2:$O$1001,0),1)&gt;=100000,INDEX($V$1005:$AE$1005,1,MATCH(COLUMNS($V$1006:X1006),$V$1006:$AE$1006,0))&gt;=100000), " ",IF(INDEX($V$2:$AE$1001,MATCH(ROWS($O$2:O42),$O$2:$O$1001,0),MATCH(COLUMNS($V$1006:X1006),$V$1006:$AE$1006,0)), HYPERLINK("#",""), HYPERLINK(CONCATENATE("#Metadata!", ADDRESS(INDEX($Q$2:$Q$1001,MATCH(ROWS($O$2:O42),$O$2:$O$1001,0),0), INDEX($V$1004:$AE$1004,1,MATCH(COLUMNS($V$1006:X1006),$V$1006:$AE$1006,0)))),"Fix")))</f>
        <v>0</v>
      </c>
      <c r="E42" s="3">
        <f>IF(OR(INDEX($P$2:$P$1001,MATCH(ROWS($O$2:O42),$O$2:$O$1001,0),1)&gt;=100000,INDEX($V$1005:$AE$1005,1,MATCH(COLUMNS($V$1006:Y1006),$V$1006:$AE$1006,0))&gt;=100000), " ",IF(INDEX($V$2:$AE$1001,MATCH(ROWS($O$2:O42),$O$2:$O$1001,0),MATCH(COLUMNS($V$1006:Y1006),$V$1006:$AE$1006,0)), HYPERLINK("#",""), HYPERLINK(CONCATENATE("#Metadata!", ADDRESS(INDEX($Q$2:$Q$1001,MATCH(ROWS($O$2:O42),$O$2:$O$1001,0),0), INDEX($V$1004:$AE$1004,1,MATCH(COLUMNS($V$1006:Y1006),$V$1006:$AE$1006,0)))),"Fix")))</f>
        <v>0</v>
      </c>
      <c r="F42" s="3">
        <f>IF(OR(INDEX($P$2:$P$1001,MATCH(ROWS($O$2:O42),$O$2:$O$1001,0),1)&gt;=100000,INDEX($V$1005:$AE$1005,1,MATCH(COLUMNS($V$1006:Z1006),$V$1006:$AE$1006,0))&gt;=100000), " ",IF(INDEX($V$2:$AE$1001,MATCH(ROWS($O$2:O42),$O$2:$O$1001,0),MATCH(COLUMNS($V$1006:Z1006),$V$1006:$AE$1006,0)), HYPERLINK("#",""), HYPERLINK(CONCATENATE("#Metadata!", ADDRESS(INDEX($Q$2:$Q$1001,MATCH(ROWS($O$2:O42),$O$2:$O$1001,0),0), INDEX($V$1004:$AE$1004,1,MATCH(COLUMNS($V$1006:Z1006),$V$1006:$AE$1006,0)))),"Fix")))</f>
        <v>0</v>
      </c>
      <c r="G42" s="3">
        <f>IF(OR(INDEX($P$2:$P$1001,MATCH(ROWS($O$2:O42),$O$2:$O$1001,0),1)&gt;=100000,INDEX($V$1005:$AE$1005,1,MATCH(COLUMNS($V$1006:AA1006),$V$1006:$AE$1006,0))&gt;=100000), " ",IF(INDEX($V$2:$AE$1001,MATCH(ROWS($O$2:O42),$O$2:$O$1001,0),MATCH(COLUMNS($V$1006:AA1006),$V$1006:$AE$1006,0)), HYPERLINK("#",""), HYPERLINK(CONCATENATE("#Metadata!", ADDRESS(INDEX($Q$2:$Q$1001,MATCH(ROWS($O$2:O42),$O$2:$O$1001,0),0), INDEX($V$1004:$AE$1004,1,MATCH(COLUMNS($V$1006:AA1006),$V$1006:$AE$1006,0)))),"Fix")))</f>
        <v>0</v>
      </c>
      <c r="H42" s="3">
        <f>IF(OR(INDEX($P$2:$P$1001,MATCH(ROWS($O$2:O42),$O$2:$O$1001,0),1)&gt;=100000,INDEX($V$1005:$AE$1005,1,MATCH(COLUMNS($V$1006:AB1006),$V$1006:$AE$1006,0))&gt;=100000), " ",IF(INDEX($V$2:$AE$1001,MATCH(ROWS($O$2:O42),$O$2:$O$1001,0),MATCH(COLUMNS($V$1006:AB1006),$V$1006:$AE$1006,0)), HYPERLINK("#",""), HYPERLINK(CONCATENATE("#Metadata!", ADDRESS(INDEX($Q$2:$Q$1001,MATCH(ROWS($O$2:O42),$O$2:$O$1001,0),0), INDEX($V$1004:$AE$1004,1,MATCH(COLUMNS($V$1006:AB1006),$V$1006:$AE$1006,0)))),"Fix")))</f>
        <v>0</v>
      </c>
      <c r="I42" s="3">
        <f>IF(OR(INDEX($P$2:$P$1001,MATCH(ROWS($O$2:O42),$O$2:$O$1001,0),1)&gt;=100000,INDEX($V$1005:$AE$1005,1,MATCH(COLUMNS($V$1006:AC1006),$V$1006:$AE$1006,0))&gt;=100000), " ",IF(INDEX($V$2:$AE$1001,MATCH(ROWS($O$2:O42),$O$2:$O$1001,0),MATCH(COLUMNS($V$1006:AC1006),$V$1006:$AE$1006,0)), HYPERLINK("#",""), HYPERLINK(CONCATENATE("#Metadata!", ADDRESS(INDEX($Q$2:$Q$1001,MATCH(ROWS($O$2:O42),$O$2:$O$1001,0),0), INDEX($V$1004:$AE$1004,1,MATCH(COLUMNS($V$1006:AC1006),$V$1006:$AE$1006,0)))),"Fix")))</f>
        <v>0</v>
      </c>
      <c r="J42" s="3">
        <f>IF(OR(INDEX($P$2:$P$1001,MATCH(ROWS($O$2:O42),$O$2:$O$1001,0),1)&gt;=100000,INDEX($V$1005:$AE$1005,1,MATCH(COLUMNS($V$1006:AD1006),$V$1006:$AE$1006,0))&gt;=100000), " ",IF(INDEX($V$2:$AE$1001,MATCH(ROWS($O$2:O42),$O$2:$O$1001,0),MATCH(COLUMNS($V$1006:AD1006),$V$1006:$AE$1006,0)), HYPERLINK("#",""), HYPERLINK(CONCATENATE("#Metadata!", ADDRESS(INDEX($Q$2:$Q$1001,MATCH(ROWS($O$2:O42),$O$2:$O$1001,0),0), INDEX($V$1004:$AE$1004,1,MATCH(COLUMNS($V$1006:AD1006),$V$1006:$AE$1006,0)))),"Fix")))</f>
        <v>0</v>
      </c>
      <c r="K42" s="3">
        <f>IF(OR(INDEX($P$2:$P$1001,MATCH(ROWS($O$2:O42),$O$2:$O$1001,0),1)&gt;=100000,INDEX($V$1005:$AE$1005,1,MATCH(COLUMNS($V$1006:AE1006),$V$1006:$AE$1006,0))&gt;=100000), " ",IF(INDEX($V$2:$AE$1001,MATCH(ROWS($O$2:O42),$O$2:$O$1001,0),MATCH(COLUMNS($V$1006:AE1006),$V$1006:$AE$1006,0)), HYPERLINK("#",""), HYPERLINK(CONCATENATE("#Metadata!", ADDRESS(INDEX($Q$2:$Q$1001,MATCH(ROWS($O$2:O42),$O$2:$O$1001,0),0), INDEX($V$1004:$AE$1004,1,MATCH(COLUMNS($V$1006:AE1006),$V$1006:$AE$1006,0)))),"Fix")))</f>
        <v>0</v>
      </c>
      <c r="O42">
        <v>0</v>
      </c>
      <c r="P42">
        <v>0</v>
      </c>
      <c r="Q42">
        <v>0</v>
      </c>
      <c r="R42">
        <f>IF(S42,TRUE,AND(V42:AE42))</f>
        <v>0</v>
      </c>
      <c r="S42">
        <f>COUNTBLANK(Metadata!B42:K42)=COLUMNS(Metadata!B42:K42)</f>
        <v>0</v>
      </c>
      <c r="T42">
        <v>0</v>
      </c>
      <c r="V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W42">
        <f>AND(IF(Metadata!C42="",FALSE,TRUE),exact(Metadata!C42,"animal secretion"))</f>
        <v>0</v>
      </c>
      <c r="X42">
        <f>AND(IF(Metadata!D42="",FALSE,TRUE),exact(Metadata!D42,"saliva"))</f>
        <v>0</v>
      </c>
      <c r="Y42">
        <f>AND(IF(Metadata!E42="",FALSE,TRUE),exact(Metadata!E42,"human-oral"))</f>
        <v>0</v>
      </c>
      <c r="Z42">
        <f>AND(IF(Metadata!F42="",FALSE,TRUE),exact(Metadata!F42,"UBERON:oral cavity"))</f>
        <v>0</v>
      </c>
      <c r="AA42">
        <f>AND(IF(Metadata!G42="",FALSE,TRUE),exact(Metadata!G42,"UBERON:saliva"))</f>
        <v>0</v>
      </c>
      <c r="AB42">
        <f>AND(IF(Metadata!H42="",FALSE,TRUE),exact(Metadata!H42,"UBERON:tongue"))</f>
        <v>0</v>
      </c>
      <c r="AC42">
        <f>AND(IF(Metadata!I42="",FALSE,TRUE),exact(Metadata!I42,"tongue"))</f>
        <v>0</v>
      </c>
      <c r="AD42">
        <f>AND(IF(Metadata!J42="",FALSE,TRUE),exact(Metadata!J42,"human oral metagenome"))</f>
        <v>0</v>
      </c>
      <c r="AE42">
        <f>AND(IF(Metadata!K42="",FALSE,TRUE),exact(Metadata!K42,"447426"))</f>
        <v>0</v>
      </c>
    </row>
    <row r="43" spans="1:31">
      <c r="A43" s="4">
        <f>IF(B43=" "," ",HYPERLINK(CONCATENATE("#metadata!",ADDRESS(INDEX($Q$2:$Q$1001,MATCH(ROWS($O$2:O43),$O$2:$O$1001,0),0),1)),INDEX($T$2:$T$1001,MATCH(ROWS($O$2:O43),$O$2:$O$1001,0),0)))</f>
        <v>0</v>
      </c>
      <c r="B43" s="3">
        <f>IF(OR(INDEX($P$2:$P$1001,MATCH(ROWS($O$2:O43),$O$2:$O$1001,0),1)&gt;=100000,INDEX($V$1005:$AE$1005,1,MATCH(COLUMNS($V$1006:V1006),$V$1006:$AE$1006,0))&gt;=100000), " ",IF(INDEX($V$2:$AE$1001,MATCH(ROWS($O$2:O43),$O$2:$O$1001,0),MATCH(COLUMNS($V$1006:V1006),$V$1006:$AE$1006,0)), HYPERLINK("#",""), HYPERLINK(CONCATENATE("#Metadata!", ADDRESS(INDEX($Q$2:$Q$1001,MATCH(ROWS($O$2:O43),$O$2:$O$1001,0),0), INDEX($V$1004:$AE$1004,1,MATCH(COLUMNS($V$1006:V1006),$V$1006:$AE$1006,0)))),"Fix")))</f>
        <v>0</v>
      </c>
      <c r="C43" s="3">
        <f>IF(OR(INDEX($P$2:$P$1001,MATCH(ROWS($O$2:O43),$O$2:$O$1001,0),1)&gt;=100000,INDEX($V$1005:$AE$1005,1,MATCH(COLUMNS($V$1006:W1006),$V$1006:$AE$1006,0))&gt;=100000), " ",IF(INDEX($V$2:$AE$1001,MATCH(ROWS($O$2:O43),$O$2:$O$1001,0),MATCH(COLUMNS($V$1006:W1006),$V$1006:$AE$1006,0)), HYPERLINK("#",""), HYPERLINK(CONCATENATE("#Metadata!", ADDRESS(INDEX($Q$2:$Q$1001,MATCH(ROWS($O$2:O43),$O$2:$O$1001,0),0), INDEX($V$1004:$AE$1004,1,MATCH(COLUMNS($V$1006:W1006),$V$1006:$AE$1006,0)))),"Fix")))</f>
        <v>0</v>
      </c>
      <c r="D43" s="3">
        <f>IF(OR(INDEX($P$2:$P$1001,MATCH(ROWS($O$2:O43),$O$2:$O$1001,0),1)&gt;=100000,INDEX($V$1005:$AE$1005,1,MATCH(COLUMNS($V$1006:X1006),$V$1006:$AE$1006,0))&gt;=100000), " ",IF(INDEX($V$2:$AE$1001,MATCH(ROWS($O$2:O43),$O$2:$O$1001,0),MATCH(COLUMNS($V$1006:X1006),$V$1006:$AE$1006,0)), HYPERLINK("#",""), HYPERLINK(CONCATENATE("#Metadata!", ADDRESS(INDEX($Q$2:$Q$1001,MATCH(ROWS($O$2:O43),$O$2:$O$1001,0),0), INDEX($V$1004:$AE$1004,1,MATCH(COLUMNS($V$1006:X1006),$V$1006:$AE$1006,0)))),"Fix")))</f>
        <v>0</v>
      </c>
      <c r="E43" s="3">
        <f>IF(OR(INDEX($P$2:$P$1001,MATCH(ROWS($O$2:O43),$O$2:$O$1001,0),1)&gt;=100000,INDEX($V$1005:$AE$1005,1,MATCH(COLUMNS($V$1006:Y1006),$V$1006:$AE$1006,0))&gt;=100000), " ",IF(INDEX($V$2:$AE$1001,MATCH(ROWS($O$2:O43),$O$2:$O$1001,0),MATCH(COLUMNS($V$1006:Y1006),$V$1006:$AE$1006,0)), HYPERLINK("#",""), HYPERLINK(CONCATENATE("#Metadata!", ADDRESS(INDEX($Q$2:$Q$1001,MATCH(ROWS($O$2:O43),$O$2:$O$1001,0),0), INDEX($V$1004:$AE$1004,1,MATCH(COLUMNS($V$1006:Y1006),$V$1006:$AE$1006,0)))),"Fix")))</f>
        <v>0</v>
      </c>
      <c r="F43" s="3">
        <f>IF(OR(INDEX($P$2:$P$1001,MATCH(ROWS($O$2:O43),$O$2:$O$1001,0),1)&gt;=100000,INDEX($V$1005:$AE$1005,1,MATCH(COLUMNS($V$1006:Z1006),$V$1006:$AE$1006,0))&gt;=100000), " ",IF(INDEX($V$2:$AE$1001,MATCH(ROWS($O$2:O43),$O$2:$O$1001,0),MATCH(COLUMNS($V$1006:Z1006),$V$1006:$AE$1006,0)), HYPERLINK("#",""), HYPERLINK(CONCATENATE("#Metadata!", ADDRESS(INDEX($Q$2:$Q$1001,MATCH(ROWS($O$2:O43),$O$2:$O$1001,0),0), INDEX($V$1004:$AE$1004,1,MATCH(COLUMNS($V$1006:Z1006),$V$1006:$AE$1006,0)))),"Fix")))</f>
        <v>0</v>
      </c>
      <c r="G43" s="3">
        <f>IF(OR(INDEX($P$2:$P$1001,MATCH(ROWS($O$2:O43),$O$2:$O$1001,0),1)&gt;=100000,INDEX($V$1005:$AE$1005,1,MATCH(COLUMNS($V$1006:AA1006),$V$1006:$AE$1006,0))&gt;=100000), " ",IF(INDEX($V$2:$AE$1001,MATCH(ROWS($O$2:O43),$O$2:$O$1001,0),MATCH(COLUMNS($V$1006:AA1006),$V$1006:$AE$1006,0)), HYPERLINK("#",""), HYPERLINK(CONCATENATE("#Metadata!", ADDRESS(INDEX($Q$2:$Q$1001,MATCH(ROWS($O$2:O43),$O$2:$O$1001,0),0), INDEX($V$1004:$AE$1004,1,MATCH(COLUMNS($V$1006:AA1006),$V$1006:$AE$1006,0)))),"Fix")))</f>
        <v>0</v>
      </c>
      <c r="H43" s="3">
        <f>IF(OR(INDEX($P$2:$P$1001,MATCH(ROWS($O$2:O43),$O$2:$O$1001,0),1)&gt;=100000,INDEX($V$1005:$AE$1005,1,MATCH(COLUMNS($V$1006:AB1006),$V$1006:$AE$1006,0))&gt;=100000), " ",IF(INDEX($V$2:$AE$1001,MATCH(ROWS($O$2:O43),$O$2:$O$1001,0),MATCH(COLUMNS($V$1006:AB1006),$V$1006:$AE$1006,0)), HYPERLINK("#",""), HYPERLINK(CONCATENATE("#Metadata!", ADDRESS(INDEX($Q$2:$Q$1001,MATCH(ROWS($O$2:O43),$O$2:$O$1001,0),0), INDEX($V$1004:$AE$1004,1,MATCH(COLUMNS($V$1006:AB1006),$V$1006:$AE$1006,0)))),"Fix")))</f>
        <v>0</v>
      </c>
      <c r="I43" s="3">
        <f>IF(OR(INDEX($P$2:$P$1001,MATCH(ROWS($O$2:O43),$O$2:$O$1001,0),1)&gt;=100000,INDEX($V$1005:$AE$1005,1,MATCH(COLUMNS($V$1006:AC1006),$V$1006:$AE$1006,0))&gt;=100000), " ",IF(INDEX($V$2:$AE$1001,MATCH(ROWS($O$2:O43),$O$2:$O$1001,0),MATCH(COLUMNS($V$1006:AC1006),$V$1006:$AE$1006,0)), HYPERLINK("#",""), HYPERLINK(CONCATENATE("#Metadata!", ADDRESS(INDEX($Q$2:$Q$1001,MATCH(ROWS($O$2:O43),$O$2:$O$1001,0),0), INDEX($V$1004:$AE$1004,1,MATCH(COLUMNS($V$1006:AC1006),$V$1006:$AE$1006,0)))),"Fix")))</f>
        <v>0</v>
      </c>
      <c r="J43" s="3">
        <f>IF(OR(INDEX($P$2:$P$1001,MATCH(ROWS($O$2:O43),$O$2:$O$1001,0),1)&gt;=100000,INDEX($V$1005:$AE$1005,1,MATCH(COLUMNS($V$1006:AD1006),$V$1006:$AE$1006,0))&gt;=100000), " ",IF(INDEX($V$2:$AE$1001,MATCH(ROWS($O$2:O43),$O$2:$O$1001,0),MATCH(COLUMNS($V$1006:AD1006),$V$1006:$AE$1006,0)), HYPERLINK("#",""), HYPERLINK(CONCATENATE("#Metadata!", ADDRESS(INDEX($Q$2:$Q$1001,MATCH(ROWS($O$2:O43),$O$2:$O$1001,0),0), INDEX($V$1004:$AE$1004,1,MATCH(COLUMNS($V$1006:AD1006),$V$1006:$AE$1006,0)))),"Fix")))</f>
        <v>0</v>
      </c>
      <c r="K43" s="3">
        <f>IF(OR(INDEX($P$2:$P$1001,MATCH(ROWS($O$2:O43),$O$2:$O$1001,0),1)&gt;=100000,INDEX($V$1005:$AE$1005,1,MATCH(COLUMNS($V$1006:AE1006),$V$1006:$AE$1006,0))&gt;=100000), " ",IF(INDEX($V$2:$AE$1001,MATCH(ROWS($O$2:O43),$O$2:$O$1001,0),MATCH(COLUMNS($V$1006:AE1006),$V$1006:$AE$1006,0)), HYPERLINK("#",""), HYPERLINK(CONCATENATE("#Metadata!", ADDRESS(INDEX($Q$2:$Q$1001,MATCH(ROWS($O$2:O43),$O$2:$O$1001,0),0), INDEX($V$1004:$AE$1004,1,MATCH(COLUMNS($V$1006:AE1006),$V$1006:$AE$1006,0)))),"Fix")))</f>
        <v>0</v>
      </c>
      <c r="O43">
        <v>0</v>
      </c>
      <c r="P43">
        <v>0</v>
      </c>
      <c r="Q43">
        <v>0</v>
      </c>
      <c r="R43">
        <f>IF(S43,TRUE,AND(V43:AE43))</f>
        <v>0</v>
      </c>
      <c r="S43">
        <f>COUNTBLANK(Metadata!B43:K43)=COLUMNS(Metadata!B43:K43)</f>
        <v>0</v>
      </c>
      <c r="T43">
        <v>0</v>
      </c>
      <c r="V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W43">
        <f>AND(IF(Metadata!C43="",FALSE,TRUE),exact(Metadata!C43,"animal secretion"))</f>
        <v>0</v>
      </c>
      <c r="X43">
        <f>AND(IF(Metadata!D43="",FALSE,TRUE),exact(Metadata!D43,"saliva"))</f>
        <v>0</v>
      </c>
      <c r="Y43">
        <f>AND(IF(Metadata!E43="",FALSE,TRUE),exact(Metadata!E43,"human-oral"))</f>
        <v>0</v>
      </c>
      <c r="Z43">
        <f>AND(IF(Metadata!F43="",FALSE,TRUE),exact(Metadata!F43,"UBERON:oral cavity"))</f>
        <v>0</v>
      </c>
      <c r="AA43">
        <f>AND(IF(Metadata!G43="",FALSE,TRUE),exact(Metadata!G43,"UBERON:saliva"))</f>
        <v>0</v>
      </c>
      <c r="AB43">
        <f>AND(IF(Metadata!H43="",FALSE,TRUE),exact(Metadata!H43,"UBERON:tongue"))</f>
        <v>0</v>
      </c>
      <c r="AC43">
        <f>AND(IF(Metadata!I43="",FALSE,TRUE),exact(Metadata!I43,"tongue"))</f>
        <v>0</v>
      </c>
      <c r="AD43">
        <f>AND(IF(Metadata!J43="",FALSE,TRUE),exact(Metadata!J43,"human oral metagenome"))</f>
        <v>0</v>
      </c>
      <c r="AE43">
        <f>AND(IF(Metadata!K43="",FALSE,TRUE),exact(Metadata!K43,"447426"))</f>
        <v>0</v>
      </c>
    </row>
    <row r="44" spans="1:31">
      <c r="A44" s="4">
        <f>IF(B44=" "," ",HYPERLINK(CONCATENATE("#metadata!",ADDRESS(INDEX($Q$2:$Q$1001,MATCH(ROWS($O$2:O44),$O$2:$O$1001,0),0),1)),INDEX($T$2:$T$1001,MATCH(ROWS($O$2:O44),$O$2:$O$1001,0),0)))</f>
        <v>0</v>
      </c>
      <c r="B44" s="3">
        <f>IF(OR(INDEX($P$2:$P$1001,MATCH(ROWS($O$2:O44),$O$2:$O$1001,0),1)&gt;=100000,INDEX($V$1005:$AE$1005,1,MATCH(COLUMNS($V$1006:V1006),$V$1006:$AE$1006,0))&gt;=100000), " ",IF(INDEX($V$2:$AE$1001,MATCH(ROWS($O$2:O44),$O$2:$O$1001,0),MATCH(COLUMNS($V$1006:V1006),$V$1006:$AE$1006,0)), HYPERLINK("#",""), HYPERLINK(CONCATENATE("#Metadata!", ADDRESS(INDEX($Q$2:$Q$1001,MATCH(ROWS($O$2:O44),$O$2:$O$1001,0),0), INDEX($V$1004:$AE$1004,1,MATCH(COLUMNS($V$1006:V1006),$V$1006:$AE$1006,0)))),"Fix")))</f>
        <v>0</v>
      </c>
      <c r="C44" s="3">
        <f>IF(OR(INDEX($P$2:$P$1001,MATCH(ROWS($O$2:O44),$O$2:$O$1001,0),1)&gt;=100000,INDEX($V$1005:$AE$1005,1,MATCH(COLUMNS($V$1006:W1006),$V$1006:$AE$1006,0))&gt;=100000), " ",IF(INDEX($V$2:$AE$1001,MATCH(ROWS($O$2:O44),$O$2:$O$1001,0),MATCH(COLUMNS($V$1006:W1006),$V$1006:$AE$1006,0)), HYPERLINK("#",""), HYPERLINK(CONCATENATE("#Metadata!", ADDRESS(INDEX($Q$2:$Q$1001,MATCH(ROWS($O$2:O44),$O$2:$O$1001,0),0), INDEX($V$1004:$AE$1004,1,MATCH(COLUMNS($V$1006:W1006),$V$1006:$AE$1006,0)))),"Fix")))</f>
        <v>0</v>
      </c>
      <c r="D44" s="3">
        <f>IF(OR(INDEX($P$2:$P$1001,MATCH(ROWS($O$2:O44),$O$2:$O$1001,0),1)&gt;=100000,INDEX($V$1005:$AE$1005,1,MATCH(COLUMNS($V$1006:X1006),$V$1006:$AE$1006,0))&gt;=100000), " ",IF(INDEX($V$2:$AE$1001,MATCH(ROWS($O$2:O44),$O$2:$O$1001,0),MATCH(COLUMNS($V$1006:X1006),$V$1006:$AE$1006,0)), HYPERLINK("#",""), HYPERLINK(CONCATENATE("#Metadata!", ADDRESS(INDEX($Q$2:$Q$1001,MATCH(ROWS($O$2:O44),$O$2:$O$1001,0),0), INDEX($V$1004:$AE$1004,1,MATCH(COLUMNS($V$1006:X1006),$V$1006:$AE$1006,0)))),"Fix")))</f>
        <v>0</v>
      </c>
      <c r="E44" s="3">
        <f>IF(OR(INDEX($P$2:$P$1001,MATCH(ROWS($O$2:O44),$O$2:$O$1001,0),1)&gt;=100000,INDEX($V$1005:$AE$1005,1,MATCH(COLUMNS($V$1006:Y1006),$V$1006:$AE$1006,0))&gt;=100000), " ",IF(INDEX($V$2:$AE$1001,MATCH(ROWS($O$2:O44),$O$2:$O$1001,0),MATCH(COLUMNS($V$1006:Y1006),$V$1006:$AE$1006,0)), HYPERLINK("#",""), HYPERLINK(CONCATENATE("#Metadata!", ADDRESS(INDEX($Q$2:$Q$1001,MATCH(ROWS($O$2:O44),$O$2:$O$1001,0),0), INDEX($V$1004:$AE$1004,1,MATCH(COLUMNS($V$1006:Y1006),$V$1006:$AE$1006,0)))),"Fix")))</f>
        <v>0</v>
      </c>
      <c r="F44" s="3">
        <f>IF(OR(INDEX($P$2:$P$1001,MATCH(ROWS($O$2:O44),$O$2:$O$1001,0),1)&gt;=100000,INDEX($V$1005:$AE$1005,1,MATCH(COLUMNS($V$1006:Z1006),$V$1006:$AE$1006,0))&gt;=100000), " ",IF(INDEX($V$2:$AE$1001,MATCH(ROWS($O$2:O44),$O$2:$O$1001,0),MATCH(COLUMNS($V$1006:Z1006),$V$1006:$AE$1006,0)), HYPERLINK("#",""), HYPERLINK(CONCATENATE("#Metadata!", ADDRESS(INDEX($Q$2:$Q$1001,MATCH(ROWS($O$2:O44),$O$2:$O$1001,0),0), INDEX($V$1004:$AE$1004,1,MATCH(COLUMNS($V$1006:Z1006),$V$1006:$AE$1006,0)))),"Fix")))</f>
        <v>0</v>
      </c>
      <c r="G44" s="3">
        <f>IF(OR(INDEX($P$2:$P$1001,MATCH(ROWS($O$2:O44),$O$2:$O$1001,0),1)&gt;=100000,INDEX($V$1005:$AE$1005,1,MATCH(COLUMNS($V$1006:AA1006),$V$1006:$AE$1006,0))&gt;=100000), " ",IF(INDEX($V$2:$AE$1001,MATCH(ROWS($O$2:O44),$O$2:$O$1001,0),MATCH(COLUMNS($V$1006:AA1006),$V$1006:$AE$1006,0)), HYPERLINK("#",""), HYPERLINK(CONCATENATE("#Metadata!", ADDRESS(INDEX($Q$2:$Q$1001,MATCH(ROWS($O$2:O44),$O$2:$O$1001,0),0), INDEX($V$1004:$AE$1004,1,MATCH(COLUMNS($V$1006:AA1006),$V$1006:$AE$1006,0)))),"Fix")))</f>
        <v>0</v>
      </c>
      <c r="H44" s="3">
        <f>IF(OR(INDEX($P$2:$P$1001,MATCH(ROWS($O$2:O44),$O$2:$O$1001,0),1)&gt;=100000,INDEX($V$1005:$AE$1005,1,MATCH(COLUMNS($V$1006:AB1006),$V$1006:$AE$1006,0))&gt;=100000), " ",IF(INDEX($V$2:$AE$1001,MATCH(ROWS($O$2:O44),$O$2:$O$1001,0),MATCH(COLUMNS($V$1006:AB1006),$V$1006:$AE$1006,0)), HYPERLINK("#",""), HYPERLINK(CONCATENATE("#Metadata!", ADDRESS(INDEX($Q$2:$Q$1001,MATCH(ROWS($O$2:O44),$O$2:$O$1001,0),0), INDEX($V$1004:$AE$1004,1,MATCH(COLUMNS($V$1006:AB1006),$V$1006:$AE$1006,0)))),"Fix")))</f>
        <v>0</v>
      </c>
      <c r="I44" s="3">
        <f>IF(OR(INDEX($P$2:$P$1001,MATCH(ROWS($O$2:O44),$O$2:$O$1001,0),1)&gt;=100000,INDEX($V$1005:$AE$1005,1,MATCH(COLUMNS($V$1006:AC1006),$V$1006:$AE$1006,0))&gt;=100000), " ",IF(INDEX($V$2:$AE$1001,MATCH(ROWS($O$2:O44),$O$2:$O$1001,0),MATCH(COLUMNS($V$1006:AC1006),$V$1006:$AE$1006,0)), HYPERLINK("#",""), HYPERLINK(CONCATENATE("#Metadata!", ADDRESS(INDEX($Q$2:$Q$1001,MATCH(ROWS($O$2:O44),$O$2:$O$1001,0),0), INDEX($V$1004:$AE$1004,1,MATCH(COLUMNS($V$1006:AC1006),$V$1006:$AE$1006,0)))),"Fix")))</f>
        <v>0</v>
      </c>
      <c r="J44" s="3">
        <f>IF(OR(INDEX($P$2:$P$1001,MATCH(ROWS($O$2:O44),$O$2:$O$1001,0),1)&gt;=100000,INDEX($V$1005:$AE$1005,1,MATCH(COLUMNS($V$1006:AD1006),$V$1006:$AE$1006,0))&gt;=100000), " ",IF(INDEX($V$2:$AE$1001,MATCH(ROWS($O$2:O44),$O$2:$O$1001,0),MATCH(COLUMNS($V$1006:AD1006),$V$1006:$AE$1006,0)), HYPERLINK("#",""), HYPERLINK(CONCATENATE("#Metadata!", ADDRESS(INDEX($Q$2:$Q$1001,MATCH(ROWS($O$2:O44),$O$2:$O$1001,0),0), INDEX($V$1004:$AE$1004,1,MATCH(COLUMNS($V$1006:AD1006),$V$1006:$AE$1006,0)))),"Fix")))</f>
        <v>0</v>
      </c>
      <c r="K44" s="3">
        <f>IF(OR(INDEX($P$2:$P$1001,MATCH(ROWS($O$2:O44),$O$2:$O$1001,0),1)&gt;=100000,INDEX($V$1005:$AE$1005,1,MATCH(COLUMNS($V$1006:AE1006),$V$1006:$AE$1006,0))&gt;=100000), " ",IF(INDEX($V$2:$AE$1001,MATCH(ROWS($O$2:O44),$O$2:$O$1001,0),MATCH(COLUMNS($V$1006:AE1006),$V$1006:$AE$1006,0)), HYPERLINK("#",""), HYPERLINK(CONCATENATE("#Metadata!", ADDRESS(INDEX($Q$2:$Q$1001,MATCH(ROWS($O$2:O44),$O$2:$O$1001,0),0), INDEX($V$1004:$AE$1004,1,MATCH(COLUMNS($V$1006:AE1006),$V$1006:$AE$1006,0)))),"Fix")))</f>
        <v>0</v>
      </c>
      <c r="O44">
        <v>0</v>
      </c>
      <c r="P44">
        <v>0</v>
      </c>
      <c r="Q44">
        <v>0</v>
      </c>
      <c r="R44">
        <f>IF(S44,TRUE,AND(V44:AE44))</f>
        <v>0</v>
      </c>
      <c r="S44">
        <f>COUNTBLANK(Metadata!B44:K44)=COLUMNS(Metadata!B44:K44)</f>
        <v>0</v>
      </c>
      <c r="T44">
        <v>0</v>
      </c>
      <c r="V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W44">
        <f>AND(IF(Metadata!C44="",FALSE,TRUE),exact(Metadata!C44,"animal secretion"))</f>
        <v>0</v>
      </c>
      <c r="X44">
        <f>AND(IF(Metadata!D44="",FALSE,TRUE),exact(Metadata!D44,"saliva"))</f>
        <v>0</v>
      </c>
      <c r="Y44">
        <f>AND(IF(Metadata!E44="",FALSE,TRUE),exact(Metadata!E44,"human-oral"))</f>
        <v>0</v>
      </c>
      <c r="Z44">
        <f>AND(IF(Metadata!F44="",FALSE,TRUE),exact(Metadata!F44,"UBERON:oral cavity"))</f>
        <v>0</v>
      </c>
      <c r="AA44">
        <f>AND(IF(Metadata!G44="",FALSE,TRUE),exact(Metadata!G44,"UBERON:saliva"))</f>
        <v>0</v>
      </c>
      <c r="AB44">
        <f>AND(IF(Metadata!H44="",FALSE,TRUE),exact(Metadata!H44,"UBERON:tongue"))</f>
        <v>0</v>
      </c>
      <c r="AC44">
        <f>AND(IF(Metadata!I44="",FALSE,TRUE),exact(Metadata!I44,"tongue"))</f>
        <v>0</v>
      </c>
      <c r="AD44">
        <f>AND(IF(Metadata!J44="",FALSE,TRUE),exact(Metadata!J44,"human oral metagenome"))</f>
        <v>0</v>
      </c>
      <c r="AE44">
        <f>AND(IF(Metadata!K44="",FALSE,TRUE),exact(Metadata!K44,"447426"))</f>
        <v>0</v>
      </c>
    </row>
    <row r="45" spans="1:31">
      <c r="A45" s="4">
        <f>IF(B45=" "," ",HYPERLINK(CONCATENATE("#metadata!",ADDRESS(INDEX($Q$2:$Q$1001,MATCH(ROWS($O$2:O45),$O$2:$O$1001,0),0),1)),INDEX($T$2:$T$1001,MATCH(ROWS($O$2:O45),$O$2:$O$1001,0),0)))</f>
        <v>0</v>
      </c>
      <c r="B45" s="3">
        <f>IF(OR(INDEX($P$2:$P$1001,MATCH(ROWS($O$2:O45),$O$2:$O$1001,0),1)&gt;=100000,INDEX($V$1005:$AE$1005,1,MATCH(COLUMNS($V$1006:V1006),$V$1006:$AE$1006,0))&gt;=100000), " ",IF(INDEX($V$2:$AE$1001,MATCH(ROWS($O$2:O45),$O$2:$O$1001,0),MATCH(COLUMNS($V$1006:V1006),$V$1006:$AE$1006,0)), HYPERLINK("#",""), HYPERLINK(CONCATENATE("#Metadata!", ADDRESS(INDEX($Q$2:$Q$1001,MATCH(ROWS($O$2:O45),$O$2:$O$1001,0),0), INDEX($V$1004:$AE$1004,1,MATCH(COLUMNS($V$1006:V1006),$V$1006:$AE$1006,0)))),"Fix")))</f>
        <v>0</v>
      </c>
      <c r="C45" s="3">
        <f>IF(OR(INDEX($P$2:$P$1001,MATCH(ROWS($O$2:O45),$O$2:$O$1001,0),1)&gt;=100000,INDEX($V$1005:$AE$1005,1,MATCH(COLUMNS($V$1006:W1006),$V$1006:$AE$1006,0))&gt;=100000), " ",IF(INDEX($V$2:$AE$1001,MATCH(ROWS($O$2:O45),$O$2:$O$1001,0),MATCH(COLUMNS($V$1006:W1006),$V$1006:$AE$1006,0)), HYPERLINK("#",""), HYPERLINK(CONCATENATE("#Metadata!", ADDRESS(INDEX($Q$2:$Q$1001,MATCH(ROWS($O$2:O45),$O$2:$O$1001,0),0), INDEX($V$1004:$AE$1004,1,MATCH(COLUMNS($V$1006:W1006),$V$1006:$AE$1006,0)))),"Fix")))</f>
        <v>0</v>
      </c>
      <c r="D45" s="3">
        <f>IF(OR(INDEX($P$2:$P$1001,MATCH(ROWS($O$2:O45),$O$2:$O$1001,0),1)&gt;=100000,INDEX($V$1005:$AE$1005,1,MATCH(COLUMNS($V$1006:X1006),$V$1006:$AE$1006,0))&gt;=100000), " ",IF(INDEX($V$2:$AE$1001,MATCH(ROWS($O$2:O45),$O$2:$O$1001,0),MATCH(COLUMNS($V$1006:X1006),$V$1006:$AE$1006,0)), HYPERLINK("#",""), HYPERLINK(CONCATENATE("#Metadata!", ADDRESS(INDEX($Q$2:$Q$1001,MATCH(ROWS($O$2:O45),$O$2:$O$1001,0),0), INDEX($V$1004:$AE$1004,1,MATCH(COLUMNS($V$1006:X1006),$V$1006:$AE$1006,0)))),"Fix")))</f>
        <v>0</v>
      </c>
      <c r="E45" s="3">
        <f>IF(OR(INDEX($P$2:$P$1001,MATCH(ROWS($O$2:O45),$O$2:$O$1001,0),1)&gt;=100000,INDEX($V$1005:$AE$1005,1,MATCH(COLUMNS($V$1006:Y1006),$V$1006:$AE$1006,0))&gt;=100000), " ",IF(INDEX($V$2:$AE$1001,MATCH(ROWS($O$2:O45),$O$2:$O$1001,0),MATCH(COLUMNS($V$1006:Y1006),$V$1006:$AE$1006,0)), HYPERLINK("#",""), HYPERLINK(CONCATENATE("#Metadata!", ADDRESS(INDEX($Q$2:$Q$1001,MATCH(ROWS($O$2:O45),$O$2:$O$1001,0),0), INDEX($V$1004:$AE$1004,1,MATCH(COLUMNS($V$1006:Y1006),$V$1006:$AE$1006,0)))),"Fix")))</f>
        <v>0</v>
      </c>
      <c r="F45" s="3">
        <f>IF(OR(INDEX($P$2:$P$1001,MATCH(ROWS($O$2:O45),$O$2:$O$1001,0),1)&gt;=100000,INDEX($V$1005:$AE$1005,1,MATCH(COLUMNS($V$1006:Z1006),$V$1006:$AE$1006,0))&gt;=100000), " ",IF(INDEX($V$2:$AE$1001,MATCH(ROWS($O$2:O45),$O$2:$O$1001,0),MATCH(COLUMNS($V$1006:Z1006),$V$1006:$AE$1006,0)), HYPERLINK("#",""), HYPERLINK(CONCATENATE("#Metadata!", ADDRESS(INDEX($Q$2:$Q$1001,MATCH(ROWS($O$2:O45),$O$2:$O$1001,0),0), INDEX($V$1004:$AE$1004,1,MATCH(COLUMNS($V$1006:Z1006),$V$1006:$AE$1006,0)))),"Fix")))</f>
        <v>0</v>
      </c>
      <c r="G45" s="3">
        <f>IF(OR(INDEX($P$2:$P$1001,MATCH(ROWS($O$2:O45),$O$2:$O$1001,0),1)&gt;=100000,INDEX($V$1005:$AE$1005,1,MATCH(COLUMNS($V$1006:AA1006),$V$1006:$AE$1006,0))&gt;=100000), " ",IF(INDEX($V$2:$AE$1001,MATCH(ROWS($O$2:O45),$O$2:$O$1001,0),MATCH(COLUMNS($V$1006:AA1006),$V$1006:$AE$1006,0)), HYPERLINK("#",""), HYPERLINK(CONCATENATE("#Metadata!", ADDRESS(INDEX($Q$2:$Q$1001,MATCH(ROWS($O$2:O45),$O$2:$O$1001,0),0), INDEX($V$1004:$AE$1004,1,MATCH(COLUMNS($V$1006:AA1006),$V$1006:$AE$1006,0)))),"Fix")))</f>
        <v>0</v>
      </c>
      <c r="H45" s="3">
        <f>IF(OR(INDEX($P$2:$P$1001,MATCH(ROWS($O$2:O45),$O$2:$O$1001,0),1)&gt;=100000,INDEX($V$1005:$AE$1005,1,MATCH(COLUMNS($V$1006:AB1006),$V$1006:$AE$1006,0))&gt;=100000), " ",IF(INDEX($V$2:$AE$1001,MATCH(ROWS($O$2:O45),$O$2:$O$1001,0),MATCH(COLUMNS($V$1006:AB1006),$V$1006:$AE$1006,0)), HYPERLINK("#",""), HYPERLINK(CONCATENATE("#Metadata!", ADDRESS(INDEX($Q$2:$Q$1001,MATCH(ROWS($O$2:O45),$O$2:$O$1001,0),0), INDEX($V$1004:$AE$1004,1,MATCH(COLUMNS($V$1006:AB1006),$V$1006:$AE$1006,0)))),"Fix")))</f>
        <v>0</v>
      </c>
      <c r="I45" s="3">
        <f>IF(OR(INDEX($P$2:$P$1001,MATCH(ROWS($O$2:O45),$O$2:$O$1001,0),1)&gt;=100000,INDEX($V$1005:$AE$1005,1,MATCH(COLUMNS($V$1006:AC1006),$V$1006:$AE$1006,0))&gt;=100000), " ",IF(INDEX($V$2:$AE$1001,MATCH(ROWS($O$2:O45),$O$2:$O$1001,0),MATCH(COLUMNS($V$1006:AC1006),$V$1006:$AE$1006,0)), HYPERLINK("#",""), HYPERLINK(CONCATENATE("#Metadata!", ADDRESS(INDEX($Q$2:$Q$1001,MATCH(ROWS($O$2:O45),$O$2:$O$1001,0),0), INDEX($V$1004:$AE$1004,1,MATCH(COLUMNS($V$1006:AC1006),$V$1006:$AE$1006,0)))),"Fix")))</f>
        <v>0</v>
      </c>
      <c r="J45" s="3">
        <f>IF(OR(INDEX($P$2:$P$1001,MATCH(ROWS($O$2:O45),$O$2:$O$1001,0),1)&gt;=100000,INDEX($V$1005:$AE$1005,1,MATCH(COLUMNS($V$1006:AD1006),$V$1006:$AE$1006,0))&gt;=100000), " ",IF(INDEX($V$2:$AE$1001,MATCH(ROWS($O$2:O45),$O$2:$O$1001,0),MATCH(COLUMNS($V$1006:AD1006),$V$1006:$AE$1006,0)), HYPERLINK("#",""), HYPERLINK(CONCATENATE("#Metadata!", ADDRESS(INDEX($Q$2:$Q$1001,MATCH(ROWS($O$2:O45),$O$2:$O$1001,0),0), INDEX($V$1004:$AE$1004,1,MATCH(COLUMNS($V$1006:AD1006),$V$1006:$AE$1006,0)))),"Fix")))</f>
        <v>0</v>
      </c>
      <c r="K45" s="3">
        <f>IF(OR(INDEX($P$2:$P$1001,MATCH(ROWS($O$2:O45),$O$2:$O$1001,0),1)&gt;=100000,INDEX($V$1005:$AE$1005,1,MATCH(COLUMNS($V$1006:AE1006),$V$1006:$AE$1006,0))&gt;=100000), " ",IF(INDEX($V$2:$AE$1001,MATCH(ROWS($O$2:O45),$O$2:$O$1001,0),MATCH(COLUMNS($V$1006:AE1006),$V$1006:$AE$1006,0)), HYPERLINK("#",""), HYPERLINK(CONCATENATE("#Metadata!", ADDRESS(INDEX($Q$2:$Q$1001,MATCH(ROWS($O$2:O45),$O$2:$O$1001,0),0), INDEX($V$1004:$AE$1004,1,MATCH(COLUMNS($V$1006:AE1006),$V$1006:$AE$1006,0)))),"Fix")))</f>
        <v>0</v>
      </c>
      <c r="O45">
        <v>0</v>
      </c>
      <c r="P45">
        <v>0</v>
      </c>
      <c r="Q45">
        <v>0</v>
      </c>
      <c r="R45">
        <f>IF(S45,TRUE,AND(V45:AE45))</f>
        <v>0</v>
      </c>
      <c r="S45">
        <f>COUNTBLANK(Metadata!B45:K45)=COLUMNS(Metadata!B45:K45)</f>
        <v>0</v>
      </c>
      <c r="T45">
        <v>0</v>
      </c>
      <c r="V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W45">
        <f>AND(IF(Metadata!C45="",FALSE,TRUE),exact(Metadata!C45,"animal secretion"))</f>
        <v>0</v>
      </c>
      <c r="X45">
        <f>AND(IF(Metadata!D45="",FALSE,TRUE),exact(Metadata!D45,"saliva"))</f>
        <v>0</v>
      </c>
      <c r="Y45">
        <f>AND(IF(Metadata!E45="",FALSE,TRUE),exact(Metadata!E45,"human-oral"))</f>
        <v>0</v>
      </c>
      <c r="Z45">
        <f>AND(IF(Metadata!F45="",FALSE,TRUE),exact(Metadata!F45,"UBERON:oral cavity"))</f>
        <v>0</v>
      </c>
      <c r="AA45">
        <f>AND(IF(Metadata!G45="",FALSE,TRUE),exact(Metadata!G45,"UBERON:saliva"))</f>
        <v>0</v>
      </c>
      <c r="AB45">
        <f>AND(IF(Metadata!H45="",FALSE,TRUE),exact(Metadata!H45,"UBERON:tongue"))</f>
        <v>0</v>
      </c>
      <c r="AC45">
        <f>AND(IF(Metadata!I45="",FALSE,TRUE),exact(Metadata!I45,"tongue"))</f>
        <v>0</v>
      </c>
      <c r="AD45">
        <f>AND(IF(Metadata!J45="",FALSE,TRUE),exact(Metadata!J45,"human oral metagenome"))</f>
        <v>0</v>
      </c>
      <c r="AE45">
        <f>AND(IF(Metadata!K45="",FALSE,TRUE),exact(Metadata!K45,"447426"))</f>
        <v>0</v>
      </c>
    </row>
    <row r="46" spans="1:31">
      <c r="A46" s="4">
        <f>IF(B46=" "," ",HYPERLINK(CONCATENATE("#metadata!",ADDRESS(INDEX($Q$2:$Q$1001,MATCH(ROWS($O$2:O46),$O$2:$O$1001,0),0),1)),INDEX($T$2:$T$1001,MATCH(ROWS($O$2:O46),$O$2:$O$1001,0),0)))</f>
        <v>0</v>
      </c>
      <c r="B46" s="3">
        <f>IF(OR(INDEX($P$2:$P$1001,MATCH(ROWS($O$2:O46),$O$2:$O$1001,0),1)&gt;=100000,INDEX($V$1005:$AE$1005,1,MATCH(COLUMNS($V$1006:V1006),$V$1006:$AE$1006,0))&gt;=100000), " ",IF(INDEX($V$2:$AE$1001,MATCH(ROWS($O$2:O46),$O$2:$O$1001,0),MATCH(COLUMNS($V$1006:V1006),$V$1006:$AE$1006,0)), HYPERLINK("#",""), HYPERLINK(CONCATENATE("#Metadata!", ADDRESS(INDEX($Q$2:$Q$1001,MATCH(ROWS($O$2:O46),$O$2:$O$1001,0),0), INDEX($V$1004:$AE$1004,1,MATCH(COLUMNS($V$1006:V1006),$V$1006:$AE$1006,0)))),"Fix")))</f>
        <v>0</v>
      </c>
      <c r="C46" s="3">
        <f>IF(OR(INDEX($P$2:$P$1001,MATCH(ROWS($O$2:O46),$O$2:$O$1001,0),1)&gt;=100000,INDEX($V$1005:$AE$1005,1,MATCH(COLUMNS($V$1006:W1006),$V$1006:$AE$1006,0))&gt;=100000), " ",IF(INDEX($V$2:$AE$1001,MATCH(ROWS($O$2:O46),$O$2:$O$1001,0),MATCH(COLUMNS($V$1006:W1006),$V$1006:$AE$1006,0)), HYPERLINK("#",""), HYPERLINK(CONCATENATE("#Metadata!", ADDRESS(INDEX($Q$2:$Q$1001,MATCH(ROWS($O$2:O46),$O$2:$O$1001,0),0), INDEX($V$1004:$AE$1004,1,MATCH(COLUMNS($V$1006:W1006),$V$1006:$AE$1006,0)))),"Fix")))</f>
        <v>0</v>
      </c>
      <c r="D46" s="3">
        <f>IF(OR(INDEX($P$2:$P$1001,MATCH(ROWS($O$2:O46),$O$2:$O$1001,0),1)&gt;=100000,INDEX($V$1005:$AE$1005,1,MATCH(COLUMNS($V$1006:X1006),$V$1006:$AE$1006,0))&gt;=100000), " ",IF(INDEX($V$2:$AE$1001,MATCH(ROWS($O$2:O46),$O$2:$O$1001,0),MATCH(COLUMNS($V$1006:X1006),$V$1006:$AE$1006,0)), HYPERLINK("#",""), HYPERLINK(CONCATENATE("#Metadata!", ADDRESS(INDEX($Q$2:$Q$1001,MATCH(ROWS($O$2:O46),$O$2:$O$1001,0),0), INDEX($V$1004:$AE$1004,1,MATCH(COLUMNS($V$1006:X1006),$V$1006:$AE$1006,0)))),"Fix")))</f>
        <v>0</v>
      </c>
      <c r="E46" s="3">
        <f>IF(OR(INDEX($P$2:$P$1001,MATCH(ROWS($O$2:O46),$O$2:$O$1001,0),1)&gt;=100000,INDEX($V$1005:$AE$1005,1,MATCH(COLUMNS($V$1006:Y1006),$V$1006:$AE$1006,0))&gt;=100000), " ",IF(INDEX($V$2:$AE$1001,MATCH(ROWS($O$2:O46),$O$2:$O$1001,0),MATCH(COLUMNS($V$1006:Y1006),$V$1006:$AE$1006,0)), HYPERLINK("#",""), HYPERLINK(CONCATENATE("#Metadata!", ADDRESS(INDEX($Q$2:$Q$1001,MATCH(ROWS($O$2:O46),$O$2:$O$1001,0),0), INDEX($V$1004:$AE$1004,1,MATCH(COLUMNS($V$1006:Y1006),$V$1006:$AE$1006,0)))),"Fix")))</f>
        <v>0</v>
      </c>
      <c r="F46" s="3">
        <f>IF(OR(INDEX($P$2:$P$1001,MATCH(ROWS($O$2:O46),$O$2:$O$1001,0),1)&gt;=100000,INDEX($V$1005:$AE$1005,1,MATCH(COLUMNS($V$1006:Z1006),$V$1006:$AE$1006,0))&gt;=100000), " ",IF(INDEX($V$2:$AE$1001,MATCH(ROWS($O$2:O46),$O$2:$O$1001,0),MATCH(COLUMNS($V$1006:Z1006),$V$1006:$AE$1006,0)), HYPERLINK("#",""), HYPERLINK(CONCATENATE("#Metadata!", ADDRESS(INDEX($Q$2:$Q$1001,MATCH(ROWS($O$2:O46),$O$2:$O$1001,0),0), INDEX($V$1004:$AE$1004,1,MATCH(COLUMNS($V$1006:Z1006),$V$1006:$AE$1006,0)))),"Fix")))</f>
        <v>0</v>
      </c>
      <c r="G46" s="3">
        <f>IF(OR(INDEX($P$2:$P$1001,MATCH(ROWS($O$2:O46),$O$2:$O$1001,0),1)&gt;=100000,INDEX($V$1005:$AE$1005,1,MATCH(COLUMNS($V$1006:AA1006),$V$1006:$AE$1006,0))&gt;=100000), " ",IF(INDEX($V$2:$AE$1001,MATCH(ROWS($O$2:O46),$O$2:$O$1001,0),MATCH(COLUMNS($V$1006:AA1006),$V$1006:$AE$1006,0)), HYPERLINK("#",""), HYPERLINK(CONCATENATE("#Metadata!", ADDRESS(INDEX($Q$2:$Q$1001,MATCH(ROWS($O$2:O46),$O$2:$O$1001,0),0), INDEX($V$1004:$AE$1004,1,MATCH(COLUMNS($V$1006:AA1006),$V$1006:$AE$1006,0)))),"Fix")))</f>
        <v>0</v>
      </c>
      <c r="H46" s="3">
        <f>IF(OR(INDEX($P$2:$P$1001,MATCH(ROWS($O$2:O46),$O$2:$O$1001,0),1)&gt;=100000,INDEX($V$1005:$AE$1005,1,MATCH(COLUMNS($V$1006:AB1006),$V$1006:$AE$1006,0))&gt;=100000), " ",IF(INDEX($V$2:$AE$1001,MATCH(ROWS($O$2:O46),$O$2:$O$1001,0),MATCH(COLUMNS($V$1006:AB1006),$V$1006:$AE$1006,0)), HYPERLINK("#",""), HYPERLINK(CONCATENATE("#Metadata!", ADDRESS(INDEX($Q$2:$Q$1001,MATCH(ROWS($O$2:O46),$O$2:$O$1001,0),0), INDEX($V$1004:$AE$1004,1,MATCH(COLUMNS($V$1006:AB1006),$V$1006:$AE$1006,0)))),"Fix")))</f>
        <v>0</v>
      </c>
      <c r="I46" s="3">
        <f>IF(OR(INDEX($P$2:$P$1001,MATCH(ROWS($O$2:O46),$O$2:$O$1001,0),1)&gt;=100000,INDEX($V$1005:$AE$1005,1,MATCH(COLUMNS($V$1006:AC1006),$V$1006:$AE$1006,0))&gt;=100000), " ",IF(INDEX($V$2:$AE$1001,MATCH(ROWS($O$2:O46),$O$2:$O$1001,0),MATCH(COLUMNS($V$1006:AC1006),$V$1006:$AE$1006,0)), HYPERLINK("#",""), HYPERLINK(CONCATENATE("#Metadata!", ADDRESS(INDEX($Q$2:$Q$1001,MATCH(ROWS($O$2:O46),$O$2:$O$1001,0),0), INDEX($V$1004:$AE$1004,1,MATCH(COLUMNS($V$1006:AC1006),$V$1006:$AE$1006,0)))),"Fix")))</f>
        <v>0</v>
      </c>
      <c r="J46" s="3">
        <f>IF(OR(INDEX($P$2:$P$1001,MATCH(ROWS($O$2:O46),$O$2:$O$1001,0),1)&gt;=100000,INDEX($V$1005:$AE$1005,1,MATCH(COLUMNS($V$1006:AD1006),$V$1006:$AE$1006,0))&gt;=100000), " ",IF(INDEX($V$2:$AE$1001,MATCH(ROWS($O$2:O46),$O$2:$O$1001,0),MATCH(COLUMNS($V$1006:AD1006),$V$1006:$AE$1006,0)), HYPERLINK("#",""), HYPERLINK(CONCATENATE("#Metadata!", ADDRESS(INDEX($Q$2:$Q$1001,MATCH(ROWS($O$2:O46),$O$2:$O$1001,0),0), INDEX($V$1004:$AE$1004,1,MATCH(COLUMNS($V$1006:AD1006),$V$1006:$AE$1006,0)))),"Fix")))</f>
        <v>0</v>
      </c>
      <c r="K46" s="3">
        <f>IF(OR(INDEX($P$2:$P$1001,MATCH(ROWS($O$2:O46),$O$2:$O$1001,0),1)&gt;=100000,INDEX($V$1005:$AE$1005,1,MATCH(COLUMNS($V$1006:AE1006),$V$1006:$AE$1006,0))&gt;=100000), " ",IF(INDEX($V$2:$AE$1001,MATCH(ROWS($O$2:O46),$O$2:$O$1001,0),MATCH(COLUMNS($V$1006:AE1006),$V$1006:$AE$1006,0)), HYPERLINK("#",""), HYPERLINK(CONCATENATE("#Metadata!", ADDRESS(INDEX($Q$2:$Q$1001,MATCH(ROWS($O$2:O46),$O$2:$O$1001,0),0), INDEX($V$1004:$AE$1004,1,MATCH(COLUMNS($V$1006:AE1006),$V$1006:$AE$1006,0)))),"Fix")))</f>
        <v>0</v>
      </c>
      <c r="O46">
        <v>0</v>
      </c>
      <c r="P46">
        <v>0</v>
      </c>
      <c r="Q46">
        <v>0</v>
      </c>
      <c r="R46">
        <f>IF(S46,TRUE,AND(V46:AE46))</f>
        <v>0</v>
      </c>
      <c r="S46">
        <f>COUNTBLANK(Metadata!B46:K46)=COLUMNS(Metadata!B46:K46)</f>
        <v>0</v>
      </c>
      <c r="T46">
        <v>0</v>
      </c>
      <c r="V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W46">
        <f>AND(IF(Metadata!C46="",FALSE,TRUE),exact(Metadata!C46,"animal secretion"))</f>
        <v>0</v>
      </c>
      <c r="X46">
        <f>AND(IF(Metadata!D46="",FALSE,TRUE),exact(Metadata!D46,"saliva"))</f>
        <v>0</v>
      </c>
      <c r="Y46">
        <f>AND(IF(Metadata!E46="",FALSE,TRUE),exact(Metadata!E46,"human-oral"))</f>
        <v>0</v>
      </c>
      <c r="Z46">
        <f>AND(IF(Metadata!F46="",FALSE,TRUE),exact(Metadata!F46,"UBERON:oral cavity"))</f>
        <v>0</v>
      </c>
      <c r="AA46">
        <f>AND(IF(Metadata!G46="",FALSE,TRUE),exact(Metadata!G46,"UBERON:saliva"))</f>
        <v>0</v>
      </c>
      <c r="AB46">
        <f>AND(IF(Metadata!H46="",FALSE,TRUE),exact(Metadata!H46,"UBERON:tongue"))</f>
        <v>0</v>
      </c>
      <c r="AC46">
        <f>AND(IF(Metadata!I46="",FALSE,TRUE),exact(Metadata!I46,"tongue"))</f>
        <v>0</v>
      </c>
      <c r="AD46">
        <f>AND(IF(Metadata!J46="",FALSE,TRUE),exact(Metadata!J46,"human oral metagenome"))</f>
        <v>0</v>
      </c>
      <c r="AE46">
        <f>AND(IF(Metadata!K46="",FALSE,TRUE),exact(Metadata!K46,"447426"))</f>
        <v>0</v>
      </c>
    </row>
    <row r="47" spans="1:31">
      <c r="A47" s="4">
        <f>IF(B47=" "," ",HYPERLINK(CONCATENATE("#metadata!",ADDRESS(INDEX($Q$2:$Q$1001,MATCH(ROWS($O$2:O47),$O$2:$O$1001,0),0),1)),INDEX($T$2:$T$1001,MATCH(ROWS($O$2:O47),$O$2:$O$1001,0),0)))</f>
        <v>0</v>
      </c>
      <c r="B47" s="3">
        <f>IF(OR(INDEX($P$2:$P$1001,MATCH(ROWS($O$2:O47),$O$2:$O$1001,0),1)&gt;=100000,INDEX($V$1005:$AE$1005,1,MATCH(COLUMNS($V$1006:V1006),$V$1006:$AE$1006,0))&gt;=100000), " ",IF(INDEX($V$2:$AE$1001,MATCH(ROWS($O$2:O47),$O$2:$O$1001,0),MATCH(COLUMNS($V$1006:V1006),$V$1006:$AE$1006,0)), HYPERLINK("#",""), HYPERLINK(CONCATENATE("#Metadata!", ADDRESS(INDEX($Q$2:$Q$1001,MATCH(ROWS($O$2:O47),$O$2:$O$1001,0),0), INDEX($V$1004:$AE$1004,1,MATCH(COLUMNS($V$1006:V1006),$V$1006:$AE$1006,0)))),"Fix")))</f>
        <v>0</v>
      </c>
      <c r="C47" s="3">
        <f>IF(OR(INDEX($P$2:$P$1001,MATCH(ROWS($O$2:O47),$O$2:$O$1001,0),1)&gt;=100000,INDEX($V$1005:$AE$1005,1,MATCH(COLUMNS($V$1006:W1006),$V$1006:$AE$1006,0))&gt;=100000), " ",IF(INDEX($V$2:$AE$1001,MATCH(ROWS($O$2:O47),$O$2:$O$1001,0),MATCH(COLUMNS($V$1006:W1006),$V$1006:$AE$1006,0)), HYPERLINK("#",""), HYPERLINK(CONCATENATE("#Metadata!", ADDRESS(INDEX($Q$2:$Q$1001,MATCH(ROWS($O$2:O47),$O$2:$O$1001,0),0), INDEX($V$1004:$AE$1004,1,MATCH(COLUMNS($V$1006:W1006),$V$1006:$AE$1006,0)))),"Fix")))</f>
        <v>0</v>
      </c>
      <c r="D47" s="3">
        <f>IF(OR(INDEX($P$2:$P$1001,MATCH(ROWS($O$2:O47),$O$2:$O$1001,0),1)&gt;=100000,INDEX($V$1005:$AE$1005,1,MATCH(COLUMNS($V$1006:X1006),$V$1006:$AE$1006,0))&gt;=100000), " ",IF(INDEX($V$2:$AE$1001,MATCH(ROWS($O$2:O47),$O$2:$O$1001,0),MATCH(COLUMNS($V$1006:X1006),$V$1006:$AE$1006,0)), HYPERLINK("#",""), HYPERLINK(CONCATENATE("#Metadata!", ADDRESS(INDEX($Q$2:$Q$1001,MATCH(ROWS($O$2:O47),$O$2:$O$1001,0),0), INDEX($V$1004:$AE$1004,1,MATCH(COLUMNS($V$1006:X1006),$V$1006:$AE$1006,0)))),"Fix")))</f>
        <v>0</v>
      </c>
      <c r="E47" s="3">
        <f>IF(OR(INDEX($P$2:$P$1001,MATCH(ROWS($O$2:O47),$O$2:$O$1001,0),1)&gt;=100000,INDEX($V$1005:$AE$1005,1,MATCH(COLUMNS($V$1006:Y1006),$V$1006:$AE$1006,0))&gt;=100000), " ",IF(INDEX($V$2:$AE$1001,MATCH(ROWS($O$2:O47),$O$2:$O$1001,0),MATCH(COLUMNS($V$1006:Y1006),$V$1006:$AE$1006,0)), HYPERLINK("#",""), HYPERLINK(CONCATENATE("#Metadata!", ADDRESS(INDEX($Q$2:$Q$1001,MATCH(ROWS($O$2:O47),$O$2:$O$1001,0),0), INDEX($V$1004:$AE$1004,1,MATCH(COLUMNS($V$1006:Y1006),$V$1006:$AE$1006,0)))),"Fix")))</f>
        <v>0</v>
      </c>
      <c r="F47" s="3">
        <f>IF(OR(INDEX($P$2:$P$1001,MATCH(ROWS($O$2:O47),$O$2:$O$1001,0),1)&gt;=100000,INDEX($V$1005:$AE$1005,1,MATCH(COLUMNS($V$1006:Z1006),$V$1006:$AE$1006,0))&gt;=100000), " ",IF(INDEX($V$2:$AE$1001,MATCH(ROWS($O$2:O47),$O$2:$O$1001,0),MATCH(COLUMNS($V$1006:Z1006),$V$1006:$AE$1006,0)), HYPERLINK("#",""), HYPERLINK(CONCATENATE("#Metadata!", ADDRESS(INDEX($Q$2:$Q$1001,MATCH(ROWS($O$2:O47),$O$2:$O$1001,0),0), INDEX($V$1004:$AE$1004,1,MATCH(COLUMNS($V$1006:Z1006),$V$1006:$AE$1006,0)))),"Fix")))</f>
        <v>0</v>
      </c>
      <c r="G47" s="3">
        <f>IF(OR(INDEX($P$2:$P$1001,MATCH(ROWS($O$2:O47),$O$2:$O$1001,0),1)&gt;=100000,INDEX($V$1005:$AE$1005,1,MATCH(COLUMNS($V$1006:AA1006),$V$1006:$AE$1006,0))&gt;=100000), " ",IF(INDEX($V$2:$AE$1001,MATCH(ROWS($O$2:O47),$O$2:$O$1001,0),MATCH(COLUMNS($V$1006:AA1006),$V$1006:$AE$1006,0)), HYPERLINK("#",""), HYPERLINK(CONCATENATE("#Metadata!", ADDRESS(INDEX($Q$2:$Q$1001,MATCH(ROWS($O$2:O47),$O$2:$O$1001,0),0), INDEX($V$1004:$AE$1004,1,MATCH(COLUMNS($V$1006:AA1006),$V$1006:$AE$1006,0)))),"Fix")))</f>
        <v>0</v>
      </c>
      <c r="H47" s="3">
        <f>IF(OR(INDEX($P$2:$P$1001,MATCH(ROWS($O$2:O47),$O$2:$O$1001,0),1)&gt;=100000,INDEX($V$1005:$AE$1005,1,MATCH(COLUMNS($V$1006:AB1006),$V$1006:$AE$1006,0))&gt;=100000), " ",IF(INDEX($V$2:$AE$1001,MATCH(ROWS($O$2:O47),$O$2:$O$1001,0),MATCH(COLUMNS($V$1006:AB1006),$V$1006:$AE$1006,0)), HYPERLINK("#",""), HYPERLINK(CONCATENATE("#Metadata!", ADDRESS(INDEX($Q$2:$Q$1001,MATCH(ROWS($O$2:O47),$O$2:$O$1001,0),0), INDEX($V$1004:$AE$1004,1,MATCH(COLUMNS($V$1006:AB1006),$V$1006:$AE$1006,0)))),"Fix")))</f>
        <v>0</v>
      </c>
      <c r="I47" s="3">
        <f>IF(OR(INDEX($P$2:$P$1001,MATCH(ROWS($O$2:O47),$O$2:$O$1001,0),1)&gt;=100000,INDEX($V$1005:$AE$1005,1,MATCH(COLUMNS($V$1006:AC1006),$V$1006:$AE$1006,0))&gt;=100000), " ",IF(INDEX($V$2:$AE$1001,MATCH(ROWS($O$2:O47),$O$2:$O$1001,0),MATCH(COLUMNS($V$1006:AC1006),$V$1006:$AE$1006,0)), HYPERLINK("#",""), HYPERLINK(CONCATENATE("#Metadata!", ADDRESS(INDEX($Q$2:$Q$1001,MATCH(ROWS($O$2:O47),$O$2:$O$1001,0),0), INDEX($V$1004:$AE$1004,1,MATCH(COLUMNS($V$1006:AC1006),$V$1006:$AE$1006,0)))),"Fix")))</f>
        <v>0</v>
      </c>
      <c r="J47" s="3">
        <f>IF(OR(INDEX($P$2:$P$1001,MATCH(ROWS($O$2:O47),$O$2:$O$1001,0),1)&gt;=100000,INDEX($V$1005:$AE$1005,1,MATCH(COLUMNS($V$1006:AD1006),$V$1006:$AE$1006,0))&gt;=100000), " ",IF(INDEX($V$2:$AE$1001,MATCH(ROWS($O$2:O47),$O$2:$O$1001,0),MATCH(COLUMNS($V$1006:AD1006),$V$1006:$AE$1006,0)), HYPERLINK("#",""), HYPERLINK(CONCATENATE("#Metadata!", ADDRESS(INDEX($Q$2:$Q$1001,MATCH(ROWS($O$2:O47),$O$2:$O$1001,0),0), INDEX($V$1004:$AE$1004,1,MATCH(COLUMNS($V$1006:AD1006),$V$1006:$AE$1006,0)))),"Fix")))</f>
        <v>0</v>
      </c>
      <c r="K47" s="3">
        <f>IF(OR(INDEX($P$2:$P$1001,MATCH(ROWS($O$2:O47),$O$2:$O$1001,0),1)&gt;=100000,INDEX($V$1005:$AE$1005,1,MATCH(COLUMNS($V$1006:AE1006),$V$1006:$AE$1006,0))&gt;=100000), " ",IF(INDEX($V$2:$AE$1001,MATCH(ROWS($O$2:O47),$O$2:$O$1001,0),MATCH(COLUMNS($V$1006:AE1006),$V$1006:$AE$1006,0)), HYPERLINK("#",""), HYPERLINK(CONCATENATE("#Metadata!", ADDRESS(INDEX($Q$2:$Q$1001,MATCH(ROWS($O$2:O47),$O$2:$O$1001,0),0), INDEX($V$1004:$AE$1004,1,MATCH(COLUMNS($V$1006:AE1006),$V$1006:$AE$1006,0)))),"Fix")))</f>
        <v>0</v>
      </c>
      <c r="O47">
        <v>0</v>
      </c>
      <c r="P47">
        <v>0</v>
      </c>
      <c r="Q47">
        <v>0</v>
      </c>
      <c r="R47">
        <f>IF(S47,TRUE,AND(V47:AE47))</f>
        <v>0</v>
      </c>
      <c r="S47">
        <f>COUNTBLANK(Metadata!B47:K47)=COLUMNS(Metadata!B47:K47)</f>
        <v>0</v>
      </c>
      <c r="T47">
        <v>0</v>
      </c>
      <c r="V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W47">
        <f>AND(IF(Metadata!C47="",FALSE,TRUE),exact(Metadata!C47,"animal secretion"))</f>
        <v>0</v>
      </c>
      <c r="X47">
        <f>AND(IF(Metadata!D47="",FALSE,TRUE),exact(Metadata!D47,"saliva"))</f>
        <v>0</v>
      </c>
      <c r="Y47">
        <f>AND(IF(Metadata!E47="",FALSE,TRUE),exact(Metadata!E47,"human-oral"))</f>
        <v>0</v>
      </c>
      <c r="Z47">
        <f>AND(IF(Metadata!F47="",FALSE,TRUE),exact(Metadata!F47,"UBERON:oral cavity"))</f>
        <v>0</v>
      </c>
      <c r="AA47">
        <f>AND(IF(Metadata!G47="",FALSE,TRUE),exact(Metadata!G47,"UBERON:saliva"))</f>
        <v>0</v>
      </c>
      <c r="AB47">
        <f>AND(IF(Metadata!H47="",FALSE,TRUE),exact(Metadata!H47,"UBERON:tongue"))</f>
        <v>0</v>
      </c>
      <c r="AC47">
        <f>AND(IF(Metadata!I47="",FALSE,TRUE),exact(Metadata!I47,"tongue"))</f>
        <v>0</v>
      </c>
      <c r="AD47">
        <f>AND(IF(Metadata!J47="",FALSE,TRUE),exact(Metadata!J47,"human oral metagenome"))</f>
        <v>0</v>
      </c>
      <c r="AE47">
        <f>AND(IF(Metadata!K47="",FALSE,TRUE),exact(Metadata!K47,"447426"))</f>
        <v>0</v>
      </c>
    </row>
    <row r="48" spans="1:31">
      <c r="A48" s="4">
        <f>IF(B48=" "," ",HYPERLINK(CONCATENATE("#metadata!",ADDRESS(INDEX($Q$2:$Q$1001,MATCH(ROWS($O$2:O48),$O$2:$O$1001,0),0),1)),INDEX($T$2:$T$1001,MATCH(ROWS($O$2:O48),$O$2:$O$1001,0),0)))</f>
        <v>0</v>
      </c>
      <c r="B48" s="3">
        <f>IF(OR(INDEX($P$2:$P$1001,MATCH(ROWS($O$2:O48),$O$2:$O$1001,0),1)&gt;=100000,INDEX($V$1005:$AE$1005,1,MATCH(COLUMNS($V$1006:V1006),$V$1006:$AE$1006,0))&gt;=100000), " ",IF(INDEX($V$2:$AE$1001,MATCH(ROWS($O$2:O48),$O$2:$O$1001,0),MATCH(COLUMNS($V$1006:V1006),$V$1006:$AE$1006,0)), HYPERLINK("#",""), HYPERLINK(CONCATENATE("#Metadata!", ADDRESS(INDEX($Q$2:$Q$1001,MATCH(ROWS($O$2:O48),$O$2:$O$1001,0),0), INDEX($V$1004:$AE$1004,1,MATCH(COLUMNS($V$1006:V1006),$V$1006:$AE$1006,0)))),"Fix")))</f>
        <v>0</v>
      </c>
      <c r="C48" s="3">
        <f>IF(OR(INDEX($P$2:$P$1001,MATCH(ROWS($O$2:O48),$O$2:$O$1001,0),1)&gt;=100000,INDEX($V$1005:$AE$1005,1,MATCH(COLUMNS($V$1006:W1006),$V$1006:$AE$1006,0))&gt;=100000), " ",IF(INDEX($V$2:$AE$1001,MATCH(ROWS($O$2:O48),$O$2:$O$1001,0),MATCH(COLUMNS($V$1006:W1006),$V$1006:$AE$1006,0)), HYPERLINK("#",""), HYPERLINK(CONCATENATE("#Metadata!", ADDRESS(INDEX($Q$2:$Q$1001,MATCH(ROWS($O$2:O48),$O$2:$O$1001,0),0), INDEX($V$1004:$AE$1004,1,MATCH(COLUMNS($V$1006:W1006),$V$1006:$AE$1006,0)))),"Fix")))</f>
        <v>0</v>
      </c>
      <c r="D48" s="3">
        <f>IF(OR(INDEX($P$2:$P$1001,MATCH(ROWS($O$2:O48),$O$2:$O$1001,0),1)&gt;=100000,INDEX($V$1005:$AE$1005,1,MATCH(COLUMNS($V$1006:X1006),$V$1006:$AE$1006,0))&gt;=100000), " ",IF(INDEX($V$2:$AE$1001,MATCH(ROWS($O$2:O48),$O$2:$O$1001,0),MATCH(COLUMNS($V$1006:X1006),$V$1006:$AE$1006,0)), HYPERLINK("#",""), HYPERLINK(CONCATENATE("#Metadata!", ADDRESS(INDEX($Q$2:$Q$1001,MATCH(ROWS($O$2:O48),$O$2:$O$1001,0),0), INDEX($V$1004:$AE$1004,1,MATCH(COLUMNS($V$1006:X1006),$V$1006:$AE$1006,0)))),"Fix")))</f>
        <v>0</v>
      </c>
      <c r="E48" s="3">
        <f>IF(OR(INDEX($P$2:$P$1001,MATCH(ROWS($O$2:O48),$O$2:$O$1001,0),1)&gt;=100000,INDEX($V$1005:$AE$1005,1,MATCH(COLUMNS($V$1006:Y1006),$V$1006:$AE$1006,0))&gt;=100000), " ",IF(INDEX($V$2:$AE$1001,MATCH(ROWS($O$2:O48),$O$2:$O$1001,0),MATCH(COLUMNS($V$1006:Y1006),$V$1006:$AE$1006,0)), HYPERLINK("#",""), HYPERLINK(CONCATENATE("#Metadata!", ADDRESS(INDEX($Q$2:$Q$1001,MATCH(ROWS($O$2:O48),$O$2:$O$1001,0),0), INDEX($V$1004:$AE$1004,1,MATCH(COLUMNS($V$1006:Y1006),$V$1006:$AE$1006,0)))),"Fix")))</f>
        <v>0</v>
      </c>
      <c r="F48" s="3">
        <f>IF(OR(INDEX($P$2:$P$1001,MATCH(ROWS($O$2:O48),$O$2:$O$1001,0),1)&gt;=100000,INDEX($V$1005:$AE$1005,1,MATCH(COLUMNS($V$1006:Z1006),$V$1006:$AE$1006,0))&gt;=100000), " ",IF(INDEX($V$2:$AE$1001,MATCH(ROWS($O$2:O48),$O$2:$O$1001,0),MATCH(COLUMNS($V$1006:Z1006),$V$1006:$AE$1006,0)), HYPERLINK("#",""), HYPERLINK(CONCATENATE("#Metadata!", ADDRESS(INDEX($Q$2:$Q$1001,MATCH(ROWS($O$2:O48),$O$2:$O$1001,0),0), INDEX($V$1004:$AE$1004,1,MATCH(COLUMNS($V$1006:Z1006),$V$1006:$AE$1006,0)))),"Fix")))</f>
        <v>0</v>
      </c>
      <c r="G48" s="3">
        <f>IF(OR(INDEX($P$2:$P$1001,MATCH(ROWS($O$2:O48),$O$2:$O$1001,0),1)&gt;=100000,INDEX($V$1005:$AE$1005,1,MATCH(COLUMNS($V$1006:AA1006),$V$1006:$AE$1006,0))&gt;=100000), " ",IF(INDEX($V$2:$AE$1001,MATCH(ROWS($O$2:O48),$O$2:$O$1001,0),MATCH(COLUMNS($V$1006:AA1006),$V$1006:$AE$1006,0)), HYPERLINK("#",""), HYPERLINK(CONCATENATE("#Metadata!", ADDRESS(INDEX($Q$2:$Q$1001,MATCH(ROWS($O$2:O48),$O$2:$O$1001,0),0), INDEX($V$1004:$AE$1004,1,MATCH(COLUMNS($V$1006:AA1006),$V$1006:$AE$1006,0)))),"Fix")))</f>
        <v>0</v>
      </c>
      <c r="H48" s="3">
        <f>IF(OR(INDEX($P$2:$P$1001,MATCH(ROWS($O$2:O48),$O$2:$O$1001,0),1)&gt;=100000,INDEX($V$1005:$AE$1005,1,MATCH(COLUMNS($V$1006:AB1006),$V$1006:$AE$1006,0))&gt;=100000), " ",IF(INDEX($V$2:$AE$1001,MATCH(ROWS($O$2:O48),$O$2:$O$1001,0),MATCH(COLUMNS($V$1006:AB1006),$V$1006:$AE$1006,0)), HYPERLINK("#",""), HYPERLINK(CONCATENATE("#Metadata!", ADDRESS(INDEX($Q$2:$Q$1001,MATCH(ROWS($O$2:O48),$O$2:$O$1001,0),0), INDEX($V$1004:$AE$1004,1,MATCH(COLUMNS($V$1006:AB1006),$V$1006:$AE$1006,0)))),"Fix")))</f>
        <v>0</v>
      </c>
      <c r="I48" s="3">
        <f>IF(OR(INDEX($P$2:$P$1001,MATCH(ROWS($O$2:O48),$O$2:$O$1001,0),1)&gt;=100000,INDEX($V$1005:$AE$1005,1,MATCH(COLUMNS($V$1006:AC1006),$V$1006:$AE$1006,0))&gt;=100000), " ",IF(INDEX($V$2:$AE$1001,MATCH(ROWS($O$2:O48),$O$2:$O$1001,0),MATCH(COLUMNS($V$1006:AC1006),$V$1006:$AE$1006,0)), HYPERLINK("#",""), HYPERLINK(CONCATENATE("#Metadata!", ADDRESS(INDEX($Q$2:$Q$1001,MATCH(ROWS($O$2:O48),$O$2:$O$1001,0),0), INDEX($V$1004:$AE$1004,1,MATCH(COLUMNS($V$1006:AC1006),$V$1006:$AE$1006,0)))),"Fix")))</f>
        <v>0</v>
      </c>
      <c r="J48" s="3">
        <f>IF(OR(INDEX($P$2:$P$1001,MATCH(ROWS($O$2:O48),$O$2:$O$1001,0),1)&gt;=100000,INDEX($V$1005:$AE$1005,1,MATCH(COLUMNS($V$1006:AD1006),$V$1006:$AE$1006,0))&gt;=100000), " ",IF(INDEX($V$2:$AE$1001,MATCH(ROWS($O$2:O48),$O$2:$O$1001,0),MATCH(COLUMNS($V$1006:AD1006),$V$1006:$AE$1006,0)), HYPERLINK("#",""), HYPERLINK(CONCATENATE("#Metadata!", ADDRESS(INDEX($Q$2:$Q$1001,MATCH(ROWS($O$2:O48),$O$2:$O$1001,0),0), INDEX($V$1004:$AE$1004,1,MATCH(COLUMNS($V$1006:AD1006),$V$1006:$AE$1006,0)))),"Fix")))</f>
        <v>0</v>
      </c>
      <c r="K48" s="3">
        <f>IF(OR(INDEX($P$2:$P$1001,MATCH(ROWS($O$2:O48),$O$2:$O$1001,0),1)&gt;=100000,INDEX($V$1005:$AE$1005,1,MATCH(COLUMNS($V$1006:AE1006),$V$1006:$AE$1006,0))&gt;=100000), " ",IF(INDEX($V$2:$AE$1001,MATCH(ROWS($O$2:O48),$O$2:$O$1001,0),MATCH(COLUMNS($V$1006:AE1006),$V$1006:$AE$1006,0)), HYPERLINK("#",""), HYPERLINK(CONCATENATE("#Metadata!", ADDRESS(INDEX($Q$2:$Q$1001,MATCH(ROWS($O$2:O48),$O$2:$O$1001,0),0), INDEX($V$1004:$AE$1004,1,MATCH(COLUMNS($V$1006:AE1006),$V$1006:$AE$1006,0)))),"Fix")))</f>
        <v>0</v>
      </c>
      <c r="O48">
        <v>0</v>
      </c>
      <c r="P48">
        <v>0</v>
      </c>
      <c r="Q48">
        <v>0</v>
      </c>
      <c r="R48">
        <f>IF(S48,TRUE,AND(V48:AE48))</f>
        <v>0</v>
      </c>
      <c r="S48">
        <f>COUNTBLANK(Metadata!B48:K48)=COLUMNS(Metadata!B48:K48)</f>
        <v>0</v>
      </c>
      <c r="T48">
        <v>0</v>
      </c>
      <c r="V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W48">
        <f>AND(IF(Metadata!C48="",FALSE,TRUE),exact(Metadata!C48,"animal secretion"))</f>
        <v>0</v>
      </c>
      <c r="X48">
        <f>AND(IF(Metadata!D48="",FALSE,TRUE),exact(Metadata!D48,"saliva"))</f>
        <v>0</v>
      </c>
      <c r="Y48">
        <f>AND(IF(Metadata!E48="",FALSE,TRUE),exact(Metadata!E48,"human-oral"))</f>
        <v>0</v>
      </c>
      <c r="Z48">
        <f>AND(IF(Metadata!F48="",FALSE,TRUE),exact(Metadata!F48,"UBERON:oral cavity"))</f>
        <v>0</v>
      </c>
      <c r="AA48">
        <f>AND(IF(Metadata!G48="",FALSE,TRUE),exact(Metadata!G48,"UBERON:saliva"))</f>
        <v>0</v>
      </c>
      <c r="AB48">
        <f>AND(IF(Metadata!H48="",FALSE,TRUE),exact(Metadata!H48,"UBERON:tongue"))</f>
        <v>0</v>
      </c>
      <c r="AC48">
        <f>AND(IF(Metadata!I48="",FALSE,TRUE),exact(Metadata!I48,"tongue"))</f>
        <v>0</v>
      </c>
      <c r="AD48">
        <f>AND(IF(Metadata!J48="",FALSE,TRUE),exact(Metadata!J48,"human oral metagenome"))</f>
        <v>0</v>
      </c>
      <c r="AE48">
        <f>AND(IF(Metadata!K48="",FALSE,TRUE),exact(Metadata!K48,"447426"))</f>
        <v>0</v>
      </c>
    </row>
    <row r="49" spans="1:31">
      <c r="A49" s="4">
        <f>IF(B49=" "," ",HYPERLINK(CONCATENATE("#metadata!",ADDRESS(INDEX($Q$2:$Q$1001,MATCH(ROWS($O$2:O49),$O$2:$O$1001,0),0),1)),INDEX($T$2:$T$1001,MATCH(ROWS($O$2:O49),$O$2:$O$1001,0),0)))</f>
        <v>0</v>
      </c>
      <c r="B49" s="3">
        <f>IF(OR(INDEX($P$2:$P$1001,MATCH(ROWS($O$2:O49),$O$2:$O$1001,0),1)&gt;=100000,INDEX($V$1005:$AE$1005,1,MATCH(COLUMNS($V$1006:V1006),$V$1006:$AE$1006,0))&gt;=100000), " ",IF(INDEX($V$2:$AE$1001,MATCH(ROWS($O$2:O49),$O$2:$O$1001,0),MATCH(COLUMNS($V$1006:V1006),$V$1006:$AE$1006,0)), HYPERLINK("#",""), HYPERLINK(CONCATENATE("#Metadata!", ADDRESS(INDEX($Q$2:$Q$1001,MATCH(ROWS($O$2:O49),$O$2:$O$1001,0),0), INDEX($V$1004:$AE$1004,1,MATCH(COLUMNS($V$1006:V1006),$V$1006:$AE$1006,0)))),"Fix")))</f>
        <v>0</v>
      </c>
      <c r="C49" s="3">
        <f>IF(OR(INDEX($P$2:$P$1001,MATCH(ROWS($O$2:O49),$O$2:$O$1001,0),1)&gt;=100000,INDEX($V$1005:$AE$1005,1,MATCH(COLUMNS($V$1006:W1006),$V$1006:$AE$1006,0))&gt;=100000), " ",IF(INDEX($V$2:$AE$1001,MATCH(ROWS($O$2:O49),$O$2:$O$1001,0),MATCH(COLUMNS($V$1006:W1006),$V$1006:$AE$1006,0)), HYPERLINK("#",""), HYPERLINK(CONCATENATE("#Metadata!", ADDRESS(INDEX($Q$2:$Q$1001,MATCH(ROWS($O$2:O49),$O$2:$O$1001,0),0), INDEX($V$1004:$AE$1004,1,MATCH(COLUMNS($V$1006:W1006),$V$1006:$AE$1006,0)))),"Fix")))</f>
        <v>0</v>
      </c>
      <c r="D49" s="3">
        <f>IF(OR(INDEX($P$2:$P$1001,MATCH(ROWS($O$2:O49),$O$2:$O$1001,0),1)&gt;=100000,INDEX($V$1005:$AE$1005,1,MATCH(COLUMNS($V$1006:X1006),$V$1006:$AE$1006,0))&gt;=100000), " ",IF(INDEX($V$2:$AE$1001,MATCH(ROWS($O$2:O49),$O$2:$O$1001,0),MATCH(COLUMNS($V$1006:X1006),$V$1006:$AE$1006,0)), HYPERLINK("#",""), HYPERLINK(CONCATENATE("#Metadata!", ADDRESS(INDEX($Q$2:$Q$1001,MATCH(ROWS($O$2:O49),$O$2:$O$1001,0),0), INDEX($V$1004:$AE$1004,1,MATCH(COLUMNS($V$1006:X1006),$V$1006:$AE$1006,0)))),"Fix")))</f>
        <v>0</v>
      </c>
      <c r="E49" s="3">
        <f>IF(OR(INDEX($P$2:$P$1001,MATCH(ROWS($O$2:O49),$O$2:$O$1001,0),1)&gt;=100000,INDEX($V$1005:$AE$1005,1,MATCH(COLUMNS($V$1006:Y1006),$V$1006:$AE$1006,0))&gt;=100000), " ",IF(INDEX($V$2:$AE$1001,MATCH(ROWS($O$2:O49),$O$2:$O$1001,0),MATCH(COLUMNS($V$1006:Y1006),$V$1006:$AE$1006,0)), HYPERLINK("#",""), HYPERLINK(CONCATENATE("#Metadata!", ADDRESS(INDEX($Q$2:$Q$1001,MATCH(ROWS($O$2:O49),$O$2:$O$1001,0),0), INDEX($V$1004:$AE$1004,1,MATCH(COLUMNS($V$1006:Y1006),$V$1006:$AE$1006,0)))),"Fix")))</f>
        <v>0</v>
      </c>
      <c r="F49" s="3">
        <f>IF(OR(INDEX($P$2:$P$1001,MATCH(ROWS($O$2:O49),$O$2:$O$1001,0),1)&gt;=100000,INDEX($V$1005:$AE$1005,1,MATCH(COLUMNS($V$1006:Z1006),$V$1006:$AE$1006,0))&gt;=100000), " ",IF(INDEX($V$2:$AE$1001,MATCH(ROWS($O$2:O49),$O$2:$O$1001,0),MATCH(COLUMNS($V$1006:Z1006),$V$1006:$AE$1006,0)), HYPERLINK("#",""), HYPERLINK(CONCATENATE("#Metadata!", ADDRESS(INDEX($Q$2:$Q$1001,MATCH(ROWS($O$2:O49),$O$2:$O$1001,0),0), INDEX($V$1004:$AE$1004,1,MATCH(COLUMNS($V$1006:Z1006),$V$1006:$AE$1006,0)))),"Fix")))</f>
        <v>0</v>
      </c>
      <c r="G49" s="3">
        <f>IF(OR(INDEX($P$2:$P$1001,MATCH(ROWS($O$2:O49),$O$2:$O$1001,0),1)&gt;=100000,INDEX($V$1005:$AE$1005,1,MATCH(COLUMNS($V$1006:AA1006),$V$1006:$AE$1006,0))&gt;=100000), " ",IF(INDEX($V$2:$AE$1001,MATCH(ROWS($O$2:O49),$O$2:$O$1001,0),MATCH(COLUMNS($V$1006:AA1006),$V$1006:$AE$1006,0)), HYPERLINK("#",""), HYPERLINK(CONCATENATE("#Metadata!", ADDRESS(INDEX($Q$2:$Q$1001,MATCH(ROWS($O$2:O49),$O$2:$O$1001,0),0), INDEX($V$1004:$AE$1004,1,MATCH(COLUMNS($V$1006:AA1006),$V$1006:$AE$1006,0)))),"Fix")))</f>
        <v>0</v>
      </c>
      <c r="H49" s="3">
        <f>IF(OR(INDEX($P$2:$P$1001,MATCH(ROWS($O$2:O49),$O$2:$O$1001,0),1)&gt;=100000,INDEX($V$1005:$AE$1005,1,MATCH(COLUMNS($V$1006:AB1006),$V$1006:$AE$1006,0))&gt;=100000), " ",IF(INDEX($V$2:$AE$1001,MATCH(ROWS($O$2:O49),$O$2:$O$1001,0),MATCH(COLUMNS($V$1006:AB1006),$V$1006:$AE$1006,0)), HYPERLINK("#",""), HYPERLINK(CONCATENATE("#Metadata!", ADDRESS(INDEX($Q$2:$Q$1001,MATCH(ROWS($O$2:O49),$O$2:$O$1001,0),0), INDEX($V$1004:$AE$1004,1,MATCH(COLUMNS($V$1006:AB1006),$V$1006:$AE$1006,0)))),"Fix")))</f>
        <v>0</v>
      </c>
      <c r="I49" s="3">
        <f>IF(OR(INDEX($P$2:$P$1001,MATCH(ROWS($O$2:O49),$O$2:$O$1001,0),1)&gt;=100000,INDEX($V$1005:$AE$1005,1,MATCH(COLUMNS($V$1006:AC1006),$V$1006:$AE$1006,0))&gt;=100000), " ",IF(INDEX($V$2:$AE$1001,MATCH(ROWS($O$2:O49),$O$2:$O$1001,0),MATCH(COLUMNS($V$1006:AC1006),$V$1006:$AE$1006,0)), HYPERLINK("#",""), HYPERLINK(CONCATENATE("#Metadata!", ADDRESS(INDEX($Q$2:$Q$1001,MATCH(ROWS($O$2:O49),$O$2:$O$1001,0),0), INDEX($V$1004:$AE$1004,1,MATCH(COLUMNS($V$1006:AC1006),$V$1006:$AE$1006,0)))),"Fix")))</f>
        <v>0</v>
      </c>
      <c r="J49" s="3">
        <f>IF(OR(INDEX($P$2:$P$1001,MATCH(ROWS($O$2:O49),$O$2:$O$1001,0),1)&gt;=100000,INDEX($V$1005:$AE$1005,1,MATCH(COLUMNS($V$1006:AD1006),$V$1006:$AE$1006,0))&gt;=100000), " ",IF(INDEX($V$2:$AE$1001,MATCH(ROWS($O$2:O49),$O$2:$O$1001,0),MATCH(COLUMNS($V$1006:AD1006),$V$1006:$AE$1006,0)), HYPERLINK("#",""), HYPERLINK(CONCATENATE("#Metadata!", ADDRESS(INDEX($Q$2:$Q$1001,MATCH(ROWS($O$2:O49),$O$2:$O$1001,0),0), INDEX($V$1004:$AE$1004,1,MATCH(COLUMNS($V$1006:AD1006),$V$1006:$AE$1006,0)))),"Fix")))</f>
        <v>0</v>
      </c>
      <c r="K49" s="3">
        <f>IF(OR(INDEX($P$2:$P$1001,MATCH(ROWS($O$2:O49),$O$2:$O$1001,0),1)&gt;=100000,INDEX($V$1005:$AE$1005,1,MATCH(COLUMNS($V$1006:AE1006),$V$1006:$AE$1006,0))&gt;=100000), " ",IF(INDEX($V$2:$AE$1001,MATCH(ROWS($O$2:O49),$O$2:$O$1001,0),MATCH(COLUMNS($V$1006:AE1006),$V$1006:$AE$1006,0)), HYPERLINK("#",""), HYPERLINK(CONCATENATE("#Metadata!", ADDRESS(INDEX($Q$2:$Q$1001,MATCH(ROWS($O$2:O49),$O$2:$O$1001,0),0), INDEX($V$1004:$AE$1004,1,MATCH(COLUMNS($V$1006:AE1006),$V$1006:$AE$1006,0)))),"Fix")))</f>
        <v>0</v>
      </c>
      <c r="O49">
        <v>0</v>
      </c>
      <c r="P49">
        <v>0</v>
      </c>
      <c r="Q49">
        <v>0</v>
      </c>
      <c r="R49">
        <f>IF(S49,TRUE,AND(V49:AE49))</f>
        <v>0</v>
      </c>
      <c r="S49">
        <f>COUNTBLANK(Metadata!B49:K49)=COLUMNS(Metadata!B49:K49)</f>
        <v>0</v>
      </c>
      <c r="T49">
        <v>0</v>
      </c>
      <c r="V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W49">
        <f>AND(IF(Metadata!C49="",FALSE,TRUE),exact(Metadata!C49,"animal secretion"))</f>
        <v>0</v>
      </c>
      <c r="X49">
        <f>AND(IF(Metadata!D49="",FALSE,TRUE),exact(Metadata!D49,"saliva"))</f>
        <v>0</v>
      </c>
      <c r="Y49">
        <f>AND(IF(Metadata!E49="",FALSE,TRUE),exact(Metadata!E49,"human-oral"))</f>
        <v>0</v>
      </c>
      <c r="Z49">
        <f>AND(IF(Metadata!F49="",FALSE,TRUE),exact(Metadata!F49,"UBERON:oral cavity"))</f>
        <v>0</v>
      </c>
      <c r="AA49">
        <f>AND(IF(Metadata!G49="",FALSE,TRUE),exact(Metadata!G49,"UBERON:saliva"))</f>
        <v>0</v>
      </c>
      <c r="AB49">
        <f>AND(IF(Metadata!H49="",FALSE,TRUE),exact(Metadata!H49,"UBERON:tongue"))</f>
        <v>0</v>
      </c>
      <c r="AC49">
        <f>AND(IF(Metadata!I49="",FALSE,TRUE),exact(Metadata!I49,"tongue"))</f>
        <v>0</v>
      </c>
      <c r="AD49">
        <f>AND(IF(Metadata!J49="",FALSE,TRUE),exact(Metadata!J49,"human oral metagenome"))</f>
        <v>0</v>
      </c>
      <c r="AE49">
        <f>AND(IF(Metadata!K49="",FALSE,TRUE),exact(Metadata!K49,"447426"))</f>
        <v>0</v>
      </c>
    </row>
    <row r="50" spans="1:31">
      <c r="A50" s="4">
        <f>IF(B50=" "," ",HYPERLINK(CONCATENATE("#metadata!",ADDRESS(INDEX($Q$2:$Q$1001,MATCH(ROWS($O$2:O50),$O$2:$O$1001,0),0),1)),INDEX($T$2:$T$1001,MATCH(ROWS($O$2:O50),$O$2:$O$1001,0),0)))</f>
        <v>0</v>
      </c>
      <c r="B50" s="3">
        <f>IF(OR(INDEX($P$2:$P$1001,MATCH(ROWS($O$2:O50),$O$2:$O$1001,0),1)&gt;=100000,INDEX($V$1005:$AE$1005,1,MATCH(COLUMNS($V$1006:V1006),$V$1006:$AE$1006,0))&gt;=100000), " ",IF(INDEX($V$2:$AE$1001,MATCH(ROWS($O$2:O50),$O$2:$O$1001,0),MATCH(COLUMNS($V$1006:V1006),$V$1006:$AE$1006,0)), HYPERLINK("#",""), HYPERLINK(CONCATENATE("#Metadata!", ADDRESS(INDEX($Q$2:$Q$1001,MATCH(ROWS($O$2:O50),$O$2:$O$1001,0),0), INDEX($V$1004:$AE$1004,1,MATCH(COLUMNS($V$1006:V1006),$V$1006:$AE$1006,0)))),"Fix")))</f>
        <v>0</v>
      </c>
      <c r="C50" s="3">
        <f>IF(OR(INDEX($P$2:$P$1001,MATCH(ROWS($O$2:O50),$O$2:$O$1001,0),1)&gt;=100000,INDEX($V$1005:$AE$1005,1,MATCH(COLUMNS($V$1006:W1006),$V$1006:$AE$1006,0))&gt;=100000), " ",IF(INDEX($V$2:$AE$1001,MATCH(ROWS($O$2:O50),$O$2:$O$1001,0),MATCH(COLUMNS($V$1006:W1006),$V$1006:$AE$1006,0)), HYPERLINK("#",""), HYPERLINK(CONCATENATE("#Metadata!", ADDRESS(INDEX($Q$2:$Q$1001,MATCH(ROWS($O$2:O50),$O$2:$O$1001,0),0), INDEX($V$1004:$AE$1004,1,MATCH(COLUMNS($V$1006:W1006),$V$1006:$AE$1006,0)))),"Fix")))</f>
        <v>0</v>
      </c>
      <c r="D50" s="3">
        <f>IF(OR(INDEX($P$2:$P$1001,MATCH(ROWS($O$2:O50),$O$2:$O$1001,0),1)&gt;=100000,INDEX($V$1005:$AE$1005,1,MATCH(COLUMNS($V$1006:X1006),$V$1006:$AE$1006,0))&gt;=100000), " ",IF(INDEX($V$2:$AE$1001,MATCH(ROWS($O$2:O50),$O$2:$O$1001,0),MATCH(COLUMNS($V$1006:X1006),$V$1006:$AE$1006,0)), HYPERLINK("#",""), HYPERLINK(CONCATENATE("#Metadata!", ADDRESS(INDEX($Q$2:$Q$1001,MATCH(ROWS($O$2:O50),$O$2:$O$1001,0),0), INDEX($V$1004:$AE$1004,1,MATCH(COLUMNS($V$1006:X1006),$V$1006:$AE$1006,0)))),"Fix")))</f>
        <v>0</v>
      </c>
      <c r="E50" s="3">
        <f>IF(OR(INDEX($P$2:$P$1001,MATCH(ROWS($O$2:O50),$O$2:$O$1001,0),1)&gt;=100000,INDEX($V$1005:$AE$1005,1,MATCH(COLUMNS($V$1006:Y1006),$V$1006:$AE$1006,0))&gt;=100000), " ",IF(INDEX($V$2:$AE$1001,MATCH(ROWS($O$2:O50),$O$2:$O$1001,0),MATCH(COLUMNS($V$1006:Y1006),$V$1006:$AE$1006,0)), HYPERLINK("#",""), HYPERLINK(CONCATENATE("#Metadata!", ADDRESS(INDEX($Q$2:$Q$1001,MATCH(ROWS($O$2:O50),$O$2:$O$1001,0),0), INDEX($V$1004:$AE$1004,1,MATCH(COLUMNS($V$1006:Y1006),$V$1006:$AE$1006,0)))),"Fix")))</f>
        <v>0</v>
      </c>
      <c r="F50" s="3">
        <f>IF(OR(INDEX($P$2:$P$1001,MATCH(ROWS($O$2:O50),$O$2:$O$1001,0),1)&gt;=100000,INDEX($V$1005:$AE$1005,1,MATCH(COLUMNS($V$1006:Z1006),$V$1006:$AE$1006,0))&gt;=100000), " ",IF(INDEX($V$2:$AE$1001,MATCH(ROWS($O$2:O50),$O$2:$O$1001,0),MATCH(COLUMNS($V$1006:Z1006),$V$1006:$AE$1006,0)), HYPERLINK("#",""), HYPERLINK(CONCATENATE("#Metadata!", ADDRESS(INDEX($Q$2:$Q$1001,MATCH(ROWS($O$2:O50),$O$2:$O$1001,0),0), INDEX($V$1004:$AE$1004,1,MATCH(COLUMNS($V$1006:Z1006),$V$1006:$AE$1006,0)))),"Fix")))</f>
        <v>0</v>
      </c>
      <c r="G50" s="3">
        <f>IF(OR(INDEX($P$2:$P$1001,MATCH(ROWS($O$2:O50),$O$2:$O$1001,0),1)&gt;=100000,INDEX($V$1005:$AE$1005,1,MATCH(COLUMNS($V$1006:AA1006),$V$1006:$AE$1006,0))&gt;=100000), " ",IF(INDEX($V$2:$AE$1001,MATCH(ROWS($O$2:O50),$O$2:$O$1001,0),MATCH(COLUMNS($V$1006:AA1006),$V$1006:$AE$1006,0)), HYPERLINK("#",""), HYPERLINK(CONCATENATE("#Metadata!", ADDRESS(INDEX($Q$2:$Q$1001,MATCH(ROWS($O$2:O50),$O$2:$O$1001,0),0), INDEX($V$1004:$AE$1004,1,MATCH(COLUMNS($V$1006:AA1006),$V$1006:$AE$1006,0)))),"Fix")))</f>
        <v>0</v>
      </c>
      <c r="H50" s="3">
        <f>IF(OR(INDEX($P$2:$P$1001,MATCH(ROWS($O$2:O50),$O$2:$O$1001,0),1)&gt;=100000,INDEX($V$1005:$AE$1005,1,MATCH(COLUMNS($V$1006:AB1006),$V$1006:$AE$1006,0))&gt;=100000), " ",IF(INDEX($V$2:$AE$1001,MATCH(ROWS($O$2:O50),$O$2:$O$1001,0),MATCH(COLUMNS($V$1006:AB1006),$V$1006:$AE$1006,0)), HYPERLINK("#",""), HYPERLINK(CONCATENATE("#Metadata!", ADDRESS(INDEX($Q$2:$Q$1001,MATCH(ROWS($O$2:O50),$O$2:$O$1001,0),0), INDEX($V$1004:$AE$1004,1,MATCH(COLUMNS($V$1006:AB1006),$V$1006:$AE$1006,0)))),"Fix")))</f>
        <v>0</v>
      </c>
      <c r="I50" s="3">
        <f>IF(OR(INDEX($P$2:$P$1001,MATCH(ROWS($O$2:O50),$O$2:$O$1001,0),1)&gt;=100000,INDEX($V$1005:$AE$1005,1,MATCH(COLUMNS($V$1006:AC1006),$V$1006:$AE$1006,0))&gt;=100000), " ",IF(INDEX($V$2:$AE$1001,MATCH(ROWS($O$2:O50),$O$2:$O$1001,0),MATCH(COLUMNS($V$1006:AC1006),$V$1006:$AE$1006,0)), HYPERLINK("#",""), HYPERLINK(CONCATENATE("#Metadata!", ADDRESS(INDEX($Q$2:$Q$1001,MATCH(ROWS($O$2:O50),$O$2:$O$1001,0),0), INDEX($V$1004:$AE$1004,1,MATCH(COLUMNS($V$1006:AC1006),$V$1006:$AE$1006,0)))),"Fix")))</f>
        <v>0</v>
      </c>
      <c r="J50" s="3">
        <f>IF(OR(INDEX($P$2:$P$1001,MATCH(ROWS($O$2:O50),$O$2:$O$1001,0),1)&gt;=100000,INDEX($V$1005:$AE$1005,1,MATCH(COLUMNS($V$1006:AD1006),$V$1006:$AE$1006,0))&gt;=100000), " ",IF(INDEX($V$2:$AE$1001,MATCH(ROWS($O$2:O50),$O$2:$O$1001,0),MATCH(COLUMNS($V$1006:AD1006),$V$1006:$AE$1006,0)), HYPERLINK("#",""), HYPERLINK(CONCATENATE("#Metadata!", ADDRESS(INDEX($Q$2:$Q$1001,MATCH(ROWS($O$2:O50),$O$2:$O$1001,0),0), INDEX($V$1004:$AE$1004,1,MATCH(COLUMNS($V$1006:AD1006),$V$1006:$AE$1006,0)))),"Fix")))</f>
        <v>0</v>
      </c>
      <c r="K50" s="3">
        <f>IF(OR(INDEX($P$2:$P$1001,MATCH(ROWS($O$2:O50),$O$2:$O$1001,0),1)&gt;=100000,INDEX($V$1005:$AE$1005,1,MATCH(COLUMNS($V$1006:AE1006),$V$1006:$AE$1006,0))&gt;=100000), " ",IF(INDEX($V$2:$AE$1001,MATCH(ROWS($O$2:O50),$O$2:$O$1001,0),MATCH(COLUMNS($V$1006:AE1006),$V$1006:$AE$1006,0)), HYPERLINK("#",""), HYPERLINK(CONCATENATE("#Metadata!", ADDRESS(INDEX($Q$2:$Q$1001,MATCH(ROWS($O$2:O50),$O$2:$O$1001,0),0), INDEX($V$1004:$AE$1004,1,MATCH(COLUMNS($V$1006:AE1006),$V$1006:$AE$1006,0)))),"Fix")))</f>
        <v>0</v>
      </c>
      <c r="O50">
        <v>0</v>
      </c>
      <c r="P50">
        <v>0</v>
      </c>
      <c r="Q50">
        <v>0</v>
      </c>
      <c r="R50">
        <f>IF(S50,TRUE,AND(V50:AE50))</f>
        <v>0</v>
      </c>
      <c r="S50">
        <f>COUNTBLANK(Metadata!B50:K50)=COLUMNS(Metadata!B50:K50)</f>
        <v>0</v>
      </c>
      <c r="T50">
        <v>0</v>
      </c>
      <c r="V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W50">
        <f>AND(IF(Metadata!C50="",FALSE,TRUE),exact(Metadata!C50,"animal secretion"))</f>
        <v>0</v>
      </c>
      <c r="X50">
        <f>AND(IF(Metadata!D50="",FALSE,TRUE),exact(Metadata!D50,"saliva"))</f>
        <v>0</v>
      </c>
      <c r="Y50">
        <f>AND(IF(Metadata!E50="",FALSE,TRUE),exact(Metadata!E50,"human-oral"))</f>
        <v>0</v>
      </c>
      <c r="Z50">
        <f>AND(IF(Metadata!F50="",FALSE,TRUE),exact(Metadata!F50,"UBERON:oral cavity"))</f>
        <v>0</v>
      </c>
      <c r="AA50">
        <f>AND(IF(Metadata!G50="",FALSE,TRUE),exact(Metadata!G50,"UBERON:saliva"))</f>
        <v>0</v>
      </c>
      <c r="AB50">
        <f>AND(IF(Metadata!H50="",FALSE,TRUE),exact(Metadata!H50,"UBERON:tongue"))</f>
        <v>0</v>
      </c>
      <c r="AC50">
        <f>AND(IF(Metadata!I50="",FALSE,TRUE),exact(Metadata!I50,"tongue"))</f>
        <v>0</v>
      </c>
      <c r="AD50">
        <f>AND(IF(Metadata!J50="",FALSE,TRUE),exact(Metadata!J50,"human oral metagenome"))</f>
        <v>0</v>
      </c>
      <c r="AE50">
        <f>AND(IF(Metadata!K50="",FALSE,TRUE),exact(Metadata!K50,"447426"))</f>
        <v>0</v>
      </c>
    </row>
    <row r="51" spans="1:31">
      <c r="A51" s="4">
        <f>IF(B51=" "," ",HYPERLINK(CONCATENATE("#metadata!",ADDRESS(INDEX($Q$2:$Q$1001,MATCH(ROWS($O$2:O51),$O$2:$O$1001,0),0),1)),INDEX($T$2:$T$1001,MATCH(ROWS($O$2:O51),$O$2:$O$1001,0),0)))</f>
        <v>0</v>
      </c>
      <c r="B51" s="3">
        <f>IF(OR(INDEX($P$2:$P$1001,MATCH(ROWS($O$2:O51),$O$2:$O$1001,0),1)&gt;=100000,INDEX($V$1005:$AE$1005,1,MATCH(COLUMNS($V$1006:V1006),$V$1006:$AE$1006,0))&gt;=100000), " ",IF(INDEX($V$2:$AE$1001,MATCH(ROWS($O$2:O51),$O$2:$O$1001,0),MATCH(COLUMNS($V$1006:V1006),$V$1006:$AE$1006,0)), HYPERLINK("#",""), HYPERLINK(CONCATENATE("#Metadata!", ADDRESS(INDEX($Q$2:$Q$1001,MATCH(ROWS($O$2:O51),$O$2:$O$1001,0),0), INDEX($V$1004:$AE$1004,1,MATCH(COLUMNS($V$1006:V1006),$V$1006:$AE$1006,0)))),"Fix")))</f>
        <v>0</v>
      </c>
      <c r="C51" s="3">
        <f>IF(OR(INDEX($P$2:$P$1001,MATCH(ROWS($O$2:O51),$O$2:$O$1001,0),1)&gt;=100000,INDEX($V$1005:$AE$1005,1,MATCH(COLUMNS($V$1006:W1006),$V$1006:$AE$1006,0))&gt;=100000), " ",IF(INDEX($V$2:$AE$1001,MATCH(ROWS($O$2:O51),$O$2:$O$1001,0),MATCH(COLUMNS($V$1006:W1006),$V$1006:$AE$1006,0)), HYPERLINK("#",""), HYPERLINK(CONCATENATE("#Metadata!", ADDRESS(INDEX($Q$2:$Q$1001,MATCH(ROWS($O$2:O51),$O$2:$O$1001,0),0), INDEX($V$1004:$AE$1004,1,MATCH(COLUMNS($V$1006:W1006),$V$1006:$AE$1006,0)))),"Fix")))</f>
        <v>0</v>
      </c>
      <c r="D51" s="3">
        <f>IF(OR(INDEX($P$2:$P$1001,MATCH(ROWS($O$2:O51),$O$2:$O$1001,0),1)&gt;=100000,INDEX($V$1005:$AE$1005,1,MATCH(COLUMNS($V$1006:X1006),$V$1006:$AE$1006,0))&gt;=100000), " ",IF(INDEX($V$2:$AE$1001,MATCH(ROWS($O$2:O51),$O$2:$O$1001,0),MATCH(COLUMNS($V$1006:X1006),$V$1006:$AE$1006,0)), HYPERLINK("#",""), HYPERLINK(CONCATENATE("#Metadata!", ADDRESS(INDEX($Q$2:$Q$1001,MATCH(ROWS($O$2:O51),$O$2:$O$1001,0),0), INDEX($V$1004:$AE$1004,1,MATCH(COLUMNS($V$1006:X1006),$V$1006:$AE$1006,0)))),"Fix")))</f>
        <v>0</v>
      </c>
      <c r="E51" s="3">
        <f>IF(OR(INDEX($P$2:$P$1001,MATCH(ROWS($O$2:O51),$O$2:$O$1001,0),1)&gt;=100000,INDEX($V$1005:$AE$1005,1,MATCH(COLUMNS($V$1006:Y1006),$V$1006:$AE$1006,0))&gt;=100000), " ",IF(INDEX($V$2:$AE$1001,MATCH(ROWS($O$2:O51),$O$2:$O$1001,0),MATCH(COLUMNS($V$1006:Y1006),$V$1006:$AE$1006,0)), HYPERLINK("#",""), HYPERLINK(CONCATENATE("#Metadata!", ADDRESS(INDEX($Q$2:$Q$1001,MATCH(ROWS($O$2:O51),$O$2:$O$1001,0),0), INDEX($V$1004:$AE$1004,1,MATCH(COLUMNS($V$1006:Y1006),$V$1006:$AE$1006,0)))),"Fix")))</f>
        <v>0</v>
      </c>
      <c r="F51" s="3">
        <f>IF(OR(INDEX($P$2:$P$1001,MATCH(ROWS($O$2:O51),$O$2:$O$1001,0),1)&gt;=100000,INDEX($V$1005:$AE$1005,1,MATCH(COLUMNS($V$1006:Z1006),$V$1006:$AE$1006,0))&gt;=100000), " ",IF(INDEX($V$2:$AE$1001,MATCH(ROWS($O$2:O51),$O$2:$O$1001,0),MATCH(COLUMNS($V$1006:Z1006),$V$1006:$AE$1006,0)), HYPERLINK("#",""), HYPERLINK(CONCATENATE("#Metadata!", ADDRESS(INDEX($Q$2:$Q$1001,MATCH(ROWS($O$2:O51),$O$2:$O$1001,0),0), INDEX($V$1004:$AE$1004,1,MATCH(COLUMNS($V$1006:Z1006),$V$1006:$AE$1006,0)))),"Fix")))</f>
        <v>0</v>
      </c>
      <c r="G51" s="3">
        <f>IF(OR(INDEX($P$2:$P$1001,MATCH(ROWS($O$2:O51),$O$2:$O$1001,0),1)&gt;=100000,INDEX($V$1005:$AE$1005,1,MATCH(COLUMNS($V$1006:AA1006),$V$1006:$AE$1006,0))&gt;=100000), " ",IF(INDEX($V$2:$AE$1001,MATCH(ROWS($O$2:O51),$O$2:$O$1001,0),MATCH(COLUMNS($V$1006:AA1006),$V$1006:$AE$1006,0)), HYPERLINK("#",""), HYPERLINK(CONCATENATE("#Metadata!", ADDRESS(INDEX($Q$2:$Q$1001,MATCH(ROWS($O$2:O51),$O$2:$O$1001,0),0), INDEX($V$1004:$AE$1004,1,MATCH(COLUMNS($V$1006:AA1006),$V$1006:$AE$1006,0)))),"Fix")))</f>
        <v>0</v>
      </c>
      <c r="H51" s="3">
        <f>IF(OR(INDEX($P$2:$P$1001,MATCH(ROWS($O$2:O51),$O$2:$O$1001,0),1)&gt;=100000,INDEX($V$1005:$AE$1005,1,MATCH(COLUMNS($V$1006:AB1006),$V$1006:$AE$1006,0))&gt;=100000), " ",IF(INDEX($V$2:$AE$1001,MATCH(ROWS($O$2:O51),$O$2:$O$1001,0),MATCH(COLUMNS($V$1006:AB1006),$V$1006:$AE$1006,0)), HYPERLINK("#",""), HYPERLINK(CONCATENATE("#Metadata!", ADDRESS(INDEX($Q$2:$Q$1001,MATCH(ROWS($O$2:O51),$O$2:$O$1001,0),0), INDEX($V$1004:$AE$1004,1,MATCH(COLUMNS($V$1006:AB1006),$V$1006:$AE$1006,0)))),"Fix")))</f>
        <v>0</v>
      </c>
      <c r="I51" s="3">
        <f>IF(OR(INDEX($P$2:$P$1001,MATCH(ROWS($O$2:O51),$O$2:$O$1001,0),1)&gt;=100000,INDEX($V$1005:$AE$1005,1,MATCH(COLUMNS($V$1006:AC1006),$V$1006:$AE$1006,0))&gt;=100000), " ",IF(INDEX($V$2:$AE$1001,MATCH(ROWS($O$2:O51),$O$2:$O$1001,0),MATCH(COLUMNS($V$1006:AC1006),$V$1006:$AE$1006,0)), HYPERLINK("#",""), HYPERLINK(CONCATENATE("#Metadata!", ADDRESS(INDEX($Q$2:$Q$1001,MATCH(ROWS($O$2:O51),$O$2:$O$1001,0),0), INDEX($V$1004:$AE$1004,1,MATCH(COLUMNS($V$1006:AC1006),$V$1006:$AE$1006,0)))),"Fix")))</f>
        <v>0</v>
      </c>
      <c r="J51" s="3">
        <f>IF(OR(INDEX($P$2:$P$1001,MATCH(ROWS($O$2:O51),$O$2:$O$1001,0),1)&gt;=100000,INDEX($V$1005:$AE$1005,1,MATCH(COLUMNS($V$1006:AD1006),$V$1006:$AE$1006,0))&gt;=100000), " ",IF(INDEX($V$2:$AE$1001,MATCH(ROWS($O$2:O51),$O$2:$O$1001,0),MATCH(COLUMNS($V$1006:AD1006),$V$1006:$AE$1006,0)), HYPERLINK("#",""), HYPERLINK(CONCATENATE("#Metadata!", ADDRESS(INDEX($Q$2:$Q$1001,MATCH(ROWS($O$2:O51),$O$2:$O$1001,0),0), INDEX($V$1004:$AE$1004,1,MATCH(COLUMNS($V$1006:AD1006),$V$1006:$AE$1006,0)))),"Fix")))</f>
        <v>0</v>
      </c>
      <c r="K51" s="3">
        <f>IF(OR(INDEX($P$2:$P$1001,MATCH(ROWS($O$2:O51),$O$2:$O$1001,0),1)&gt;=100000,INDEX($V$1005:$AE$1005,1,MATCH(COLUMNS($V$1006:AE1006),$V$1006:$AE$1006,0))&gt;=100000), " ",IF(INDEX($V$2:$AE$1001,MATCH(ROWS($O$2:O51),$O$2:$O$1001,0),MATCH(COLUMNS($V$1006:AE1006),$V$1006:$AE$1006,0)), HYPERLINK("#",""), HYPERLINK(CONCATENATE("#Metadata!", ADDRESS(INDEX($Q$2:$Q$1001,MATCH(ROWS($O$2:O51),$O$2:$O$1001,0),0), INDEX($V$1004:$AE$1004,1,MATCH(COLUMNS($V$1006:AE1006),$V$1006:$AE$1006,0)))),"Fix")))</f>
        <v>0</v>
      </c>
      <c r="O51">
        <v>0</v>
      </c>
      <c r="P51">
        <v>0</v>
      </c>
      <c r="Q51">
        <v>0</v>
      </c>
      <c r="R51">
        <f>IF(S51,TRUE,AND(V51:AE51))</f>
        <v>0</v>
      </c>
      <c r="S51">
        <f>COUNTBLANK(Metadata!B51:K51)=COLUMNS(Metadata!B51:K51)</f>
        <v>0</v>
      </c>
      <c r="T51">
        <v>0</v>
      </c>
      <c r="V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W51">
        <f>AND(IF(Metadata!C51="",FALSE,TRUE),exact(Metadata!C51,"animal secretion"))</f>
        <v>0</v>
      </c>
      <c r="X51">
        <f>AND(IF(Metadata!D51="",FALSE,TRUE),exact(Metadata!D51,"saliva"))</f>
        <v>0</v>
      </c>
      <c r="Y51">
        <f>AND(IF(Metadata!E51="",FALSE,TRUE),exact(Metadata!E51,"human-oral"))</f>
        <v>0</v>
      </c>
      <c r="Z51">
        <f>AND(IF(Metadata!F51="",FALSE,TRUE),exact(Metadata!F51,"UBERON:oral cavity"))</f>
        <v>0</v>
      </c>
      <c r="AA51">
        <f>AND(IF(Metadata!G51="",FALSE,TRUE),exact(Metadata!G51,"UBERON:saliva"))</f>
        <v>0</v>
      </c>
      <c r="AB51">
        <f>AND(IF(Metadata!H51="",FALSE,TRUE),exact(Metadata!H51,"UBERON:tongue"))</f>
        <v>0</v>
      </c>
      <c r="AC51">
        <f>AND(IF(Metadata!I51="",FALSE,TRUE),exact(Metadata!I51,"tongue"))</f>
        <v>0</v>
      </c>
      <c r="AD51">
        <f>AND(IF(Metadata!J51="",FALSE,TRUE),exact(Metadata!J51,"human oral metagenome"))</f>
        <v>0</v>
      </c>
      <c r="AE51">
        <f>AND(IF(Metadata!K51="",FALSE,TRUE),exact(Metadata!K51,"447426"))</f>
        <v>0</v>
      </c>
    </row>
    <row r="52" spans="1:31">
      <c r="A52" s="4">
        <f>IF(B52=" "," ",HYPERLINK(CONCATENATE("#metadata!",ADDRESS(INDEX($Q$2:$Q$1001,MATCH(ROWS($O$2:O52),$O$2:$O$1001,0),0),1)),INDEX($T$2:$T$1001,MATCH(ROWS($O$2:O52),$O$2:$O$1001,0),0)))</f>
        <v>0</v>
      </c>
      <c r="B52" s="3">
        <f>IF(OR(INDEX($P$2:$P$1001,MATCH(ROWS($O$2:O52),$O$2:$O$1001,0),1)&gt;=100000,INDEX($V$1005:$AE$1005,1,MATCH(COLUMNS($V$1006:V1006),$V$1006:$AE$1006,0))&gt;=100000), " ",IF(INDEX($V$2:$AE$1001,MATCH(ROWS($O$2:O52),$O$2:$O$1001,0),MATCH(COLUMNS($V$1006:V1006),$V$1006:$AE$1006,0)), HYPERLINK("#",""), HYPERLINK(CONCATENATE("#Metadata!", ADDRESS(INDEX($Q$2:$Q$1001,MATCH(ROWS($O$2:O52),$O$2:$O$1001,0),0), INDEX($V$1004:$AE$1004,1,MATCH(COLUMNS($V$1006:V1006),$V$1006:$AE$1006,0)))),"Fix")))</f>
        <v>0</v>
      </c>
      <c r="C52" s="3">
        <f>IF(OR(INDEX($P$2:$P$1001,MATCH(ROWS($O$2:O52),$O$2:$O$1001,0),1)&gt;=100000,INDEX($V$1005:$AE$1005,1,MATCH(COLUMNS($V$1006:W1006),$V$1006:$AE$1006,0))&gt;=100000), " ",IF(INDEX($V$2:$AE$1001,MATCH(ROWS($O$2:O52),$O$2:$O$1001,0),MATCH(COLUMNS($V$1006:W1006),$V$1006:$AE$1006,0)), HYPERLINK("#",""), HYPERLINK(CONCATENATE("#Metadata!", ADDRESS(INDEX($Q$2:$Q$1001,MATCH(ROWS($O$2:O52),$O$2:$O$1001,0),0), INDEX($V$1004:$AE$1004,1,MATCH(COLUMNS($V$1006:W1006),$V$1006:$AE$1006,0)))),"Fix")))</f>
        <v>0</v>
      </c>
      <c r="D52" s="3">
        <f>IF(OR(INDEX($P$2:$P$1001,MATCH(ROWS($O$2:O52),$O$2:$O$1001,0),1)&gt;=100000,INDEX($V$1005:$AE$1005,1,MATCH(COLUMNS($V$1006:X1006),$V$1006:$AE$1006,0))&gt;=100000), " ",IF(INDEX($V$2:$AE$1001,MATCH(ROWS($O$2:O52),$O$2:$O$1001,0),MATCH(COLUMNS($V$1006:X1006),$V$1006:$AE$1006,0)), HYPERLINK("#",""), HYPERLINK(CONCATENATE("#Metadata!", ADDRESS(INDEX($Q$2:$Q$1001,MATCH(ROWS($O$2:O52),$O$2:$O$1001,0),0), INDEX($V$1004:$AE$1004,1,MATCH(COLUMNS($V$1006:X1006),$V$1006:$AE$1006,0)))),"Fix")))</f>
        <v>0</v>
      </c>
      <c r="E52" s="3">
        <f>IF(OR(INDEX($P$2:$P$1001,MATCH(ROWS($O$2:O52),$O$2:$O$1001,0),1)&gt;=100000,INDEX($V$1005:$AE$1005,1,MATCH(COLUMNS($V$1006:Y1006),$V$1006:$AE$1006,0))&gt;=100000), " ",IF(INDEX($V$2:$AE$1001,MATCH(ROWS($O$2:O52),$O$2:$O$1001,0),MATCH(COLUMNS($V$1006:Y1006),$V$1006:$AE$1006,0)), HYPERLINK("#",""), HYPERLINK(CONCATENATE("#Metadata!", ADDRESS(INDEX($Q$2:$Q$1001,MATCH(ROWS($O$2:O52),$O$2:$O$1001,0),0), INDEX($V$1004:$AE$1004,1,MATCH(COLUMNS($V$1006:Y1006),$V$1006:$AE$1006,0)))),"Fix")))</f>
        <v>0</v>
      </c>
      <c r="F52" s="3">
        <f>IF(OR(INDEX($P$2:$P$1001,MATCH(ROWS($O$2:O52),$O$2:$O$1001,0),1)&gt;=100000,INDEX($V$1005:$AE$1005,1,MATCH(COLUMNS($V$1006:Z1006),$V$1006:$AE$1006,0))&gt;=100000), " ",IF(INDEX($V$2:$AE$1001,MATCH(ROWS($O$2:O52),$O$2:$O$1001,0),MATCH(COLUMNS($V$1006:Z1006),$V$1006:$AE$1006,0)), HYPERLINK("#",""), HYPERLINK(CONCATENATE("#Metadata!", ADDRESS(INDEX($Q$2:$Q$1001,MATCH(ROWS($O$2:O52),$O$2:$O$1001,0),0), INDEX($V$1004:$AE$1004,1,MATCH(COLUMNS($V$1006:Z1006),$V$1006:$AE$1006,0)))),"Fix")))</f>
        <v>0</v>
      </c>
      <c r="G52" s="3">
        <f>IF(OR(INDEX($P$2:$P$1001,MATCH(ROWS($O$2:O52),$O$2:$O$1001,0),1)&gt;=100000,INDEX($V$1005:$AE$1005,1,MATCH(COLUMNS($V$1006:AA1006),$V$1006:$AE$1006,0))&gt;=100000), " ",IF(INDEX($V$2:$AE$1001,MATCH(ROWS($O$2:O52),$O$2:$O$1001,0),MATCH(COLUMNS($V$1006:AA1006),$V$1006:$AE$1006,0)), HYPERLINK("#",""), HYPERLINK(CONCATENATE("#Metadata!", ADDRESS(INDEX($Q$2:$Q$1001,MATCH(ROWS($O$2:O52),$O$2:$O$1001,0),0), INDEX($V$1004:$AE$1004,1,MATCH(COLUMNS($V$1006:AA1006),$V$1006:$AE$1006,0)))),"Fix")))</f>
        <v>0</v>
      </c>
      <c r="H52" s="3">
        <f>IF(OR(INDEX($P$2:$P$1001,MATCH(ROWS($O$2:O52),$O$2:$O$1001,0),1)&gt;=100000,INDEX($V$1005:$AE$1005,1,MATCH(COLUMNS($V$1006:AB1006),$V$1006:$AE$1006,0))&gt;=100000), " ",IF(INDEX($V$2:$AE$1001,MATCH(ROWS($O$2:O52),$O$2:$O$1001,0),MATCH(COLUMNS($V$1006:AB1006),$V$1006:$AE$1006,0)), HYPERLINK("#",""), HYPERLINK(CONCATENATE("#Metadata!", ADDRESS(INDEX($Q$2:$Q$1001,MATCH(ROWS($O$2:O52),$O$2:$O$1001,0),0), INDEX($V$1004:$AE$1004,1,MATCH(COLUMNS($V$1006:AB1006),$V$1006:$AE$1006,0)))),"Fix")))</f>
        <v>0</v>
      </c>
      <c r="I52" s="3">
        <f>IF(OR(INDEX($P$2:$P$1001,MATCH(ROWS($O$2:O52),$O$2:$O$1001,0),1)&gt;=100000,INDEX($V$1005:$AE$1005,1,MATCH(COLUMNS($V$1006:AC1006),$V$1006:$AE$1006,0))&gt;=100000), " ",IF(INDEX($V$2:$AE$1001,MATCH(ROWS($O$2:O52),$O$2:$O$1001,0),MATCH(COLUMNS($V$1006:AC1006),$V$1006:$AE$1006,0)), HYPERLINK("#",""), HYPERLINK(CONCATENATE("#Metadata!", ADDRESS(INDEX($Q$2:$Q$1001,MATCH(ROWS($O$2:O52),$O$2:$O$1001,0),0), INDEX($V$1004:$AE$1004,1,MATCH(COLUMNS($V$1006:AC1006),$V$1006:$AE$1006,0)))),"Fix")))</f>
        <v>0</v>
      </c>
      <c r="J52" s="3">
        <f>IF(OR(INDEX($P$2:$P$1001,MATCH(ROWS($O$2:O52),$O$2:$O$1001,0),1)&gt;=100000,INDEX($V$1005:$AE$1005,1,MATCH(COLUMNS($V$1006:AD1006),$V$1006:$AE$1006,0))&gt;=100000), " ",IF(INDEX($V$2:$AE$1001,MATCH(ROWS($O$2:O52),$O$2:$O$1001,0),MATCH(COLUMNS($V$1006:AD1006),$V$1006:$AE$1006,0)), HYPERLINK("#",""), HYPERLINK(CONCATENATE("#Metadata!", ADDRESS(INDEX($Q$2:$Q$1001,MATCH(ROWS($O$2:O52),$O$2:$O$1001,0),0), INDEX($V$1004:$AE$1004,1,MATCH(COLUMNS($V$1006:AD1006),$V$1006:$AE$1006,0)))),"Fix")))</f>
        <v>0</v>
      </c>
      <c r="K52" s="3">
        <f>IF(OR(INDEX($P$2:$P$1001,MATCH(ROWS($O$2:O52),$O$2:$O$1001,0),1)&gt;=100000,INDEX($V$1005:$AE$1005,1,MATCH(COLUMNS($V$1006:AE1006),$V$1006:$AE$1006,0))&gt;=100000), " ",IF(INDEX($V$2:$AE$1001,MATCH(ROWS($O$2:O52),$O$2:$O$1001,0),MATCH(COLUMNS($V$1006:AE1006),$V$1006:$AE$1006,0)), HYPERLINK("#",""), HYPERLINK(CONCATENATE("#Metadata!", ADDRESS(INDEX($Q$2:$Q$1001,MATCH(ROWS($O$2:O52),$O$2:$O$1001,0),0), INDEX($V$1004:$AE$1004,1,MATCH(COLUMNS($V$1006:AE1006),$V$1006:$AE$1006,0)))),"Fix")))</f>
        <v>0</v>
      </c>
      <c r="O52">
        <v>0</v>
      </c>
      <c r="P52">
        <v>0</v>
      </c>
      <c r="Q52">
        <v>0</v>
      </c>
      <c r="R52">
        <f>IF(S52,TRUE,AND(V52:AE52))</f>
        <v>0</v>
      </c>
      <c r="S52">
        <f>COUNTBLANK(Metadata!B52:K52)=COLUMNS(Metadata!B52:K52)</f>
        <v>0</v>
      </c>
      <c r="T52">
        <v>0</v>
      </c>
      <c r="V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W52">
        <f>AND(IF(Metadata!C52="",FALSE,TRUE),exact(Metadata!C52,"animal secretion"))</f>
        <v>0</v>
      </c>
      <c r="X52">
        <f>AND(IF(Metadata!D52="",FALSE,TRUE),exact(Metadata!D52,"saliva"))</f>
        <v>0</v>
      </c>
      <c r="Y52">
        <f>AND(IF(Metadata!E52="",FALSE,TRUE),exact(Metadata!E52,"human-oral"))</f>
        <v>0</v>
      </c>
      <c r="Z52">
        <f>AND(IF(Metadata!F52="",FALSE,TRUE),exact(Metadata!F52,"UBERON:oral cavity"))</f>
        <v>0</v>
      </c>
      <c r="AA52">
        <f>AND(IF(Metadata!G52="",FALSE,TRUE),exact(Metadata!G52,"UBERON:saliva"))</f>
        <v>0</v>
      </c>
      <c r="AB52">
        <f>AND(IF(Metadata!H52="",FALSE,TRUE),exact(Metadata!H52,"UBERON:tongue"))</f>
        <v>0</v>
      </c>
      <c r="AC52">
        <f>AND(IF(Metadata!I52="",FALSE,TRUE),exact(Metadata!I52,"tongue"))</f>
        <v>0</v>
      </c>
      <c r="AD52">
        <f>AND(IF(Metadata!J52="",FALSE,TRUE),exact(Metadata!J52,"human oral metagenome"))</f>
        <v>0</v>
      </c>
      <c r="AE52">
        <f>AND(IF(Metadata!K52="",FALSE,TRUE),exact(Metadata!K52,"447426"))</f>
        <v>0</v>
      </c>
    </row>
    <row r="53" spans="1:31">
      <c r="A53" s="4">
        <f>IF(B53=" "," ",HYPERLINK(CONCATENATE("#metadata!",ADDRESS(INDEX($Q$2:$Q$1001,MATCH(ROWS($O$2:O53),$O$2:$O$1001,0),0),1)),INDEX($T$2:$T$1001,MATCH(ROWS($O$2:O53),$O$2:$O$1001,0),0)))</f>
        <v>0</v>
      </c>
      <c r="B53" s="3">
        <f>IF(OR(INDEX($P$2:$P$1001,MATCH(ROWS($O$2:O53),$O$2:$O$1001,0),1)&gt;=100000,INDEX($V$1005:$AE$1005,1,MATCH(COLUMNS($V$1006:V1006),$V$1006:$AE$1006,0))&gt;=100000), " ",IF(INDEX($V$2:$AE$1001,MATCH(ROWS($O$2:O53),$O$2:$O$1001,0),MATCH(COLUMNS($V$1006:V1006),$V$1006:$AE$1006,0)), HYPERLINK("#",""), HYPERLINK(CONCATENATE("#Metadata!", ADDRESS(INDEX($Q$2:$Q$1001,MATCH(ROWS($O$2:O53),$O$2:$O$1001,0),0), INDEX($V$1004:$AE$1004,1,MATCH(COLUMNS($V$1006:V1006),$V$1006:$AE$1006,0)))),"Fix")))</f>
        <v>0</v>
      </c>
      <c r="C53" s="3">
        <f>IF(OR(INDEX($P$2:$P$1001,MATCH(ROWS($O$2:O53),$O$2:$O$1001,0),1)&gt;=100000,INDEX($V$1005:$AE$1005,1,MATCH(COLUMNS($V$1006:W1006),$V$1006:$AE$1006,0))&gt;=100000), " ",IF(INDEX($V$2:$AE$1001,MATCH(ROWS($O$2:O53),$O$2:$O$1001,0),MATCH(COLUMNS($V$1006:W1006),$V$1006:$AE$1006,0)), HYPERLINK("#",""), HYPERLINK(CONCATENATE("#Metadata!", ADDRESS(INDEX($Q$2:$Q$1001,MATCH(ROWS($O$2:O53),$O$2:$O$1001,0),0), INDEX($V$1004:$AE$1004,1,MATCH(COLUMNS($V$1006:W1006),$V$1006:$AE$1006,0)))),"Fix")))</f>
        <v>0</v>
      </c>
      <c r="D53" s="3">
        <f>IF(OR(INDEX($P$2:$P$1001,MATCH(ROWS($O$2:O53),$O$2:$O$1001,0),1)&gt;=100000,INDEX($V$1005:$AE$1005,1,MATCH(COLUMNS($V$1006:X1006),$V$1006:$AE$1006,0))&gt;=100000), " ",IF(INDEX($V$2:$AE$1001,MATCH(ROWS($O$2:O53),$O$2:$O$1001,0),MATCH(COLUMNS($V$1006:X1006),$V$1006:$AE$1006,0)), HYPERLINK("#",""), HYPERLINK(CONCATENATE("#Metadata!", ADDRESS(INDEX($Q$2:$Q$1001,MATCH(ROWS($O$2:O53),$O$2:$O$1001,0),0), INDEX($V$1004:$AE$1004,1,MATCH(COLUMNS($V$1006:X1006),$V$1006:$AE$1006,0)))),"Fix")))</f>
        <v>0</v>
      </c>
      <c r="E53" s="3">
        <f>IF(OR(INDEX($P$2:$P$1001,MATCH(ROWS($O$2:O53),$O$2:$O$1001,0),1)&gt;=100000,INDEX($V$1005:$AE$1005,1,MATCH(COLUMNS($V$1006:Y1006),$V$1006:$AE$1006,0))&gt;=100000), " ",IF(INDEX($V$2:$AE$1001,MATCH(ROWS($O$2:O53),$O$2:$O$1001,0),MATCH(COLUMNS($V$1006:Y1006),$V$1006:$AE$1006,0)), HYPERLINK("#",""), HYPERLINK(CONCATENATE("#Metadata!", ADDRESS(INDEX($Q$2:$Q$1001,MATCH(ROWS($O$2:O53),$O$2:$O$1001,0),0), INDEX($V$1004:$AE$1004,1,MATCH(COLUMNS($V$1006:Y1006),$V$1006:$AE$1006,0)))),"Fix")))</f>
        <v>0</v>
      </c>
      <c r="F53" s="3">
        <f>IF(OR(INDEX($P$2:$P$1001,MATCH(ROWS($O$2:O53),$O$2:$O$1001,0),1)&gt;=100000,INDEX($V$1005:$AE$1005,1,MATCH(COLUMNS($V$1006:Z1006),$V$1006:$AE$1006,0))&gt;=100000), " ",IF(INDEX($V$2:$AE$1001,MATCH(ROWS($O$2:O53),$O$2:$O$1001,0),MATCH(COLUMNS($V$1006:Z1006),$V$1006:$AE$1006,0)), HYPERLINK("#",""), HYPERLINK(CONCATENATE("#Metadata!", ADDRESS(INDEX($Q$2:$Q$1001,MATCH(ROWS($O$2:O53),$O$2:$O$1001,0),0), INDEX($V$1004:$AE$1004,1,MATCH(COLUMNS($V$1006:Z1006),$V$1006:$AE$1006,0)))),"Fix")))</f>
        <v>0</v>
      </c>
      <c r="G53" s="3">
        <f>IF(OR(INDEX($P$2:$P$1001,MATCH(ROWS($O$2:O53),$O$2:$O$1001,0),1)&gt;=100000,INDEX($V$1005:$AE$1005,1,MATCH(COLUMNS($V$1006:AA1006),$V$1006:$AE$1006,0))&gt;=100000), " ",IF(INDEX($V$2:$AE$1001,MATCH(ROWS($O$2:O53),$O$2:$O$1001,0),MATCH(COLUMNS($V$1006:AA1006),$V$1006:$AE$1006,0)), HYPERLINK("#",""), HYPERLINK(CONCATENATE("#Metadata!", ADDRESS(INDEX($Q$2:$Q$1001,MATCH(ROWS($O$2:O53),$O$2:$O$1001,0),0), INDEX($V$1004:$AE$1004,1,MATCH(COLUMNS($V$1006:AA1006),$V$1006:$AE$1006,0)))),"Fix")))</f>
        <v>0</v>
      </c>
      <c r="H53" s="3">
        <f>IF(OR(INDEX($P$2:$P$1001,MATCH(ROWS($O$2:O53),$O$2:$O$1001,0),1)&gt;=100000,INDEX($V$1005:$AE$1005,1,MATCH(COLUMNS($V$1006:AB1006),$V$1006:$AE$1006,0))&gt;=100000), " ",IF(INDEX($V$2:$AE$1001,MATCH(ROWS($O$2:O53),$O$2:$O$1001,0),MATCH(COLUMNS($V$1006:AB1006),$V$1006:$AE$1006,0)), HYPERLINK("#",""), HYPERLINK(CONCATENATE("#Metadata!", ADDRESS(INDEX($Q$2:$Q$1001,MATCH(ROWS($O$2:O53),$O$2:$O$1001,0),0), INDEX($V$1004:$AE$1004,1,MATCH(COLUMNS($V$1006:AB1006),$V$1006:$AE$1006,0)))),"Fix")))</f>
        <v>0</v>
      </c>
      <c r="I53" s="3">
        <f>IF(OR(INDEX($P$2:$P$1001,MATCH(ROWS($O$2:O53),$O$2:$O$1001,0),1)&gt;=100000,INDEX($V$1005:$AE$1005,1,MATCH(COLUMNS($V$1006:AC1006),$V$1006:$AE$1006,0))&gt;=100000), " ",IF(INDEX($V$2:$AE$1001,MATCH(ROWS($O$2:O53),$O$2:$O$1001,0),MATCH(COLUMNS($V$1006:AC1006),$V$1006:$AE$1006,0)), HYPERLINK("#",""), HYPERLINK(CONCATENATE("#Metadata!", ADDRESS(INDEX($Q$2:$Q$1001,MATCH(ROWS($O$2:O53),$O$2:$O$1001,0),0), INDEX($V$1004:$AE$1004,1,MATCH(COLUMNS($V$1006:AC1006),$V$1006:$AE$1006,0)))),"Fix")))</f>
        <v>0</v>
      </c>
      <c r="J53" s="3">
        <f>IF(OR(INDEX($P$2:$P$1001,MATCH(ROWS($O$2:O53),$O$2:$O$1001,0),1)&gt;=100000,INDEX($V$1005:$AE$1005,1,MATCH(COLUMNS($V$1006:AD1006),$V$1006:$AE$1006,0))&gt;=100000), " ",IF(INDEX($V$2:$AE$1001,MATCH(ROWS($O$2:O53),$O$2:$O$1001,0),MATCH(COLUMNS($V$1006:AD1006),$V$1006:$AE$1006,0)), HYPERLINK("#",""), HYPERLINK(CONCATENATE("#Metadata!", ADDRESS(INDEX($Q$2:$Q$1001,MATCH(ROWS($O$2:O53),$O$2:$O$1001,0),0), INDEX($V$1004:$AE$1004,1,MATCH(COLUMNS($V$1006:AD1006),$V$1006:$AE$1006,0)))),"Fix")))</f>
        <v>0</v>
      </c>
      <c r="K53" s="3">
        <f>IF(OR(INDEX($P$2:$P$1001,MATCH(ROWS($O$2:O53),$O$2:$O$1001,0),1)&gt;=100000,INDEX($V$1005:$AE$1005,1,MATCH(COLUMNS($V$1006:AE1006),$V$1006:$AE$1006,0))&gt;=100000), " ",IF(INDEX($V$2:$AE$1001,MATCH(ROWS($O$2:O53),$O$2:$O$1001,0),MATCH(COLUMNS($V$1006:AE1006),$V$1006:$AE$1006,0)), HYPERLINK("#",""), HYPERLINK(CONCATENATE("#Metadata!", ADDRESS(INDEX($Q$2:$Q$1001,MATCH(ROWS($O$2:O53),$O$2:$O$1001,0),0), INDEX($V$1004:$AE$1004,1,MATCH(COLUMNS($V$1006:AE1006),$V$1006:$AE$1006,0)))),"Fix")))</f>
        <v>0</v>
      </c>
      <c r="O53">
        <v>0</v>
      </c>
      <c r="P53">
        <v>0</v>
      </c>
      <c r="Q53">
        <v>0</v>
      </c>
      <c r="R53">
        <f>IF(S53,TRUE,AND(V53:AE53))</f>
        <v>0</v>
      </c>
      <c r="S53">
        <f>COUNTBLANK(Metadata!B53:K53)=COLUMNS(Metadata!B53:K53)</f>
        <v>0</v>
      </c>
      <c r="T53">
        <v>0</v>
      </c>
      <c r="V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W53">
        <f>AND(IF(Metadata!C53="",FALSE,TRUE),exact(Metadata!C53,"animal secretion"))</f>
        <v>0</v>
      </c>
      <c r="X53">
        <f>AND(IF(Metadata!D53="",FALSE,TRUE),exact(Metadata!D53,"saliva"))</f>
        <v>0</v>
      </c>
      <c r="Y53">
        <f>AND(IF(Metadata!E53="",FALSE,TRUE),exact(Metadata!E53,"human-oral"))</f>
        <v>0</v>
      </c>
      <c r="Z53">
        <f>AND(IF(Metadata!F53="",FALSE,TRUE),exact(Metadata!F53,"UBERON:oral cavity"))</f>
        <v>0</v>
      </c>
      <c r="AA53">
        <f>AND(IF(Metadata!G53="",FALSE,TRUE),exact(Metadata!G53,"UBERON:saliva"))</f>
        <v>0</v>
      </c>
      <c r="AB53">
        <f>AND(IF(Metadata!H53="",FALSE,TRUE),exact(Metadata!H53,"UBERON:tongue"))</f>
        <v>0</v>
      </c>
      <c r="AC53">
        <f>AND(IF(Metadata!I53="",FALSE,TRUE),exact(Metadata!I53,"tongue"))</f>
        <v>0</v>
      </c>
      <c r="AD53">
        <f>AND(IF(Metadata!J53="",FALSE,TRUE),exact(Metadata!J53,"human oral metagenome"))</f>
        <v>0</v>
      </c>
      <c r="AE53">
        <f>AND(IF(Metadata!K53="",FALSE,TRUE),exact(Metadata!K53,"447426"))</f>
        <v>0</v>
      </c>
    </row>
    <row r="54" spans="1:31">
      <c r="A54" s="4">
        <f>IF(B54=" "," ",HYPERLINK(CONCATENATE("#metadata!",ADDRESS(INDEX($Q$2:$Q$1001,MATCH(ROWS($O$2:O54),$O$2:$O$1001,0),0),1)),INDEX($T$2:$T$1001,MATCH(ROWS($O$2:O54),$O$2:$O$1001,0),0)))</f>
        <v>0</v>
      </c>
      <c r="B54" s="3">
        <f>IF(OR(INDEX($P$2:$P$1001,MATCH(ROWS($O$2:O54),$O$2:$O$1001,0),1)&gt;=100000,INDEX($V$1005:$AE$1005,1,MATCH(COLUMNS($V$1006:V1006),$V$1006:$AE$1006,0))&gt;=100000), " ",IF(INDEX($V$2:$AE$1001,MATCH(ROWS($O$2:O54),$O$2:$O$1001,0),MATCH(COLUMNS($V$1006:V1006),$V$1006:$AE$1006,0)), HYPERLINK("#",""), HYPERLINK(CONCATENATE("#Metadata!", ADDRESS(INDEX($Q$2:$Q$1001,MATCH(ROWS($O$2:O54),$O$2:$O$1001,0),0), INDEX($V$1004:$AE$1004,1,MATCH(COLUMNS($V$1006:V1006),$V$1006:$AE$1006,0)))),"Fix")))</f>
        <v>0</v>
      </c>
      <c r="C54" s="3">
        <f>IF(OR(INDEX($P$2:$P$1001,MATCH(ROWS($O$2:O54),$O$2:$O$1001,0),1)&gt;=100000,INDEX($V$1005:$AE$1005,1,MATCH(COLUMNS($V$1006:W1006),$V$1006:$AE$1006,0))&gt;=100000), " ",IF(INDEX($V$2:$AE$1001,MATCH(ROWS($O$2:O54),$O$2:$O$1001,0),MATCH(COLUMNS($V$1006:W1006),$V$1006:$AE$1006,0)), HYPERLINK("#",""), HYPERLINK(CONCATENATE("#Metadata!", ADDRESS(INDEX($Q$2:$Q$1001,MATCH(ROWS($O$2:O54),$O$2:$O$1001,0),0), INDEX($V$1004:$AE$1004,1,MATCH(COLUMNS($V$1006:W1006),$V$1006:$AE$1006,0)))),"Fix")))</f>
        <v>0</v>
      </c>
      <c r="D54" s="3">
        <f>IF(OR(INDEX($P$2:$P$1001,MATCH(ROWS($O$2:O54),$O$2:$O$1001,0),1)&gt;=100000,INDEX($V$1005:$AE$1005,1,MATCH(COLUMNS($V$1006:X1006),$V$1006:$AE$1006,0))&gt;=100000), " ",IF(INDEX($V$2:$AE$1001,MATCH(ROWS($O$2:O54),$O$2:$O$1001,0),MATCH(COLUMNS($V$1006:X1006),$V$1006:$AE$1006,0)), HYPERLINK("#",""), HYPERLINK(CONCATENATE("#Metadata!", ADDRESS(INDEX($Q$2:$Q$1001,MATCH(ROWS($O$2:O54),$O$2:$O$1001,0),0), INDEX($V$1004:$AE$1004,1,MATCH(COLUMNS($V$1006:X1006),$V$1006:$AE$1006,0)))),"Fix")))</f>
        <v>0</v>
      </c>
      <c r="E54" s="3">
        <f>IF(OR(INDEX($P$2:$P$1001,MATCH(ROWS($O$2:O54),$O$2:$O$1001,0),1)&gt;=100000,INDEX($V$1005:$AE$1005,1,MATCH(COLUMNS($V$1006:Y1006),$V$1006:$AE$1006,0))&gt;=100000), " ",IF(INDEX($V$2:$AE$1001,MATCH(ROWS($O$2:O54),$O$2:$O$1001,0),MATCH(COLUMNS($V$1006:Y1006),$V$1006:$AE$1006,0)), HYPERLINK("#",""), HYPERLINK(CONCATENATE("#Metadata!", ADDRESS(INDEX($Q$2:$Q$1001,MATCH(ROWS($O$2:O54),$O$2:$O$1001,0),0), INDEX($V$1004:$AE$1004,1,MATCH(COLUMNS($V$1006:Y1006),$V$1006:$AE$1006,0)))),"Fix")))</f>
        <v>0</v>
      </c>
      <c r="F54" s="3">
        <f>IF(OR(INDEX($P$2:$P$1001,MATCH(ROWS($O$2:O54),$O$2:$O$1001,0),1)&gt;=100000,INDEX($V$1005:$AE$1005,1,MATCH(COLUMNS($V$1006:Z1006),$V$1006:$AE$1006,0))&gt;=100000), " ",IF(INDEX($V$2:$AE$1001,MATCH(ROWS($O$2:O54),$O$2:$O$1001,0),MATCH(COLUMNS($V$1006:Z1006),$V$1006:$AE$1006,0)), HYPERLINK("#",""), HYPERLINK(CONCATENATE("#Metadata!", ADDRESS(INDEX($Q$2:$Q$1001,MATCH(ROWS($O$2:O54),$O$2:$O$1001,0),0), INDEX($V$1004:$AE$1004,1,MATCH(COLUMNS($V$1006:Z1006),$V$1006:$AE$1006,0)))),"Fix")))</f>
        <v>0</v>
      </c>
      <c r="G54" s="3">
        <f>IF(OR(INDEX($P$2:$P$1001,MATCH(ROWS($O$2:O54),$O$2:$O$1001,0),1)&gt;=100000,INDEX($V$1005:$AE$1005,1,MATCH(COLUMNS($V$1006:AA1006),$V$1006:$AE$1006,0))&gt;=100000), " ",IF(INDEX($V$2:$AE$1001,MATCH(ROWS($O$2:O54),$O$2:$O$1001,0),MATCH(COLUMNS($V$1006:AA1006),$V$1006:$AE$1006,0)), HYPERLINK("#",""), HYPERLINK(CONCATENATE("#Metadata!", ADDRESS(INDEX($Q$2:$Q$1001,MATCH(ROWS($O$2:O54),$O$2:$O$1001,0),0), INDEX($V$1004:$AE$1004,1,MATCH(COLUMNS($V$1006:AA1006),$V$1006:$AE$1006,0)))),"Fix")))</f>
        <v>0</v>
      </c>
      <c r="H54" s="3">
        <f>IF(OR(INDEX($P$2:$P$1001,MATCH(ROWS($O$2:O54),$O$2:$O$1001,0),1)&gt;=100000,INDEX($V$1005:$AE$1005,1,MATCH(COLUMNS($V$1006:AB1006),$V$1006:$AE$1006,0))&gt;=100000), " ",IF(INDEX($V$2:$AE$1001,MATCH(ROWS($O$2:O54),$O$2:$O$1001,0),MATCH(COLUMNS($V$1006:AB1006),$V$1006:$AE$1006,0)), HYPERLINK("#",""), HYPERLINK(CONCATENATE("#Metadata!", ADDRESS(INDEX($Q$2:$Q$1001,MATCH(ROWS($O$2:O54),$O$2:$O$1001,0),0), INDEX($V$1004:$AE$1004,1,MATCH(COLUMNS($V$1006:AB1006),$V$1006:$AE$1006,0)))),"Fix")))</f>
        <v>0</v>
      </c>
      <c r="I54" s="3">
        <f>IF(OR(INDEX($P$2:$P$1001,MATCH(ROWS($O$2:O54),$O$2:$O$1001,0),1)&gt;=100000,INDEX($V$1005:$AE$1005,1,MATCH(COLUMNS($V$1006:AC1006),$V$1006:$AE$1006,0))&gt;=100000), " ",IF(INDEX($V$2:$AE$1001,MATCH(ROWS($O$2:O54),$O$2:$O$1001,0),MATCH(COLUMNS($V$1006:AC1006),$V$1006:$AE$1006,0)), HYPERLINK("#",""), HYPERLINK(CONCATENATE("#Metadata!", ADDRESS(INDEX($Q$2:$Q$1001,MATCH(ROWS($O$2:O54),$O$2:$O$1001,0),0), INDEX($V$1004:$AE$1004,1,MATCH(COLUMNS($V$1006:AC1006),$V$1006:$AE$1006,0)))),"Fix")))</f>
        <v>0</v>
      </c>
      <c r="J54" s="3">
        <f>IF(OR(INDEX($P$2:$P$1001,MATCH(ROWS($O$2:O54),$O$2:$O$1001,0),1)&gt;=100000,INDEX($V$1005:$AE$1005,1,MATCH(COLUMNS($V$1006:AD1006),$V$1006:$AE$1006,0))&gt;=100000), " ",IF(INDEX($V$2:$AE$1001,MATCH(ROWS($O$2:O54),$O$2:$O$1001,0),MATCH(COLUMNS($V$1006:AD1006),$V$1006:$AE$1006,0)), HYPERLINK("#",""), HYPERLINK(CONCATENATE("#Metadata!", ADDRESS(INDEX($Q$2:$Q$1001,MATCH(ROWS($O$2:O54),$O$2:$O$1001,0),0), INDEX($V$1004:$AE$1004,1,MATCH(COLUMNS($V$1006:AD1006),$V$1006:$AE$1006,0)))),"Fix")))</f>
        <v>0</v>
      </c>
      <c r="K54" s="3">
        <f>IF(OR(INDEX($P$2:$P$1001,MATCH(ROWS($O$2:O54),$O$2:$O$1001,0),1)&gt;=100000,INDEX($V$1005:$AE$1005,1,MATCH(COLUMNS($V$1006:AE1006),$V$1006:$AE$1006,0))&gt;=100000), " ",IF(INDEX($V$2:$AE$1001,MATCH(ROWS($O$2:O54),$O$2:$O$1001,0),MATCH(COLUMNS($V$1006:AE1006),$V$1006:$AE$1006,0)), HYPERLINK("#",""), HYPERLINK(CONCATENATE("#Metadata!", ADDRESS(INDEX($Q$2:$Q$1001,MATCH(ROWS($O$2:O54),$O$2:$O$1001,0),0), INDEX($V$1004:$AE$1004,1,MATCH(COLUMNS($V$1006:AE1006),$V$1006:$AE$1006,0)))),"Fix")))</f>
        <v>0</v>
      </c>
      <c r="O54">
        <v>0</v>
      </c>
      <c r="P54">
        <v>0</v>
      </c>
      <c r="Q54">
        <v>0</v>
      </c>
      <c r="R54">
        <f>IF(S54,TRUE,AND(V54:AE54))</f>
        <v>0</v>
      </c>
      <c r="S54">
        <f>COUNTBLANK(Metadata!B54:K54)=COLUMNS(Metadata!B54:K54)</f>
        <v>0</v>
      </c>
      <c r="T54">
        <v>0</v>
      </c>
      <c r="V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W54">
        <f>AND(IF(Metadata!C54="",FALSE,TRUE),exact(Metadata!C54,"animal secretion"))</f>
        <v>0</v>
      </c>
      <c r="X54">
        <f>AND(IF(Metadata!D54="",FALSE,TRUE),exact(Metadata!D54,"saliva"))</f>
        <v>0</v>
      </c>
      <c r="Y54">
        <f>AND(IF(Metadata!E54="",FALSE,TRUE),exact(Metadata!E54,"human-oral"))</f>
        <v>0</v>
      </c>
      <c r="Z54">
        <f>AND(IF(Metadata!F54="",FALSE,TRUE),exact(Metadata!F54,"UBERON:oral cavity"))</f>
        <v>0</v>
      </c>
      <c r="AA54">
        <f>AND(IF(Metadata!G54="",FALSE,TRUE),exact(Metadata!G54,"UBERON:saliva"))</f>
        <v>0</v>
      </c>
      <c r="AB54">
        <f>AND(IF(Metadata!H54="",FALSE,TRUE),exact(Metadata!H54,"UBERON:tongue"))</f>
        <v>0</v>
      </c>
      <c r="AC54">
        <f>AND(IF(Metadata!I54="",FALSE,TRUE),exact(Metadata!I54,"tongue"))</f>
        <v>0</v>
      </c>
      <c r="AD54">
        <f>AND(IF(Metadata!J54="",FALSE,TRUE),exact(Metadata!J54,"human oral metagenome"))</f>
        <v>0</v>
      </c>
      <c r="AE54">
        <f>AND(IF(Metadata!K54="",FALSE,TRUE),exact(Metadata!K54,"447426"))</f>
        <v>0</v>
      </c>
    </row>
    <row r="55" spans="1:31">
      <c r="A55" s="4">
        <f>IF(B55=" "," ",HYPERLINK(CONCATENATE("#metadata!",ADDRESS(INDEX($Q$2:$Q$1001,MATCH(ROWS($O$2:O55),$O$2:$O$1001,0),0),1)),INDEX($T$2:$T$1001,MATCH(ROWS($O$2:O55),$O$2:$O$1001,0),0)))</f>
        <v>0</v>
      </c>
      <c r="B55" s="3">
        <f>IF(OR(INDEX($P$2:$P$1001,MATCH(ROWS($O$2:O55),$O$2:$O$1001,0),1)&gt;=100000,INDEX($V$1005:$AE$1005,1,MATCH(COLUMNS($V$1006:V1006),$V$1006:$AE$1006,0))&gt;=100000), " ",IF(INDEX($V$2:$AE$1001,MATCH(ROWS($O$2:O55),$O$2:$O$1001,0),MATCH(COLUMNS($V$1006:V1006),$V$1006:$AE$1006,0)), HYPERLINK("#",""), HYPERLINK(CONCATENATE("#Metadata!", ADDRESS(INDEX($Q$2:$Q$1001,MATCH(ROWS($O$2:O55),$O$2:$O$1001,0),0), INDEX($V$1004:$AE$1004,1,MATCH(COLUMNS($V$1006:V1006),$V$1006:$AE$1006,0)))),"Fix")))</f>
        <v>0</v>
      </c>
      <c r="C55" s="3">
        <f>IF(OR(INDEX($P$2:$P$1001,MATCH(ROWS($O$2:O55),$O$2:$O$1001,0),1)&gt;=100000,INDEX($V$1005:$AE$1005,1,MATCH(COLUMNS($V$1006:W1006),$V$1006:$AE$1006,0))&gt;=100000), " ",IF(INDEX($V$2:$AE$1001,MATCH(ROWS($O$2:O55),$O$2:$O$1001,0),MATCH(COLUMNS($V$1006:W1006),$V$1006:$AE$1006,0)), HYPERLINK("#",""), HYPERLINK(CONCATENATE("#Metadata!", ADDRESS(INDEX($Q$2:$Q$1001,MATCH(ROWS($O$2:O55),$O$2:$O$1001,0),0), INDEX($V$1004:$AE$1004,1,MATCH(COLUMNS($V$1006:W1006),$V$1006:$AE$1006,0)))),"Fix")))</f>
        <v>0</v>
      </c>
      <c r="D55" s="3">
        <f>IF(OR(INDEX($P$2:$P$1001,MATCH(ROWS($O$2:O55),$O$2:$O$1001,0),1)&gt;=100000,INDEX($V$1005:$AE$1005,1,MATCH(COLUMNS($V$1006:X1006),$V$1006:$AE$1006,0))&gt;=100000), " ",IF(INDEX($V$2:$AE$1001,MATCH(ROWS($O$2:O55),$O$2:$O$1001,0),MATCH(COLUMNS($V$1006:X1006),$V$1006:$AE$1006,0)), HYPERLINK("#",""), HYPERLINK(CONCATENATE("#Metadata!", ADDRESS(INDEX($Q$2:$Q$1001,MATCH(ROWS($O$2:O55),$O$2:$O$1001,0),0), INDEX($V$1004:$AE$1004,1,MATCH(COLUMNS($V$1006:X1006),$V$1006:$AE$1006,0)))),"Fix")))</f>
        <v>0</v>
      </c>
      <c r="E55" s="3">
        <f>IF(OR(INDEX($P$2:$P$1001,MATCH(ROWS($O$2:O55),$O$2:$O$1001,0),1)&gt;=100000,INDEX($V$1005:$AE$1005,1,MATCH(COLUMNS($V$1006:Y1006),$V$1006:$AE$1006,0))&gt;=100000), " ",IF(INDEX($V$2:$AE$1001,MATCH(ROWS($O$2:O55),$O$2:$O$1001,0),MATCH(COLUMNS($V$1006:Y1006),$V$1006:$AE$1006,0)), HYPERLINK("#",""), HYPERLINK(CONCATENATE("#Metadata!", ADDRESS(INDEX($Q$2:$Q$1001,MATCH(ROWS($O$2:O55),$O$2:$O$1001,0),0), INDEX($V$1004:$AE$1004,1,MATCH(COLUMNS($V$1006:Y1006),$V$1006:$AE$1006,0)))),"Fix")))</f>
        <v>0</v>
      </c>
      <c r="F55" s="3">
        <f>IF(OR(INDEX($P$2:$P$1001,MATCH(ROWS($O$2:O55),$O$2:$O$1001,0),1)&gt;=100000,INDEX($V$1005:$AE$1005,1,MATCH(COLUMNS($V$1006:Z1006),$V$1006:$AE$1006,0))&gt;=100000), " ",IF(INDEX($V$2:$AE$1001,MATCH(ROWS($O$2:O55),$O$2:$O$1001,0),MATCH(COLUMNS($V$1006:Z1006),$V$1006:$AE$1006,0)), HYPERLINK("#",""), HYPERLINK(CONCATENATE("#Metadata!", ADDRESS(INDEX($Q$2:$Q$1001,MATCH(ROWS($O$2:O55),$O$2:$O$1001,0),0), INDEX($V$1004:$AE$1004,1,MATCH(COLUMNS($V$1006:Z1006),$V$1006:$AE$1006,0)))),"Fix")))</f>
        <v>0</v>
      </c>
      <c r="G55" s="3">
        <f>IF(OR(INDEX($P$2:$P$1001,MATCH(ROWS($O$2:O55),$O$2:$O$1001,0),1)&gt;=100000,INDEX($V$1005:$AE$1005,1,MATCH(COLUMNS($V$1006:AA1006),$V$1006:$AE$1006,0))&gt;=100000), " ",IF(INDEX($V$2:$AE$1001,MATCH(ROWS($O$2:O55),$O$2:$O$1001,0),MATCH(COLUMNS($V$1006:AA1006),$V$1006:$AE$1006,0)), HYPERLINK("#",""), HYPERLINK(CONCATENATE("#Metadata!", ADDRESS(INDEX($Q$2:$Q$1001,MATCH(ROWS($O$2:O55),$O$2:$O$1001,0),0), INDEX($V$1004:$AE$1004,1,MATCH(COLUMNS($V$1006:AA1006),$V$1006:$AE$1006,0)))),"Fix")))</f>
        <v>0</v>
      </c>
      <c r="H55" s="3">
        <f>IF(OR(INDEX($P$2:$P$1001,MATCH(ROWS($O$2:O55),$O$2:$O$1001,0),1)&gt;=100000,INDEX($V$1005:$AE$1005,1,MATCH(COLUMNS($V$1006:AB1006),$V$1006:$AE$1006,0))&gt;=100000), " ",IF(INDEX($V$2:$AE$1001,MATCH(ROWS($O$2:O55),$O$2:$O$1001,0),MATCH(COLUMNS($V$1006:AB1006),$V$1006:$AE$1006,0)), HYPERLINK("#",""), HYPERLINK(CONCATENATE("#Metadata!", ADDRESS(INDEX($Q$2:$Q$1001,MATCH(ROWS($O$2:O55),$O$2:$O$1001,0),0), INDEX($V$1004:$AE$1004,1,MATCH(COLUMNS($V$1006:AB1006),$V$1006:$AE$1006,0)))),"Fix")))</f>
        <v>0</v>
      </c>
      <c r="I55" s="3">
        <f>IF(OR(INDEX($P$2:$P$1001,MATCH(ROWS($O$2:O55),$O$2:$O$1001,0),1)&gt;=100000,INDEX($V$1005:$AE$1005,1,MATCH(COLUMNS($V$1006:AC1006),$V$1006:$AE$1006,0))&gt;=100000), " ",IF(INDEX($V$2:$AE$1001,MATCH(ROWS($O$2:O55),$O$2:$O$1001,0),MATCH(COLUMNS($V$1006:AC1006),$V$1006:$AE$1006,0)), HYPERLINK("#",""), HYPERLINK(CONCATENATE("#Metadata!", ADDRESS(INDEX($Q$2:$Q$1001,MATCH(ROWS($O$2:O55),$O$2:$O$1001,0),0), INDEX($V$1004:$AE$1004,1,MATCH(COLUMNS($V$1006:AC1006),$V$1006:$AE$1006,0)))),"Fix")))</f>
        <v>0</v>
      </c>
      <c r="J55" s="3">
        <f>IF(OR(INDEX($P$2:$P$1001,MATCH(ROWS($O$2:O55),$O$2:$O$1001,0),1)&gt;=100000,INDEX($V$1005:$AE$1005,1,MATCH(COLUMNS($V$1006:AD1006),$V$1006:$AE$1006,0))&gt;=100000), " ",IF(INDEX($V$2:$AE$1001,MATCH(ROWS($O$2:O55),$O$2:$O$1001,0),MATCH(COLUMNS($V$1006:AD1006),$V$1006:$AE$1006,0)), HYPERLINK("#",""), HYPERLINK(CONCATENATE("#Metadata!", ADDRESS(INDEX($Q$2:$Q$1001,MATCH(ROWS($O$2:O55),$O$2:$O$1001,0),0), INDEX($V$1004:$AE$1004,1,MATCH(COLUMNS($V$1006:AD1006),$V$1006:$AE$1006,0)))),"Fix")))</f>
        <v>0</v>
      </c>
      <c r="K55" s="3">
        <f>IF(OR(INDEX($P$2:$P$1001,MATCH(ROWS($O$2:O55),$O$2:$O$1001,0),1)&gt;=100000,INDEX($V$1005:$AE$1005,1,MATCH(COLUMNS($V$1006:AE1006),$V$1006:$AE$1006,0))&gt;=100000), " ",IF(INDEX($V$2:$AE$1001,MATCH(ROWS($O$2:O55),$O$2:$O$1001,0),MATCH(COLUMNS($V$1006:AE1006),$V$1006:$AE$1006,0)), HYPERLINK("#",""), HYPERLINK(CONCATENATE("#Metadata!", ADDRESS(INDEX($Q$2:$Q$1001,MATCH(ROWS($O$2:O55),$O$2:$O$1001,0),0), INDEX($V$1004:$AE$1004,1,MATCH(COLUMNS($V$1006:AE1006),$V$1006:$AE$1006,0)))),"Fix")))</f>
        <v>0</v>
      </c>
      <c r="O55">
        <v>0</v>
      </c>
      <c r="P55">
        <v>0</v>
      </c>
      <c r="Q55">
        <v>0</v>
      </c>
      <c r="R55">
        <f>IF(S55,TRUE,AND(V55:AE55))</f>
        <v>0</v>
      </c>
      <c r="S55">
        <f>COUNTBLANK(Metadata!B55:K55)=COLUMNS(Metadata!B55:K55)</f>
        <v>0</v>
      </c>
      <c r="T55">
        <v>0</v>
      </c>
      <c r="V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W55">
        <f>AND(IF(Metadata!C55="",FALSE,TRUE),exact(Metadata!C55,"animal secretion"))</f>
        <v>0</v>
      </c>
      <c r="X55">
        <f>AND(IF(Metadata!D55="",FALSE,TRUE),exact(Metadata!D55,"saliva"))</f>
        <v>0</v>
      </c>
      <c r="Y55">
        <f>AND(IF(Metadata!E55="",FALSE,TRUE),exact(Metadata!E55,"human-oral"))</f>
        <v>0</v>
      </c>
      <c r="Z55">
        <f>AND(IF(Metadata!F55="",FALSE,TRUE),exact(Metadata!F55,"UBERON:oral cavity"))</f>
        <v>0</v>
      </c>
      <c r="AA55">
        <f>AND(IF(Metadata!G55="",FALSE,TRUE),exact(Metadata!G55,"UBERON:saliva"))</f>
        <v>0</v>
      </c>
      <c r="AB55">
        <f>AND(IF(Metadata!H55="",FALSE,TRUE),exact(Metadata!H55,"UBERON:tongue"))</f>
        <v>0</v>
      </c>
      <c r="AC55">
        <f>AND(IF(Metadata!I55="",FALSE,TRUE),exact(Metadata!I55,"tongue"))</f>
        <v>0</v>
      </c>
      <c r="AD55">
        <f>AND(IF(Metadata!J55="",FALSE,TRUE),exact(Metadata!J55,"human oral metagenome"))</f>
        <v>0</v>
      </c>
      <c r="AE55">
        <f>AND(IF(Metadata!K55="",FALSE,TRUE),exact(Metadata!K55,"447426"))</f>
        <v>0</v>
      </c>
    </row>
    <row r="56" spans="1:31">
      <c r="A56" s="4">
        <f>IF(B56=" "," ",HYPERLINK(CONCATENATE("#metadata!",ADDRESS(INDEX($Q$2:$Q$1001,MATCH(ROWS($O$2:O56),$O$2:$O$1001,0),0),1)),INDEX($T$2:$T$1001,MATCH(ROWS($O$2:O56),$O$2:$O$1001,0),0)))</f>
        <v>0</v>
      </c>
      <c r="B56" s="3">
        <f>IF(OR(INDEX($P$2:$P$1001,MATCH(ROWS($O$2:O56),$O$2:$O$1001,0),1)&gt;=100000,INDEX($V$1005:$AE$1005,1,MATCH(COLUMNS($V$1006:V1006),$V$1006:$AE$1006,0))&gt;=100000), " ",IF(INDEX($V$2:$AE$1001,MATCH(ROWS($O$2:O56),$O$2:$O$1001,0),MATCH(COLUMNS($V$1006:V1006),$V$1006:$AE$1006,0)), HYPERLINK("#",""), HYPERLINK(CONCATENATE("#Metadata!", ADDRESS(INDEX($Q$2:$Q$1001,MATCH(ROWS($O$2:O56),$O$2:$O$1001,0),0), INDEX($V$1004:$AE$1004,1,MATCH(COLUMNS($V$1006:V1006),$V$1006:$AE$1006,0)))),"Fix")))</f>
        <v>0</v>
      </c>
      <c r="C56" s="3">
        <f>IF(OR(INDEX($P$2:$P$1001,MATCH(ROWS($O$2:O56),$O$2:$O$1001,0),1)&gt;=100000,INDEX($V$1005:$AE$1005,1,MATCH(COLUMNS($V$1006:W1006),$V$1006:$AE$1006,0))&gt;=100000), " ",IF(INDEX($V$2:$AE$1001,MATCH(ROWS($O$2:O56),$O$2:$O$1001,0),MATCH(COLUMNS($V$1006:W1006),$V$1006:$AE$1006,0)), HYPERLINK("#",""), HYPERLINK(CONCATENATE("#Metadata!", ADDRESS(INDEX($Q$2:$Q$1001,MATCH(ROWS($O$2:O56),$O$2:$O$1001,0),0), INDEX($V$1004:$AE$1004,1,MATCH(COLUMNS($V$1006:W1006),$V$1006:$AE$1006,0)))),"Fix")))</f>
        <v>0</v>
      </c>
      <c r="D56" s="3">
        <f>IF(OR(INDEX($P$2:$P$1001,MATCH(ROWS($O$2:O56),$O$2:$O$1001,0),1)&gt;=100000,INDEX($V$1005:$AE$1005,1,MATCH(COLUMNS($V$1006:X1006),$V$1006:$AE$1006,0))&gt;=100000), " ",IF(INDEX($V$2:$AE$1001,MATCH(ROWS($O$2:O56),$O$2:$O$1001,0),MATCH(COLUMNS($V$1006:X1006),$V$1006:$AE$1006,0)), HYPERLINK("#",""), HYPERLINK(CONCATENATE("#Metadata!", ADDRESS(INDEX($Q$2:$Q$1001,MATCH(ROWS($O$2:O56),$O$2:$O$1001,0),0), INDEX($V$1004:$AE$1004,1,MATCH(COLUMNS($V$1006:X1006),$V$1006:$AE$1006,0)))),"Fix")))</f>
        <v>0</v>
      </c>
      <c r="E56" s="3">
        <f>IF(OR(INDEX($P$2:$P$1001,MATCH(ROWS($O$2:O56),$O$2:$O$1001,0),1)&gt;=100000,INDEX($V$1005:$AE$1005,1,MATCH(COLUMNS($V$1006:Y1006),$V$1006:$AE$1006,0))&gt;=100000), " ",IF(INDEX($V$2:$AE$1001,MATCH(ROWS($O$2:O56),$O$2:$O$1001,0),MATCH(COLUMNS($V$1006:Y1006),$V$1006:$AE$1006,0)), HYPERLINK("#",""), HYPERLINK(CONCATENATE("#Metadata!", ADDRESS(INDEX($Q$2:$Q$1001,MATCH(ROWS($O$2:O56),$O$2:$O$1001,0),0), INDEX($V$1004:$AE$1004,1,MATCH(COLUMNS($V$1006:Y1006),$V$1006:$AE$1006,0)))),"Fix")))</f>
        <v>0</v>
      </c>
      <c r="F56" s="3">
        <f>IF(OR(INDEX($P$2:$P$1001,MATCH(ROWS($O$2:O56),$O$2:$O$1001,0),1)&gt;=100000,INDEX($V$1005:$AE$1005,1,MATCH(COLUMNS($V$1006:Z1006),$V$1006:$AE$1006,0))&gt;=100000), " ",IF(INDEX($V$2:$AE$1001,MATCH(ROWS($O$2:O56),$O$2:$O$1001,0),MATCH(COLUMNS($V$1006:Z1006),$V$1006:$AE$1006,0)), HYPERLINK("#",""), HYPERLINK(CONCATENATE("#Metadata!", ADDRESS(INDEX($Q$2:$Q$1001,MATCH(ROWS($O$2:O56),$O$2:$O$1001,0),0), INDEX($V$1004:$AE$1004,1,MATCH(COLUMNS($V$1006:Z1006),$V$1006:$AE$1006,0)))),"Fix")))</f>
        <v>0</v>
      </c>
      <c r="G56" s="3">
        <f>IF(OR(INDEX($P$2:$P$1001,MATCH(ROWS($O$2:O56),$O$2:$O$1001,0),1)&gt;=100000,INDEX($V$1005:$AE$1005,1,MATCH(COLUMNS($V$1006:AA1006),$V$1006:$AE$1006,0))&gt;=100000), " ",IF(INDEX($V$2:$AE$1001,MATCH(ROWS($O$2:O56),$O$2:$O$1001,0),MATCH(COLUMNS($V$1006:AA1006),$V$1006:$AE$1006,0)), HYPERLINK("#",""), HYPERLINK(CONCATENATE("#Metadata!", ADDRESS(INDEX($Q$2:$Q$1001,MATCH(ROWS($O$2:O56),$O$2:$O$1001,0),0), INDEX($V$1004:$AE$1004,1,MATCH(COLUMNS($V$1006:AA1006),$V$1006:$AE$1006,0)))),"Fix")))</f>
        <v>0</v>
      </c>
      <c r="H56" s="3">
        <f>IF(OR(INDEX($P$2:$P$1001,MATCH(ROWS($O$2:O56),$O$2:$O$1001,0),1)&gt;=100000,INDEX($V$1005:$AE$1005,1,MATCH(COLUMNS($V$1006:AB1006),$V$1006:$AE$1006,0))&gt;=100000), " ",IF(INDEX($V$2:$AE$1001,MATCH(ROWS($O$2:O56),$O$2:$O$1001,0),MATCH(COLUMNS($V$1006:AB1006),$V$1006:$AE$1006,0)), HYPERLINK("#",""), HYPERLINK(CONCATENATE("#Metadata!", ADDRESS(INDEX($Q$2:$Q$1001,MATCH(ROWS($O$2:O56),$O$2:$O$1001,0),0), INDEX($V$1004:$AE$1004,1,MATCH(COLUMNS($V$1006:AB1006),$V$1006:$AE$1006,0)))),"Fix")))</f>
        <v>0</v>
      </c>
      <c r="I56" s="3">
        <f>IF(OR(INDEX($P$2:$P$1001,MATCH(ROWS($O$2:O56),$O$2:$O$1001,0),1)&gt;=100000,INDEX($V$1005:$AE$1005,1,MATCH(COLUMNS($V$1006:AC1006),$V$1006:$AE$1006,0))&gt;=100000), " ",IF(INDEX($V$2:$AE$1001,MATCH(ROWS($O$2:O56),$O$2:$O$1001,0),MATCH(COLUMNS($V$1006:AC1006),$V$1006:$AE$1006,0)), HYPERLINK("#",""), HYPERLINK(CONCATENATE("#Metadata!", ADDRESS(INDEX($Q$2:$Q$1001,MATCH(ROWS($O$2:O56),$O$2:$O$1001,0),0), INDEX($V$1004:$AE$1004,1,MATCH(COLUMNS($V$1006:AC1006),$V$1006:$AE$1006,0)))),"Fix")))</f>
        <v>0</v>
      </c>
      <c r="J56" s="3">
        <f>IF(OR(INDEX($P$2:$P$1001,MATCH(ROWS($O$2:O56),$O$2:$O$1001,0),1)&gt;=100000,INDEX($V$1005:$AE$1005,1,MATCH(COLUMNS($V$1006:AD1006),$V$1006:$AE$1006,0))&gt;=100000), " ",IF(INDEX($V$2:$AE$1001,MATCH(ROWS($O$2:O56),$O$2:$O$1001,0),MATCH(COLUMNS($V$1006:AD1006),$V$1006:$AE$1006,0)), HYPERLINK("#",""), HYPERLINK(CONCATENATE("#Metadata!", ADDRESS(INDEX($Q$2:$Q$1001,MATCH(ROWS($O$2:O56),$O$2:$O$1001,0),0), INDEX($V$1004:$AE$1004,1,MATCH(COLUMNS($V$1006:AD1006),$V$1006:$AE$1006,0)))),"Fix")))</f>
        <v>0</v>
      </c>
      <c r="K56" s="3">
        <f>IF(OR(INDEX($P$2:$P$1001,MATCH(ROWS($O$2:O56),$O$2:$O$1001,0),1)&gt;=100000,INDEX($V$1005:$AE$1005,1,MATCH(COLUMNS($V$1006:AE1006),$V$1006:$AE$1006,0))&gt;=100000), " ",IF(INDEX($V$2:$AE$1001,MATCH(ROWS($O$2:O56),$O$2:$O$1001,0),MATCH(COLUMNS($V$1006:AE1006),$V$1006:$AE$1006,0)), HYPERLINK("#",""), HYPERLINK(CONCATENATE("#Metadata!", ADDRESS(INDEX($Q$2:$Q$1001,MATCH(ROWS($O$2:O56),$O$2:$O$1001,0),0), INDEX($V$1004:$AE$1004,1,MATCH(COLUMNS($V$1006:AE1006),$V$1006:$AE$1006,0)))),"Fix")))</f>
        <v>0</v>
      </c>
      <c r="O56">
        <v>0</v>
      </c>
      <c r="P56">
        <v>0</v>
      </c>
      <c r="Q56">
        <v>0</v>
      </c>
      <c r="R56">
        <f>IF(S56,TRUE,AND(V56:AE56))</f>
        <v>0</v>
      </c>
      <c r="S56">
        <f>COUNTBLANK(Metadata!B56:K56)=COLUMNS(Metadata!B56:K56)</f>
        <v>0</v>
      </c>
      <c r="T56">
        <v>0</v>
      </c>
      <c r="V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W56">
        <f>AND(IF(Metadata!C56="",FALSE,TRUE),exact(Metadata!C56,"animal secretion"))</f>
        <v>0</v>
      </c>
      <c r="X56">
        <f>AND(IF(Metadata!D56="",FALSE,TRUE),exact(Metadata!D56,"saliva"))</f>
        <v>0</v>
      </c>
      <c r="Y56">
        <f>AND(IF(Metadata!E56="",FALSE,TRUE),exact(Metadata!E56,"human-oral"))</f>
        <v>0</v>
      </c>
      <c r="Z56">
        <f>AND(IF(Metadata!F56="",FALSE,TRUE),exact(Metadata!F56,"UBERON:oral cavity"))</f>
        <v>0</v>
      </c>
      <c r="AA56">
        <f>AND(IF(Metadata!G56="",FALSE,TRUE),exact(Metadata!G56,"UBERON:saliva"))</f>
        <v>0</v>
      </c>
      <c r="AB56">
        <f>AND(IF(Metadata!H56="",FALSE,TRUE),exact(Metadata!H56,"UBERON:tongue"))</f>
        <v>0</v>
      </c>
      <c r="AC56">
        <f>AND(IF(Metadata!I56="",FALSE,TRUE),exact(Metadata!I56,"tongue"))</f>
        <v>0</v>
      </c>
      <c r="AD56">
        <f>AND(IF(Metadata!J56="",FALSE,TRUE),exact(Metadata!J56,"human oral metagenome"))</f>
        <v>0</v>
      </c>
      <c r="AE56">
        <f>AND(IF(Metadata!K56="",FALSE,TRUE),exact(Metadata!K56,"447426"))</f>
        <v>0</v>
      </c>
    </row>
    <row r="57" spans="1:31">
      <c r="A57" s="4">
        <f>IF(B57=" "," ",HYPERLINK(CONCATENATE("#metadata!",ADDRESS(INDEX($Q$2:$Q$1001,MATCH(ROWS($O$2:O57),$O$2:$O$1001,0),0),1)),INDEX($T$2:$T$1001,MATCH(ROWS($O$2:O57),$O$2:$O$1001,0),0)))</f>
        <v>0</v>
      </c>
      <c r="B57" s="3">
        <f>IF(OR(INDEX($P$2:$P$1001,MATCH(ROWS($O$2:O57),$O$2:$O$1001,0),1)&gt;=100000,INDEX($V$1005:$AE$1005,1,MATCH(COLUMNS($V$1006:V1006),$V$1006:$AE$1006,0))&gt;=100000), " ",IF(INDEX($V$2:$AE$1001,MATCH(ROWS($O$2:O57),$O$2:$O$1001,0),MATCH(COLUMNS($V$1006:V1006),$V$1006:$AE$1006,0)), HYPERLINK("#",""), HYPERLINK(CONCATENATE("#Metadata!", ADDRESS(INDEX($Q$2:$Q$1001,MATCH(ROWS($O$2:O57),$O$2:$O$1001,0),0), INDEX($V$1004:$AE$1004,1,MATCH(COLUMNS($V$1006:V1006),$V$1006:$AE$1006,0)))),"Fix")))</f>
        <v>0</v>
      </c>
      <c r="C57" s="3">
        <f>IF(OR(INDEX($P$2:$P$1001,MATCH(ROWS($O$2:O57),$O$2:$O$1001,0),1)&gt;=100000,INDEX($V$1005:$AE$1005,1,MATCH(COLUMNS($V$1006:W1006),$V$1006:$AE$1006,0))&gt;=100000), " ",IF(INDEX($V$2:$AE$1001,MATCH(ROWS($O$2:O57),$O$2:$O$1001,0),MATCH(COLUMNS($V$1006:W1006),$V$1006:$AE$1006,0)), HYPERLINK("#",""), HYPERLINK(CONCATENATE("#Metadata!", ADDRESS(INDEX($Q$2:$Q$1001,MATCH(ROWS($O$2:O57),$O$2:$O$1001,0),0), INDEX($V$1004:$AE$1004,1,MATCH(COLUMNS($V$1006:W1006),$V$1006:$AE$1006,0)))),"Fix")))</f>
        <v>0</v>
      </c>
      <c r="D57" s="3">
        <f>IF(OR(INDEX($P$2:$P$1001,MATCH(ROWS($O$2:O57),$O$2:$O$1001,0),1)&gt;=100000,INDEX($V$1005:$AE$1005,1,MATCH(COLUMNS($V$1006:X1006),$V$1006:$AE$1006,0))&gt;=100000), " ",IF(INDEX($V$2:$AE$1001,MATCH(ROWS($O$2:O57),$O$2:$O$1001,0),MATCH(COLUMNS($V$1006:X1006),$V$1006:$AE$1006,0)), HYPERLINK("#",""), HYPERLINK(CONCATENATE("#Metadata!", ADDRESS(INDEX($Q$2:$Q$1001,MATCH(ROWS($O$2:O57),$O$2:$O$1001,0),0), INDEX($V$1004:$AE$1004,1,MATCH(COLUMNS($V$1006:X1006),$V$1006:$AE$1006,0)))),"Fix")))</f>
        <v>0</v>
      </c>
      <c r="E57" s="3">
        <f>IF(OR(INDEX($P$2:$P$1001,MATCH(ROWS($O$2:O57),$O$2:$O$1001,0),1)&gt;=100000,INDEX($V$1005:$AE$1005,1,MATCH(COLUMNS($V$1006:Y1006),$V$1006:$AE$1006,0))&gt;=100000), " ",IF(INDEX($V$2:$AE$1001,MATCH(ROWS($O$2:O57),$O$2:$O$1001,0),MATCH(COLUMNS($V$1006:Y1006),$V$1006:$AE$1006,0)), HYPERLINK("#",""), HYPERLINK(CONCATENATE("#Metadata!", ADDRESS(INDEX($Q$2:$Q$1001,MATCH(ROWS($O$2:O57),$O$2:$O$1001,0),0), INDEX($V$1004:$AE$1004,1,MATCH(COLUMNS($V$1006:Y1006),$V$1006:$AE$1006,0)))),"Fix")))</f>
        <v>0</v>
      </c>
      <c r="F57" s="3">
        <f>IF(OR(INDEX($P$2:$P$1001,MATCH(ROWS($O$2:O57),$O$2:$O$1001,0),1)&gt;=100000,INDEX($V$1005:$AE$1005,1,MATCH(COLUMNS($V$1006:Z1006),$V$1006:$AE$1006,0))&gt;=100000), " ",IF(INDEX($V$2:$AE$1001,MATCH(ROWS($O$2:O57),$O$2:$O$1001,0),MATCH(COLUMNS($V$1006:Z1006),$V$1006:$AE$1006,0)), HYPERLINK("#",""), HYPERLINK(CONCATENATE("#Metadata!", ADDRESS(INDEX($Q$2:$Q$1001,MATCH(ROWS($O$2:O57),$O$2:$O$1001,0),0), INDEX($V$1004:$AE$1004,1,MATCH(COLUMNS($V$1006:Z1006),$V$1006:$AE$1006,0)))),"Fix")))</f>
        <v>0</v>
      </c>
      <c r="G57" s="3">
        <f>IF(OR(INDEX($P$2:$P$1001,MATCH(ROWS($O$2:O57),$O$2:$O$1001,0),1)&gt;=100000,INDEX($V$1005:$AE$1005,1,MATCH(COLUMNS($V$1006:AA1006),$V$1006:$AE$1006,0))&gt;=100000), " ",IF(INDEX($V$2:$AE$1001,MATCH(ROWS($O$2:O57),$O$2:$O$1001,0),MATCH(COLUMNS($V$1006:AA1006),$V$1006:$AE$1006,0)), HYPERLINK("#",""), HYPERLINK(CONCATENATE("#Metadata!", ADDRESS(INDEX($Q$2:$Q$1001,MATCH(ROWS($O$2:O57),$O$2:$O$1001,0),0), INDEX($V$1004:$AE$1004,1,MATCH(COLUMNS($V$1006:AA1006),$V$1006:$AE$1006,0)))),"Fix")))</f>
        <v>0</v>
      </c>
      <c r="H57" s="3">
        <f>IF(OR(INDEX($P$2:$P$1001,MATCH(ROWS($O$2:O57),$O$2:$O$1001,0),1)&gt;=100000,INDEX($V$1005:$AE$1005,1,MATCH(COLUMNS($V$1006:AB1006),$V$1006:$AE$1006,0))&gt;=100000), " ",IF(INDEX($V$2:$AE$1001,MATCH(ROWS($O$2:O57),$O$2:$O$1001,0),MATCH(COLUMNS($V$1006:AB1006),$V$1006:$AE$1006,0)), HYPERLINK("#",""), HYPERLINK(CONCATENATE("#Metadata!", ADDRESS(INDEX($Q$2:$Q$1001,MATCH(ROWS($O$2:O57),$O$2:$O$1001,0),0), INDEX($V$1004:$AE$1004,1,MATCH(COLUMNS($V$1006:AB1006),$V$1006:$AE$1006,0)))),"Fix")))</f>
        <v>0</v>
      </c>
      <c r="I57" s="3">
        <f>IF(OR(INDEX($P$2:$P$1001,MATCH(ROWS($O$2:O57),$O$2:$O$1001,0),1)&gt;=100000,INDEX($V$1005:$AE$1005,1,MATCH(COLUMNS($V$1006:AC1006),$V$1006:$AE$1006,0))&gt;=100000), " ",IF(INDEX($V$2:$AE$1001,MATCH(ROWS($O$2:O57),$O$2:$O$1001,0),MATCH(COLUMNS($V$1006:AC1006),$V$1006:$AE$1006,0)), HYPERLINK("#",""), HYPERLINK(CONCATENATE("#Metadata!", ADDRESS(INDEX($Q$2:$Q$1001,MATCH(ROWS($O$2:O57),$O$2:$O$1001,0),0), INDEX($V$1004:$AE$1004,1,MATCH(COLUMNS($V$1006:AC1006),$V$1006:$AE$1006,0)))),"Fix")))</f>
        <v>0</v>
      </c>
      <c r="J57" s="3">
        <f>IF(OR(INDEX($P$2:$P$1001,MATCH(ROWS($O$2:O57),$O$2:$O$1001,0),1)&gt;=100000,INDEX($V$1005:$AE$1005,1,MATCH(COLUMNS($V$1006:AD1006),$V$1006:$AE$1006,0))&gt;=100000), " ",IF(INDEX($V$2:$AE$1001,MATCH(ROWS($O$2:O57),$O$2:$O$1001,0),MATCH(COLUMNS($V$1006:AD1006),$V$1006:$AE$1006,0)), HYPERLINK("#",""), HYPERLINK(CONCATENATE("#Metadata!", ADDRESS(INDEX($Q$2:$Q$1001,MATCH(ROWS($O$2:O57),$O$2:$O$1001,0),0), INDEX($V$1004:$AE$1004,1,MATCH(COLUMNS($V$1006:AD1006),$V$1006:$AE$1006,0)))),"Fix")))</f>
        <v>0</v>
      </c>
      <c r="K57" s="3">
        <f>IF(OR(INDEX($P$2:$P$1001,MATCH(ROWS($O$2:O57),$O$2:$O$1001,0),1)&gt;=100000,INDEX($V$1005:$AE$1005,1,MATCH(COLUMNS($V$1006:AE1006),$V$1006:$AE$1006,0))&gt;=100000), " ",IF(INDEX($V$2:$AE$1001,MATCH(ROWS($O$2:O57),$O$2:$O$1001,0),MATCH(COLUMNS($V$1006:AE1006),$V$1006:$AE$1006,0)), HYPERLINK("#",""), HYPERLINK(CONCATENATE("#Metadata!", ADDRESS(INDEX($Q$2:$Q$1001,MATCH(ROWS($O$2:O57),$O$2:$O$1001,0),0), INDEX($V$1004:$AE$1004,1,MATCH(COLUMNS($V$1006:AE1006),$V$1006:$AE$1006,0)))),"Fix")))</f>
        <v>0</v>
      </c>
      <c r="O57">
        <v>0</v>
      </c>
      <c r="P57">
        <v>0</v>
      </c>
      <c r="Q57">
        <v>0</v>
      </c>
      <c r="R57">
        <f>IF(S57,TRUE,AND(V57:AE57))</f>
        <v>0</v>
      </c>
      <c r="S57">
        <f>COUNTBLANK(Metadata!B57:K57)=COLUMNS(Metadata!B57:K57)</f>
        <v>0</v>
      </c>
      <c r="T57">
        <v>0</v>
      </c>
      <c r="V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W57">
        <f>AND(IF(Metadata!C57="",FALSE,TRUE),exact(Metadata!C57,"animal secretion"))</f>
        <v>0</v>
      </c>
      <c r="X57">
        <f>AND(IF(Metadata!D57="",FALSE,TRUE),exact(Metadata!D57,"saliva"))</f>
        <v>0</v>
      </c>
      <c r="Y57">
        <f>AND(IF(Metadata!E57="",FALSE,TRUE),exact(Metadata!E57,"human-oral"))</f>
        <v>0</v>
      </c>
      <c r="Z57">
        <f>AND(IF(Metadata!F57="",FALSE,TRUE),exact(Metadata!F57,"UBERON:oral cavity"))</f>
        <v>0</v>
      </c>
      <c r="AA57">
        <f>AND(IF(Metadata!G57="",FALSE,TRUE),exact(Metadata!G57,"UBERON:saliva"))</f>
        <v>0</v>
      </c>
      <c r="AB57">
        <f>AND(IF(Metadata!H57="",FALSE,TRUE),exact(Metadata!H57,"UBERON:tongue"))</f>
        <v>0</v>
      </c>
      <c r="AC57">
        <f>AND(IF(Metadata!I57="",FALSE,TRUE),exact(Metadata!I57,"tongue"))</f>
        <v>0</v>
      </c>
      <c r="AD57">
        <f>AND(IF(Metadata!J57="",FALSE,TRUE),exact(Metadata!J57,"human oral metagenome"))</f>
        <v>0</v>
      </c>
      <c r="AE57">
        <f>AND(IF(Metadata!K57="",FALSE,TRUE),exact(Metadata!K57,"447426"))</f>
        <v>0</v>
      </c>
    </row>
    <row r="58" spans="1:31">
      <c r="A58" s="4">
        <f>IF(B58=" "," ",HYPERLINK(CONCATENATE("#metadata!",ADDRESS(INDEX($Q$2:$Q$1001,MATCH(ROWS($O$2:O58),$O$2:$O$1001,0),0),1)),INDEX($T$2:$T$1001,MATCH(ROWS($O$2:O58),$O$2:$O$1001,0),0)))</f>
        <v>0</v>
      </c>
      <c r="B58" s="3">
        <f>IF(OR(INDEX($P$2:$P$1001,MATCH(ROWS($O$2:O58),$O$2:$O$1001,0),1)&gt;=100000,INDEX($V$1005:$AE$1005,1,MATCH(COLUMNS($V$1006:V1006),$V$1006:$AE$1006,0))&gt;=100000), " ",IF(INDEX($V$2:$AE$1001,MATCH(ROWS($O$2:O58),$O$2:$O$1001,0),MATCH(COLUMNS($V$1006:V1006),$V$1006:$AE$1006,0)), HYPERLINK("#",""), HYPERLINK(CONCATENATE("#Metadata!", ADDRESS(INDEX($Q$2:$Q$1001,MATCH(ROWS($O$2:O58),$O$2:$O$1001,0),0), INDEX($V$1004:$AE$1004,1,MATCH(COLUMNS($V$1006:V1006),$V$1006:$AE$1006,0)))),"Fix")))</f>
        <v>0</v>
      </c>
      <c r="C58" s="3">
        <f>IF(OR(INDEX($P$2:$P$1001,MATCH(ROWS($O$2:O58),$O$2:$O$1001,0),1)&gt;=100000,INDEX($V$1005:$AE$1005,1,MATCH(COLUMNS($V$1006:W1006),$V$1006:$AE$1006,0))&gt;=100000), " ",IF(INDEX($V$2:$AE$1001,MATCH(ROWS($O$2:O58),$O$2:$O$1001,0),MATCH(COLUMNS($V$1006:W1006),$V$1006:$AE$1006,0)), HYPERLINK("#",""), HYPERLINK(CONCATENATE("#Metadata!", ADDRESS(INDEX($Q$2:$Q$1001,MATCH(ROWS($O$2:O58),$O$2:$O$1001,0),0), INDEX($V$1004:$AE$1004,1,MATCH(COLUMNS($V$1006:W1006),$V$1006:$AE$1006,0)))),"Fix")))</f>
        <v>0</v>
      </c>
      <c r="D58" s="3">
        <f>IF(OR(INDEX($P$2:$P$1001,MATCH(ROWS($O$2:O58),$O$2:$O$1001,0),1)&gt;=100000,INDEX($V$1005:$AE$1005,1,MATCH(COLUMNS($V$1006:X1006),$V$1006:$AE$1006,0))&gt;=100000), " ",IF(INDEX($V$2:$AE$1001,MATCH(ROWS($O$2:O58),$O$2:$O$1001,0),MATCH(COLUMNS($V$1006:X1006),$V$1006:$AE$1006,0)), HYPERLINK("#",""), HYPERLINK(CONCATENATE("#Metadata!", ADDRESS(INDEX($Q$2:$Q$1001,MATCH(ROWS($O$2:O58),$O$2:$O$1001,0),0), INDEX($V$1004:$AE$1004,1,MATCH(COLUMNS($V$1006:X1006),$V$1006:$AE$1006,0)))),"Fix")))</f>
        <v>0</v>
      </c>
      <c r="E58" s="3">
        <f>IF(OR(INDEX($P$2:$P$1001,MATCH(ROWS($O$2:O58),$O$2:$O$1001,0),1)&gt;=100000,INDEX($V$1005:$AE$1005,1,MATCH(COLUMNS($V$1006:Y1006),$V$1006:$AE$1006,0))&gt;=100000), " ",IF(INDEX($V$2:$AE$1001,MATCH(ROWS($O$2:O58),$O$2:$O$1001,0),MATCH(COLUMNS($V$1006:Y1006),$V$1006:$AE$1006,0)), HYPERLINK("#",""), HYPERLINK(CONCATENATE("#Metadata!", ADDRESS(INDEX($Q$2:$Q$1001,MATCH(ROWS($O$2:O58),$O$2:$O$1001,0),0), INDEX($V$1004:$AE$1004,1,MATCH(COLUMNS($V$1006:Y1006),$V$1006:$AE$1006,0)))),"Fix")))</f>
        <v>0</v>
      </c>
      <c r="F58" s="3">
        <f>IF(OR(INDEX($P$2:$P$1001,MATCH(ROWS($O$2:O58),$O$2:$O$1001,0),1)&gt;=100000,INDEX($V$1005:$AE$1005,1,MATCH(COLUMNS($V$1006:Z1006),$V$1006:$AE$1006,0))&gt;=100000), " ",IF(INDEX($V$2:$AE$1001,MATCH(ROWS($O$2:O58),$O$2:$O$1001,0),MATCH(COLUMNS($V$1006:Z1006),$V$1006:$AE$1006,0)), HYPERLINK("#",""), HYPERLINK(CONCATENATE("#Metadata!", ADDRESS(INDEX($Q$2:$Q$1001,MATCH(ROWS($O$2:O58),$O$2:$O$1001,0),0), INDEX($V$1004:$AE$1004,1,MATCH(COLUMNS($V$1006:Z1006),$V$1006:$AE$1006,0)))),"Fix")))</f>
        <v>0</v>
      </c>
      <c r="G58" s="3">
        <f>IF(OR(INDEX($P$2:$P$1001,MATCH(ROWS($O$2:O58),$O$2:$O$1001,0),1)&gt;=100000,INDEX($V$1005:$AE$1005,1,MATCH(COLUMNS($V$1006:AA1006),$V$1006:$AE$1006,0))&gt;=100000), " ",IF(INDEX($V$2:$AE$1001,MATCH(ROWS($O$2:O58),$O$2:$O$1001,0),MATCH(COLUMNS($V$1006:AA1006),$V$1006:$AE$1006,0)), HYPERLINK("#",""), HYPERLINK(CONCATENATE("#Metadata!", ADDRESS(INDEX($Q$2:$Q$1001,MATCH(ROWS($O$2:O58),$O$2:$O$1001,0),0), INDEX($V$1004:$AE$1004,1,MATCH(COLUMNS($V$1006:AA1006),$V$1006:$AE$1006,0)))),"Fix")))</f>
        <v>0</v>
      </c>
      <c r="H58" s="3">
        <f>IF(OR(INDEX($P$2:$P$1001,MATCH(ROWS($O$2:O58),$O$2:$O$1001,0),1)&gt;=100000,INDEX($V$1005:$AE$1005,1,MATCH(COLUMNS($V$1006:AB1006),$V$1006:$AE$1006,0))&gt;=100000), " ",IF(INDEX($V$2:$AE$1001,MATCH(ROWS($O$2:O58),$O$2:$O$1001,0),MATCH(COLUMNS($V$1006:AB1006),$V$1006:$AE$1006,0)), HYPERLINK("#",""), HYPERLINK(CONCATENATE("#Metadata!", ADDRESS(INDEX($Q$2:$Q$1001,MATCH(ROWS($O$2:O58),$O$2:$O$1001,0),0), INDEX($V$1004:$AE$1004,1,MATCH(COLUMNS($V$1006:AB1006),$V$1006:$AE$1006,0)))),"Fix")))</f>
        <v>0</v>
      </c>
      <c r="I58" s="3">
        <f>IF(OR(INDEX($P$2:$P$1001,MATCH(ROWS($O$2:O58),$O$2:$O$1001,0),1)&gt;=100000,INDEX($V$1005:$AE$1005,1,MATCH(COLUMNS($V$1006:AC1006),$V$1006:$AE$1006,0))&gt;=100000), " ",IF(INDEX($V$2:$AE$1001,MATCH(ROWS($O$2:O58),$O$2:$O$1001,0),MATCH(COLUMNS($V$1006:AC1006),$V$1006:$AE$1006,0)), HYPERLINK("#",""), HYPERLINK(CONCATENATE("#Metadata!", ADDRESS(INDEX($Q$2:$Q$1001,MATCH(ROWS($O$2:O58),$O$2:$O$1001,0),0), INDEX($V$1004:$AE$1004,1,MATCH(COLUMNS($V$1006:AC1006),$V$1006:$AE$1006,0)))),"Fix")))</f>
        <v>0</v>
      </c>
      <c r="J58" s="3">
        <f>IF(OR(INDEX($P$2:$P$1001,MATCH(ROWS($O$2:O58),$O$2:$O$1001,0),1)&gt;=100000,INDEX($V$1005:$AE$1005,1,MATCH(COLUMNS($V$1006:AD1006),$V$1006:$AE$1006,0))&gt;=100000), " ",IF(INDEX($V$2:$AE$1001,MATCH(ROWS($O$2:O58),$O$2:$O$1001,0),MATCH(COLUMNS($V$1006:AD1006),$V$1006:$AE$1006,0)), HYPERLINK("#",""), HYPERLINK(CONCATENATE("#Metadata!", ADDRESS(INDEX($Q$2:$Q$1001,MATCH(ROWS($O$2:O58),$O$2:$O$1001,0),0), INDEX($V$1004:$AE$1004,1,MATCH(COLUMNS($V$1006:AD1006),$V$1006:$AE$1006,0)))),"Fix")))</f>
        <v>0</v>
      </c>
      <c r="K58" s="3">
        <f>IF(OR(INDEX($P$2:$P$1001,MATCH(ROWS($O$2:O58),$O$2:$O$1001,0),1)&gt;=100000,INDEX($V$1005:$AE$1005,1,MATCH(COLUMNS($V$1006:AE1006),$V$1006:$AE$1006,0))&gt;=100000), " ",IF(INDEX($V$2:$AE$1001,MATCH(ROWS($O$2:O58),$O$2:$O$1001,0),MATCH(COLUMNS($V$1006:AE1006),$V$1006:$AE$1006,0)), HYPERLINK("#",""), HYPERLINK(CONCATENATE("#Metadata!", ADDRESS(INDEX($Q$2:$Q$1001,MATCH(ROWS($O$2:O58),$O$2:$O$1001,0),0), INDEX($V$1004:$AE$1004,1,MATCH(COLUMNS($V$1006:AE1006),$V$1006:$AE$1006,0)))),"Fix")))</f>
        <v>0</v>
      </c>
      <c r="O58">
        <v>0</v>
      </c>
      <c r="P58">
        <v>0</v>
      </c>
      <c r="Q58">
        <v>0</v>
      </c>
      <c r="R58">
        <f>IF(S58,TRUE,AND(V58:AE58))</f>
        <v>0</v>
      </c>
      <c r="S58">
        <f>COUNTBLANK(Metadata!B58:K58)=COLUMNS(Metadata!B58:K58)</f>
        <v>0</v>
      </c>
      <c r="T58">
        <v>0</v>
      </c>
      <c r="V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W58">
        <f>AND(IF(Metadata!C58="",FALSE,TRUE),exact(Metadata!C58,"animal secretion"))</f>
        <v>0</v>
      </c>
      <c r="X58">
        <f>AND(IF(Metadata!D58="",FALSE,TRUE),exact(Metadata!D58,"saliva"))</f>
        <v>0</v>
      </c>
      <c r="Y58">
        <f>AND(IF(Metadata!E58="",FALSE,TRUE),exact(Metadata!E58,"human-oral"))</f>
        <v>0</v>
      </c>
      <c r="Z58">
        <f>AND(IF(Metadata!F58="",FALSE,TRUE),exact(Metadata!F58,"UBERON:oral cavity"))</f>
        <v>0</v>
      </c>
      <c r="AA58">
        <f>AND(IF(Metadata!G58="",FALSE,TRUE),exact(Metadata!G58,"UBERON:saliva"))</f>
        <v>0</v>
      </c>
      <c r="AB58">
        <f>AND(IF(Metadata!H58="",FALSE,TRUE),exact(Metadata!H58,"UBERON:tongue"))</f>
        <v>0</v>
      </c>
      <c r="AC58">
        <f>AND(IF(Metadata!I58="",FALSE,TRUE),exact(Metadata!I58,"tongue"))</f>
        <v>0</v>
      </c>
      <c r="AD58">
        <f>AND(IF(Metadata!J58="",FALSE,TRUE),exact(Metadata!J58,"human oral metagenome"))</f>
        <v>0</v>
      </c>
      <c r="AE58">
        <f>AND(IF(Metadata!K58="",FALSE,TRUE),exact(Metadata!K58,"447426"))</f>
        <v>0</v>
      </c>
    </row>
    <row r="59" spans="1:31">
      <c r="A59" s="4">
        <f>IF(B59=" "," ",HYPERLINK(CONCATENATE("#metadata!",ADDRESS(INDEX($Q$2:$Q$1001,MATCH(ROWS($O$2:O59),$O$2:$O$1001,0),0),1)),INDEX($T$2:$T$1001,MATCH(ROWS($O$2:O59),$O$2:$O$1001,0),0)))</f>
        <v>0</v>
      </c>
      <c r="B59" s="3">
        <f>IF(OR(INDEX($P$2:$P$1001,MATCH(ROWS($O$2:O59),$O$2:$O$1001,0),1)&gt;=100000,INDEX($V$1005:$AE$1005,1,MATCH(COLUMNS($V$1006:V1006),$V$1006:$AE$1006,0))&gt;=100000), " ",IF(INDEX($V$2:$AE$1001,MATCH(ROWS($O$2:O59),$O$2:$O$1001,0),MATCH(COLUMNS($V$1006:V1006),$V$1006:$AE$1006,0)), HYPERLINK("#",""), HYPERLINK(CONCATENATE("#Metadata!", ADDRESS(INDEX($Q$2:$Q$1001,MATCH(ROWS($O$2:O59),$O$2:$O$1001,0),0), INDEX($V$1004:$AE$1004,1,MATCH(COLUMNS($V$1006:V1006),$V$1006:$AE$1006,0)))),"Fix")))</f>
        <v>0</v>
      </c>
      <c r="C59" s="3">
        <f>IF(OR(INDEX($P$2:$P$1001,MATCH(ROWS($O$2:O59),$O$2:$O$1001,0),1)&gt;=100000,INDEX($V$1005:$AE$1005,1,MATCH(COLUMNS($V$1006:W1006),$V$1006:$AE$1006,0))&gt;=100000), " ",IF(INDEX($V$2:$AE$1001,MATCH(ROWS($O$2:O59),$O$2:$O$1001,0),MATCH(COLUMNS($V$1006:W1006),$V$1006:$AE$1006,0)), HYPERLINK("#",""), HYPERLINK(CONCATENATE("#Metadata!", ADDRESS(INDEX($Q$2:$Q$1001,MATCH(ROWS($O$2:O59),$O$2:$O$1001,0),0), INDEX($V$1004:$AE$1004,1,MATCH(COLUMNS($V$1006:W1006),$V$1006:$AE$1006,0)))),"Fix")))</f>
        <v>0</v>
      </c>
      <c r="D59" s="3">
        <f>IF(OR(INDEX($P$2:$P$1001,MATCH(ROWS($O$2:O59),$O$2:$O$1001,0),1)&gt;=100000,INDEX($V$1005:$AE$1005,1,MATCH(COLUMNS($V$1006:X1006),$V$1006:$AE$1006,0))&gt;=100000), " ",IF(INDEX($V$2:$AE$1001,MATCH(ROWS($O$2:O59),$O$2:$O$1001,0),MATCH(COLUMNS($V$1006:X1006),$V$1006:$AE$1006,0)), HYPERLINK("#",""), HYPERLINK(CONCATENATE("#Metadata!", ADDRESS(INDEX($Q$2:$Q$1001,MATCH(ROWS($O$2:O59),$O$2:$O$1001,0),0), INDEX($V$1004:$AE$1004,1,MATCH(COLUMNS($V$1006:X1006),$V$1006:$AE$1006,0)))),"Fix")))</f>
        <v>0</v>
      </c>
      <c r="E59" s="3">
        <f>IF(OR(INDEX($P$2:$P$1001,MATCH(ROWS($O$2:O59),$O$2:$O$1001,0),1)&gt;=100000,INDEX($V$1005:$AE$1005,1,MATCH(COLUMNS($V$1006:Y1006),$V$1006:$AE$1006,0))&gt;=100000), " ",IF(INDEX($V$2:$AE$1001,MATCH(ROWS($O$2:O59),$O$2:$O$1001,0),MATCH(COLUMNS($V$1006:Y1006),$V$1006:$AE$1006,0)), HYPERLINK("#",""), HYPERLINK(CONCATENATE("#Metadata!", ADDRESS(INDEX($Q$2:$Q$1001,MATCH(ROWS($O$2:O59),$O$2:$O$1001,0),0), INDEX($V$1004:$AE$1004,1,MATCH(COLUMNS($V$1006:Y1006),$V$1006:$AE$1006,0)))),"Fix")))</f>
        <v>0</v>
      </c>
      <c r="F59" s="3">
        <f>IF(OR(INDEX($P$2:$P$1001,MATCH(ROWS($O$2:O59),$O$2:$O$1001,0),1)&gt;=100000,INDEX($V$1005:$AE$1005,1,MATCH(COLUMNS($V$1006:Z1006),$V$1006:$AE$1006,0))&gt;=100000), " ",IF(INDEX($V$2:$AE$1001,MATCH(ROWS($O$2:O59),$O$2:$O$1001,0),MATCH(COLUMNS($V$1006:Z1006),$V$1006:$AE$1006,0)), HYPERLINK("#",""), HYPERLINK(CONCATENATE("#Metadata!", ADDRESS(INDEX($Q$2:$Q$1001,MATCH(ROWS($O$2:O59),$O$2:$O$1001,0),0), INDEX($V$1004:$AE$1004,1,MATCH(COLUMNS($V$1006:Z1006),$V$1006:$AE$1006,0)))),"Fix")))</f>
        <v>0</v>
      </c>
      <c r="G59" s="3">
        <f>IF(OR(INDEX($P$2:$P$1001,MATCH(ROWS($O$2:O59),$O$2:$O$1001,0),1)&gt;=100000,INDEX($V$1005:$AE$1005,1,MATCH(COLUMNS($V$1006:AA1006),$V$1006:$AE$1006,0))&gt;=100000), " ",IF(INDEX($V$2:$AE$1001,MATCH(ROWS($O$2:O59),$O$2:$O$1001,0),MATCH(COLUMNS($V$1006:AA1006),$V$1006:$AE$1006,0)), HYPERLINK("#",""), HYPERLINK(CONCATENATE("#Metadata!", ADDRESS(INDEX($Q$2:$Q$1001,MATCH(ROWS($O$2:O59),$O$2:$O$1001,0),0), INDEX($V$1004:$AE$1004,1,MATCH(COLUMNS($V$1006:AA1006),$V$1006:$AE$1006,0)))),"Fix")))</f>
        <v>0</v>
      </c>
      <c r="H59" s="3">
        <f>IF(OR(INDEX($P$2:$P$1001,MATCH(ROWS($O$2:O59),$O$2:$O$1001,0),1)&gt;=100000,INDEX($V$1005:$AE$1005,1,MATCH(COLUMNS($V$1006:AB1006),$V$1006:$AE$1006,0))&gt;=100000), " ",IF(INDEX($V$2:$AE$1001,MATCH(ROWS($O$2:O59),$O$2:$O$1001,0),MATCH(COLUMNS($V$1006:AB1006),$V$1006:$AE$1006,0)), HYPERLINK("#",""), HYPERLINK(CONCATENATE("#Metadata!", ADDRESS(INDEX($Q$2:$Q$1001,MATCH(ROWS($O$2:O59),$O$2:$O$1001,0),0), INDEX($V$1004:$AE$1004,1,MATCH(COLUMNS($V$1006:AB1006),$V$1006:$AE$1006,0)))),"Fix")))</f>
        <v>0</v>
      </c>
      <c r="I59" s="3">
        <f>IF(OR(INDEX($P$2:$P$1001,MATCH(ROWS($O$2:O59),$O$2:$O$1001,0),1)&gt;=100000,INDEX($V$1005:$AE$1005,1,MATCH(COLUMNS($V$1006:AC1006),$V$1006:$AE$1006,0))&gt;=100000), " ",IF(INDEX($V$2:$AE$1001,MATCH(ROWS($O$2:O59),$O$2:$O$1001,0),MATCH(COLUMNS($V$1006:AC1006),$V$1006:$AE$1006,0)), HYPERLINK("#",""), HYPERLINK(CONCATENATE("#Metadata!", ADDRESS(INDEX($Q$2:$Q$1001,MATCH(ROWS($O$2:O59),$O$2:$O$1001,0),0), INDEX($V$1004:$AE$1004,1,MATCH(COLUMNS($V$1006:AC1006),$V$1006:$AE$1006,0)))),"Fix")))</f>
        <v>0</v>
      </c>
      <c r="J59" s="3">
        <f>IF(OR(INDEX($P$2:$P$1001,MATCH(ROWS($O$2:O59),$O$2:$O$1001,0),1)&gt;=100000,INDEX($V$1005:$AE$1005,1,MATCH(COLUMNS($V$1006:AD1006),$V$1006:$AE$1006,0))&gt;=100000), " ",IF(INDEX($V$2:$AE$1001,MATCH(ROWS($O$2:O59),$O$2:$O$1001,0),MATCH(COLUMNS($V$1006:AD1006),$V$1006:$AE$1006,0)), HYPERLINK("#",""), HYPERLINK(CONCATENATE("#Metadata!", ADDRESS(INDEX($Q$2:$Q$1001,MATCH(ROWS($O$2:O59),$O$2:$O$1001,0),0), INDEX($V$1004:$AE$1004,1,MATCH(COLUMNS($V$1006:AD1006),$V$1006:$AE$1006,0)))),"Fix")))</f>
        <v>0</v>
      </c>
      <c r="K59" s="3">
        <f>IF(OR(INDEX($P$2:$P$1001,MATCH(ROWS($O$2:O59),$O$2:$O$1001,0),1)&gt;=100000,INDEX($V$1005:$AE$1005,1,MATCH(COLUMNS($V$1006:AE1006),$V$1006:$AE$1006,0))&gt;=100000), " ",IF(INDEX($V$2:$AE$1001,MATCH(ROWS($O$2:O59),$O$2:$O$1001,0),MATCH(COLUMNS($V$1006:AE1006),$V$1006:$AE$1006,0)), HYPERLINK("#",""), HYPERLINK(CONCATENATE("#Metadata!", ADDRESS(INDEX($Q$2:$Q$1001,MATCH(ROWS($O$2:O59),$O$2:$O$1001,0),0), INDEX($V$1004:$AE$1004,1,MATCH(COLUMNS($V$1006:AE1006),$V$1006:$AE$1006,0)))),"Fix")))</f>
        <v>0</v>
      </c>
      <c r="O59">
        <v>0</v>
      </c>
      <c r="P59">
        <v>0</v>
      </c>
      <c r="Q59">
        <v>0</v>
      </c>
      <c r="R59">
        <f>IF(S59,TRUE,AND(V59:AE59))</f>
        <v>0</v>
      </c>
      <c r="S59">
        <f>COUNTBLANK(Metadata!B59:K59)=COLUMNS(Metadata!B59:K59)</f>
        <v>0</v>
      </c>
      <c r="T59">
        <v>0</v>
      </c>
      <c r="V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W59">
        <f>AND(IF(Metadata!C59="",FALSE,TRUE),exact(Metadata!C59,"animal secretion"))</f>
        <v>0</v>
      </c>
      <c r="X59">
        <f>AND(IF(Metadata!D59="",FALSE,TRUE),exact(Metadata!D59,"saliva"))</f>
        <v>0</v>
      </c>
      <c r="Y59">
        <f>AND(IF(Metadata!E59="",FALSE,TRUE),exact(Metadata!E59,"human-oral"))</f>
        <v>0</v>
      </c>
      <c r="Z59">
        <f>AND(IF(Metadata!F59="",FALSE,TRUE),exact(Metadata!F59,"UBERON:oral cavity"))</f>
        <v>0</v>
      </c>
      <c r="AA59">
        <f>AND(IF(Metadata!G59="",FALSE,TRUE),exact(Metadata!G59,"UBERON:saliva"))</f>
        <v>0</v>
      </c>
      <c r="AB59">
        <f>AND(IF(Metadata!H59="",FALSE,TRUE),exact(Metadata!H59,"UBERON:tongue"))</f>
        <v>0</v>
      </c>
      <c r="AC59">
        <f>AND(IF(Metadata!I59="",FALSE,TRUE),exact(Metadata!I59,"tongue"))</f>
        <v>0</v>
      </c>
      <c r="AD59">
        <f>AND(IF(Metadata!J59="",FALSE,TRUE),exact(Metadata!J59,"human oral metagenome"))</f>
        <v>0</v>
      </c>
      <c r="AE59">
        <f>AND(IF(Metadata!K59="",FALSE,TRUE),exact(Metadata!K59,"447426"))</f>
        <v>0</v>
      </c>
    </row>
    <row r="60" spans="1:31">
      <c r="A60" s="4">
        <f>IF(B60=" "," ",HYPERLINK(CONCATENATE("#metadata!",ADDRESS(INDEX($Q$2:$Q$1001,MATCH(ROWS($O$2:O60),$O$2:$O$1001,0),0),1)),INDEX($T$2:$T$1001,MATCH(ROWS($O$2:O60),$O$2:$O$1001,0),0)))</f>
        <v>0</v>
      </c>
      <c r="B60" s="3">
        <f>IF(OR(INDEX($P$2:$P$1001,MATCH(ROWS($O$2:O60),$O$2:$O$1001,0),1)&gt;=100000,INDEX($V$1005:$AE$1005,1,MATCH(COLUMNS($V$1006:V1006),$V$1006:$AE$1006,0))&gt;=100000), " ",IF(INDEX($V$2:$AE$1001,MATCH(ROWS($O$2:O60),$O$2:$O$1001,0),MATCH(COLUMNS($V$1006:V1006),$V$1006:$AE$1006,0)), HYPERLINK("#",""), HYPERLINK(CONCATENATE("#Metadata!", ADDRESS(INDEX($Q$2:$Q$1001,MATCH(ROWS($O$2:O60),$O$2:$O$1001,0),0), INDEX($V$1004:$AE$1004,1,MATCH(COLUMNS($V$1006:V1006),$V$1006:$AE$1006,0)))),"Fix")))</f>
        <v>0</v>
      </c>
      <c r="C60" s="3">
        <f>IF(OR(INDEX($P$2:$P$1001,MATCH(ROWS($O$2:O60),$O$2:$O$1001,0),1)&gt;=100000,INDEX($V$1005:$AE$1005,1,MATCH(COLUMNS($V$1006:W1006),$V$1006:$AE$1006,0))&gt;=100000), " ",IF(INDEX($V$2:$AE$1001,MATCH(ROWS($O$2:O60),$O$2:$O$1001,0),MATCH(COLUMNS($V$1006:W1006),$V$1006:$AE$1006,0)), HYPERLINK("#",""), HYPERLINK(CONCATENATE("#Metadata!", ADDRESS(INDEX($Q$2:$Q$1001,MATCH(ROWS($O$2:O60),$O$2:$O$1001,0),0), INDEX($V$1004:$AE$1004,1,MATCH(COLUMNS($V$1006:W1006),$V$1006:$AE$1006,0)))),"Fix")))</f>
        <v>0</v>
      </c>
      <c r="D60" s="3">
        <f>IF(OR(INDEX($P$2:$P$1001,MATCH(ROWS($O$2:O60),$O$2:$O$1001,0),1)&gt;=100000,INDEX($V$1005:$AE$1005,1,MATCH(COLUMNS($V$1006:X1006),$V$1006:$AE$1006,0))&gt;=100000), " ",IF(INDEX($V$2:$AE$1001,MATCH(ROWS($O$2:O60),$O$2:$O$1001,0),MATCH(COLUMNS($V$1006:X1006),$V$1006:$AE$1006,0)), HYPERLINK("#",""), HYPERLINK(CONCATENATE("#Metadata!", ADDRESS(INDEX($Q$2:$Q$1001,MATCH(ROWS($O$2:O60),$O$2:$O$1001,0),0), INDEX($V$1004:$AE$1004,1,MATCH(COLUMNS($V$1006:X1006),$V$1006:$AE$1006,0)))),"Fix")))</f>
        <v>0</v>
      </c>
      <c r="E60" s="3">
        <f>IF(OR(INDEX($P$2:$P$1001,MATCH(ROWS($O$2:O60),$O$2:$O$1001,0),1)&gt;=100000,INDEX($V$1005:$AE$1005,1,MATCH(COLUMNS($V$1006:Y1006),$V$1006:$AE$1006,0))&gt;=100000), " ",IF(INDEX($V$2:$AE$1001,MATCH(ROWS($O$2:O60),$O$2:$O$1001,0),MATCH(COLUMNS($V$1006:Y1006),$V$1006:$AE$1006,0)), HYPERLINK("#",""), HYPERLINK(CONCATENATE("#Metadata!", ADDRESS(INDEX($Q$2:$Q$1001,MATCH(ROWS($O$2:O60),$O$2:$O$1001,0),0), INDEX($V$1004:$AE$1004,1,MATCH(COLUMNS($V$1006:Y1006),$V$1006:$AE$1006,0)))),"Fix")))</f>
        <v>0</v>
      </c>
      <c r="F60" s="3">
        <f>IF(OR(INDEX($P$2:$P$1001,MATCH(ROWS($O$2:O60),$O$2:$O$1001,0),1)&gt;=100000,INDEX($V$1005:$AE$1005,1,MATCH(COLUMNS($V$1006:Z1006),$V$1006:$AE$1006,0))&gt;=100000), " ",IF(INDEX($V$2:$AE$1001,MATCH(ROWS($O$2:O60),$O$2:$O$1001,0),MATCH(COLUMNS($V$1006:Z1006),$V$1006:$AE$1006,0)), HYPERLINK("#",""), HYPERLINK(CONCATENATE("#Metadata!", ADDRESS(INDEX($Q$2:$Q$1001,MATCH(ROWS($O$2:O60),$O$2:$O$1001,0),0), INDEX($V$1004:$AE$1004,1,MATCH(COLUMNS($V$1006:Z1006),$V$1006:$AE$1006,0)))),"Fix")))</f>
        <v>0</v>
      </c>
      <c r="G60" s="3">
        <f>IF(OR(INDEX($P$2:$P$1001,MATCH(ROWS($O$2:O60),$O$2:$O$1001,0),1)&gt;=100000,INDEX($V$1005:$AE$1005,1,MATCH(COLUMNS($V$1006:AA1006),$V$1006:$AE$1006,0))&gt;=100000), " ",IF(INDEX($V$2:$AE$1001,MATCH(ROWS($O$2:O60),$O$2:$O$1001,0),MATCH(COLUMNS($V$1006:AA1006),$V$1006:$AE$1006,0)), HYPERLINK("#",""), HYPERLINK(CONCATENATE("#Metadata!", ADDRESS(INDEX($Q$2:$Q$1001,MATCH(ROWS($O$2:O60),$O$2:$O$1001,0),0), INDEX($V$1004:$AE$1004,1,MATCH(COLUMNS($V$1006:AA1006),$V$1006:$AE$1006,0)))),"Fix")))</f>
        <v>0</v>
      </c>
      <c r="H60" s="3">
        <f>IF(OR(INDEX($P$2:$P$1001,MATCH(ROWS($O$2:O60),$O$2:$O$1001,0),1)&gt;=100000,INDEX($V$1005:$AE$1005,1,MATCH(COLUMNS($V$1006:AB1006),$V$1006:$AE$1006,0))&gt;=100000), " ",IF(INDEX($V$2:$AE$1001,MATCH(ROWS($O$2:O60),$O$2:$O$1001,0),MATCH(COLUMNS($V$1006:AB1006),$V$1006:$AE$1006,0)), HYPERLINK("#",""), HYPERLINK(CONCATENATE("#Metadata!", ADDRESS(INDEX($Q$2:$Q$1001,MATCH(ROWS($O$2:O60),$O$2:$O$1001,0),0), INDEX($V$1004:$AE$1004,1,MATCH(COLUMNS($V$1006:AB1006),$V$1006:$AE$1006,0)))),"Fix")))</f>
        <v>0</v>
      </c>
      <c r="I60" s="3">
        <f>IF(OR(INDEX($P$2:$P$1001,MATCH(ROWS($O$2:O60),$O$2:$O$1001,0),1)&gt;=100000,INDEX($V$1005:$AE$1005,1,MATCH(COLUMNS($V$1006:AC1006),$V$1006:$AE$1006,0))&gt;=100000), " ",IF(INDEX($V$2:$AE$1001,MATCH(ROWS($O$2:O60),$O$2:$O$1001,0),MATCH(COLUMNS($V$1006:AC1006),$V$1006:$AE$1006,0)), HYPERLINK("#",""), HYPERLINK(CONCATENATE("#Metadata!", ADDRESS(INDEX($Q$2:$Q$1001,MATCH(ROWS($O$2:O60),$O$2:$O$1001,0),0), INDEX($V$1004:$AE$1004,1,MATCH(COLUMNS($V$1006:AC1006),$V$1006:$AE$1006,0)))),"Fix")))</f>
        <v>0</v>
      </c>
      <c r="J60" s="3">
        <f>IF(OR(INDEX($P$2:$P$1001,MATCH(ROWS($O$2:O60),$O$2:$O$1001,0),1)&gt;=100000,INDEX($V$1005:$AE$1005,1,MATCH(COLUMNS($V$1006:AD1006),$V$1006:$AE$1006,0))&gt;=100000), " ",IF(INDEX($V$2:$AE$1001,MATCH(ROWS($O$2:O60),$O$2:$O$1001,0),MATCH(COLUMNS($V$1006:AD1006),$V$1006:$AE$1006,0)), HYPERLINK("#",""), HYPERLINK(CONCATENATE("#Metadata!", ADDRESS(INDEX($Q$2:$Q$1001,MATCH(ROWS($O$2:O60),$O$2:$O$1001,0),0), INDEX($V$1004:$AE$1004,1,MATCH(COLUMNS($V$1006:AD1006),$V$1006:$AE$1006,0)))),"Fix")))</f>
        <v>0</v>
      </c>
      <c r="K60" s="3">
        <f>IF(OR(INDEX($P$2:$P$1001,MATCH(ROWS($O$2:O60),$O$2:$O$1001,0),1)&gt;=100000,INDEX($V$1005:$AE$1005,1,MATCH(COLUMNS($V$1006:AE1006),$V$1006:$AE$1006,0))&gt;=100000), " ",IF(INDEX($V$2:$AE$1001,MATCH(ROWS($O$2:O60),$O$2:$O$1001,0),MATCH(COLUMNS($V$1006:AE1006),$V$1006:$AE$1006,0)), HYPERLINK("#",""), HYPERLINK(CONCATENATE("#Metadata!", ADDRESS(INDEX($Q$2:$Q$1001,MATCH(ROWS($O$2:O60),$O$2:$O$1001,0),0), INDEX($V$1004:$AE$1004,1,MATCH(COLUMNS($V$1006:AE1006),$V$1006:$AE$1006,0)))),"Fix")))</f>
        <v>0</v>
      </c>
      <c r="O60">
        <v>0</v>
      </c>
      <c r="P60">
        <v>0</v>
      </c>
      <c r="Q60">
        <v>0</v>
      </c>
      <c r="R60">
        <f>IF(S60,TRUE,AND(V60:AE60))</f>
        <v>0</v>
      </c>
      <c r="S60">
        <f>COUNTBLANK(Metadata!B60:K60)=COLUMNS(Metadata!B60:K60)</f>
        <v>0</v>
      </c>
      <c r="T60">
        <v>0</v>
      </c>
      <c r="V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W60">
        <f>AND(IF(Metadata!C60="",FALSE,TRUE),exact(Metadata!C60,"animal secretion"))</f>
        <v>0</v>
      </c>
      <c r="X60">
        <f>AND(IF(Metadata!D60="",FALSE,TRUE),exact(Metadata!D60,"saliva"))</f>
        <v>0</v>
      </c>
      <c r="Y60">
        <f>AND(IF(Metadata!E60="",FALSE,TRUE),exact(Metadata!E60,"human-oral"))</f>
        <v>0</v>
      </c>
      <c r="Z60">
        <f>AND(IF(Metadata!F60="",FALSE,TRUE),exact(Metadata!F60,"UBERON:oral cavity"))</f>
        <v>0</v>
      </c>
      <c r="AA60">
        <f>AND(IF(Metadata!G60="",FALSE,TRUE),exact(Metadata!G60,"UBERON:saliva"))</f>
        <v>0</v>
      </c>
      <c r="AB60">
        <f>AND(IF(Metadata!H60="",FALSE,TRUE),exact(Metadata!H60,"UBERON:tongue"))</f>
        <v>0</v>
      </c>
      <c r="AC60">
        <f>AND(IF(Metadata!I60="",FALSE,TRUE),exact(Metadata!I60,"tongue"))</f>
        <v>0</v>
      </c>
      <c r="AD60">
        <f>AND(IF(Metadata!J60="",FALSE,TRUE),exact(Metadata!J60,"human oral metagenome"))</f>
        <v>0</v>
      </c>
      <c r="AE60">
        <f>AND(IF(Metadata!K60="",FALSE,TRUE),exact(Metadata!K60,"447426"))</f>
        <v>0</v>
      </c>
    </row>
    <row r="61" spans="1:31">
      <c r="A61" s="4">
        <f>IF(B61=" "," ",HYPERLINK(CONCATENATE("#metadata!",ADDRESS(INDEX($Q$2:$Q$1001,MATCH(ROWS($O$2:O61),$O$2:$O$1001,0),0),1)),INDEX($T$2:$T$1001,MATCH(ROWS($O$2:O61),$O$2:$O$1001,0),0)))</f>
        <v>0</v>
      </c>
      <c r="B61" s="3">
        <f>IF(OR(INDEX($P$2:$P$1001,MATCH(ROWS($O$2:O61),$O$2:$O$1001,0),1)&gt;=100000,INDEX($V$1005:$AE$1005,1,MATCH(COLUMNS($V$1006:V1006),$V$1006:$AE$1006,0))&gt;=100000), " ",IF(INDEX($V$2:$AE$1001,MATCH(ROWS($O$2:O61),$O$2:$O$1001,0),MATCH(COLUMNS($V$1006:V1006),$V$1006:$AE$1006,0)), HYPERLINK("#",""), HYPERLINK(CONCATENATE("#Metadata!", ADDRESS(INDEX($Q$2:$Q$1001,MATCH(ROWS($O$2:O61),$O$2:$O$1001,0),0), INDEX($V$1004:$AE$1004,1,MATCH(COLUMNS($V$1006:V1006),$V$1006:$AE$1006,0)))),"Fix")))</f>
        <v>0</v>
      </c>
      <c r="C61" s="3">
        <f>IF(OR(INDEX($P$2:$P$1001,MATCH(ROWS($O$2:O61),$O$2:$O$1001,0),1)&gt;=100000,INDEX($V$1005:$AE$1005,1,MATCH(COLUMNS($V$1006:W1006),$V$1006:$AE$1006,0))&gt;=100000), " ",IF(INDEX($V$2:$AE$1001,MATCH(ROWS($O$2:O61),$O$2:$O$1001,0),MATCH(COLUMNS($V$1006:W1006),$V$1006:$AE$1006,0)), HYPERLINK("#",""), HYPERLINK(CONCATENATE("#Metadata!", ADDRESS(INDEX($Q$2:$Q$1001,MATCH(ROWS($O$2:O61),$O$2:$O$1001,0),0), INDEX($V$1004:$AE$1004,1,MATCH(COLUMNS($V$1006:W1006),$V$1006:$AE$1006,0)))),"Fix")))</f>
        <v>0</v>
      </c>
      <c r="D61" s="3">
        <f>IF(OR(INDEX($P$2:$P$1001,MATCH(ROWS($O$2:O61),$O$2:$O$1001,0),1)&gt;=100000,INDEX($V$1005:$AE$1005,1,MATCH(COLUMNS($V$1006:X1006),$V$1006:$AE$1006,0))&gt;=100000), " ",IF(INDEX($V$2:$AE$1001,MATCH(ROWS($O$2:O61),$O$2:$O$1001,0),MATCH(COLUMNS($V$1006:X1006),$V$1006:$AE$1006,0)), HYPERLINK("#",""), HYPERLINK(CONCATENATE("#Metadata!", ADDRESS(INDEX($Q$2:$Q$1001,MATCH(ROWS($O$2:O61),$O$2:$O$1001,0),0), INDEX($V$1004:$AE$1004,1,MATCH(COLUMNS($V$1006:X1006),$V$1006:$AE$1006,0)))),"Fix")))</f>
        <v>0</v>
      </c>
      <c r="E61" s="3">
        <f>IF(OR(INDEX($P$2:$P$1001,MATCH(ROWS($O$2:O61),$O$2:$O$1001,0),1)&gt;=100000,INDEX($V$1005:$AE$1005,1,MATCH(COLUMNS($V$1006:Y1006),$V$1006:$AE$1006,0))&gt;=100000), " ",IF(INDEX($V$2:$AE$1001,MATCH(ROWS($O$2:O61),$O$2:$O$1001,0),MATCH(COLUMNS($V$1006:Y1006),$V$1006:$AE$1006,0)), HYPERLINK("#",""), HYPERLINK(CONCATENATE("#Metadata!", ADDRESS(INDEX($Q$2:$Q$1001,MATCH(ROWS($O$2:O61),$O$2:$O$1001,0),0), INDEX($V$1004:$AE$1004,1,MATCH(COLUMNS($V$1006:Y1006),$V$1006:$AE$1006,0)))),"Fix")))</f>
        <v>0</v>
      </c>
      <c r="F61" s="3">
        <f>IF(OR(INDEX($P$2:$P$1001,MATCH(ROWS($O$2:O61),$O$2:$O$1001,0),1)&gt;=100000,INDEX($V$1005:$AE$1005,1,MATCH(COLUMNS($V$1006:Z1006),$V$1006:$AE$1006,0))&gt;=100000), " ",IF(INDEX($V$2:$AE$1001,MATCH(ROWS($O$2:O61),$O$2:$O$1001,0),MATCH(COLUMNS($V$1006:Z1006),$V$1006:$AE$1006,0)), HYPERLINK("#",""), HYPERLINK(CONCATENATE("#Metadata!", ADDRESS(INDEX($Q$2:$Q$1001,MATCH(ROWS($O$2:O61),$O$2:$O$1001,0),0), INDEX($V$1004:$AE$1004,1,MATCH(COLUMNS($V$1006:Z1006),$V$1006:$AE$1006,0)))),"Fix")))</f>
        <v>0</v>
      </c>
      <c r="G61" s="3">
        <f>IF(OR(INDEX($P$2:$P$1001,MATCH(ROWS($O$2:O61),$O$2:$O$1001,0),1)&gt;=100000,INDEX($V$1005:$AE$1005,1,MATCH(COLUMNS($V$1006:AA1006),$V$1006:$AE$1006,0))&gt;=100000), " ",IF(INDEX($V$2:$AE$1001,MATCH(ROWS($O$2:O61),$O$2:$O$1001,0),MATCH(COLUMNS($V$1006:AA1006),$V$1006:$AE$1006,0)), HYPERLINK("#",""), HYPERLINK(CONCATENATE("#Metadata!", ADDRESS(INDEX($Q$2:$Q$1001,MATCH(ROWS($O$2:O61),$O$2:$O$1001,0),0), INDEX($V$1004:$AE$1004,1,MATCH(COLUMNS($V$1006:AA1006),$V$1006:$AE$1006,0)))),"Fix")))</f>
        <v>0</v>
      </c>
      <c r="H61" s="3">
        <f>IF(OR(INDEX($P$2:$P$1001,MATCH(ROWS($O$2:O61),$O$2:$O$1001,0),1)&gt;=100000,INDEX($V$1005:$AE$1005,1,MATCH(COLUMNS($V$1006:AB1006),$V$1006:$AE$1006,0))&gt;=100000), " ",IF(INDEX($V$2:$AE$1001,MATCH(ROWS($O$2:O61),$O$2:$O$1001,0),MATCH(COLUMNS($V$1006:AB1006),$V$1006:$AE$1006,0)), HYPERLINK("#",""), HYPERLINK(CONCATENATE("#Metadata!", ADDRESS(INDEX($Q$2:$Q$1001,MATCH(ROWS($O$2:O61),$O$2:$O$1001,0),0), INDEX($V$1004:$AE$1004,1,MATCH(COLUMNS($V$1006:AB1006),$V$1006:$AE$1006,0)))),"Fix")))</f>
        <v>0</v>
      </c>
      <c r="I61" s="3">
        <f>IF(OR(INDEX($P$2:$P$1001,MATCH(ROWS($O$2:O61),$O$2:$O$1001,0),1)&gt;=100000,INDEX($V$1005:$AE$1005,1,MATCH(COLUMNS($V$1006:AC1006),$V$1006:$AE$1006,0))&gt;=100000), " ",IF(INDEX($V$2:$AE$1001,MATCH(ROWS($O$2:O61),$O$2:$O$1001,0),MATCH(COLUMNS($V$1006:AC1006),$V$1006:$AE$1006,0)), HYPERLINK("#",""), HYPERLINK(CONCATENATE("#Metadata!", ADDRESS(INDEX($Q$2:$Q$1001,MATCH(ROWS($O$2:O61),$O$2:$O$1001,0),0), INDEX($V$1004:$AE$1004,1,MATCH(COLUMNS($V$1006:AC1006),$V$1006:$AE$1006,0)))),"Fix")))</f>
        <v>0</v>
      </c>
      <c r="J61" s="3">
        <f>IF(OR(INDEX($P$2:$P$1001,MATCH(ROWS($O$2:O61),$O$2:$O$1001,0),1)&gt;=100000,INDEX($V$1005:$AE$1005,1,MATCH(COLUMNS($V$1006:AD1006),$V$1006:$AE$1006,0))&gt;=100000), " ",IF(INDEX($V$2:$AE$1001,MATCH(ROWS($O$2:O61),$O$2:$O$1001,0),MATCH(COLUMNS($V$1006:AD1006),$V$1006:$AE$1006,0)), HYPERLINK("#",""), HYPERLINK(CONCATENATE("#Metadata!", ADDRESS(INDEX($Q$2:$Q$1001,MATCH(ROWS($O$2:O61),$O$2:$O$1001,0),0), INDEX($V$1004:$AE$1004,1,MATCH(COLUMNS($V$1006:AD1006),$V$1006:$AE$1006,0)))),"Fix")))</f>
        <v>0</v>
      </c>
      <c r="K61" s="3">
        <f>IF(OR(INDEX($P$2:$P$1001,MATCH(ROWS($O$2:O61),$O$2:$O$1001,0),1)&gt;=100000,INDEX($V$1005:$AE$1005,1,MATCH(COLUMNS($V$1006:AE1006),$V$1006:$AE$1006,0))&gt;=100000), " ",IF(INDEX($V$2:$AE$1001,MATCH(ROWS($O$2:O61),$O$2:$O$1001,0),MATCH(COLUMNS($V$1006:AE1006),$V$1006:$AE$1006,0)), HYPERLINK("#",""), HYPERLINK(CONCATENATE("#Metadata!", ADDRESS(INDEX($Q$2:$Q$1001,MATCH(ROWS($O$2:O61),$O$2:$O$1001,0),0), INDEX($V$1004:$AE$1004,1,MATCH(COLUMNS($V$1006:AE1006),$V$1006:$AE$1006,0)))),"Fix")))</f>
        <v>0</v>
      </c>
      <c r="O61">
        <v>0</v>
      </c>
      <c r="P61">
        <v>0</v>
      </c>
      <c r="Q61">
        <v>0</v>
      </c>
      <c r="R61">
        <f>IF(S61,TRUE,AND(V61:AE61))</f>
        <v>0</v>
      </c>
      <c r="S61">
        <f>COUNTBLANK(Metadata!B61:K61)=COLUMNS(Metadata!B61:K61)</f>
        <v>0</v>
      </c>
      <c r="T61">
        <v>0</v>
      </c>
      <c r="V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W61">
        <f>AND(IF(Metadata!C61="",FALSE,TRUE),exact(Metadata!C61,"animal secretion"))</f>
        <v>0</v>
      </c>
      <c r="X61">
        <f>AND(IF(Metadata!D61="",FALSE,TRUE),exact(Metadata!D61,"saliva"))</f>
        <v>0</v>
      </c>
      <c r="Y61">
        <f>AND(IF(Metadata!E61="",FALSE,TRUE),exact(Metadata!E61,"human-oral"))</f>
        <v>0</v>
      </c>
      <c r="Z61">
        <f>AND(IF(Metadata!F61="",FALSE,TRUE),exact(Metadata!F61,"UBERON:oral cavity"))</f>
        <v>0</v>
      </c>
      <c r="AA61">
        <f>AND(IF(Metadata!G61="",FALSE,TRUE),exact(Metadata!G61,"UBERON:saliva"))</f>
        <v>0</v>
      </c>
      <c r="AB61">
        <f>AND(IF(Metadata!H61="",FALSE,TRUE),exact(Metadata!H61,"UBERON:tongue"))</f>
        <v>0</v>
      </c>
      <c r="AC61">
        <f>AND(IF(Metadata!I61="",FALSE,TRUE),exact(Metadata!I61,"tongue"))</f>
        <v>0</v>
      </c>
      <c r="AD61">
        <f>AND(IF(Metadata!J61="",FALSE,TRUE),exact(Metadata!J61,"human oral metagenome"))</f>
        <v>0</v>
      </c>
      <c r="AE61">
        <f>AND(IF(Metadata!K61="",FALSE,TRUE),exact(Metadata!K61,"447426"))</f>
        <v>0</v>
      </c>
    </row>
    <row r="62" spans="1:31">
      <c r="A62" s="4">
        <f>IF(B62=" "," ",HYPERLINK(CONCATENATE("#metadata!",ADDRESS(INDEX($Q$2:$Q$1001,MATCH(ROWS($O$2:O62),$O$2:$O$1001,0),0),1)),INDEX($T$2:$T$1001,MATCH(ROWS($O$2:O62),$O$2:$O$1001,0),0)))</f>
        <v>0</v>
      </c>
      <c r="B62" s="3">
        <f>IF(OR(INDEX($P$2:$P$1001,MATCH(ROWS($O$2:O62),$O$2:$O$1001,0),1)&gt;=100000,INDEX($V$1005:$AE$1005,1,MATCH(COLUMNS($V$1006:V1006),$V$1006:$AE$1006,0))&gt;=100000), " ",IF(INDEX($V$2:$AE$1001,MATCH(ROWS($O$2:O62),$O$2:$O$1001,0),MATCH(COLUMNS($V$1006:V1006),$V$1006:$AE$1006,0)), HYPERLINK("#",""), HYPERLINK(CONCATENATE("#Metadata!", ADDRESS(INDEX($Q$2:$Q$1001,MATCH(ROWS($O$2:O62),$O$2:$O$1001,0),0), INDEX($V$1004:$AE$1004,1,MATCH(COLUMNS($V$1006:V1006),$V$1006:$AE$1006,0)))),"Fix")))</f>
        <v>0</v>
      </c>
      <c r="C62" s="3">
        <f>IF(OR(INDEX($P$2:$P$1001,MATCH(ROWS($O$2:O62),$O$2:$O$1001,0),1)&gt;=100000,INDEX($V$1005:$AE$1005,1,MATCH(COLUMNS($V$1006:W1006),$V$1006:$AE$1006,0))&gt;=100000), " ",IF(INDEX($V$2:$AE$1001,MATCH(ROWS($O$2:O62),$O$2:$O$1001,0),MATCH(COLUMNS($V$1006:W1006),$V$1006:$AE$1006,0)), HYPERLINK("#",""), HYPERLINK(CONCATENATE("#Metadata!", ADDRESS(INDEX($Q$2:$Q$1001,MATCH(ROWS($O$2:O62),$O$2:$O$1001,0),0), INDEX($V$1004:$AE$1004,1,MATCH(COLUMNS($V$1006:W1006),$V$1006:$AE$1006,0)))),"Fix")))</f>
        <v>0</v>
      </c>
      <c r="D62" s="3">
        <f>IF(OR(INDEX($P$2:$P$1001,MATCH(ROWS($O$2:O62),$O$2:$O$1001,0),1)&gt;=100000,INDEX($V$1005:$AE$1005,1,MATCH(COLUMNS($V$1006:X1006),$V$1006:$AE$1006,0))&gt;=100000), " ",IF(INDEX($V$2:$AE$1001,MATCH(ROWS($O$2:O62),$O$2:$O$1001,0),MATCH(COLUMNS($V$1006:X1006),$V$1006:$AE$1006,0)), HYPERLINK("#",""), HYPERLINK(CONCATENATE("#Metadata!", ADDRESS(INDEX($Q$2:$Q$1001,MATCH(ROWS($O$2:O62),$O$2:$O$1001,0),0), INDEX($V$1004:$AE$1004,1,MATCH(COLUMNS($V$1006:X1006),$V$1006:$AE$1006,0)))),"Fix")))</f>
        <v>0</v>
      </c>
      <c r="E62" s="3">
        <f>IF(OR(INDEX($P$2:$P$1001,MATCH(ROWS($O$2:O62),$O$2:$O$1001,0),1)&gt;=100000,INDEX($V$1005:$AE$1005,1,MATCH(COLUMNS($V$1006:Y1006),$V$1006:$AE$1006,0))&gt;=100000), " ",IF(INDEX($V$2:$AE$1001,MATCH(ROWS($O$2:O62),$O$2:$O$1001,0),MATCH(COLUMNS($V$1006:Y1006),$V$1006:$AE$1006,0)), HYPERLINK("#",""), HYPERLINK(CONCATENATE("#Metadata!", ADDRESS(INDEX($Q$2:$Q$1001,MATCH(ROWS($O$2:O62),$O$2:$O$1001,0),0), INDEX($V$1004:$AE$1004,1,MATCH(COLUMNS($V$1006:Y1006),$V$1006:$AE$1006,0)))),"Fix")))</f>
        <v>0</v>
      </c>
      <c r="F62" s="3">
        <f>IF(OR(INDEX($P$2:$P$1001,MATCH(ROWS($O$2:O62),$O$2:$O$1001,0),1)&gt;=100000,INDEX($V$1005:$AE$1005,1,MATCH(COLUMNS($V$1006:Z1006),$V$1006:$AE$1006,0))&gt;=100000), " ",IF(INDEX($V$2:$AE$1001,MATCH(ROWS($O$2:O62),$O$2:$O$1001,0),MATCH(COLUMNS($V$1006:Z1006),$V$1006:$AE$1006,0)), HYPERLINK("#",""), HYPERLINK(CONCATENATE("#Metadata!", ADDRESS(INDEX($Q$2:$Q$1001,MATCH(ROWS($O$2:O62),$O$2:$O$1001,0),0), INDEX($V$1004:$AE$1004,1,MATCH(COLUMNS($V$1006:Z1006),$V$1006:$AE$1006,0)))),"Fix")))</f>
        <v>0</v>
      </c>
      <c r="G62" s="3">
        <f>IF(OR(INDEX($P$2:$P$1001,MATCH(ROWS($O$2:O62),$O$2:$O$1001,0),1)&gt;=100000,INDEX($V$1005:$AE$1005,1,MATCH(COLUMNS($V$1006:AA1006),$V$1006:$AE$1006,0))&gt;=100000), " ",IF(INDEX($V$2:$AE$1001,MATCH(ROWS($O$2:O62),$O$2:$O$1001,0),MATCH(COLUMNS($V$1006:AA1006),$V$1006:$AE$1006,0)), HYPERLINK("#",""), HYPERLINK(CONCATENATE("#Metadata!", ADDRESS(INDEX($Q$2:$Q$1001,MATCH(ROWS($O$2:O62),$O$2:$O$1001,0),0), INDEX($V$1004:$AE$1004,1,MATCH(COLUMNS($V$1006:AA1006),$V$1006:$AE$1006,0)))),"Fix")))</f>
        <v>0</v>
      </c>
      <c r="H62" s="3">
        <f>IF(OR(INDEX($P$2:$P$1001,MATCH(ROWS($O$2:O62),$O$2:$O$1001,0),1)&gt;=100000,INDEX($V$1005:$AE$1005,1,MATCH(COLUMNS($V$1006:AB1006),$V$1006:$AE$1006,0))&gt;=100000), " ",IF(INDEX($V$2:$AE$1001,MATCH(ROWS($O$2:O62),$O$2:$O$1001,0),MATCH(COLUMNS($V$1006:AB1006),$V$1006:$AE$1006,0)), HYPERLINK("#",""), HYPERLINK(CONCATENATE("#Metadata!", ADDRESS(INDEX($Q$2:$Q$1001,MATCH(ROWS($O$2:O62),$O$2:$O$1001,0),0), INDEX($V$1004:$AE$1004,1,MATCH(COLUMNS($V$1006:AB1006),$V$1006:$AE$1006,0)))),"Fix")))</f>
        <v>0</v>
      </c>
      <c r="I62" s="3">
        <f>IF(OR(INDEX($P$2:$P$1001,MATCH(ROWS($O$2:O62),$O$2:$O$1001,0),1)&gt;=100000,INDEX($V$1005:$AE$1005,1,MATCH(COLUMNS($V$1006:AC1006),$V$1006:$AE$1006,0))&gt;=100000), " ",IF(INDEX($V$2:$AE$1001,MATCH(ROWS($O$2:O62),$O$2:$O$1001,0),MATCH(COLUMNS($V$1006:AC1006),$V$1006:$AE$1006,0)), HYPERLINK("#",""), HYPERLINK(CONCATENATE("#Metadata!", ADDRESS(INDEX($Q$2:$Q$1001,MATCH(ROWS($O$2:O62),$O$2:$O$1001,0),0), INDEX($V$1004:$AE$1004,1,MATCH(COLUMNS($V$1006:AC1006),$V$1006:$AE$1006,0)))),"Fix")))</f>
        <v>0</v>
      </c>
      <c r="J62" s="3">
        <f>IF(OR(INDEX($P$2:$P$1001,MATCH(ROWS($O$2:O62),$O$2:$O$1001,0),1)&gt;=100000,INDEX($V$1005:$AE$1005,1,MATCH(COLUMNS($V$1006:AD1006),$V$1006:$AE$1006,0))&gt;=100000), " ",IF(INDEX($V$2:$AE$1001,MATCH(ROWS($O$2:O62),$O$2:$O$1001,0),MATCH(COLUMNS($V$1006:AD1006),$V$1006:$AE$1006,0)), HYPERLINK("#",""), HYPERLINK(CONCATENATE("#Metadata!", ADDRESS(INDEX($Q$2:$Q$1001,MATCH(ROWS($O$2:O62),$O$2:$O$1001,0),0), INDEX($V$1004:$AE$1004,1,MATCH(COLUMNS($V$1006:AD1006),$V$1006:$AE$1006,0)))),"Fix")))</f>
        <v>0</v>
      </c>
      <c r="K62" s="3">
        <f>IF(OR(INDEX($P$2:$P$1001,MATCH(ROWS($O$2:O62),$O$2:$O$1001,0),1)&gt;=100000,INDEX($V$1005:$AE$1005,1,MATCH(COLUMNS($V$1006:AE1006),$V$1006:$AE$1006,0))&gt;=100000), " ",IF(INDEX($V$2:$AE$1001,MATCH(ROWS($O$2:O62),$O$2:$O$1001,0),MATCH(COLUMNS($V$1006:AE1006),$V$1006:$AE$1006,0)), HYPERLINK("#",""), HYPERLINK(CONCATENATE("#Metadata!", ADDRESS(INDEX($Q$2:$Q$1001,MATCH(ROWS($O$2:O62),$O$2:$O$1001,0),0), INDEX($V$1004:$AE$1004,1,MATCH(COLUMNS($V$1006:AE1006),$V$1006:$AE$1006,0)))),"Fix")))</f>
        <v>0</v>
      </c>
      <c r="O62">
        <v>0</v>
      </c>
      <c r="P62">
        <v>0</v>
      </c>
      <c r="Q62">
        <v>0</v>
      </c>
      <c r="R62">
        <f>IF(S62,TRUE,AND(V62:AE62))</f>
        <v>0</v>
      </c>
      <c r="S62">
        <f>COUNTBLANK(Metadata!B62:K62)=COLUMNS(Metadata!B62:K62)</f>
        <v>0</v>
      </c>
      <c r="T62">
        <v>0</v>
      </c>
      <c r="V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W62">
        <f>AND(IF(Metadata!C62="",FALSE,TRUE),exact(Metadata!C62,"animal secretion"))</f>
        <v>0</v>
      </c>
      <c r="X62">
        <f>AND(IF(Metadata!D62="",FALSE,TRUE),exact(Metadata!D62,"saliva"))</f>
        <v>0</v>
      </c>
      <c r="Y62">
        <f>AND(IF(Metadata!E62="",FALSE,TRUE),exact(Metadata!E62,"human-oral"))</f>
        <v>0</v>
      </c>
      <c r="Z62">
        <f>AND(IF(Metadata!F62="",FALSE,TRUE),exact(Metadata!F62,"UBERON:oral cavity"))</f>
        <v>0</v>
      </c>
      <c r="AA62">
        <f>AND(IF(Metadata!G62="",FALSE,TRUE),exact(Metadata!G62,"UBERON:saliva"))</f>
        <v>0</v>
      </c>
      <c r="AB62">
        <f>AND(IF(Metadata!H62="",FALSE,TRUE),exact(Metadata!H62,"UBERON:tongue"))</f>
        <v>0</v>
      </c>
      <c r="AC62">
        <f>AND(IF(Metadata!I62="",FALSE,TRUE),exact(Metadata!I62,"tongue"))</f>
        <v>0</v>
      </c>
      <c r="AD62">
        <f>AND(IF(Metadata!J62="",FALSE,TRUE),exact(Metadata!J62,"human oral metagenome"))</f>
        <v>0</v>
      </c>
      <c r="AE62">
        <f>AND(IF(Metadata!K62="",FALSE,TRUE),exact(Metadata!K62,"447426"))</f>
        <v>0</v>
      </c>
    </row>
    <row r="63" spans="1:31">
      <c r="A63" s="4">
        <f>IF(B63=" "," ",HYPERLINK(CONCATENATE("#metadata!",ADDRESS(INDEX($Q$2:$Q$1001,MATCH(ROWS($O$2:O63),$O$2:$O$1001,0),0),1)),INDEX($T$2:$T$1001,MATCH(ROWS($O$2:O63),$O$2:$O$1001,0),0)))</f>
        <v>0</v>
      </c>
      <c r="B63" s="3">
        <f>IF(OR(INDEX($P$2:$P$1001,MATCH(ROWS($O$2:O63),$O$2:$O$1001,0),1)&gt;=100000,INDEX($V$1005:$AE$1005,1,MATCH(COLUMNS($V$1006:V1006),$V$1006:$AE$1006,0))&gt;=100000), " ",IF(INDEX($V$2:$AE$1001,MATCH(ROWS($O$2:O63),$O$2:$O$1001,0),MATCH(COLUMNS($V$1006:V1006),$V$1006:$AE$1006,0)), HYPERLINK("#",""), HYPERLINK(CONCATENATE("#Metadata!", ADDRESS(INDEX($Q$2:$Q$1001,MATCH(ROWS($O$2:O63),$O$2:$O$1001,0),0), INDEX($V$1004:$AE$1004,1,MATCH(COLUMNS($V$1006:V1006),$V$1006:$AE$1006,0)))),"Fix")))</f>
        <v>0</v>
      </c>
      <c r="C63" s="3">
        <f>IF(OR(INDEX($P$2:$P$1001,MATCH(ROWS($O$2:O63),$O$2:$O$1001,0),1)&gt;=100000,INDEX($V$1005:$AE$1005,1,MATCH(COLUMNS($V$1006:W1006),$V$1006:$AE$1006,0))&gt;=100000), " ",IF(INDEX($V$2:$AE$1001,MATCH(ROWS($O$2:O63),$O$2:$O$1001,0),MATCH(COLUMNS($V$1006:W1006),$V$1006:$AE$1006,0)), HYPERLINK("#",""), HYPERLINK(CONCATENATE("#Metadata!", ADDRESS(INDEX($Q$2:$Q$1001,MATCH(ROWS($O$2:O63),$O$2:$O$1001,0),0), INDEX($V$1004:$AE$1004,1,MATCH(COLUMNS($V$1006:W1006),$V$1006:$AE$1006,0)))),"Fix")))</f>
        <v>0</v>
      </c>
      <c r="D63" s="3">
        <f>IF(OR(INDEX($P$2:$P$1001,MATCH(ROWS($O$2:O63),$O$2:$O$1001,0),1)&gt;=100000,INDEX($V$1005:$AE$1005,1,MATCH(COLUMNS($V$1006:X1006),$V$1006:$AE$1006,0))&gt;=100000), " ",IF(INDEX($V$2:$AE$1001,MATCH(ROWS($O$2:O63),$O$2:$O$1001,0),MATCH(COLUMNS($V$1006:X1006),$V$1006:$AE$1006,0)), HYPERLINK("#",""), HYPERLINK(CONCATENATE("#Metadata!", ADDRESS(INDEX($Q$2:$Q$1001,MATCH(ROWS($O$2:O63),$O$2:$O$1001,0),0), INDEX($V$1004:$AE$1004,1,MATCH(COLUMNS($V$1006:X1006),$V$1006:$AE$1006,0)))),"Fix")))</f>
        <v>0</v>
      </c>
      <c r="E63" s="3">
        <f>IF(OR(INDEX($P$2:$P$1001,MATCH(ROWS($O$2:O63),$O$2:$O$1001,0),1)&gt;=100000,INDEX($V$1005:$AE$1005,1,MATCH(COLUMNS($V$1006:Y1006),$V$1006:$AE$1006,0))&gt;=100000), " ",IF(INDEX($V$2:$AE$1001,MATCH(ROWS($O$2:O63),$O$2:$O$1001,0),MATCH(COLUMNS($V$1006:Y1006),$V$1006:$AE$1006,0)), HYPERLINK("#",""), HYPERLINK(CONCATENATE("#Metadata!", ADDRESS(INDEX($Q$2:$Q$1001,MATCH(ROWS($O$2:O63),$O$2:$O$1001,0),0), INDEX($V$1004:$AE$1004,1,MATCH(COLUMNS($V$1006:Y1006),$V$1006:$AE$1006,0)))),"Fix")))</f>
        <v>0</v>
      </c>
      <c r="F63" s="3">
        <f>IF(OR(INDEX($P$2:$P$1001,MATCH(ROWS($O$2:O63),$O$2:$O$1001,0),1)&gt;=100000,INDEX($V$1005:$AE$1005,1,MATCH(COLUMNS($V$1006:Z1006),$V$1006:$AE$1006,0))&gt;=100000), " ",IF(INDEX($V$2:$AE$1001,MATCH(ROWS($O$2:O63),$O$2:$O$1001,0),MATCH(COLUMNS($V$1006:Z1006),$V$1006:$AE$1006,0)), HYPERLINK("#",""), HYPERLINK(CONCATENATE("#Metadata!", ADDRESS(INDEX($Q$2:$Q$1001,MATCH(ROWS($O$2:O63),$O$2:$O$1001,0),0), INDEX($V$1004:$AE$1004,1,MATCH(COLUMNS($V$1006:Z1006),$V$1006:$AE$1006,0)))),"Fix")))</f>
        <v>0</v>
      </c>
      <c r="G63" s="3">
        <f>IF(OR(INDEX($P$2:$P$1001,MATCH(ROWS($O$2:O63),$O$2:$O$1001,0),1)&gt;=100000,INDEX($V$1005:$AE$1005,1,MATCH(COLUMNS($V$1006:AA1006),$V$1006:$AE$1006,0))&gt;=100000), " ",IF(INDEX($V$2:$AE$1001,MATCH(ROWS($O$2:O63),$O$2:$O$1001,0),MATCH(COLUMNS($V$1006:AA1006),$V$1006:$AE$1006,0)), HYPERLINK("#",""), HYPERLINK(CONCATENATE("#Metadata!", ADDRESS(INDEX($Q$2:$Q$1001,MATCH(ROWS($O$2:O63),$O$2:$O$1001,0),0), INDEX($V$1004:$AE$1004,1,MATCH(COLUMNS($V$1006:AA1006),$V$1006:$AE$1006,0)))),"Fix")))</f>
        <v>0</v>
      </c>
      <c r="H63" s="3">
        <f>IF(OR(INDEX($P$2:$P$1001,MATCH(ROWS($O$2:O63),$O$2:$O$1001,0),1)&gt;=100000,INDEX($V$1005:$AE$1005,1,MATCH(COLUMNS($V$1006:AB1006),$V$1006:$AE$1006,0))&gt;=100000), " ",IF(INDEX($V$2:$AE$1001,MATCH(ROWS($O$2:O63),$O$2:$O$1001,0),MATCH(COLUMNS($V$1006:AB1006),$V$1006:$AE$1006,0)), HYPERLINK("#",""), HYPERLINK(CONCATENATE("#Metadata!", ADDRESS(INDEX($Q$2:$Q$1001,MATCH(ROWS($O$2:O63),$O$2:$O$1001,0),0), INDEX($V$1004:$AE$1004,1,MATCH(COLUMNS($V$1006:AB1006),$V$1006:$AE$1006,0)))),"Fix")))</f>
        <v>0</v>
      </c>
      <c r="I63" s="3">
        <f>IF(OR(INDEX($P$2:$P$1001,MATCH(ROWS($O$2:O63),$O$2:$O$1001,0),1)&gt;=100000,INDEX($V$1005:$AE$1005,1,MATCH(COLUMNS($V$1006:AC1006),$V$1006:$AE$1006,0))&gt;=100000), " ",IF(INDEX($V$2:$AE$1001,MATCH(ROWS($O$2:O63),$O$2:$O$1001,0),MATCH(COLUMNS($V$1006:AC1006),$V$1006:$AE$1006,0)), HYPERLINK("#",""), HYPERLINK(CONCATENATE("#Metadata!", ADDRESS(INDEX($Q$2:$Q$1001,MATCH(ROWS($O$2:O63),$O$2:$O$1001,0),0), INDEX($V$1004:$AE$1004,1,MATCH(COLUMNS($V$1006:AC1006),$V$1006:$AE$1006,0)))),"Fix")))</f>
        <v>0</v>
      </c>
      <c r="J63" s="3">
        <f>IF(OR(INDEX($P$2:$P$1001,MATCH(ROWS($O$2:O63),$O$2:$O$1001,0),1)&gt;=100000,INDEX($V$1005:$AE$1005,1,MATCH(COLUMNS($V$1006:AD1006),$V$1006:$AE$1006,0))&gt;=100000), " ",IF(INDEX($V$2:$AE$1001,MATCH(ROWS($O$2:O63),$O$2:$O$1001,0),MATCH(COLUMNS($V$1006:AD1006),$V$1006:$AE$1006,0)), HYPERLINK("#",""), HYPERLINK(CONCATENATE("#Metadata!", ADDRESS(INDEX($Q$2:$Q$1001,MATCH(ROWS($O$2:O63),$O$2:$O$1001,0),0), INDEX($V$1004:$AE$1004,1,MATCH(COLUMNS($V$1006:AD1006),$V$1006:$AE$1006,0)))),"Fix")))</f>
        <v>0</v>
      </c>
      <c r="K63" s="3">
        <f>IF(OR(INDEX($P$2:$P$1001,MATCH(ROWS($O$2:O63),$O$2:$O$1001,0),1)&gt;=100000,INDEX($V$1005:$AE$1005,1,MATCH(COLUMNS($V$1006:AE1006),$V$1006:$AE$1006,0))&gt;=100000), " ",IF(INDEX($V$2:$AE$1001,MATCH(ROWS($O$2:O63),$O$2:$O$1001,0),MATCH(COLUMNS($V$1006:AE1006),$V$1006:$AE$1006,0)), HYPERLINK("#",""), HYPERLINK(CONCATENATE("#Metadata!", ADDRESS(INDEX($Q$2:$Q$1001,MATCH(ROWS($O$2:O63),$O$2:$O$1001,0),0), INDEX($V$1004:$AE$1004,1,MATCH(COLUMNS($V$1006:AE1006),$V$1006:$AE$1006,0)))),"Fix")))</f>
        <v>0</v>
      </c>
      <c r="O63">
        <v>0</v>
      </c>
      <c r="P63">
        <v>0</v>
      </c>
      <c r="Q63">
        <v>0</v>
      </c>
      <c r="R63">
        <f>IF(S63,TRUE,AND(V63:AE63))</f>
        <v>0</v>
      </c>
      <c r="S63">
        <f>COUNTBLANK(Metadata!B63:K63)=COLUMNS(Metadata!B63:K63)</f>
        <v>0</v>
      </c>
      <c r="T63">
        <v>0</v>
      </c>
      <c r="V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W63">
        <f>AND(IF(Metadata!C63="",FALSE,TRUE),exact(Metadata!C63,"animal secretion"))</f>
        <v>0</v>
      </c>
      <c r="X63">
        <f>AND(IF(Metadata!D63="",FALSE,TRUE),exact(Metadata!D63,"saliva"))</f>
        <v>0</v>
      </c>
      <c r="Y63">
        <f>AND(IF(Metadata!E63="",FALSE,TRUE),exact(Metadata!E63,"human-oral"))</f>
        <v>0</v>
      </c>
      <c r="Z63">
        <f>AND(IF(Metadata!F63="",FALSE,TRUE),exact(Metadata!F63,"UBERON:oral cavity"))</f>
        <v>0</v>
      </c>
      <c r="AA63">
        <f>AND(IF(Metadata!G63="",FALSE,TRUE),exact(Metadata!G63,"UBERON:saliva"))</f>
        <v>0</v>
      </c>
      <c r="AB63">
        <f>AND(IF(Metadata!H63="",FALSE,TRUE),exact(Metadata!H63,"UBERON:tongue"))</f>
        <v>0</v>
      </c>
      <c r="AC63">
        <f>AND(IF(Metadata!I63="",FALSE,TRUE),exact(Metadata!I63,"tongue"))</f>
        <v>0</v>
      </c>
      <c r="AD63">
        <f>AND(IF(Metadata!J63="",FALSE,TRUE),exact(Metadata!J63,"human oral metagenome"))</f>
        <v>0</v>
      </c>
      <c r="AE63">
        <f>AND(IF(Metadata!K63="",FALSE,TRUE),exact(Metadata!K63,"447426"))</f>
        <v>0</v>
      </c>
    </row>
    <row r="64" spans="1:31">
      <c r="A64" s="4">
        <f>IF(B64=" "," ",HYPERLINK(CONCATENATE("#metadata!",ADDRESS(INDEX($Q$2:$Q$1001,MATCH(ROWS($O$2:O64),$O$2:$O$1001,0),0),1)),INDEX($T$2:$T$1001,MATCH(ROWS($O$2:O64),$O$2:$O$1001,0),0)))</f>
        <v>0</v>
      </c>
      <c r="B64" s="3">
        <f>IF(OR(INDEX($P$2:$P$1001,MATCH(ROWS($O$2:O64),$O$2:$O$1001,0),1)&gt;=100000,INDEX($V$1005:$AE$1005,1,MATCH(COLUMNS($V$1006:V1006),$V$1006:$AE$1006,0))&gt;=100000), " ",IF(INDEX($V$2:$AE$1001,MATCH(ROWS($O$2:O64),$O$2:$O$1001,0),MATCH(COLUMNS($V$1006:V1006),$V$1006:$AE$1006,0)), HYPERLINK("#",""), HYPERLINK(CONCATENATE("#Metadata!", ADDRESS(INDEX($Q$2:$Q$1001,MATCH(ROWS($O$2:O64),$O$2:$O$1001,0),0), INDEX($V$1004:$AE$1004,1,MATCH(COLUMNS($V$1006:V1006),$V$1006:$AE$1006,0)))),"Fix")))</f>
        <v>0</v>
      </c>
      <c r="C64" s="3">
        <f>IF(OR(INDEX($P$2:$P$1001,MATCH(ROWS($O$2:O64),$O$2:$O$1001,0),1)&gt;=100000,INDEX($V$1005:$AE$1005,1,MATCH(COLUMNS($V$1006:W1006),$V$1006:$AE$1006,0))&gt;=100000), " ",IF(INDEX($V$2:$AE$1001,MATCH(ROWS($O$2:O64),$O$2:$O$1001,0),MATCH(COLUMNS($V$1006:W1006),$V$1006:$AE$1006,0)), HYPERLINK("#",""), HYPERLINK(CONCATENATE("#Metadata!", ADDRESS(INDEX($Q$2:$Q$1001,MATCH(ROWS($O$2:O64),$O$2:$O$1001,0),0), INDEX($V$1004:$AE$1004,1,MATCH(COLUMNS($V$1006:W1006),$V$1006:$AE$1006,0)))),"Fix")))</f>
        <v>0</v>
      </c>
      <c r="D64" s="3">
        <f>IF(OR(INDEX($P$2:$P$1001,MATCH(ROWS($O$2:O64),$O$2:$O$1001,0),1)&gt;=100000,INDEX($V$1005:$AE$1005,1,MATCH(COLUMNS($V$1006:X1006),$V$1006:$AE$1006,0))&gt;=100000), " ",IF(INDEX($V$2:$AE$1001,MATCH(ROWS($O$2:O64),$O$2:$O$1001,0),MATCH(COLUMNS($V$1006:X1006),$V$1006:$AE$1006,0)), HYPERLINK("#",""), HYPERLINK(CONCATENATE("#Metadata!", ADDRESS(INDEX($Q$2:$Q$1001,MATCH(ROWS($O$2:O64),$O$2:$O$1001,0),0), INDEX($V$1004:$AE$1004,1,MATCH(COLUMNS($V$1006:X1006),$V$1006:$AE$1006,0)))),"Fix")))</f>
        <v>0</v>
      </c>
      <c r="E64" s="3">
        <f>IF(OR(INDEX($P$2:$P$1001,MATCH(ROWS($O$2:O64),$O$2:$O$1001,0),1)&gt;=100000,INDEX($V$1005:$AE$1005,1,MATCH(COLUMNS($V$1006:Y1006),$V$1006:$AE$1006,0))&gt;=100000), " ",IF(INDEX($V$2:$AE$1001,MATCH(ROWS($O$2:O64),$O$2:$O$1001,0),MATCH(COLUMNS($V$1006:Y1006),$V$1006:$AE$1006,0)), HYPERLINK("#",""), HYPERLINK(CONCATENATE("#Metadata!", ADDRESS(INDEX($Q$2:$Q$1001,MATCH(ROWS($O$2:O64),$O$2:$O$1001,0),0), INDEX($V$1004:$AE$1004,1,MATCH(COLUMNS($V$1006:Y1006),$V$1006:$AE$1006,0)))),"Fix")))</f>
        <v>0</v>
      </c>
      <c r="F64" s="3">
        <f>IF(OR(INDEX($P$2:$P$1001,MATCH(ROWS($O$2:O64),$O$2:$O$1001,0),1)&gt;=100000,INDEX($V$1005:$AE$1005,1,MATCH(COLUMNS($V$1006:Z1006),$V$1006:$AE$1006,0))&gt;=100000), " ",IF(INDEX($V$2:$AE$1001,MATCH(ROWS($O$2:O64),$O$2:$O$1001,0),MATCH(COLUMNS($V$1006:Z1006),$V$1006:$AE$1006,0)), HYPERLINK("#",""), HYPERLINK(CONCATENATE("#Metadata!", ADDRESS(INDEX($Q$2:$Q$1001,MATCH(ROWS($O$2:O64),$O$2:$O$1001,0),0), INDEX($V$1004:$AE$1004,1,MATCH(COLUMNS($V$1006:Z1006),$V$1006:$AE$1006,0)))),"Fix")))</f>
        <v>0</v>
      </c>
      <c r="G64" s="3">
        <f>IF(OR(INDEX($P$2:$P$1001,MATCH(ROWS($O$2:O64),$O$2:$O$1001,0),1)&gt;=100000,INDEX($V$1005:$AE$1005,1,MATCH(COLUMNS($V$1006:AA1006),$V$1006:$AE$1006,0))&gt;=100000), " ",IF(INDEX($V$2:$AE$1001,MATCH(ROWS($O$2:O64),$O$2:$O$1001,0),MATCH(COLUMNS($V$1006:AA1006),$V$1006:$AE$1006,0)), HYPERLINK("#",""), HYPERLINK(CONCATENATE("#Metadata!", ADDRESS(INDEX($Q$2:$Q$1001,MATCH(ROWS($O$2:O64),$O$2:$O$1001,0),0), INDEX($V$1004:$AE$1004,1,MATCH(COLUMNS($V$1006:AA1006),$V$1006:$AE$1006,0)))),"Fix")))</f>
        <v>0</v>
      </c>
      <c r="H64" s="3">
        <f>IF(OR(INDEX($P$2:$P$1001,MATCH(ROWS($O$2:O64),$O$2:$O$1001,0),1)&gt;=100000,INDEX($V$1005:$AE$1005,1,MATCH(COLUMNS($V$1006:AB1006),$V$1006:$AE$1006,0))&gt;=100000), " ",IF(INDEX($V$2:$AE$1001,MATCH(ROWS($O$2:O64),$O$2:$O$1001,0),MATCH(COLUMNS($V$1006:AB1006),$V$1006:$AE$1006,0)), HYPERLINK("#",""), HYPERLINK(CONCATENATE("#Metadata!", ADDRESS(INDEX($Q$2:$Q$1001,MATCH(ROWS($O$2:O64),$O$2:$O$1001,0),0), INDEX($V$1004:$AE$1004,1,MATCH(COLUMNS($V$1006:AB1006),$V$1006:$AE$1006,0)))),"Fix")))</f>
        <v>0</v>
      </c>
      <c r="I64" s="3">
        <f>IF(OR(INDEX($P$2:$P$1001,MATCH(ROWS($O$2:O64),$O$2:$O$1001,0),1)&gt;=100000,INDEX($V$1005:$AE$1005,1,MATCH(COLUMNS($V$1006:AC1006),$V$1006:$AE$1006,0))&gt;=100000), " ",IF(INDEX($V$2:$AE$1001,MATCH(ROWS($O$2:O64),$O$2:$O$1001,0),MATCH(COLUMNS($V$1006:AC1006),$V$1006:$AE$1006,0)), HYPERLINK("#",""), HYPERLINK(CONCATENATE("#Metadata!", ADDRESS(INDEX($Q$2:$Q$1001,MATCH(ROWS($O$2:O64),$O$2:$O$1001,0),0), INDEX($V$1004:$AE$1004,1,MATCH(COLUMNS($V$1006:AC1006),$V$1006:$AE$1006,0)))),"Fix")))</f>
        <v>0</v>
      </c>
      <c r="J64" s="3">
        <f>IF(OR(INDEX($P$2:$P$1001,MATCH(ROWS($O$2:O64),$O$2:$O$1001,0),1)&gt;=100000,INDEX($V$1005:$AE$1005,1,MATCH(COLUMNS($V$1006:AD1006),$V$1006:$AE$1006,0))&gt;=100000), " ",IF(INDEX($V$2:$AE$1001,MATCH(ROWS($O$2:O64),$O$2:$O$1001,0),MATCH(COLUMNS($V$1006:AD1006),$V$1006:$AE$1006,0)), HYPERLINK("#",""), HYPERLINK(CONCATENATE("#Metadata!", ADDRESS(INDEX($Q$2:$Q$1001,MATCH(ROWS($O$2:O64),$O$2:$O$1001,0),0), INDEX($V$1004:$AE$1004,1,MATCH(COLUMNS($V$1006:AD1006),$V$1006:$AE$1006,0)))),"Fix")))</f>
        <v>0</v>
      </c>
      <c r="K64" s="3">
        <f>IF(OR(INDEX($P$2:$P$1001,MATCH(ROWS($O$2:O64),$O$2:$O$1001,0),1)&gt;=100000,INDEX($V$1005:$AE$1005,1,MATCH(COLUMNS($V$1006:AE1006),$V$1006:$AE$1006,0))&gt;=100000), " ",IF(INDEX($V$2:$AE$1001,MATCH(ROWS($O$2:O64),$O$2:$O$1001,0),MATCH(COLUMNS($V$1006:AE1006),$V$1006:$AE$1006,0)), HYPERLINK("#",""), HYPERLINK(CONCATENATE("#Metadata!", ADDRESS(INDEX($Q$2:$Q$1001,MATCH(ROWS($O$2:O64),$O$2:$O$1001,0),0), INDEX($V$1004:$AE$1004,1,MATCH(COLUMNS($V$1006:AE1006),$V$1006:$AE$1006,0)))),"Fix")))</f>
        <v>0</v>
      </c>
      <c r="O64">
        <v>0</v>
      </c>
      <c r="P64">
        <v>0</v>
      </c>
      <c r="Q64">
        <v>0</v>
      </c>
      <c r="R64">
        <f>IF(S64,TRUE,AND(V64:AE64))</f>
        <v>0</v>
      </c>
      <c r="S64">
        <f>COUNTBLANK(Metadata!B64:K64)=COLUMNS(Metadata!B64:K64)</f>
        <v>0</v>
      </c>
      <c r="T64">
        <v>0</v>
      </c>
      <c r="V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W64">
        <f>AND(IF(Metadata!C64="",FALSE,TRUE),exact(Metadata!C64,"animal secretion"))</f>
        <v>0</v>
      </c>
      <c r="X64">
        <f>AND(IF(Metadata!D64="",FALSE,TRUE),exact(Metadata!D64,"saliva"))</f>
        <v>0</v>
      </c>
      <c r="Y64">
        <f>AND(IF(Metadata!E64="",FALSE,TRUE),exact(Metadata!E64,"human-oral"))</f>
        <v>0</v>
      </c>
      <c r="Z64">
        <f>AND(IF(Metadata!F64="",FALSE,TRUE),exact(Metadata!F64,"UBERON:oral cavity"))</f>
        <v>0</v>
      </c>
      <c r="AA64">
        <f>AND(IF(Metadata!G64="",FALSE,TRUE),exact(Metadata!G64,"UBERON:saliva"))</f>
        <v>0</v>
      </c>
      <c r="AB64">
        <f>AND(IF(Metadata!H64="",FALSE,TRUE),exact(Metadata!H64,"UBERON:tongue"))</f>
        <v>0</v>
      </c>
      <c r="AC64">
        <f>AND(IF(Metadata!I64="",FALSE,TRUE),exact(Metadata!I64,"tongue"))</f>
        <v>0</v>
      </c>
      <c r="AD64">
        <f>AND(IF(Metadata!J64="",FALSE,TRUE),exact(Metadata!J64,"human oral metagenome"))</f>
        <v>0</v>
      </c>
      <c r="AE64">
        <f>AND(IF(Metadata!K64="",FALSE,TRUE),exact(Metadata!K64,"447426"))</f>
        <v>0</v>
      </c>
    </row>
    <row r="65" spans="1:31">
      <c r="A65" s="4">
        <f>IF(B65=" "," ",HYPERLINK(CONCATENATE("#metadata!",ADDRESS(INDEX($Q$2:$Q$1001,MATCH(ROWS($O$2:O65),$O$2:$O$1001,0),0),1)),INDEX($T$2:$T$1001,MATCH(ROWS($O$2:O65),$O$2:$O$1001,0),0)))</f>
        <v>0</v>
      </c>
      <c r="B65" s="3">
        <f>IF(OR(INDEX($P$2:$P$1001,MATCH(ROWS($O$2:O65),$O$2:$O$1001,0),1)&gt;=100000,INDEX($V$1005:$AE$1005,1,MATCH(COLUMNS($V$1006:V1006),$V$1006:$AE$1006,0))&gt;=100000), " ",IF(INDEX($V$2:$AE$1001,MATCH(ROWS($O$2:O65),$O$2:$O$1001,0),MATCH(COLUMNS($V$1006:V1006),$V$1006:$AE$1006,0)), HYPERLINK("#",""), HYPERLINK(CONCATENATE("#Metadata!", ADDRESS(INDEX($Q$2:$Q$1001,MATCH(ROWS($O$2:O65),$O$2:$O$1001,0),0), INDEX($V$1004:$AE$1004,1,MATCH(COLUMNS($V$1006:V1006),$V$1006:$AE$1006,0)))),"Fix")))</f>
        <v>0</v>
      </c>
      <c r="C65" s="3">
        <f>IF(OR(INDEX($P$2:$P$1001,MATCH(ROWS($O$2:O65),$O$2:$O$1001,0),1)&gt;=100000,INDEX($V$1005:$AE$1005,1,MATCH(COLUMNS($V$1006:W1006),$V$1006:$AE$1006,0))&gt;=100000), " ",IF(INDEX($V$2:$AE$1001,MATCH(ROWS($O$2:O65),$O$2:$O$1001,0),MATCH(COLUMNS($V$1006:W1006),$V$1006:$AE$1006,0)), HYPERLINK("#",""), HYPERLINK(CONCATENATE("#Metadata!", ADDRESS(INDEX($Q$2:$Q$1001,MATCH(ROWS($O$2:O65),$O$2:$O$1001,0),0), INDEX($V$1004:$AE$1004,1,MATCH(COLUMNS($V$1006:W1006),$V$1006:$AE$1006,0)))),"Fix")))</f>
        <v>0</v>
      </c>
      <c r="D65" s="3">
        <f>IF(OR(INDEX($P$2:$P$1001,MATCH(ROWS($O$2:O65),$O$2:$O$1001,0),1)&gt;=100000,INDEX($V$1005:$AE$1005,1,MATCH(COLUMNS($V$1006:X1006),$V$1006:$AE$1006,0))&gt;=100000), " ",IF(INDEX($V$2:$AE$1001,MATCH(ROWS($O$2:O65),$O$2:$O$1001,0),MATCH(COLUMNS($V$1006:X1006),$V$1006:$AE$1006,0)), HYPERLINK("#",""), HYPERLINK(CONCATENATE("#Metadata!", ADDRESS(INDEX($Q$2:$Q$1001,MATCH(ROWS($O$2:O65),$O$2:$O$1001,0),0), INDEX($V$1004:$AE$1004,1,MATCH(COLUMNS($V$1006:X1006),$V$1006:$AE$1006,0)))),"Fix")))</f>
        <v>0</v>
      </c>
      <c r="E65" s="3">
        <f>IF(OR(INDEX($P$2:$P$1001,MATCH(ROWS($O$2:O65),$O$2:$O$1001,0),1)&gt;=100000,INDEX($V$1005:$AE$1005,1,MATCH(COLUMNS($V$1006:Y1006),$V$1006:$AE$1006,0))&gt;=100000), " ",IF(INDEX($V$2:$AE$1001,MATCH(ROWS($O$2:O65),$O$2:$O$1001,0),MATCH(COLUMNS($V$1006:Y1006),$V$1006:$AE$1006,0)), HYPERLINK("#",""), HYPERLINK(CONCATENATE("#Metadata!", ADDRESS(INDEX($Q$2:$Q$1001,MATCH(ROWS($O$2:O65),$O$2:$O$1001,0),0), INDEX($V$1004:$AE$1004,1,MATCH(COLUMNS($V$1006:Y1006),$V$1006:$AE$1006,0)))),"Fix")))</f>
        <v>0</v>
      </c>
      <c r="F65" s="3">
        <f>IF(OR(INDEX($P$2:$P$1001,MATCH(ROWS($O$2:O65),$O$2:$O$1001,0),1)&gt;=100000,INDEX($V$1005:$AE$1005,1,MATCH(COLUMNS($V$1006:Z1006),$V$1006:$AE$1006,0))&gt;=100000), " ",IF(INDEX($V$2:$AE$1001,MATCH(ROWS($O$2:O65),$O$2:$O$1001,0),MATCH(COLUMNS($V$1006:Z1006),$V$1006:$AE$1006,0)), HYPERLINK("#",""), HYPERLINK(CONCATENATE("#Metadata!", ADDRESS(INDEX($Q$2:$Q$1001,MATCH(ROWS($O$2:O65),$O$2:$O$1001,0),0), INDEX($V$1004:$AE$1004,1,MATCH(COLUMNS($V$1006:Z1006),$V$1006:$AE$1006,0)))),"Fix")))</f>
        <v>0</v>
      </c>
      <c r="G65" s="3">
        <f>IF(OR(INDEX($P$2:$P$1001,MATCH(ROWS($O$2:O65),$O$2:$O$1001,0),1)&gt;=100000,INDEX($V$1005:$AE$1005,1,MATCH(COLUMNS($V$1006:AA1006),$V$1006:$AE$1006,0))&gt;=100000), " ",IF(INDEX($V$2:$AE$1001,MATCH(ROWS($O$2:O65),$O$2:$O$1001,0),MATCH(COLUMNS($V$1006:AA1006),$V$1006:$AE$1006,0)), HYPERLINK("#",""), HYPERLINK(CONCATENATE("#Metadata!", ADDRESS(INDEX($Q$2:$Q$1001,MATCH(ROWS($O$2:O65),$O$2:$O$1001,0),0), INDEX($V$1004:$AE$1004,1,MATCH(COLUMNS($V$1006:AA1006),$V$1006:$AE$1006,0)))),"Fix")))</f>
        <v>0</v>
      </c>
      <c r="H65" s="3">
        <f>IF(OR(INDEX($P$2:$P$1001,MATCH(ROWS($O$2:O65),$O$2:$O$1001,0),1)&gt;=100000,INDEX($V$1005:$AE$1005,1,MATCH(COLUMNS($V$1006:AB1006),$V$1006:$AE$1006,0))&gt;=100000), " ",IF(INDEX($V$2:$AE$1001,MATCH(ROWS($O$2:O65),$O$2:$O$1001,0),MATCH(COLUMNS($V$1006:AB1006),$V$1006:$AE$1006,0)), HYPERLINK("#",""), HYPERLINK(CONCATENATE("#Metadata!", ADDRESS(INDEX($Q$2:$Q$1001,MATCH(ROWS($O$2:O65),$O$2:$O$1001,0),0), INDEX($V$1004:$AE$1004,1,MATCH(COLUMNS($V$1006:AB1006),$V$1006:$AE$1006,0)))),"Fix")))</f>
        <v>0</v>
      </c>
      <c r="I65" s="3">
        <f>IF(OR(INDEX($P$2:$P$1001,MATCH(ROWS($O$2:O65),$O$2:$O$1001,0),1)&gt;=100000,INDEX($V$1005:$AE$1005,1,MATCH(COLUMNS($V$1006:AC1006),$V$1006:$AE$1006,0))&gt;=100000), " ",IF(INDEX($V$2:$AE$1001,MATCH(ROWS($O$2:O65),$O$2:$O$1001,0),MATCH(COLUMNS($V$1006:AC1006),$V$1006:$AE$1006,0)), HYPERLINK("#",""), HYPERLINK(CONCATENATE("#Metadata!", ADDRESS(INDEX($Q$2:$Q$1001,MATCH(ROWS($O$2:O65),$O$2:$O$1001,0),0), INDEX($V$1004:$AE$1004,1,MATCH(COLUMNS($V$1006:AC1006),$V$1006:$AE$1006,0)))),"Fix")))</f>
        <v>0</v>
      </c>
      <c r="J65" s="3">
        <f>IF(OR(INDEX($P$2:$P$1001,MATCH(ROWS($O$2:O65),$O$2:$O$1001,0),1)&gt;=100000,INDEX($V$1005:$AE$1005,1,MATCH(COLUMNS($V$1006:AD1006),$V$1006:$AE$1006,0))&gt;=100000), " ",IF(INDEX($V$2:$AE$1001,MATCH(ROWS($O$2:O65),$O$2:$O$1001,0),MATCH(COLUMNS($V$1006:AD1006),$V$1006:$AE$1006,0)), HYPERLINK("#",""), HYPERLINK(CONCATENATE("#Metadata!", ADDRESS(INDEX($Q$2:$Q$1001,MATCH(ROWS($O$2:O65),$O$2:$O$1001,0),0), INDEX($V$1004:$AE$1004,1,MATCH(COLUMNS($V$1006:AD1006),$V$1006:$AE$1006,0)))),"Fix")))</f>
        <v>0</v>
      </c>
      <c r="K65" s="3">
        <f>IF(OR(INDEX($P$2:$P$1001,MATCH(ROWS($O$2:O65),$O$2:$O$1001,0),1)&gt;=100000,INDEX($V$1005:$AE$1005,1,MATCH(COLUMNS($V$1006:AE1006),$V$1006:$AE$1006,0))&gt;=100000), " ",IF(INDEX($V$2:$AE$1001,MATCH(ROWS($O$2:O65),$O$2:$O$1001,0),MATCH(COLUMNS($V$1006:AE1006),$V$1006:$AE$1006,0)), HYPERLINK("#",""), HYPERLINK(CONCATENATE("#Metadata!", ADDRESS(INDEX($Q$2:$Q$1001,MATCH(ROWS($O$2:O65),$O$2:$O$1001,0),0), INDEX($V$1004:$AE$1004,1,MATCH(COLUMNS($V$1006:AE1006),$V$1006:$AE$1006,0)))),"Fix")))</f>
        <v>0</v>
      </c>
      <c r="O65">
        <v>0</v>
      </c>
      <c r="P65">
        <v>0</v>
      </c>
      <c r="Q65">
        <v>0</v>
      </c>
      <c r="R65">
        <f>IF(S65,TRUE,AND(V65:AE65))</f>
        <v>0</v>
      </c>
      <c r="S65">
        <f>COUNTBLANK(Metadata!B65:K65)=COLUMNS(Metadata!B65:K65)</f>
        <v>0</v>
      </c>
      <c r="T65">
        <v>0</v>
      </c>
      <c r="V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W65">
        <f>AND(IF(Metadata!C65="",FALSE,TRUE),exact(Metadata!C65,"animal secretion"))</f>
        <v>0</v>
      </c>
      <c r="X65">
        <f>AND(IF(Metadata!D65="",FALSE,TRUE),exact(Metadata!D65,"saliva"))</f>
        <v>0</v>
      </c>
      <c r="Y65">
        <f>AND(IF(Metadata!E65="",FALSE,TRUE),exact(Metadata!E65,"human-oral"))</f>
        <v>0</v>
      </c>
      <c r="Z65">
        <f>AND(IF(Metadata!F65="",FALSE,TRUE),exact(Metadata!F65,"UBERON:oral cavity"))</f>
        <v>0</v>
      </c>
      <c r="AA65">
        <f>AND(IF(Metadata!G65="",FALSE,TRUE),exact(Metadata!G65,"UBERON:saliva"))</f>
        <v>0</v>
      </c>
      <c r="AB65">
        <f>AND(IF(Metadata!H65="",FALSE,TRUE),exact(Metadata!H65,"UBERON:tongue"))</f>
        <v>0</v>
      </c>
      <c r="AC65">
        <f>AND(IF(Metadata!I65="",FALSE,TRUE),exact(Metadata!I65,"tongue"))</f>
        <v>0</v>
      </c>
      <c r="AD65">
        <f>AND(IF(Metadata!J65="",FALSE,TRUE),exact(Metadata!J65,"human oral metagenome"))</f>
        <v>0</v>
      </c>
      <c r="AE65">
        <f>AND(IF(Metadata!K65="",FALSE,TRUE),exact(Metadata!K65,"447426"))</f>
        <v>0</v>
      </c>
    </row>
    <row r="66" spans="1:31">
      <c r="A66" s="4">
        <f>IF(B66=" "," ",HYPERLINK(CONCATENATE("#metadata!",ADDRESS(INDEX($Q$2:$Q$1001,MATCH(ROWS($O$2:O66),$O$2:$O$1001,0),0),1)),INDEX($T$2:$T$1001,MATCH(ROWS($O$2:O66),$O$2:$O$1001,0),0)))</f>
        <v>0</v>
      </c>
      <c r="B66" s="3">
        <f>IF(OR(INDEX($P$2:$P$1001,MATCH(ROWS($O$2:O66),$O$2:$O$1001,0),1)&gt;=100000,INDEX($V$1005:$AE$1005,1,MATCH(COLUMNS($V$1006:V1006),$V$1006:$AE$1006,0))&gt;=100000), " ",IF(INDEX($V$2:$AE$1001,MATCH(ROWS($O$2:O66),$O$2:$O$1001,0),MATCH(COLUMNS($V$1006:V1006),$V$1006:$AE$1006,0)), HYPERLINK("#",""), HYPERLINK(CONCATENATE("#Metadata!", ADDRESS(INDEX($Q$2:$Q$1001,MATCH(ROWS($O$2:O66),$O$2:$O$1001,0),0), INDEX($V$1004:$AE$1004,1,MATCH(COLUMNS($V$1006:V1006),$V$1006:$AE$1006,0)))),"Fix")))</f>
        <v>0</v>
      </c>
      <c r="C66" s="3">
        <f>IF(OR(INDEX($P$2:$P$1001,MATCH(ROWS($O$2:O66),$O$2:$O$1001,0),1)&gt;=100000,INDEX($V$1005:$AE$1005,1,MATCH(COLUMNS($V$1006:W1006),$V$1006:$AE$1006,0))&gt;=100000), " ",IF(INDEX($V$2:$AE$1001,MATCH(ROWS($O$2:O66),$O$2:$O$1001,0),MATCH(COLUMNS($V$1006:W1006),$V$1006:$AE$1006,0)), HYPERLINK("#",""), HYPERLINK(CONCATENATE("#Metadata!", ADDRESS(INDEX($Q$2:$Q$1001,MATCH(ROWS($O$2:O66),$O$2:$O$1001,0),0), INDEX($V$1004:$AE$1004,1,MATCH(COLUMNS($V$1006:W1006),$V$1006:$AE$1006,0)))),"Fix")))</f>
        <v>0</v>
      </c>
      <c r="D66" s="3">
        <f>IF(OR(INDEX($P$2:$P$1001,MATCH(ROWS($O$2:O66),$O$2:$O$1001,0),1)&gt;=100000,INDEX($V$1005:$AE$1005,1,MATCH(COLUMNS($V$1006:X1006),$V$1006:$AE$1006,0))&gt;=100000), " ",IF(INDEX($V$2:$AE$1001,MATCH(ROWS($O$2:O66),$O$2:$O$1001,0),MATCH(COLUMNS($V$1006:X1006),$V$1006:$AE$1006,0)), HYPERLINK("#",""), HYPERLINK(CONCATENATE("#Metadata!", ADDRESS(INDEX($Q$2:$Q$1001,MATCH(ROWS($O$2:O66),$O$2:$O$1001,0),0), INDEX($V$1004:$AE$1004,1,MATCH(COLUMNS($V$1006:X1006),$V$1006:$AE$1006,0)))),"Fix")))</f>
        <v>0</v>
      </c>
      <c r="E66" s="3">
        <f>IF(OR(INDEX($P$2:$P$1001,MATCH(ROWS($O$2:O66),$O$2:$O$1001,0),1)&gt;=100000,INDEX($V$1005:$AE$1005,1,MATCH(COLUMNS($V$1006:Y1006),$V$1006:$AE$1006,0))&gt;=100000), " ",IF(INDEX($V$2:$AE$1001,MATCH(ROWS($O$2:O66),$O$2:$O$1001,0),MATCH(COLUMNS($V$1006:Y1006),$V$1006:$AE$1006,0)), HYPERLINK("#",""), HYPERLINK(CONCATENATE("#Metadata!", ADDRESS(INDEX($Q$2:$Q$1001,MATCH(ROWS($O$2:O66),$O$2:$O$1001,0),0), INDEX($V$1004:$AE$1004,1,MATCH(COLUMNS($V$1006:Y1006),$V$1006:$AE$1006,0)))),"Fix")))</f>
        <v>0</v>
      </c>
      <c r="F66" s="3">
        <f>IF(OR(INDEX($P$2:$P$1001,MATCH(ROWS($O$2:O66),$O$2:$O$1001,0),1)&gt;=100000,INDEX($V$1005:$AE$1005,1,MATCH(COLUMNS($V$1006:Z1006),$V$1006:$AE$1006,0))&gt;=100000), " ",IF(INDEX($V$2:$AE$1001,MATCH(ROWS($O$2:O66),$O$2:$O$1001,0),MATCH(COLUMNS($V$1006:Z1006),$V$1006:$AE$1006,0)), HYPERLINK("#",""), HYPERLINK(CONCATENATE("#Metadata!", ADDRESS(INDEX($Q$2:$Q$1001,MATCH(ROWS($O$2:O66),$O$2:$O$1001,0),0), INDEX($V$1004:$AE$1004,1,MATCH(COLUMNS($V$1006:Z1006),$V$1006:$AE$1006,0)))),"Fix")))</f>
        <v>0</v>
      </c>
      <c r="G66" s="3">
        <f>IF(OR(INDEX($P$2:$P$1001,MATCH(ROWS($O$2:O66),$O$2:$O$1001,0),1)&gt;=100000,INDEX($V$1005:$AE$1005,1,MATCH(COLUMNS($V$1006:AA1006),$V$1006:$AE$1006,0))&gt;=100000), " ",IF(INDEX($V$2:$AE$1001,MATCH(ROWS($O$2:O66),$O$2:$O$1001,0),MATCH(COLUMNS($V$1006:AA1006),$V$1006:$AE$1006,0)), HYPERLINK("#",""), HYPERLINK(CONCATENATE("#Metadata!", ADDRESS(INDEX($Q$2:$Q$1001,MATCH(ROWS($O$2:O66),$O$2:$O$1001,0),0), INDEX($V$1004:$AE$1004,1,MATCH(COLUMNS($V$1006:AA1006),$V$1006:$AE$1006,0)))),"Fix")))</f>
        <v>0</v>
      </c>
      <c r="H66" s="3">
        <f>IF(OR(INDEX($P$2:$P$1001,MATCH(ROWS($O$2:O66),$O$2:$O$1001,0),1)&gt;=100000,INDEX($V$1005:$AE$1005,1,MATCH(COLUMNS($V$1006:AB1006),$V$1006:$AE$1006,0))&gt;=100000), " ",IF(INDEX($V$2:$AE$1001,MATCH(ROWS($O$2:O66),$O$2:$O$1001,0),MATCH(COLUMNS($V$1006:AB1006),$V$1006:$AE$1006,0)), HYPERLINK("#",""), HYPERLINK(CONCATENATE("#Metadata!", ADDRESS(INDEX($Q$2:$Q$1001,MATCH(ROWS($O$2:O66),$O$2:$O$1001,0),0), INDEX($V$1004:$AE$1004,1,MATCH(COLUMNS($V$1006:AB1006),$V$1006:$AE$1006,0)))),"Fix")))</f>
        <v>0</v>
      </c>
      <c r="I66" s="3">
        <f>IF(OR(INDEX($P$2:$P$1001,MATCH(ROWS($O$2:O66),$O$2:$O$1001,0),1)&gt;=100000,INDEX($V$1005:$AE$1005,1,MATCH(COLUMNS($V$1006:AC1006),$V$1006:$AE$1006,0))&gt;=100000), " ",IF(INDEX($V$2:$AE$1001,MATCH(ROWS($O$2:O66),$O$2:$O$1001,0),MATCH(COLUMNS($V$1006:AC1006),$V$1006:$AE$1006,0)), HYPERLINK("#",""), HYPERLINK(CONCATENATE("#Metadata!", ADDRESS(INDEX($Q$2:$Q$1001,MATCH(ROWS($O$2:O66),$O$2:$O$1001,0),0), INDEX($V$1004:$AE$1004,1,MATCH(COLUMNS($V$1006:AC1006),$V$1006:$AE$1006,0)))),"Fix")))</f>
        <v>0</v>
      </c>
      <c r="J66" s="3">
        <f>IF(OR(INDEX($P$2:$P$1001,MATCH(ROWS($O$2:O66),$O$2:$O$1001,0),1)&gt;=100000,INDEX($V$1005:$AE$1005,1,MATCH(COLUMNS($V$1006:AD1006),$V$1006:$AE$1006,0))&gt;=100000), " ",IF(INDEX($V$2:$AE$1001,MATCH(ROWS($O$2:O66),$O$2:$O$1001,0),MATCH(COLUMNS($V$1006:AD1006),$V$1006:$AE$1006,0)), HYPERLINK("#",""), HYPERLINK(CONCATENATE("#Metadata!", ADDRESS(INDEX($Q$2:$Q$1001,MATCH(ROWS($O$2:O66),$O$2:$O$1001,0),0), INDEX($V$1004:$AE$1004,1,MATCH(COLUMNS($V$1006:AD1006),$V$1006:$AE$1006,0)))),"Fix")))</f>
        <v>0</v>
      </c>
      <c r="K66" s="3">
        <f>IF(OR(INDEX($P$2:$P$1001,MATCH(ROWS($O$2:O66),$O$2:$O$1001,0),1)&gt;=100000,INDEX($V$1005:$AE$1005,1,MATCH(COLUMNS($V$1006:AE1006),$V$1006:$AE$1006,0))&gt;=100000), " ",IF(INDEX($V$2:$AE$1001,MATCH(ROWS($O$2:O66),$O$2:$O$1001,0),MATCH(COLUMNS($V$1006:AE1006),$V$1006:$AE$1006,0)), HYPERLINK("#",""), HYPERLINK(CONCATENATE("#Metadata!", ADDRESS(INDEX($Q$2:$Q$1001,MATCH(ROWS($O$2:O66),$O$2:$O$1001,0),0), INDEX($V$1004:$AE$1004,1,MATCH(COLUMNS($V$1006:AE1006),$V$1006:$AE$1006,0)))),"Fix")))</f>
        <v>0</v>
      </c>
      <c r="O66">
        <v>0</v>
      </c>
      <c r="P66">
        <v>0</v>
      </c>
      <c r="Q66">
        <v>0</v>
      </c>
      <c r="R66">
        <f>IF(S66,TRUE,AND(V66:AE66))</f>
        <v>0</v>
      </c>
      <c r="S66">
        <f>COUNTBLANK(Metadata!B66:K66)=COLUMNS(Metadata!B66:K66)</f>
        <v>0</v>
      </c>
      <c r="T66">
        <v>0</v>
      </c>
      <c r="V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W66">
        <f>AND(IF(Metadata!C66="",FALSE,TRUE),exact(Metadata!C66,"animal secretion"))</f>
        <v>0</v>
      </c>
      <c r="X66">
        <f>AND(IF(Metadata!D66="",FALSE,TRUE),exact(Metadata!D66,"saliva"))</f>
        <v>0</v>
      </c>
      <c r="Y66">
        <f>AND(IF(Metadata!E66="",FALSE,TRUE),exact(Metadata!E66,"human-oral"))</f>
        <v>0</v>
      </c>
      <c r="Z66">
        <f>AND(IF(Metadata!F66="",FALSE,TRUE),exact(Metadata!F66,"UBERON:oral cavity"))</f>
        <v>0</v>
      </c>
      <c r="AA66">
        <f>AND(IF(Metadata!G66="",FALSE,TRUE),exact(Metadata!G66,"UBERON:saliva"))</f>
        <v>0</v>
      </c>
      <c r="AB66">
        <f>AND(IF(Metadata!H66="",FALSE,TRUE),exact(Metadata!H66,"UBERON:tongue"))</f>
        <v>0</v>
      </c>
      <c r="AC66">
        <f>AND(IF(Metadata!I66="",FALSE,TRUE),exact(Metadata!I66,"tongue"))</f>
        <v>0</v>
      </c>
      <c r="AD66">
        <f>AND(IF(Metadata!J66="",FALSE,TRUE),exact(Metadata!J66,"human oral metagenome"))</f>
        <v>0</v>
      </c>
      <c r="AE66">
        <f>AND(IF(Metadata!K66="",FALSE,TRUE),exact(Metadata!K66,"447426"))</f>
        <v>0</v>
      </c>
    </row>
    <row r="67" spans="1:31">
      <c r="A67" s="4">
        <f>IF(B67=" "," ",HYPERLINK(CONCATENATE("#metadata!",ADDRESS(INDEX($Q$2:$Q$1001,MATCH(ROWS($O$2:O67),$O$2:$O$1001,0),0),1)),INDEX($T$2:$T$1001,MATCH(ROWS($O$2:O67),$O$2:$O$1001,0),0)))</f>
        <v>0</v>
      </c>
      <c r="B67" s="3">
        <f>IF(OR(INDEX($P$2:$P$1001,MATCH(ROWS($O$2:O67),$O$2:$O$1001,0),1)&gt;=100000,INDEX($V$1005:$AE$1005,1,MATCH(COLUMNS($V$1006:V1006),$V$1006:$AE$1006,0))&gt;=100000), " ",IF(INDEX($V$2:$AE$1001,MATCH(ROWS($O$2:O67),$O$2:$O$1001,0),MATCH(COLUMNS($V$1006:V1006),$V$1006:$AE$1006,0)), HYPERLINK("#",""), HYPERLINK(CONCATENATE("#Metadata!", ADDRESS(INDEX($Q$2:$Q$1001,MATCH(ROWS($O$2:O67),$O$2:$O$1001,0),0), INDEX($V$1004:$AE$1004,1,MATCH(COLUMNS($V$1006:V1006),$V$1006:$AE$1006,0)))),"Fix")))</f>
        <v>0</v>
      </c>
      <c r="C67" s="3">
        <f>IF(OR(INDEX($P$2:$P$1001,MATCH(ROWS($O$2:O67),$O$2:$O$1001,0),1)&gt;=100000,INDEX($V$1005:$AE$1005,1,MATCH(COLUMNS($V$1006:W1006),$V$1006:$AE$1006,0))&gt;=100000), " ",IF(INDEX($V$2:$AE$1001,MATCH(ROWS($O$2:O67),$O$2:$O$1001,0),MATCH(COLUMNS($V$1006:W1006),$V$1006:$AE$1006,0)), HYPERLINK("#",""), HYPERLINK(CONCATENATE("#Metadata!", ADDRESS(INDEX($Q$2:$Q$1001,MATCH(ROWS($O$2:O67),$O$2:$O$1001,0),0), INDEX($V$1004:$AE$1004,1,MATCH(COLUMNS($V$1006:W1006),$V$1006:$AE$1006,0)))),"Fix")))</f>
        <v>0</v>
      </c>
      <c r="D67" s="3">
        <f>IF(OR(INDEX($P$2:$P$1001,MATCH(ROWS($O$2:O67),$O$2:$O$1001,0),1)&gt;=100000,INDEX($V$1005:$AE$1005,1,MATCH(COLUMNS($V$1006:X1006),$V$1006:$AE$1006,0))&gt;=100000), " ",IF(INDEX($V$2:$AE$1001,MATCH(ROWS($O$2:O67),$O$2:$O$1001,0),MATCH(COLUMNS($V$1006:X1006),$V$1006:$AE$1006,0)), HYPERLINK("#",""), HYPERLINK(CONCATENATE("#Metadata!", ADDRESS(INDEX($Q$2:$Q$1001,MATCH(ROWS($O$2:O67),$O$2:$O$1001,0),0), INDEX($V$1004:$AE$1004,1,MATCH(COLUMNS($V$1006:X1006),$V$1006:$AE$1006,0)))),"Fix")))</f>
        <v>0</v>
      </c>
      <c r="E67" s="3">
        <f>IF(OR(INDEX($P$2:$P$1001,MATCH(ROWS($O$2:O67),$O$2:$O$1001,0),1)&gt;=100000,INDEX($V$1005:$AE$1005,1,MATCH(COLUMNS($V$1006:Y1006),$V$1006:$AE$1006,0))&gt;=100000), " ",IF(INDEX($V$2:$AE$1001,MATCH(ROWS($O$2:O67),$O$2:$O$1001,0),MATCH(COLUMNS($V$1006:Y1006),$V$1006:$AE$1006,0)), HYPERLINK("#",""), HYPERLINK(CONCATENATE("#Metadata!", ADDRESS(INDEX($Q$2:$Q$1001,MATCH(ROWS($O$2:O67),$O$2:$O$1001,0),0), INDEX($V$1004:$AE$1004,1,MATCH(COLUMNS($V$1006:Y1006),$V$1006:$AE$1006,0)))),"Fix")))</f>
        <v>0</v>
      </c>
      <c r="F67" s="3">
        <f>IF(OR(INDEX($P$2:$P$1001,MATCH(ROWS($O$2:O67),$O$2:$O$1001,0),1)&gt;=100000,INDEX($V$1005:$AE$1005,1,MATCH(COLUMNS($V$1006:Z1006),$V$1006:$AE$1006,0))&gt;=100000), " ",IF(INDEX($V$2:$AE$1001,MATCH(ROWS($O$2:O67),$O$2:$O$1001,0),MATCH(COLUMNS($V$1006:Z1006),$V$1006:$AE$1006,0)), HYPERLINK("#",""), HYPERLINK(CONCATENATE("#Metadata!", ADDRESS(INDEX($Q$2:$Q$1001,MATCH(ROWS($O$2:O67),$O$2:$O$1001,0),0), INDEX($V$1004:$AE$1004,1,MATCH(COLUMNS($V$1006:Z1006),$V$1006:$AE$1006,0)))),"Fix")))</f>
        <v>0</v>
      </c>
      <c r="G67" s="3">
        <f>IF(OR(INDEX($P$2:$P$1001,MATCH(ROWS($O$2:O67),$O$2:$O$1001,0),1)&gt;=100000,INDEX($V$1005:$AE$1005,1,MATCH(COLUMNS($V$1006:AA1006),$V$1006:$AE$1006,0))&gt;=100000), " ",IF(INDEX($V$2:$AE$1001,MATCH(ROWS($O$2:O67),$O$2:$O$1001,0),MATCH(COLUMNS($V$1006:AA1006),$V$1006:$AE$1006,0)), HYPERLINK("#",""), HYPERLINK(CONCATENATE("#Metadata!", ADDRESS(INDEX($Q$2:$Q$1001,MATCH(ROWS($O$2:O67),$O$2:$O$1001,0),0), INDEX($V$1004:$AE$1004,1,MATCH(COLUMNS($V$1006:AA1006),$V$1006:$AE$1006,0)))),"Fix")))</f>
        <v>0</v>
      </c>
      <c r="H67" s="3">
        <f>IF(OR(INDEX($P$2:$P$1001,MATCH(ROWS($O$2:O67),$O$2:$O$1001,0),1)&gt;=100000,INDEX($V$1005:$AE$1005,1,MATCH(COLUMNS($V$1006:AB1006),$V$1006:$AE$1006,0))&gt;=100000), " ",IF(INDEX($V$2:$AE$1001,MATCH(ROWS($O$2:O67),$O$2:$O$1001,0),MATCH(COLUMNS($V$1006:AB1006),$V$1006:$AE$1006,0)), HYPERLINK("#",""), HYPERLINK(CONCATENATE("#Metadata!", ADDRESS(INDEX($Q$2:$Q$1001,MATCH(ROWS($O$2:O67),$O$2:$O$1001,0),0), INDEX($V$1004:$AE$1004,1,MATCH(COLUMNS($V$1006:AB1006),$V$1006:$AE$1006,0)))),"Fix")))</f>
        <v>0</v>
      </c>
      <c r="I67" s="3">
        <f>IF(OR(INDEX($P$2:$P$1001,MATCH(ROWS($O$2:O67),$O$2:$O$1001,0),1)&gt;=100000,INDEX($V$1005:$AE$1005,1,MATCH(COLUMNS($V$1006:AC1006),$V$1006:$AE$1006,0))&gt;=100000), " ",IF(INDEX($V$2:$AE$1001,MATCH(ROWS($O$2:O67),$O$2:$O$1001,0),MATCH(COLUMNS($V$1006:AC1006),$V$1006:$AE$1006,0)), HYPERLINK("#",""), HYPERLINK(CONCATENATE("#Metadata!", ADDRESS(INDEX($Q$2:$Q$1001,MATCH(ROWS($O$2:O67),$O$2:$O$1001,0),0), INDEX($V$1004:$AE$1004,1,MATCH(COLUMNS($V$1006:AC1006),$V$1006:$AE$1006,0)))),"Fix")))</f>
        <v>0</v>
      </c>
      <c r="J67" s="3">
        <f>IF(OR(INDEX($P$2:$P$1001,MATCH(ROWS($O$2:O67),$O$2:$O$1001,0),1)&gt;=100000,INDEX($V$1005:$AE$1005,1,MATCH(COLUMNS($V$1006:AD1006),$V$1006:$AE$1006,0))&gt;=100000), " ",IF(INDEX($V$2:$AE$1001,MATCH(ROWS($O$2:O67),$O$2:$O$1001,0),MATCH(COLUMNS($V$1006:AD1006),$V$1006:$AE$1006,0)), HYPERLINK("#",""), HYPERLINK(CONCATENATE("#Metadata!", ADDRESS(INDEX($Q$2:$Q$1001,MATCH(ROWS($O$2:O67),$O$2:$O$1001,0),0), INDEX($V$1004:$AE$1004,1,MATCH(COLUMNS($V$1006:AD1006),$V$1006:$AE$1006,0)))),"Fix")))</f>
        <v>0</v>
      </c>
      <c r="K67" s="3">
        <f>IF(OR(INDEX($P$2:$P$1001,MATCH(ROWS($O$2:O67),$O$2:$O$1001,0),1)&gt;=100000,INDEX($V$1005:$AE$1005,1,MATCH(COLUMNS($V$1006:AE1006),$V$1006:$AE$1006,0))&gt;=100000), " ",IF(INDEX($V$2:$AE$1001,MATCH(ROWS($O$2:O67),$O$2:$O$1001,0),MATCH(COLUMNS($V$1006:AE1006),$V$1006:$AE$1006,0)), HYPERLINK("#",""), HYPERLINK(CONCATENATE("#Metadata!", ADDRESS(INDEX($Q$2:$Q$1001,MATCH(ROWS($O$2:O67),$O$2:$O$1001,0),0), INDEX($V$1004:$AE$1004,1,MATCH(COLUMNS($V$1006:AE1006),$V$1006:$AE$1006,0)))),"Fix")))</f>
        <v>0</v>
      </c>
      <c r="O67">
        <v>0</v>
      </c>
      <c r="P67">
        <v>0</v>
      </c>
      <c r="Q67">
        <v>0</v>
      </c>
      <c r="R67">
        <f>IF(S67,TRUE,AND(V67:AE67))</f>
        <v>0</v>
      </c>
      <c r="S67">
        <f>COUNTBLANK(Metadata!B67:K67)=COLUMNS(Metadata!B67:K67)</f>
        <v>0</v>
      </c>
      <c r="T67">
        <v>0</v>
      </c>
      <c r="V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W67">
        <f>AND(IF(Metadata!C67="",FALSE,TRUE),exact(Metadata!C67,"animal secretion"))</f>
        <v>0</v>
      </c>
      <c r="X67">
        <f>AND(IF(Metadata!D67="",FALSE,TRUE),exact(Metadata!D67,"saliva"))</f>
        <v>0</v>
      </c>
      <c r="Y67">
        <f>AND(IF(Metadata!E67="",FALSE,TRUE),exact(Metadata!E67,"human-oral"))</f>
        <v>0</v>
      </c>
      <c r="Z67">
        <f>AND(IF(Metadata!F67="",FALSE,TRUE),exact(Metadata!F67,"UBERON:oral cavity"))</f>
        <v>0</v>
      </c>
      <c r="AA67">
        <f>AND(IF(Metadata!G67="",FALSE,TRUE),exact(Metadata!G67,"UBERON:saliva"))</f>
        <v>0</v>
      </c>
      <c r="AB67">
        <f>AND(IF(Metadata!H67="",FALSE,TRUE),exact(Metadata!H67,"UBERON:tongue"))</f>
        <v>0</v>
      </c>
      <c r="AC67">
        <f>AND(IF(Metadata!I67="",FALSE,TRUE),exact(Metadata!I67,"tongue"))</f>
        <v>0</v>
      </c>
      <c r="AD67">
        <f>AND(IF(Metadata!J67="",FALSE,TRUE),exact(Metadata!J67,"human oral metagenome"))</f>
        <v>0</v>
      </c>
      <c r="AE67">
        <f>AND(IF(Metadata!K67="",FALSE,TRUE),exact(Metadata!K67,"447426"))</f>
        <v>0</v>
      </c>
    </row>
    <row r="68" spans="1:31">
      <c r="A68" s="4">
        <f>IF(B68=" "," ",HYPERLINK(CONCATENATE("#metadata!",ADDRESS(INDEX($Q$2:$Q$1001,MATCH(ROWS($O$2:O68),$O$2:$O$1001,0),0),1)),INDEX($T$2:$T$1001,MATCH(ROWS($O$2:O68),$O$2:$O$1001,0),0)))</f>
        <v>0</v>
      </c>
      <c r="B68" s="3">
        <f>IF(OR(INDEX($P$2:$P$1001,MATCH(ROWS($O$2:O68),$O$2:$O$1001,0),1)&gt;=100000,INDEX($V$1005:$AE$1005,1,MATCH(COLUMNS($V$1006:V1006),$V$1006:$AE$1006,0))&gt;=100000), " ",IF(INDEX($V$2:$AE$1001,MATCH(ROWS($O$2:O68),$O$2:$O$1001,0),MATCH(COLUMNS($V$1006:V1006),$V$1006:$AE$1006,0)), HYPERLINK("#",""), HYPERLINK(CONCATENATE("#Metadata!", ADDRESS(INDEX($Q$2:$Q$1001,MATCH(ROWS($O$2:O68),$O$2:$O$1001,0),0), INDEX($V$1004:$AE$1004,1,MATCH(COLUMNS($V$1006:V1006),$V$1006:$AE$1006,0)))),"Fix")))</f>
        <v>0</v>
      </c>
      <c r="C68" s="3">
        <f>IF(OR(INDEX($P$2:$P$1001,MATCH(ROWS($O$2:O68),$O$2:$O$1001,0),1)&gt;=100000,INDEX($V$1005:$AE$1005,1,MATCH(COLUMNS($V$1006:W1006),$V$1006:$AE$1006,0))&gt;=100000), " ",IF(INDEX($V$2:$AE$1001,MATCH(ROWS($O$2:O68),$O$2:$O$1001,0),MATCH(COLUMNS($V$1006:W1006),$V$1006:$AE$1006,0)), HYPERLINK("#",""), HYPERLINK(CONCATENATE("#Metadata!", ADDRESS(INDEX($Q$2:$Q$1001,MATCH(ROWS($O$2:O68),$O$2:$O$1001,0),0), INDEX($V$1004:$AE$1004,1,MATCH(COLUMNS($V$1006:W1006),$V$1006:$AE$1006,0)))),"Fix")))</f>
        <v>0</v>
      </c>
      <c r="D68" s="3">
        <f>IF(OR(INDEX($P$2:$P$1001,MATCH(ROWS($O$2:O68),$O$2:$O$1001,0),1)&gt;=100000,INDEX($V$1005:$AE$1005,1,MATCH(COLUMNS($V$1006:X1006),$V$1006:$AE$1006,0))&gt;=100000), " ",IF(INDEX($V$2:$AE$1001,MATCH(ROWS($O$2:O68),$O$2:$O$1001,0),MATCH(COLUMNS($V$1006:X1006),$V$1006:$AE$1006,0)), HYPERLINK("#",""), HYPERLINK(CONCATENATE("#Metadata!", ADDRESS(INDEX($Q$2:$Q$1001,MATCH(ROWS($O$2:O68),$O$2:$O$1001,0),0), INDEX($V$1004:$AE$1004,1,MATCH(COLUMNS($V$1006:X1006),$V$1006:$AE$1006,0)))),"Fix")))</f>
        <v>0</v>
      </c>
      <c r="E68" s="3">
        <f>IF(OR(INDEX($P$2:$P$1001,MATCH(ROWS($O$2:O68),$O$2:$O$1001,0),1)&gt;=100000,INDEX($V$1005:$AE$1005,1,MATCH(COLUMNS($V$1006:Y1006),$V$1006:$AE$1006,0))&gt;=100000), " ",IF(INDEX($V$2:$AE$1001,MATCH(ROWS($O$2:O68),$O$2:$O$1001,0),MATCH(COLUMNS($V$1006:Y1006),$V$1006:$AE$1006,0)), HYPERLINK("#",""), HYPERLINK(CONCATENATE("#Metadata!", ADDRESS(INDEX($Q$2:$Q$1001,MATCH(ROWS($O$2:O68),$O$2:$O$1001,0),0), INDEX($V$1004:$AE$1004,1,MATCH(COLUMNS($V$1006:Y1006),$V$1006:$AE$1006,0)))),"Fix")))</f>
        <v>0</v>
      </c>
      <c r="F68" s="3">
        <f>IF(OR(INDEX($P$2:$P$1001,MATCH(ROWS($O$2:O68),$O$2:$O$1001,0),1)&gt;=100000,INDEX($V$1005:$AE$1005,1,MATCH(COLUMNS($V$1006:Z1006),$V$1006:$AE$1006,0))&gt;=100000), " ",IF(INDEX($V$2:$AE$1001,MATCH(ROWS($O$2:O68),$O$2:$O$1001,0),MATCH(COLUMNS($V$1006:Z1006),$V$1006:$AE$1006,0)), HYPERLINK("#",""), HYPERLINK(CONCATENATE("#Metadata!", ADDRESS(INDEX($Q$2:$Q$1001,MATCH(ROWS($O$2:O68),$O$2:$O$1001,0),0), INDEX($V$1004:$AE$1004,1,MATCH(COLUMNS($V$1006:Z1006),$V$1006:$AE$1006,0)))),"Fix")))</f>
        <v>0</v>
      </c>
      <c r="G68" s="3">
        <f>IF(OR(INDEX($P$2:$P$1001,MATCH(ROWS($O$2:O68),$O$2:$O$1001,0),1)&gt;=100000,INDEX($V$1005:$AE$1005,1,MATCH(COLUMNS($V$1006:AA1006),$V$1006:$AE$1006,0))&gt;=100000), " ",IF(INDEX($V$2:$AE$1001,MATCH(ROWS($O$2:O68),$O$2:$O$1001,0),MATCH(COLUMNS($V$1006:AA1006),$V$1006:$AE$1006,0)), HYPERLINK("#",""), HYPERLINK(CONCATENATE("#Metadata!", ADDRESS(INDEX($Q$2:$Q$1001,MATCH(ROWS($O$2:O68),$O$2:$O$1001,0),0), INDEX($V$1004:$AE$1004,1,MATCH(COLUMNS($V$1006:AA1006),$V$1006:$AE$1006,0)))),"Fix")))</f>
        <v>0</v>
      </c>
      <c r="H68" s="3">
        <f>IF(OR(INDEX($P$2:$P$1001,MATCH(ROWS($O$2:O68),$O$2:$O$1001,0),1)&gt;=100000,INDEX($V$1005:$AE$1005,1,MATCH(COLUMNS($V$1006:AB1006),$V$1006:$AE$1006,0))&gt;=100000), " ",IF(INDEX($V$2:$AE$1001,MATCH(ROWS($O$2:O68),$O$2:$O$1001,0),MATCH(COLUMNS($V$1006:AB1006),$V$1006:$AE$1006,0)), HYPERLINK("#",""), HYPERLINK(CONCATENATE("#Metadata!", ADDRESS(INDEX($Q$2:$Q$1001,MATCH(ROWS($O$2:O68),$O$2:$O$1001,0),0), INDEX($V$1004:$AE$1004,1,MATCH(COLUMNS($V$1006:AB1006),$V$1006:$AE$1006,0)))),"Fix")))</f>
        <v>0</v>
      </c>
      <c r="I68" s="3">
        <f>IF(OR(INDEX($P$2:$P$1001,MATCH(ROWS($O$2:O68),$O$2:$O$1001,0),1)&gt;=100000,INDEX($V$1005:$AE$1005,1,MATCH(COLUMNS($V$1006:AC1006),$V$1006:$AE$1006,0))&gt;=100000), " ",IF(INDEX($V$2:$AE$1001,MATCH(ROWS($O$2:O68),$O$2:$O$1001,0),MATCH(COLUMNS($V$1006:AC1006),$V$1006:$AE$1006,0)), HYPERLINK("#",""), HYPERLINK(CONCATENATE("#Metadata!", ADDRESS(INDEX($Q$2:$Q$1001,MATCH(ROWS($O$2:O68),$O$2:$O$1001,0),0), INDEX($V$1004:$AE$1004,1,MATCH(COLUMNS($V$1006:AC1006),$V$1006:$AE$1006,0)))),"Fix")))</f>
        <v>0</v>
      </c>
      <c r="J68" s="3">
        <f>IF(OR(INDEX($P$2:$P$1001,MATCH(ROWS($O$2:O68),$O$2:$O$1001,0),1)&gt;=100000,INDEX($V$1005:$AE$1005,1,MATCH(COLUMNS($V$1006:AD1006),$V$1006:$AE$1006,0))&gt;=100000), " ",IF(INDEX($V$2:$AE$1001,MATCH(ROWS($O$2:O68),$O$2:$O$1001,0),MATCH(COLUMNS($V$1006:AD1006),$V$1006:$AE$1006,0)), HYPERLINK("#",""), HYPERLINK(CONCATENATE("#Metadata!", ADDRESS(INDEX($Q$2:$Q$1001,MATCH(ROWS($O$2:O68),$O$2:$O$1001,0),0), INDEX($V$1004:$AE$1004,1,MATCH(COLUMNS($V$1006:AD1006),$V$1006:$AE$1006,0)))),"Fix")))</f>
        <v>0</v>
      </c>
      <c r="K68" s="3">
        <f>IF(OR(INDEX($P$2:$P$1001,MATCH(ROWS($O$2:O68),$O$2:$O$1001,0),1)&gt;=100000,INDEX($V$1005:$AE$1005,1,MATCH(COLUMNS($V$1006:AE1006),$V$1006:$AE$1006,0))&gt;=100000), " ",IF(INDEX($V$2:$AE$1001,MATCH(ROWS($O$2:O68),$O$2:$O$1001,0),MATCH(COLUMNS($V$1006:AE1006),$V$1006:$AE$1006,0)), HYPERLINK("#",""), HYPERLINK(CONCATENATE("#Metadata!", ADDRESS(INDEX($Q$2:$Q$1001,MATCH(ROWS($O$2:O68),$O$2:$O$1001,0),0), INDEX($V$1004:$AE$1004,1,MATCH(COLUMNS($V$1006:AE1006),$V$1006:$AE$1006,0)))),"Fix")))</f>
        <v>0</v>
      </c>
      <c r="O68">
        <v>0</v>
      </c>
      <c r="P68">
        <v>0</v>
      </c>
      <c r="Q68">
        <v>0</v>
      </c>
      <c r="R68">
        <f>IF(S68,TRUE,AND(V68:AE68))</f>
        <v>0</v>
      </c>
      <c r="S68">
        <f>COUNTBLANK(Metadata!B68:K68)=COLUMNS(Metadata!B68:K68)</f>
        <v>0</v>
      </c>
      <c r="T68">
        <v>0</v>
      </c>
      <c r="V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W68">
        <f>AND(IF(Metadata!C68="",FALSE,TRUE),exact(Metadata!C68,"animal secretion"))</f>
        <v>0</v>
      </c>
      <c r="X68">
        <f>AND(IF(Metadata!D68="",FALSE,TRUE),exact(Metadata!D68,"saliva"))</f>
        <v>0</v>
      </c>
      <c r="Y68">
        <f>AND(IF(Metadata!E68="",FALSE,TRUE),exact(Metadata!E68,"human-oral"))</f>
        <v>0</v>
      </c>
      <c r="Z68">
        <f>AND(IF(Metadata!F68="",FALSE,TRUE),exact(Metadata!F68,"UBERON:oral cavity"))</f>
        <v>0</v>
      </c>
      <c r="AA68">
        <f>AND(IF(Metadata!G68="",FALSE,TRUE),exact(Metadata!G68,"UBERON:saliva"))</f>
        <v>0</v>
      </c>
      <c r="AB68">
        <f>AND(IF(Metadata!H68="",FALSE,TRUE),exact(Metadata!H68,"UBERON:tongue"))</f>
        <v>0</v>
      </c>
      <c r="AC68">
        <f>AND(IF(Metadata!I68="",FALSE,TRUE),exact(Metadata!I68,"tongue"))</f>
        <v>0</v>
      </c>
      <c r="AD68">
        <f>AND(IF(Metadata!J68="",FALSE,TRUE),exact(Metadata!J68,"human oral metagenome"))</f>
        <v>0</v>
      </c>
      <c r="AE68">
        <f>AND(IF(Metadata!K68="",FALSE,TRUE),exact(Metadata!K68,"447426"))</f>
        <v>0</v>
      </c>
    </row>
    <row r="69" spans="1:31">
      <c r="A69" s="4">
        <f>IF(B69=" "," ",HYPERLINK(CONCATENATE("#metadata!",ADDRESS(INDEX($Q$2:$Q$1001,MATCH(ROWS($O$2:O69),$O$2:$O$1001,0),0),1)),INDEX($T$2:$T$1001,MATCH(ROWS($O$2:O69),$O$2:$O$1001,0),0)))</f>
        <v>0</v>
      </c>
      <c r="B69" s="3">
        <f>IF(OR(INDEX($P$2:$P$1001,MATCH(ROWS($O$2:O69),$O$2:$O$1001,0),1)&gt;=100000,INDEX($V$1005:$AE$1005,1,MATCH(COLUMNS($V$1006:V1006),$V$1006:$AE$1006,0))&gt;=100000), " ",IF(INDEX($V$2:$AE$1001,MATCH(ROWS($O$2:O69),$O$2:$O$1001,0),MATCH(COLUMNS($V$1006:V1006),$V$1006:$AE$1006,0)), HYPERLINK("#",""), HYPERLINK(CONCATENATE("#Metadata!", ADDRESS(INDEX($Q$2:$Q$1001,MATCH(ROWS($O$2:O69),$O$2:$O$1001,0),0), INDEX($V$1004:$AE$1004,1,MATCH(COLUMNS($V$1006:V1006),$V$1006:$AE$1006,0)))),"Fix")))</f>
        <v>0</v>
      </c>
      <c r="C69" s="3">
        <f>IF(OR(INDEX($P$2:$P$1001,MATCH(ROWS($O$2:O69),$O$2:$O$1001,0),1)&gt;=100000,INDEX($V$1005:$AE$1005,1,MATCH(COLUMNS($V$1006:W1006),$V$1006:$AE$1006,0))&gt;=100000), " ",IF(INDEX($V$2:$AE$1001,MATCH(ROWS($O$2:O69),$O$2:$O$1001,0),MATCH(COLUMNS($V$1006:W1006),$V$1006:$AE$1006,0)), HYPERLINK("#",""), HYPERLINK(CONCATENATE("#Metadata!", ADDRESS(INDEX($Q$2:$Q$1001,MATCH(ROWS($O$2:O69),$O$2:$O$1001,0),0), INDEX($V$1004:$AE$1004,1,MATCH(COLUMNS($V$1006:W1006),$V$1006:$AE$1006,0)))),"Fix")))</f>
        <v>0</v>
      </c>
      <c r="D69" s="3">
        <f>IF(OR(INDEX($P$2:$P$1001,MATCH(ROWS($O$2:O69),$O$2:$O$1001,0),1)&gt;=100000,INDEX($V$1005:$AE$1005,1,MATCH(COLUMNS($V$1006:X1006),$V$1006:$AE$1006,0))&gt;=100000), " ",IF(INDEX($V$2:$AE$1001,MATCH(ROWS($O$2:O69),$O$2:$O$1001,0),MATCH(COLUMNS($V$1006:X1006),$V$1006:$AE$1006,0)), HYPERLINK("#",""), HYPERLINK(CONCATENATE("#Metadata!", ADDRESS(INDEX($Q$2:$Q$1001,MATCH(ROWS($O$2:O69),$O$2:$O$1001,0),0), INDEX($V$1004:$AE$1004,1,MATCH(COLUMNS($V$1006:X1006),$V$1006:$AE$1006,0)))),"Fix")))</f>
        <v>0</v>
      </c>
      <c r="E69" s="3">
        <f>IF(OR(INDEX($P$2:$P$1001,MATCH(ROWS($O$2:O69),$O$2:$O$1001,0),1)&gt;=100000,INDEX($V$1005:$AE$1005,1,MATCH(COLUMNS($V$1006:Y1006),$V$1006:$AE$1006,0))&gt;=100000), " ",IF(INDEX($V$2:$AE$1001,MATCH(ROWS($O$2:O69),$O$2:$O$1001,0),MATCH(COLUMNS($V$1006:Y1006),$V$1006:$AE$1006,0)), HYPERLINK("#",""), HYPERLINK(CONCATENATE("#Metadata!", ADDRESS(INDEX($Q$2:$Q$1001,MATCH(ROWS($O$2:O69),$O$2:$O$1001,0),0), INDEX($V$1004:$AE$1004,1,MATCH(COLUMNS($V$1006:Y1006),$V$1006:$AE$1006,0)))),"Fix")))</f>
        <v>0</v>
      </c>
      <c r="F69" s="3">
        <f>IF(OR(INDEX($P$2:$P$1001,MATCH(ROWS($O$2:O69),$O$2:$O$1001,0),1)&gt;=100000,INDEX($V$1005:$AE$1005,1,MATCH(COLUMNS($V$1006:Z1006),$V$1006:$AE$1006,0))&gt;=100000), " ",IF(INDEX($V$2:$AE$1001,MATCH(ROWS($O$2:O69),$O$2:$O$1001,0),MATCH(COLUMNS($V$1006:Z1006),$V$1006:$AE$1006,0)), HYPERLINK("#",""), HYPERLINK(CONCATENATE("#Metadata!", ADDRESS(INDEX($Q$2:$Q$1001,MATCH(ROWS($O$2:O69),$O$2:$O$1001,0),0), INDEX($V$1004:$AE$1004,1,MATCH(COLUMNS($V$1006:Z1006),$V$1006:$AE$1006,0)))),"Fix")))</f>
        <v>0</v>
      </c>
      <c r="G69" s="3">
        <f>IF(OR(INDEX($P$2:$P$1001,MATCH(ROWS($O$2:O69),$O$2:$O$1001,0),1)&gt;=100000,INDEX($V$1005:$AE$1005,1,MATCH(COLUMNS($V$1006:AA1006),$V$1006:$AE$1006,0))&gt;=100000), " ",IF(INDEX($V$2:$AE$1001,MATCH(ROWS($O$2:O69),$O$2:$O$1001,0),MATCH(COLUMNS($V$1006:AA1006),$V$1006:$AE$1006,0)), HYPERLINK("#",""), HYPERLINK(CONCATENATE("#Metadata!", ADDRESS(INDEX($Q$2:$Q$1001,MATCH(ROWS($O$2:O69),$O$2:$O$1001,0),0), INDEX($V$1004:$AE$1004,1,MATCH(COLUMNS($V$1006:AA1006),$V$1006:$AE$1006,0)))),"Fix")))</f>
        <v>0</v>
      </c>
      <c r="H69" s="3">
        <f>IF(OR(INDEX($P$2:$P$1001,MATCH(ROWS($O$2:O69),$O$2:$O$1001,0),1)&gt;=100000,INDEX($V$1005:$AE$1005,1,MATCH(COLUMNS($V$1006:AB1006),$V$1006:$AE$1006,0))&gt;=100000), " ",IF(INDEX($V$2:$AE$1001,MATCH(ROWS($O$2:O69),$O$2:$O$1001,0),MATCH(COLUMNS($V$1006:AB1006),$V$1006:$AE$1006,0)), HYPERLINK("#",""), HYPERLINK(CONCATENATE("#Metadata!", ADDRESS(INDEX($Q$2:$Q$1001,MATCH(ROWS($O$2:O69),$O$2:$O$1001,0),0), INDEX($V$1004:$AE$1004,1,MATCH(COLUMNS($V$1006:AB1006),$V$1006:$AE$1006,0)))),"Fix")))</f>
        <v>0</v>
      </c>
      <c r="I69" s="3">
        <f>IF(OR(INDEX($P$2:$P$1001,MATCH(ROWS($O$2:O69),$O$2:$O$1001,0),1)&gt;=100000,INDEX($V$1005:$AE$1005,1,MATCH(COLUMNS($V$1006:AC1006),$V$1006:$AE$1006,0))&gt;=100000), " ",IF(INDEX($V$2:$AE$1001,MATCH(ROWS($O$2:O69),$O$2:$O$1001,0),MATCH(COLUMNS($V$1006:AC1006),$V$1006:$AE$1006,0)), HYPERLINK("#",""), HYPERLINK(CONCATENATE("#Metadata!", ADDRESS(INDEX($Q$2:$Q$1001,MATCH(ROWS($O$2:O69),$O$2:$O$1001,0),0), INDEX($V$1004:$AE$1004,1,MATCH(COLUMNS($V$1006:AC1006),$V$1006:$AE$1006,0)))),"Fix")))</f>
        <v>0</v>
      </c>
      <c r="J69" s="3">
        <f>IF(OR(INDEX($P$2:$P$1001,MATCH(ROWS($O$2:O69),$O$2:$O$1001,0),1)&gt;=100000,INDEX($V$1005:$AE$1005,1,MATCH(COLUMNS($V$1006:AD1006),$V$1006:$AE$1006,0))&gt;=100000), " ",IF(INDEX($V$2:$AE$1001,MATCH(ROWS($O$2:O69),$O$2:$O$1001,0),MATCH(COLUMNS($V$1006:AD1006),$V$1006:$AE$1006,0)), HYPERLINK("#",""), HYPERLINK(CONCATENATE("#Metadata!", ADDRESS(INDEX($Q$2:$Q$1001,MATCH(ROWS($O$2:O69),$O$2:$O$1001,0),0), INDEX($V$1004:$AE$1004,1,MATCH(COLUMNS($V$1006:AD1006),$V$1006:$AE$1006,0)))),"Fix")))</f>
        <v>0</v>
      </c>
      <c r="K69" s="3">
        <f>IF(OR(INDEX($P$2:$P$1001,MATCH(ROWS($O$2:O69),$O$2:$O$1001,0),1)&gt;=100000,INDEX($V$1005:$AE$1005,1,MATCH(COLUMNS($V$1006:AE1006),$V$1006:$AE$1006,0))&gt;=100000), " ",IF(INDEX($V$2:$AE$1001,MATCH(ROWS($O$2:O69),$O$2:$O$1001,0),MATCH(COLUMNS($V$1006:AE1006),$V$1006:$AE$1006,0)), HYPERLINK("#",""), HYPERLINK(CONCATENATE("#Metadata!", ADDRESS(INDEX($Q$2:$Q$1001,MATCH(ROWS($O$2:O69),$O$2:$O$1001,0),0), INDEX($V$1004:$AE$1004,1,MATCH(COLUMNS($V$1006:AE1006),$V$1006:$AE$1006,0)))),"Fix")))</f>
        <v>0</v>
      </c>
      <c r="O69">
        <v>0</v>
      </c>
      <c r="P69">
        <v>0</v>
      </c>
      <c r="Q69">
        <v>0</v>
      </c>
      <c r="R69">
        <f>IF(S69,TRUE,AND(V69:AE69))</f>
        <v>0</v>
      </c>
      <c r="S69">
        <f>COUNTBLANK(Metadata!B69:K69)=COLUMNS(Metadata!B69:K69)</f>
        <v>0</v>
      </c>
      <c r="T69">
        <v>0</v>
      </c>
      <c r="V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W69">
        <f>AND(IF(Metadata!C69="",FALSE,TRUE),exact(Metadata!C69,"animal secretion"))</f>
        <v>0</v>
      </c>
      <c r="X69">
        <f>AND(IF(Metadata!D69="",FALSE,TRUE),exact(Metadata!D69,"saliva"))</f>
        <v>0</v>
      </c>
      <c r="Y69">
        <f>AND(IF(Metadata!E69="",FALSE,TRUE),exact(Metadata!E69,"human-oral"))</f>
        <v>0</v>
      </c>
      <c r="Z69">
        <f>AND(IF(Metadata!F69="",FALSE,TRUE),exact(Metadata!F69,"UBERON:oral cavity"))</f>
        <v>0</v>
      </c>
      <c r="AA69">
        <f>AND(IF(Metadata!G69="",FALSE,TRUE),exact(Metadata!G69,"UBERON:saliva"))</f>
        <v>0</v>
      </c>
      <c r="AB69">
        <f>AND(IF(Metadata!H69="",FALSE,TRUE),exact(Metadata!H69,"UBERON:tongue"))</f>
        <v>0</v>
      </c>
      <c r="AC69">
        <f>AND(IF(Metadata!I69="",FALSE,TRUE),exact(Metadata!I69,"tongue"))</f>
        <v>0</v>
      </c>
      <c r="AD69">
        <f>AND(IF(Metadata!J69="",FALSE,TRUE),exact(Metadata!J69,"human oral metagenome"))</f>
        <v>0</v>
      </c>
      <c r="AE69">
        <f>AND(IF(Metadata!K69="",FALSE,TRUE),exact(Metadata!K69,"447426"))</f>
        <v>0</v>
      </c>
    </row>
    <row r="70" spans="1:31">
      <c r="A70" s="4">
        <f>IF(B70=" "," ",HYPERLINK(CONCATENATE("#metadata!",ADDRESS(INDEX($Q$2:$Q$1001,MATCH(ROWS($O$2:O70),$O$2:$O$1001,0),0),1)),INDEX($T$2:$T$1001,MATCH(ROWS($O$2:O70),$O$2:$O$1001,0),0)))</f>
        <v>0</v>
      </c>
      <c r="B70" s="3">
        <f>IF(OR(INDEX($P$2:$P$1001,MATCH(ROWS($O$2:O70),$O$2:$O$1001,0),1)&gt;=100000,INDEX($V$1005:$AE$1005,1,MATCH(COLUMNS($V$1006:V1006),$V$1006:$AE$1006,0))&gt;=100000), " ",IF(INDEX($V$2:$AE$1001,MATCH(ROWS($O$2:O70),$O$2:$O$1001,0),MATCH(COLUMNS($V$1006:V1006),$V$1006:$AE$1006,0)), HYPERLINK("#",""), HYPERLINK(CONCATENATE("#Metadata!", ADDRESS(INDEX($Q$2:$Q$1001,MATCH(ROWS($O$2:O70),$O$2:$O$1001,0),0), INDEX($V$1004:$AE$1004,1,MATCH(COLUMNS($V$1006:V1006),$V$1006:$AE$1006,0)))),"Fix")))</f>
        <v>0</v>
      </c>
      <c r="C70" s="3">
        <f>IF(OR(INDEX($P$2:$P$1001,MATCH(ROWS($O$2:O70),$O$2:$O$1001,0),1)&gt;=100000,INDEX($V$1005:$AE$1005,1,MATCH(COLUMNS($V$1006:W1006),$V$1006:$AE$1006,0))&gt;=100000), " ",IF(INDEX($V$2:$AE$1001,MATCH(ROWS($O$2:O70),$O$2:$O$1001,0),MATCH(COLUMNS($V$1006:W1006),$V$1006:$AE$1006,0)), HYPERLINK("#",""), HYPERLINK(CONCATENATE("#Metadata!", ADDRESS(INDEX($Q$2:$Q$1001,MATCH(ROWS($O$2:O70),$O$2:$O$1001,0),0), INDEX($V$1004:$AE$1004,1,MATCH(COLUMNS($V$1006:W1006),$V$1006:$AE$1006,0)))),"Fix")))</f>
        <v>0</v>
      </c>
      <c r="D70" s="3">
        <f>IF(OR(INDEX($P$2:$P$1001,MATCH(ROWS($O$2:O70),$O$2:$O$1001,0),1)&gt;=100000,INDEX($V$1005:$AE$1005,1,MATCH(COLUMNS($V$1006:X1006),$V$1006:$AE$1006,0))&gt;=100000), " ",IF(INDEX($V$2:$AE$1001,MATCH(ROWS($O$2:O70),$O$2:$O$1001,0),MATCH(COLUMNS($V$1006:X1006),$V$1006:$AE$1006,0)), HYPERLINK("#",""), HYPERLINK(CONCATENATE("#Metadata!", ADDRESS(INDEX($Q$2:$Q$1001,MATCH(ROWS($O$2:O70),$O$2:$O$1001,0),0), INDEX($V$1004:$AE$1004,1,MATCH(COLUMNS($V$1006:X1006),$V$1006:$AE$1006,0)))),"Fix")))</f>
        <v>0</v>
      </c>
      <c r="E70" s="3">
        <f>IF(OR(INDEX($P$2:$P$1001,MATCH(ROWS($O$2:O70),$O$2:$O$1001,0),1)&gt;=100000,INDEX($V$1005:$AE$1005,1,MATCH(COLUMNS($V$1006:Y1006),$V$1006:$AE$1006,0))&gt;=100000), " ",IF(INDEX($V$2:$AE$1001,MATCH(ROWS($O$2:O70),$O$2:$O$1001,0),MATCH(COLUMNS($V$1006:Y1006),$V$1006:$AE$1006,0)), HYPERLINK("#",""), HYPERLINK(CONCATENATE("#Metadata!", ADDRESS(INDEX($Q$2:$Q$1001,MATCH(ROWS($O$2:O70),$O$2:$O$1001,0),0), INDEX($V$1004:$AE$1004,1,MATCH(COLUMNS($V$1006:Y1006),$V$1006:$AE$1006,0)))),"Fix")))</f>
        <v>0</v>
      </c>
      <c r="F70" s="3">
        <f>IF(OR(INDEX($P$2:$P$1001,MATCH(ROWS($O$2:O70),$O$2:$O$1001,0),1)&gt;=100000,INDEX($V$1005:$AE$1005,1,MATCH(COLUMNS($V$1006:Z1006),$V$1006:$AE$1006,0))&gt;=100000), " ",IF(INDEX($V$2:$AE$1001,MATCH(ROWS($O$2:O70),$O$2:$O$1001,0),MATCH(COLUMNS($V$1006:Z1006),$V$1006:$AE$1006,0)), HYPERLINK("#",""), HYPERLINK(CONCATENATE("#Metadata!", ADDRESS(INDEX($Q$2:$Q$1001,MATCH(ROWS($O$2:O70),$O$2:$O$1001,0),0), INDEX($V$1004:$AE$1004,1,MATCH(COLUMNS($V$1006:Z1006),$V$1006:$AE$1006,0)))),"Fix")))</f>
        <v>0</v>
      </c>
      <c r="G70" s="3">
        <f>IF(OR(INDEX($P$2:$P$1001,MATCH(ROWS($O$2:O70),$O$2:$O$1001,0),1)&gt;=100000,INDEX($V$1005:$AE$1005,1,MATCH(COLUMNS($V$1006:AA1006),$V$1006:$AE$1006,0))&gt;=100000), " ",IF(INDEX($V$2:$AE$1001,MATCH(ROWS($O$2:O70),$O$2:$O$1001,0),MATCH(COLUMNS($V$1006:AA1006),$V$1006:$AE$1006,0)), HYPERLINK("#",""), HYPERLINK(CONCATENATE("#Metadata!", ADDRESS(INDEX($Q$2:$Q$1001,MATCH(ROWS($O$2:O70),$O$2:$O$1001,0),0), INDEX($V$1004:$AE$1004,1,MATCH(COLUMNS($V$1006:AA1006),$V$1006:$AE$1006,0)))),"Fix")))</f>
        <v>0</v>
      </c>
      <c r="H70" s="3">
        <f>IF(OR(INDEX($P$2:$P$1001,MATCH(ROWS($O$2:O70),$O$2:$O$1001,0),1)&gt;=100000,INDEX($V$1005:$AE$1005,1,MATCH(COLUMNS($V$1006:AB1006),$V$1006:$AE$1006,0))&gt;=100000), " ",IF(INDEX($V$2:$AE$1001,MATCH(ROWS($O$2:O70),$O$2:$O$1001,0),MATCH(COLUMNS($V$1006:AB1006),$V$1006:$AE$1006,0)), HYPERLINK("#",""), HYPERLINK(CONCATENATE("#Metadata!", ADDRESS(INDEX($Q$2:$Q$1001,MATCH(ROWS($O$2:O70),$O$2:$O$1001,0),0), INDEX($V$1004:$AE$1004,1,MATCH(COLUMNS($V$1006:AB1006),$V$1006:$AE$1006,0)))),"Fix")))</f>
        <v>0</v>
      </c>
      <c r="I70" s="3">
        <f>IF(OR(INDEX($P$2:$P$1001,MATCH(ROWS($O$2:O70),$O$2:$O$1001,0),1)&gt;=100000,INDEX($V$1005:$AE$1005,1,MATCH(COLUMNS($V$1006:AC1006),$V$1006:$AE$1006,0))&gt;=100000), " ",IF(INDEX($V$2:$AE$1001,MATCH(ROWS($O$2:O70),$O$2:$O$1001,0),MATCH(COLUMNS($V$1006:AC1006),$V$1006:$AE$1006,0)), HYPERLINK("#",""), HYPERLINK(CONCATENATE("#Metadata!", ADDRESS(INDEX($Q$2:$Q$1001,MATCH(ROWS($O$2:O70),$O$2:$O$1001,0),0), INDEX($V$1004:$AE$1004,1,MATCH(COLUMNS($V$1006:AC1006),$V$1006:$AE$1006,0)))),"Fix")))</f>
        <v>0</v>
      </c>
      <c r="J70" s="3">
        <f>IF(OR(INDEX($P$2:$P$1001,MATCH(ROWS($O$2:O70),$O$2:$O$1001,0),1)&gt;=100000,INDEX($V$1005:$AE$1005,1,MATCH(COLUMNS($V$1006:AD1006),$V$1006:$AE$1006,0))&gt;=100000), " ",IF(INDEX($V$2:$AE$1001,MATCH(ROWS($O$2:O70),$O$2:$O$1001,0),MATCH(COLUMNS($V$1006:AD1006),$V$1006:$AE$1006,0)), HYPERLINK("#",""), HYPERLINK(CONCATENATE("#Metadata!", ADDRESS(INDEX($Q$2:$Q$1001,MATCH(ROWS($O$2:O70),$O$2:$O$1001,0),0), INDEX($V$1004:$AE$1004,1,MATCH(COLUMNS($V$1006:AD1006),$V$1006:$AE$1006,0)))),"Fix")))</f>
        <v>0</v>
      </c>
      <c r="K70" s="3">
        <f>IF(OR(INDEX($P$2:$P$1001,MATCH(ROWS($O$2:O70),$O$2:$O$1001,0),1)&gt;=100000,INDEX($V$1005:$AE$1005,1,MATCH(COLUMNS($V$1006:AE1006),$V$1006:$AE$1006,0))&gt;=100000), " ",IF(INDEX($V$2:$AE$1001,MATCH(ROWS($O$2:O70),$O$2:$O$1001,0),MATCH(COLUMNS($V$1006:AE1006),$V$1006:$AE$1006,0)), HYPERLINK("#",""), HYPERLINK(CONCATENATE("#Metadata!", ADDRESS(INDEX($Q$2:$Q$1001,MATCH(ROWS($O$2:O70),$O$2:$O$1001,0),0), INDEX($V$1004:$AE$1004,1,MATCH(COLUMNS($V$1006:AE1006),$V$1006:$AE$1006,0)))),"Fix")))</f>
        <v>0</v>
      </c>
      <c r="O70">
        <v>0</v>
      </c>
      <c r="P70">
        <v>0</v>
      </c>
      <c r="Q70">
        <v>0</v>
      </c>
      <c r="R70">
        <f>IF(S70,TRUE,AND(V70:AE70))</f>
        <v>0</v>
      </c>
      <c r="S70">
        <f>COUNTBLANK(Metadata!B70:K70)=COLUMNS(Metadata!B70:K70)</f>
        <v>0</v>
      </c>
      <c r="T70">
        <v>0</v>
      </c>
      <c r="V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W70">
        <f>AND(IF(Metadata!C70="",FALSE,TRUE),exact(Metadata!C70,"animal secretion"))</f>
        <v>0</v>
      </c>
      <c r="X70">
        <f>AND(IF(Metadata!D70="",FALSE,TRUE),exact(Metadata!D70,"saliva"))</f>
        <v>0</v>
      </c>
      <c r="Y70">
        <f>AND(IF(Metadata!E70="",FALSE,TRUE),exact(Metadata!E70,"human-oral"))</f>
        <v>0</v>
      </c>
      <c r="Z70">
        <f>AND(IF(Metadata!F70="",FALSE,TRUE),exact(Metadata!F70,"UBERON:oral cavity"))</f>
        <v>0</v>
      </c>
      <c r="AA70">
        <f>AND(IF(Metadata!G70="",FALSE,TRUE),exact(Metadata!G70,"UBERON:saliva"))</f>
        <v>0</v>
      </c>
      <c r="AB70">
        <f>AND(IF(Metadata!H70="",FALSE,TRUE),exact(Metadata!H70,"UBERON:tongue"))</f>
        <v>0</v>
      </c>
      <c r="AC70">
        <f>AND(IF(Metadata!I70="",FALSE,TRUE),exact(Metadata!I70,"tongue"))</f>
        <v>0</v>
      </c>
      <c r="AD70">
        <f>AND(IF(Metadata!J70="",FALSE,TRUE),exact(Metadata!J70,"human oral metagenome"))</f>
        <v>0</v>
      </c>
      <c r="AE70">
        <f>AND(IF(Metadata!K70="",FALSE,TRUE),exact(Metadata!K70,"447426"))</f>
        <v>0</v>
      </c>
    </row>
    <row r="71" spans="1:31">
      <c r="A71" s="4">
        <f>IF(B71=" "," ",HYPERLINK(CONCATENATE("#metadata!",ADDRESS(INDEX($Q$2:$Q$1001,MATCH(ROWS($O$2:O71),$O$2:$O$1001,0),0),1)),INDEX($T$2:$T$1001,MATCH(ROWS($O$2:O71),$O$2:$O$1001,0),0)))</f>
        <v>0</v>
      </c>
      <c r="B71" s="3">
        <f>IF(OR(INDEX($P$2:$P$1001,MATCH(ROWS($O$2:O71),$O$2:$O$1001,0),1)&gt;=100000,INDEX($V$1005:$AE$1005,1,MATCH(COLUMNS($V$1006:V1006),$V$1006:$AE$1006,0))&gt;=100000), " ",IF(INDEX($V$2:$AE$1001,MATCH(ROWS($O$2:O71),$O$2:$O$1001,0),MATCH(COLUMNS($V$1006:V1006),$V$1006:$AE$1006,0)), HYPERLINK("#",""), HYPERLINK(CONCATENATE("#Metadata!", ADDRESS(INDEX($Q$2:$Q$1001,MATCH(ROWS($O$2:O71),$O$2:$O$1001,0),0), INDEX($V$1004:$AE$1004,1,MATCH(COLUMNS($V$1006:V1006),$V$1006:$AE$1006,0)))),"Fix")))</f>
        <v>0</v>
      </c>
      <c r="C71" s="3">
        <f>IF(OR(INDEX($P$2:$P$1001,MATCH(ROWS($O$2:O71),$O$2:$O$1001,0),1)&gt;=100000,INDEX($V$1005:$AE$1005,1,MATCH(COLUMNS($V$1006:W1006),$V$1006:$AE$1006,0))&gt;=100000), " ",IF(INDEX($V$2:$AE$1001,MATCH(ROWS($O$2:O71),$O$2:$O$1001,0),MATCH(COLUMNS($V$1006:W1006),$V$1006:$AE$1006,0)), HYPERLINK("#",""), HYPERLINK(CONCATENATE("#Metadata!", ADDRESS(INDEX($Q$2:$Q$1001,MATCH(ROWS($O$2:O71),$O$2:$O$1001,0),0), INDEX($V$1004:$AE$1004,1,MATCH(COLUMNS($V$1006:W1006),$V$1006:$AE$1006,0)))),"Fix")))</f>
        <v>0</v>
      </c>
      <c r="D71" s="3">
        <f>IF(OR(INDEX($P$2:$P$1001,MATCH(ROWS($O$2:O71),$O$2:$O$1001,0),1)&gt;=100000,INDEX($V$1005:$AE$1005,1,MATCH(COLUMNS($V$1006:X1006),$V$1006:$AE$1006,0))&gt;=100000), " ",IF(INDEX($V$2:$AE$1001,MATCH(ROWS($O$2:O71),$O$2:$O$1001,0),MATCH(COLUMNS($V$1006:X1006),$V$1006:$AE$1006,0)), HYPERLINK("#",""), HYPERLINK(CONCATENATE("#Metadata!", ADDRESS(INDEX($Q$2:$Q$1001,MATCH(ROWS($O$2:O71),$O$2:$O$1001,0),0), INDEX($V$1004:$AE$1004,1,MATCH(COLUMNS($V$1006:X1006),$V$1006:$AE$1006,0)))),"Fix")))</f>
        <v>0</v>
      </c>
      <c r="E71" s="3">
        <f>IF(OR(INDEX($P$2:$P$1001,MATCH(ROWS($O$2:O71),$O$2:$O$1001,0),1)&gt;=100000,INDEX($V$1005:$AE$1005,1,MATCH(COLUMNS($V$1006:Y1006),$V$1006:$AE$1006,0))&gt;=100000), " ",IF(INDEX($V$2:$AE$1001,MATCH(ROWS($O$2:O71),$O$2:$O$1001,0),MATCH(COLUMNS($V$1006:Y1006),$V$1006:$AE$1006,0)), HYPERLINK("#",""), HYPERLINK(CONCATENATE("#Metadata!", ADDRESS(INDEX($Q$2:$Q$1001,MATCH(ROWS($O$2:O71),$O$2:$O$1001,0),0), INDEX($V$1004:$AE$1004,1,MATCH(COLUMNS($V$1006:Y1006),$V$1006:$AE$1006,0)))),"Fix")))</f>
        <v>0</v>
      </c>
      <c r="F71" s="3">
        <f>IF(OR(INDEX($P$2:$P$1001,MATCH(ROWS($O$2:O71),$O$2:$O$1001,0),1)&gt;=100000,INDEX($V$1005:$AE$1005,1,MATCH(COLUMNS($V$1006:Z1006),$V$1006:$AE$1006,0))&gt;=100000), " ",IF(INDEX($V$2:$AE$1001,MATCH(ROWS($O$2:O71),$O$2:$O$1001,0),MATCH(COLUMNS($V$1006:Z1006),$V$1006:$AE$1006,0)), HYPERLINK("#",""), HYPERLINK(CONCATENATE("#Metadata!", ADDRESS(INDEX($Q$2:$Q$1001,MATCH(ROWS($O$2:O71),$O$2:$O$1001,0),0), INDEX($V$1004:$AE$1004,1,MATCH(COLUMNS($V$1006:Z1006),$V$1006:$AE$1006,0)))),"Fix")))</f>
        <v>0</v>
      </c>
      <c r="G71" s="3">
        <f>IF(OR(INDEX($P$2:$P$1001,MATCH(ROWS($O$2:O71),$O$2:$O$1001,0),1)&gt;=100000,INDEX($V$1005:$AE$1005,1,MATCH(COLUMNS($V$1006:AA1006),$V$1006:$AE$1006,0))&gt;=100000), " ",IF(INDEX($V$2:$AE$1001,MATCH(ROWS($O$2:O71),$O$2:$O$1001,0),MATCH(COLUMNS($V$1006:AA1006),$V$1006:$AE$1006,0)), HYPERLINK("#",""), HYPERLINK(CONCATENATE("#Metadata!", ADDRESS(INDEX($Q$2:$Q$1001,MATCH(ROWS($O$2:O71),$O$2:$O$1001,0),0), INDEX($V$1004:$AE$1004,1,MATCH(COLUMNS($V$1006:AA1006),$V$1006:$AE$1006,0)))),"Fix")))</f>
        <v>0</v>
      </c>
      <c r="H71" s="3">
        <f>IF(OR(INDEX($P$2:$P$1001,MATCH(ROWS($O$2:O71),$O$2:$O$1001,0),1)&gt;=100000,INDEX($V$1005:$AE$1005,1,MATCH(COLUMNS($V$1006:AB1006),$V$1006:$AE$1006,0))&gt;=100000), " ",IF(INDEX($V$2:$AE$1001,MATCH(ROWS($O$2:O71),$O$2:$O$1001,0),MATCH(COLUMNS($V$1006:AB1006),$V$1006:$AE$1006,0)), HYPERLINK("#",""), HYPERLINK(CONCATENATE("#Metadata!", ADDRESS(INDEX($Q$2:$Q$1001,MATCH(ROWS($O$2:O71),$O$2:$O$1001,0),0), INDEX($V$1004:$AE$1004,1,MATCH(COLUMNS($V$1006:AB1006),$V$1006:$AE$1006,0)))),"Fix")))</f>
        <v>0</v>
      </c>
      <c r="I71" s="3">
        <f>IF(OR(INDEX($P$2:$P$1001,MATCH(ROWS($O$2:O71),$O$2:$O$1001,0),1)&gt;=100000,INDEX($V$1005:$AE$1005,1,MATCH(COLUMNS($V$1006:AC1006),$V$1006:$AE$1006,0))&gt;=100000), " ",IF(INDEX($V$2:$AE$1001,MATCH(ROWS($O$2:O71),$O$2:$O$1001,0),MATCH(COLUMNS($V$1006:AC1006),$V$1006:$AE$1006,0)), HYPERLINK("#",""), HYPERLINK(CONCATENATE("#Metadata!", ADDRESS(INDEX($Q$2:$Q$1001,MATCH(ROWS($O$2:O71),$O$2:$O$1001,0),0), INDEX($V$1004:$AE$1004,1,MATCH(COLUMNS($V$1006:AC1006),$V$1006:$AE$1006,0)))),"Fix")))</f>
        <v>0</v>
      </c>
      <c r="J71" s="3">
        <f>IF(OR(INDEX($P$2:$P$1001,MATCH(ROWS($O$2:O71),$O$2:$O$1001,0),1)&gt;=100000,INDEX($V$1005:$AE$1005,1,MATCH(COLUMNS($V$1006:AD1006),$V$1006:$AE$1006,0))&gt;=100000), " ",IF(INDEX($V$2:$AE$1001,MATCH(ROWS($O$2:O71),$O$2:$O$1001,0),MATCH(COLUMNS($V$1006:AD1006),$V$1006:$AE$1006,0)), HYPERLINK("#",""), HYPERLINK(CONCATENATE("#Metadata!", ADDRESS(INDEX($Q$2:$Q$1001,MATCH(ROWS($O$2:O71),$O$2:$O$1001,0),0), INDEX($V$1004:$AE$1004,1,MATCH(COLUMNS($V$1006:AD1006),$V$1006:$AE$1006,0)))),"Fix")))</f>
        <v>0</v>
      </c>
      <c r="K71" s="3">
        <f>IF(OR(INDEX($P$2:$P$1001,MATCH(ROWS($O$2:O71),$O$2:$O$1001,0),1)&gt;=100000,INDEX($V$1005:$AE$1005,1,MATCH(COLUMNS($V$1006:AE1006),$V$1006:$AE$1006,0))&gt;=100000), " ",IF(INDEX($V$2:$AE$1001,MATCH(ROWS($O$2:O71),$O$2:$O$1001,0),MATCH(COLUMNS($V$1006:AE1006),$V$1006:$AE$1006,0)), HYPERLINK("#",""), HYPERLINK(CONCATENATE("#Metadata!", ADDRESS(INDEX($Q$2:$Q$1001,MATCH(ROWS($O$2:O71),$O$2:$O$1001,0),0), INDEX($V$1004:$AE$1004,1,MATCH(COLUMNS($V$1006:AE1006),$V$1006:$AE$1006,0)))),"Fix")))</f>
        <v>0</v>
      </c>
      <c r="O71">
        <v>0</v>
      </c>
      <c r="P71">
        <v>0</v>
      </c>
      <c r="Q71">
        <v>0</v>
      </c>
      <c r="R71">
        <f>IF(S71,TRUE,AND(V71:AE71))</f>
        <v>0</v>
      </c>
      <c r="S71">
        <f>COUNTBLANK(Metadata!B71:K71)=COLUMNS(Metadata!B71:K71)</f>
        <v>0</v>
      </c>
      <c r="T71">
        <v>0</v>
      </c>
      <c r="V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W71">
        <f>AND(IF(Metadata!C71="",FALSE,TRUE),exact(Metadata!C71,"animal secretion"))</f>
        <v>0</v>
      </c>
      <c r="X71">
        <f>AND(IF(Metadata!D71="",FALSE,TRUE),exact(Metadata!D71,"saliva"))</f>
        <v>0</v>
      </c>
      <c r="Y71">
        <f>AND(IF(Metadata!E71="",FALSE,TRUE),exact(Metadata!E71,"human-oral"))</f>
        <v>0</v>
      </c>
      <c r="Z71">
        <f>AND(IF(Metadata!F71="",FALSE,TRUE),exact(Metadata!F71,"UBERON:oral cavity"))</f>
        <v>0</v>
      </c>
      <c r="AA71">
        <f>AND(IF(Metadata!G71="",FALSE,TRUE),exact(Metadata!G71,"UBERON:saliva"))</f>
        <v>0</v>
      </c>
      <c r="AB71">
        <f>AND(IF(Metadata!H71="",FALSE,TRUE),exact(Metadata!H71,"UBERON:tongue"))</f>
        <v>0</v>
      </c>
      <c r="AC71">
        <f>AND(IF(Metadata!I71="",FALSE,TRUE),exact(Metadata!I71,"tongue"))</f>
        <v>0</v>
      </c>
      <c r="AD71">
        <f>AND(IF(Metadata!J71="",FALSE,TRUE),exact(Metadata!J71,"human oral metagenome"))</f>
        <v>0</v>
      </c>
      <c r="AE71">
        <f>AND(IF(Metadata!K71="",FALSE,TRUE),exact(Metadata!K71,"447426"))</f>
        <v>0</v>
      </c>
    </row>
    <row r="72" spans="1:31">
      <c r="A72" s="4">
        <f>IF(B72=" "," ",HYPERLINK(CONCATENATE("#metadata!",ADDRESS(INDEX($Q$2:$Q$1001,MATCH(ROWS($O$2:O72),$O$2:$O$1001,0),0),1)),INDEX($T$2:$T$1001,MATCH(ROWS($O$2:O72),$O$2:$O$1001,0),0)))</f>
        <v>0</v>
      </c>
      <c r="B72" s="3">
        <f>IF(OR(INDEX($P$2:$P$1001,MATCH(ROWS($O$2:O72),$O$2:$O$1001,0),1)&gt;=100000,INDEX($V$1005:$AE$1005,1,MATCH(COLUMNS($V$1006:V1006),$V$1006:$AE$1006,0))&gt;=100000), " ",IF(INDEX($V$2:$AE$1001,MATCH(ROWS($O$2:O72),$O$2:$O$1001,0),MATCH(COLUMNS($V$1006:V1006),$V$1006:$AE$1006,0)), HYPERLINK("#",""), HYPERLINK(CONCATENATE("#Metadata!", ADDRESS(INDEX($Q$2:$Q$1001,MATCH(ROWS($O$2:O72),$O$2:$O$1001,0),0), INDEX($V$1004:$AE$1004,1,MATCH(COLUMNS($V$1006:V1006),$V$1006:$AE$1006,0)))),"Fix")))</f>
        <v>0</v>
      </c>
      <c r="C72" s="3">
        <f>IF(OR(INDEX($P$2:$P$1001,MATCH(ROWS($O$2:O72),$O$2:$O$1001,0),1)&gt;=100000,INDEX($V$1005:$AE$1005,1,MATCH(COLUMNS($V$1006:W1006),$V$1006:$AE$1006,0))&gt;=100000), " ",IF(INDEX($V$2:$AE$1001,MATCH(ROWS($O$2:O72),$O$2:$O$1001,0),MATCH(COLUMNS($V$1006:W1006),$V$1006:$AE$1006,0)), HYPERLINK("#",""), HYPERLINK(CONCATENATE("#Metadata!", ADDRESS(INDEX($Q$2:$Q$1001,MATCH(ROWS($O$2:O72),$O$2:$O$1001,0),0), INDEX($V$1004:$AE$1004,1,MATCH(COLUMNS($V$1006:W1006),$V$1006:$AE$1006,0)))),"Fix")))</f>
        <v>0</v>
      </c>
      <c r="D72" s="3">
        <f>IF(OR(INDEX($P$2:$P$1001,MATCH(ROWS($O$2:O72),$O$2:$O$1001,0),1)&gt;=100000,INDEX($V$1005:$AE$1005,1,MATCH(COLUMNS($V$1006:X1006),$V$1006:$AE$1006,0))&gt;=100000), " ",IF(INDEX($V$2:$AE$1001,MATCH(ROWS($O$2:O72),$O$2:$O$1001,0),MATCH(COLUMNS($V$1006:X1006),$V$1006:$AE$1006,0)), HYPERLINK("#",""), HYPERLINK(CONCATENATE("#Metadata!", ADDRESS(INDEX($Q$2:$Q$1001,MATCH(ROWS($O$2:O72),$O$2:$O$1001,0),0), INDEX($V$1004:$AE$1004,1,MATCH(COLUMNS($V$1006:X1006),$V$1006:$AE$1006,0)))),"Fix")))</f>
        <v>0</v>
      </c>
      <c r="E72" s="3">
        <f>IF(OR(INDEX($P$2:$P$1001,MATCH(ROWS($O$2:O72),$O$2:$O$1001,0),1)&gt;=100000,INDEX($V$1005:$AE$1005,1,MATCH(COLUMNS($V$1006:Y1006),$V$1006:$AE$1006,0))&gt;=100000), " ",IF(INDEX($V$2:$AE$1001,MATCH(ROWS($O$2:O72),$O$2:$O$1001,0),MATCH(COLUMNS($V$1006:Y1006),$V$1006:$AE$1006,0)), HYPERLINK("#",""), HYPERLINK(CONCATENATE("#Metadata!", ADDRESS(INDEX($Q$2:$Q$1001,MATCH(ROWS($O$2:O72),$O$2:$O$1001,0),0), INDEX($V$1004:$AE$1004,1,MATCH(COLUMNS($V$1006:Y1006),$V$1006:$AE$1006,0)))),"Fix")))</f>
        <v>0</v>
      </c>
      <c r="F72" s="3">
        <f>IF(OR(INDEX($P$2:$P$1001,MATCH(ROWS($O$2:O72),$O$2:$O$1001,0),1)&gt;=100000,INDEX($V$1005:$AE$1005,1,MATCH(COLUMNS($V$1006:Z1006),$V$1006:$AE$1006,0))&gt;=100000), " ",IF(INDEX($V$2:$AE$1001,MATCH(ROWS($O$2:O72),$O$2:$O$1001,0),MATCH(COLUMNS($V$1006:Z1006),$V$1006:$AE$1006,0)), HYPERLINK("#",""), HYPERLINK(CONCATENATE("#Metadata!", ADDRESS(INDEX($Q$2:$Q$1001,MATCH(ROWS($O$2:O72),$O$2:$O$1001,0),0), INDEX($V$1004:$AE$1004,1,MATCH(COLUMNS($V$1006:Z1006),$V$1006:$AE$1006,0)))),"Fix")))</f>
        <v>0</v>
      </c>
      <c r="G72" s="3">
        <f>IF(OR(INDEX($P$2:$P$1001,MATCH(ROWS($O$2:O72),$O$2:$O$1001,0),1)&gt;=100000,INDEX($V$1005:$AE$1005,1,MATCH(COLUMNS($V$1006:AA1006),$V$1006:$AE$1006,0))&gt;=100000), " ",IF(INDEX($V$2:$AE$1001,MATCH(ROWS($O$2:O72),$O$2:$O$1001,0),MATCH(COLUMNS($V$1006:AA1006),$V$1006:$AE$1006,0)), HYPERLINK("#",""), HYPERLINK(CONCATENATE("#Metadata!", ADDRESS(INDEX($Q$2:$Q$1001,MATCH(ROWS($O$2:O72),$O$2:$O$1001,0),0), INDEX($V$1004:$AE$1004,1,MATCH(COLUMNS($V$1006:AA1006),$V$1006:$AE$1006,0)))),"Fix")))</f>
        <v>0</v>
      </c>
      <c r="H72" s="3">
        <f>IF(OR(INDEX($P$2:$P$1001,MATCH(ROWS($O$2:O72),$O$2:$O$1001,0),1)&gt;=100000,INDEX($V$1005:$AE$1005,1,MATCH(COLUMNS($V$1006:AB1006),$V$1006:$AE$1006,0))&gt;=100000), " ",IF(INDEX($V$2:$AE$1001,MATCH(ROWS($O$2:O72),$O$2:$O$1001,0),MATCH(COLUMNS($V$1006:AB1006),$V$1006:$AE$1006,0)), HYPERLINK("#",""), HYPERLINK(CONCATENATE("#Metadata!", ADDRESS(INDEX($Q$2:$Q$1001,MATCH(ROWS($O$2:O72),$O$2:$O$1001,0),0), INDEX($V$1004:$AE$1004,1,MATCH(COLUMNS($V$1006:AB1006),$V$1006:$AE$1006,0)))),"Fix")))</f>
        <v>0</v>
      </c>
      <c r="I72" s="3">
        <f>IF(OR(INDEX($P$2:$P$1001,MATCH(ROWS($O$2:O72),$O$2:$O$1001,0),1)&gt;=100000,INDEX($V$1005:$AE$1005,1,MATCH(COLUMNS($V$1006:AC1006),$V$1006:$AE$1006,0))&gt;=100000), " ",IF(INDEX($V$2:$AE$1001,MATCH(ROWS($O$2:O72),$O$2:$O$1001,0),MATCH(COLUMNS($V$1006:AC1006),$V$1006:$AE$1006,0)), HYPERLINK("#",""), HYPERLINK(CONCATENATE("#Metadata!", ADDRESS(INDEX($Q$2:$Q$1001,MATCH(ROWS($O$2:O72),$O$2:$O$1001,0),0), INDEX($V$1004:$AE$1004,1,MATCH(COLUMNS($V$1006:AC1006),$V$1006:$AE$1006,0)))),"Fix")))</f>
        <v>0</v>
      </c>
      <c r="J72" s="3">
        <f>IF(OR(INDEX($P$2:$P$1001,MATCH(ROWS($O$2:O72),$O$2:$O$1001,0),1)&gt;=100000,INDEX($V$1005:$AE$1005,1,MATCH(COLUMNS($V$1006:AD1006),$V$1006:$AE$1006,0))&gt;=100000), " ",IF(INDEX($V$2:$AE$1001,MATCH(ROWS($O$2:O72),$O$2:$O$1001,0),MATCH(COLUMNS($V$1006:AD1006),$V$1006:$AE$1006,0)), HYPERLINK("#",""), HYPERLINK(CONCATENATE("#Metadata!", ADDRESS(INDEX($Q$2:$Q$1001,MATCH(ROWS($O$2:O72),$O$2:$O$1001,0),0), INDEX($V$1004:$AE$1004,1,MATCH(COLUMNS($V$1006:AD1006),$V$1006:$AE$1006,0)))),"Fix")))</f>
        <v>0</v>
      </c>
      <c r="K72" s="3">
        <f>IF(OR(INDEX($P$2:$P$1001,MATCH(ROWS($O$2:O72),$O$2:$O$1001,0),1)&gt;=100000,INDEX($V$1005:$AE$1005,1,MATCH(COLUMNS($V$1006:AE1006),$V$1006:$AE$1006,0))&gt;=100000), " ",IF(INDEX($V$2:$AE$1001,MATCH(ROWS($O$2:O72),$O$2:$O$1001,0),MATCH(COLUMNS($V$1006:AE1006),$V$1006:$AE$1006,0)), HYPERLINK("#",""), HYPERLINK(CONCATENATE("#Metadata!", ADDRESS(INDEX($Q$2:$Q$1001,MATCH(ROWS($O$2:O72),$O$2:$O$1001,0),0), INDEX($V$1004:$AE$1004,1,MATCH(COLUMNS($V$1006:AE1006),$V$1006:$AE$1006,0)))),"Fix")))</f>
        <v>0</v>
      </c>
      <c r="O72">
        <v>0</v>
      </c>
      <c r="P72">
        <v>0</v>
      </c>
      <c r="Q72">
        <v>0</v>
      </c>
      <c r="R72">
        <f>IF(S72,TRUE,AND(V72:AE72))</f>
        <v>0</v>
      </c>
      <c r="S72">
        <f>COUNTBLANK(Metadata!B72:K72)=COLUMNS(Metadata!B72:K72)</f>
        <v>0</v>
      </c>
      <c r="T72">
        <v>0</v>
      </c>
      <c r="V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W72">
        <f>AND(IF(Metadata!C72="",FALSE,TRUE),exact(Metadata!C72,"animal secretion"))</f>
        <v>0</v>
      </c>
      <c r="X72">
        <f>AND(IF(Metadata!D72="",FALSE,TRUE),exact(Metadata!D72,"saliva"))</f>
        <v>0</v>
      </c>
      <c r="Y72">
        <f>AND(IF(Metadata!E72="",FALSE,TRUE),exact(Metadata!E72,"human-oral"))</f>
        <v>0</v>
      </c>
      <c r="Z72">
        <f>AND(IF(Metadata!F72="",FALSE,TRUE),exact(Metadata!F72,"UBERON:oral cavity"))</f>
        <v>0</v>
      </c>
      <c r="AA72">
        <f>AND(IF(Metadata!G72="",FALSE,TRUE),exact(Metadata!G72,"UBERON:saliva"))</f>
        <v>0</v>
      </c>
      <c r="AB72">
        <f>AND(IF(Metadata!H72="",FALSE,TRUE),exact(Metadata!H72,"UBERON:tongue"))</f>
        <v>0</v>
      </c>
      <c r="AC72">
        <f>AND(IF(Metadata!I72="",FALSE,TRUE),exact(Metadata!I72,"tongue"))</f>
        <v>0</v>
      </c>
      <c r="AD72">
        <f>AND(IF(Metadata!J72="",FALSE,TRUE),exact(Metadata!J72,"human oral metagenome"))</f>
        <v>0</v>
      </c>
      <c r="AE72">
        <f>AND(IF(Metadata!K72="",FALSE,TRUE),exact(Metadata!K72,"447426"))</f>
        <v>0</v>
      </c>
    </row>
    <row r="73" spans="1:31">
      <c r="A73" s="4">
        <f>IF(B73=" "," ",HYPERLINK(CONCATENATE("#metadata!",ADDRESS(INDEX($Q$2:$Q$1001,MATCH(ROWS($O$2:O73),$O$2:$O$1001,0),0),1)),INDEX($T$2:$T$1001,MATCH(ROWS($O$2:O73),$O$2:$O$1001,0),0)))</f>
        <v>0</v>
      </c>
      <c r="B73" s="3">
        <f>IF(OR(INDEX($P$2:$P$1001,MATCH(ROWS($O$2:O73),$O$2:$O$1001,0),1)&gt;=100000,INDEX($V$1005:$AE$1005,1,MATCH(COLUMNS($V$1006:V1006),$V$1006:$AE$1006,0))&gt;=100000), " ",IF(INDEX($V$2:$AE$1001,MATCH(ROWS($O$2:O73),$O$2:$O$1001,0),MATCH(COLUMNS($V$1006:V1006),$V$1006:$AE$1006,0)), HYPERLINK("#",""), HYPERLINK(CONCATENATE("#Metadata!", ADDRESS(INDEX($Q$2:$Q$1001,MATCH(ROWS($O$2:O73),$O$2:$O$1001,0),0), INDEX($V$1004:$AE$1004,1,MATCH(COLUMNS($V$1006:V1006),$V$1006:$AE$1006,0)))),"Fix")))</f>
        <v>0</v>
      </c>
      <c r="C73" s="3">
        <f>IF(OR(INDEX($P$2:$P$1001,MATCH(ROWS($O$2:O73),$O$2:$O$1001,0),1)&gt;=100000,INDEX($V$1005:$AE$1005,1,MATCH(COLUMNS($V$1006:W1006),$V$1006:$AE$1006,0))&gt;=100000), " ",IF(INDEX($V$2:$AE$1001,MATCH(ROWS($O$2:O73),$O$2:$O$1001,0),MATCH(COLUMNS($V$1006:W1006),$V$1006:$AE$1006,0)), HYPERLINK("#",""), HYPERLINK(CONCATENATE("#Metadata!", ADDRESS(INDEX($Q$2:$Q$1001,MATCH(ROWS($O$2:O73),$O$2:$O$1001,0),0), INDEX($V$1004:$AE$1004,1,MATCH(COLUMNS($V$1006:W1006),$V$1006:$AE$1006,0)))),"Fix")))</f>
        <v>0</v>
      </c>
      <c r="D73" s="3">
        <f>IF(OR(INDEX($P$2:$P$1001,MATCH(ROWS($O$2:O73),$O$2:$O$1001,0),1)&gt;=100000,INDEX($V$1005:$AE$1005,1,MATCH(COLUMNS($V$1006:X1006),$V$1006:$AE$1006,0))&gt;=100000), " ",IF(INDEX($V$2:$AE$1001,MATCH(ROWS($O$2:O73),$O$2:$O$1001,0),MATCH(COLUMNS($V$1006:X1006),$V$1006:$AE$1006,0)), HYPERLINK("#",""), HYPERLINK(CONCATENATE("#Metadata!", ADDRESS(INDEX($Q$2:$Q$1001,MATCH(ROWS($O$2:O73),$O$2:$O$1001,0),0), INDEX($V$1004:$AE$1004,1,MATCH(COLUMNS($V$1006:X1006),$V$1006:$AE$1006,0)))),"Fix")))</f>
        <v>0</v>
      </c>
      <c r="E73" s="3">
        <f>IF(OR(INDEX($P$2:$P$1001,MATCH(ROWS($O$2:O73),$O$2:$O$1001,0),1)&gt;=100000,INDEX($V$1005:$AE$1005,1,MATCH(COLUMNS($V$1006:Y1006),$V$1006:$AE$1006,0))&gt;=100000), " ",IF(INDEX($V$2:$AE$1001,MATCH(ROWS($O$2:O73),$O$2:$O$1001,0),MATCH(COLUMNS($V$1006:Y1006),$V$1006:$AE$1006,0)), HYPERLINK("#",""), HYPERLINK(CONCATENATE("#Metadata!", ADDRESS(INDEX($Q$2:$Q$1001,MATCH(ROWS($O$2:O73),$O$2:$O$1001,0),0), INDEX($V$1004:$AE$1004,1,MATCH(COLUMNS($V$1006:Y1006),$V$1006:$AE$1006,0)))),"Fix")))</f>
        <v>0</v>
      </c>
      <c r="F73" s="3">
        <f>IF(OR(INDEX($P$2:$P$1001,MATCH(ROWS($O$2:O73),$O$2:$O$1001,0),1)&gt;=100000,INDEX($V$1005:$AE$1005,1,MATCH(COLUMNS($V$1006:Z1006),$V$1006:$AE$1006,0))&gt;=100000), " ",IF(INDEX($V$2:$AE$1001,MATCH(ROWS($O$2:O73),$O$2:$O$1001,0),MATCH(COLUMNS($V$1006:Z1006),$V$1006:$AE$1006,0)), HYPERLINK("#",""), HYPERLINK(CONCATENATE("#Metadata!", ADDRESS(INDEX($Q$2:$Q$1001,MATCH(ROWS($O$2:O73),$O$2:$O$1001,0),0), INDEX($V$1004:$AE$1004,1,MATCH(COLUMNS($V$1006:Z1006),$V$1006:$AE$1006,0)))),"Fix")))</f>
        <v>0</v>
      </c>
      <c r="G73" s="3">
        <f>IF(OR(INDEX($P$2:$P$1001,MATCH(ROWS($O$2:O73),$O$2:$O$1001,0),1)&gt;=100000,INDEX($V$1005:$AE$1005,1,MATCH(COLUMNS($V$1006:AA1006),$V$1006:$AE$1006,0))&gt;=100000), " ",IF(INDEX($V$2:$AE$1001,MATCH(ROWS($O$2:O73),$O$2:$O$1001,0),MATCH(COLUMNS($V$1006:AA1006),$V$1006:$AE$1006,0)), HYPERLINK("#",""), HYPERLINK(CONCATENATE("#Metadata!", ADDRESS(INDEX($Q$2:$Q$1001,MATCH(ROWS($O$2:O73),$O$2:$O$1001,0),0), INDEX($V$1004:$AE$1004,1,MATCH(COLUMNS($V$1006:AA1006),$V$1006:$AE$1006,0)))),"Fix")))</f>
        <v>0</v>
      </c>
      <c r="H73" s="3">
        <f>IF(OR(INDEX($P$2:$P$1001,MATCH(ROWS($O$2:O73),$O$2:$O$1001,0),1)&gt;=100000,INDEX($V$1005:$AE$1005,1,MATCH(COLUMNS($V$1006:AB1006),$V$1006:$AE$1006,0))&gt;=100000), " ",IF(INDEX($V$2:$AE$1001,MATCH(ROWS($O$2:O73),$O$2:$O$1001,0),MATCH(COLUMNS($V$1006:AB1006),$V$1006:$AE$1006,0)), HYPERLINK("#",""), HYPERLINK(CONCATENATE("#Metadata!", ADDRESS(INDEX($Q$2:$Q$1001,MATCH(ROWS($O$2:O73),$O$2:$O$1001,0),0), INDEX($V$1004:$AE$1004,1,MATCH(COLUMNS($V$1006:AB1006),$V$1006:$AE$1006,0)))),"Fix")))</f>
        <v>0</v>
      </c>
      <c r="I73" s="3">
        <f>IF(OR(INDEX($P$2:$P$1001,MATCH(ROWS($O$2:O73),$O$2:$O$1001,0),1)&gt;=100000,INDEX($V$1005:$AE$1005,1,MATCH(COLUMNS($V$1006:AC1006),$V$1006:$AE$1006,0))&gt;=100000), " ",IF(INDEX($V$2:$AE$1001,MATCH(ROWS($O$2:O73),$O$2:$O$1001,0),MATCH(COLUMNS($V$1006:AC1006),$V$1006:$AE$1006,0)), HYPERLINK("#",""), HYPERLINK(CONCATENATE("#Metadata!", ADDRESS(INDEX($Q$2:$Q$1001,MATCH(ROWS($O$2:O73),$O$2:$O$1001,0),0), INDEX($V$1004:$AE$1004,1,MATCH(COLUMNS($V$1006:AC1006),$V$1006:$AE$1006,0)))),"Fix")))</f>
        <v>0</v>
      </c>
      <c r="J73" s="3">
        <f>IF(OR(INDEX($P$2:$P$1001,MATCH(ROWS($O$2:O73),$O$2:$O$1001,0),1)&gt;=100000,INDEX($V$1005:$AE$1005,1,MATCH(COLUMNS($V$1006:AD1006),$V$1006:$AE$1006,0))&gt;=100000), " ",IF(INDEX($V$2:$AE$1001,MATCH(ROWS($O$2:O73),$O$2:$O$1001,0),MATCH(COLUMNS($V$1006:AD1006),$V$1006:$AE$1006,0)), HYPERLINK("#",""), HYPERLINK(CONCATENATE("#Metadata!", ADDRESS(INDEX($Q$2:$Q$1001,MATCH(ROWS($O$2:O73),$O$2:$O$1001,0),0), INDEX($V$1004:$AE$1004,1,MATCH(COLUMNS($V$1006:AD1006),$V$1006:$AE$1006,0)))),"Fix")))</f>
        <v>0</v>
      </c>
      <c r="K73" s="3">
        <f>IF(OR(INDEX($P$2:$P$1001,MATCH(ROWS($O$2:O73),$O$2:$O$1001,0),1)&gt;=100000,INDEX($V$1005:$AE$1005,1,MATCH(COLUMNS($V$1006:AE1006),$V$1006:$AE$1006,0))&gt;=100000), " ",IF(INDEX($V$2:$AE$1001,MATCH(ROWS($O$2:O73),$O$2:$O$1001,0),MATCH(COLUMNS($V$1006:AE1006),$V$1006:$AE$1006,0)), HYPERLINK("#",""), HYPERLINK(CONCATENATE("#Metadata!", ADDRESS(INDEX($Q$2:$Q$1001,MATCH(ROWS($O$2:O73),$O$2:$O$1001,0),0), INDEX($V$1004:$AE$1004,1,MATCH(COLUMNS($V$1006:AE1006),$V$1006:$AE$1006,0)))),"Fix")))</f>
        <v>0</v>
      </c>
      <c r="O73">
        <v>0</v>
      </c>
      <c r="P73">
        <v>0</v>
      </c>
      <c r="Q73">
        <v>0</v>
      </c>
      <c r="R73">
        <f>IF(S73,TRUE,AND(V73:AE73))</f>
        <v>0</v>
      </c>
      <c r="S73">
        <f>COUNTBLANK(Metadata!B73:K73)=COLUMNS(Metadata!B73:K73)</f>
        <v>0</v>
      </c>
      <c r="T73">
        <v>0</v>
      </c>
      <c r="V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W73">
        <f>AND(IF(Metadata!C73="",FALSE,TRUE),exact(Metadata!C73,"animal secretion"))</f>
        <v>0</v>
      </c>
      <c r="X73">
        <f>AND(IF(Metadata!D73="",FALSE,TRUE),exact(Metadata!D73,"saliva"))</f>
        <v>0</v>
      </c>
      <c r="Y73">
        <f>AND(IF(Metadata!E73="",FALSE,TRUE),exact(Metadata!E73,"human-oral"))</f>
        <v>0</v>
      </c>
      <c r="Z73">
        <f>AND(IF(Metadata!F73="",FALSE,TRUE),exact(Metadata!F73,"UBERON:oral cavity"))</f>
        <v>0</v>
      </c>
      <c r="AA73">
        <f>AND(IF(Metadata!G73="",FALSE,TRUE),exact(Metadata!G73,"UBERON:saliva"))</f>
        <v>0</v>
      </c>
      <c r="AB73">
        <f>AND(IF(Metadata!H73="",FALSE,TRUE),exact(Metadata!H73,"UBERON:tongue"))</f>
        <v>0</v>
      </c>
      <c r="AC73">
        <f>AND(IF(Metadata!I73="",FALSE,TRUE),exact(Metadata!I73,"tongue"))</f>
        <v>0</v>
      </c>
      <c r="AD73">
        <f>AND(IF(Metadata!J73="",FALSE,TRUE),exact(Metadata!J73,"human oral metagenome"))</f>
        <v>0</v>
      </c>
      <c r="AE73">
        <f>AND(IF(Metadata!K73="",FALSE,TRUE),exact(Metadata!K73,"447426"))</f>
        <v>0</v>
      </c>
    </row>
    <row r="74" spans="1:31">
      <c r="A74" s="4">
        <f>IF(B74=" "," ",HYPERLINK(CONCATENATE("#metadata!",ADDRESS(INDEX($Q$2:$Q$1001,MATCH(ROWS($O$2:O74),$O$2:$O$1001,0),0),1)),INDEX($T$2:$T$1001,MATCH(ROWS($O$2:O74),$O$2:$O$1001,0),0)))</f>
        <v>0</v>
      </c>
      <c r="B74" s="3">
        <f>IF(OR(INDEX($P$2:$P$1001,MATCH(ROWS($O$2:O74),$O$2:$O$1001,0),1)&gt;=100000,INDEX($V$1005:$AE$1005,1,MATCH(COLUMNS($V$1006:V1006),$V$1006:$AE$1006,0))&gt;=100000), " ",IF(INDEX($V$2:$AE$1001,MATCH(ROWS($O$2:O74),$O$2:$O$1001,0),MATCH(COLUMNS($V$1006:V1006),$V$1006:$AE$1006,0)), HYPERLINK("#",""), HYPERLINK(CONCATENATE("#Metadata!", ADDRESS(INDEX($Q$2:$Q$1001,MATCH(ROWS($O$2:O74),$O$2:$O$1001,0),0), INDEX($V$1004:$AE$1004,1,MATCH(COLUMNS($V$1006:V1006),$V$1006:$AE$1006,0)))),"Fix")))</f>
        <v>0</v>
      </c>
      <c r="C74" s="3">
        <f>IF(OR(INDEX($P$2:$P$1001,MATCH(ROWS($O$2:O74),$O$2:$O$1001,0),1)&gt;=100000,INDEX($V$1005:$AE$1005,1,MATCH(COLUMNS($V$1006:W1006),$V$1006:$AE$1006,0))&gt;=100000), " ",IF(INDEX($V$2:$AE$1001,MATCH(ROWS($O$2:O74),$O$2:$O$1001,0),MATCH(COLUMNS($V$1006:W1006),$V$1006:$AE$1006,0)), HYPERLINK("#",""), HYPERLINK(CONCATENATE("#Metadata!", ADDRESS(INDEX($Q$2:$Q$1001,MATCH(ROWS($O$2:O74),$O$2:$O$1001,0),0), INDEX($V$1004:$AE$1004,1,MATCH(COLUMNS($V$1006:W1006),$V$1006:$AE$1006,0)))),"Fix")))</f>
        <v>0</v>
      </c>
      <c r="D74" s="3">
        <f>IF(OR(INDEX($P$2:$P$1001,MATCH(ROWS($O$2:O74),$O$2:$O$1001,0),1)&gt;=100000,INDEX($V$1005:$AE$1005,1,MATCH(COLUMNS($V$1006:X1006),$V$1006:$AE$1006,0))&gt;=100000), " ",IF(INDEX($V$2:$AE$1001,MATCH(ROWS($O$2:O74),$O$2:$O$1001,0),MATCH(COLUMNS($V$1006:X1006),$V$1006:$AE$1006,0)), HYPERLINK("#",""), HYPERLINK(CONCATENATE("#Metadata!", ADDRESS(INDEX($Q$2:$Q$1001,MATCH(ROWS($O$2:O74),$O$2:$O$1001,0),0), INDEX($V$1004:$AE$1004,1,MATCH(COLUMNS($V$1006:X1006),$V$1006:$AE$1006,0)))),"Fix")))</f>
        <v>0</v>
      </c>
      <c r="E74" s="3">
        <f>IF(OR(INDEX($P$2:$P$1001,MATCH(ROWS($O$2:O74),$O$2:$O$1001,0),1)&gt;=100000,INDEX($V$1005:$AE$1005,1,MATCH(COLUMNS($V$1006:Y1006),$V$1006:$AE$1006,0))&gt;=100000), " ",IF(INDEX($V$2:$AE$1001,MATCH(ROWS($O$2:O74),$O$2:$O$1001,0),MATCH(COLUMNS($V$1006:Y1006),$V$1006:$AE$1006,0)), HYPERLINK("#",""), HYPERLINK(CONCATENATE("#Metadata!", ADDRESS(INDEX($Q$2:$Q$1001,MATCH(ROWS($O$2:O74),$O$2:$O$1001,0),0), INDEX($V$1004:$AE$1004,1,MATCH(COLUMNS($V$1006:Y1006),$V$1006:$AE$1006,0)))),"Fix")))</f>
        <v>0</v>
      </c>
      <c r="F74" s="3">
        <f>IF(OR(INDEX($P$2:$P$1001,MATCH(ROWS($O$2:O74),$O$2:$O$1001,0),1)&gt;=100000,INDEX($V$1005:$AE$1005,1,MATCH(COLUMNS($V$1006:Z1006),$V$1006:$AE$1006,0))&gt;=100000), " ",IF(INDEX($V$2:$AE$1001,MATCH(ROWS($O$2:O74),$O$2:$O$1001,0),MATCH(COLUMNS($V$1006:Z1006),$V$1006:$AE$1006,0)), HYPERLINK("#",""), HYPERLINK(CONCATENATE("#Metadata!", ADDRESS(INDEX($Q$2:$Q$1001,MATCH(ROWS($O$2:O74),$O$2:$O$1001,0),0), INDEX($V$1004:$AE$1004,1,MATCH(COLUMNS($V$1006:Z1006),$V$1006:$AE$1006,0)))),"Fix")))</f>
        <v>0</v>
      </c>
      <c r="G74" s="3">
        <f>IF(OR(INDEX($P$2:$P$1001,MATCH(ROWS($O$2:O74),$O$2:$O$1001,0),1)&gt;=100000,INDEX($V$1005:$AE$1005,1,MATCH(COLUMNS($V$1006:AA1006),$V$1006:$AE$1006,0))&gt;=100000), " ",IF(INDEX($V$2:$AE$1001,MATCH(ROWS($O$2:O74),$O$2:$O$1001,0),MATCH(COLUMNS($V$1006:AA1006),$V$1006:$AE$1006,0)), HYPERLINK("#",""), HYPERLINK(CONCATENATE("#Metadata!", ADDRESS(INDEX($Q$2:$Q$1001,MATCH(ROWS($O$2:O74),$O$2:$O$1001,0),0), INDEX($V$1004:$AE$1004,1,MATCH(COLUMNS($V$1006:AA1006),$V$1006:$AE$1006,0)))),"Fix")))</f>
        <v>0</v>
      </c>
      <c r="H74" s="3">
        <f>IF(OR(INDEX($P$2:$P$1001,MATCH(ROWS($O$2:O74),$O$2:$O$1001,0),1)&gt;=100000,INDEX($V$1005:$AE$1005,1,MATCH(COLUMNS($V$1006:AB1006),$V$1006:$AE$1006,0))&gt;=100000), " ",IF(INDEX($V$2:$AE$1001,MATCH(ROWS($O$2:O74),$O$2:$O$1001,0),MATCH(COLUMNS($V$1006:AB1006),$V$1006:$AE$1006,0)), HYPERLINK("#",""), HYPERLINK(CONCATENATE("#Metadata!", ADDRESS(INDEX($Q$2:$Q$1001,MATCH(ROWS($O$2:O74),$O$2:$O$1001,0),0), INDEX($V$1004:$AE$1004,1,MATCH(COLUMNS($V$1006:AB1006),$V$1006:$AE$1006,0)))),"Fix")))</f>
        <v>0</v>
      </c>
      <c r="I74" s="3">
        <f>IF(OR(INDEX($P$2:$P$1001,MATCH(ROWS($O$2:O74),$O$2:$O$1001,0),1)&gt;=100000,INDEX($V$1005:$AE$1005,1,MATCH(COLUMNS($V$1006:AC1006),$V$1006:$AE$1006,0))&gt;=100000), " ",IF(INDEX($V$2:$AE$1001,MATCH(ROWS($O$2:O74),$O$2:$O$1001,0),MATCH(COLUMNS($V$1006:AC1006),$V$1006:$AE$1006,0)), HYPERLINK("#",""), HYPERLINK(CONCATENATE("#Metadata!", ADDRESS(INDEX($Q$2:$Q$1001,MATCH(ROWS($O$2:O74),$O$2:$O$1001,0),0), INDEX($V$1004:$AE$1004,1,MATCH(COLUMNS($V$1006:AC1006),$V$1006:$AE$1006,0)))),"Fix")))</f>
        <v>0</v>
      </c>
      <c r="J74" s="3">
        <f>IF(OR(INDEX($P$2:$P$1001,MATCH(ROWS($O$2:O74),$O$2:$O$1001,0),1)&gt;=100000,INDEX($V$1005:$AE$1005,1,MATCH(COLUMNS($V$1006:AD1006),$V$1006:$AE$1006,0))&gt;=100000), " ",IF(INDEX($V$2:$AE$1001,MATCH(ROWS($O$2:O74),$O$2:$O$1001,0),MATCH(COLUMNS($V$1006:AD1006),$V$1006:$AE$1006,0)), HYPERLINK("#",""), HYPERLINK(CONCATENATE("#Metadata!", ADDRESS(INDEX($Q$2:$Q$1001,MATCH(ROWS($O$2:O74),$O$2:$O$1001,0),0), INDEX($V$1004:$AE$1004,1,MATCH(COLUMNS($V$1006:AD1006),$V$1006:$AE$1006,0)))),"Fix")))</f>
        <v>0</v>
      </c>
      <c r="K74" s="3">
        <f>IF(OR(INDEX($P$2:$P$1001,MATCH(ROWS($O$2:O74),$O$2:$O$1001,0),1)&gt;=100000,INDEX($V$1005:$AE$1005,1,MATCH(COLUMNS($V$1006:AE1006),$V$1006:$AE$1006,0))&gt;=100000), " ",IF(INDEX($V$2:$AE$1001,MATCH(ROWS($O$2:O74),$O$2:$O$1001,0),MATCH(COLUMNS($V$1006:AE1006),$V$1006:$AE$1006,0)), HYPERLINK("#",""), HYPERLINK(CONCATENATE("#Metadata!", ADDRESS(INDEX($Q$2:$Q$1001,MATCH(ROWS($O$2:O74),$O$2:$O$1001,0),0), INDEX($V$1004:$AE$1004,1,MATCH(COLUMNS($V$1006:AE1006),$V$1006:$AE$1006,0)))),"Fix")))</f>
        <v>0</v>
      </c>
      <c r="O74">
        <v>0</v>
      </c>
      <c r="P74">
        <v>0</v>
      </c>
      <c r="Q74">
        <v>0</v>
      </c>
      <c r="R74">
        <f>IF(S74,TRUE,AND(V74:AE74))</f>
        <v>0</v>
      </c>
      <c r="S74">
        <f>COUNTBLANK(Metadata!B74:K74)=COLUMNS(Metadata!B74:K74)</f>
        <v>0</v>
      </c>
      <c r="T74">
        <v>0</v>
      </c>
      <c r="V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W74">
        <f>AND(IF(Metadata!C74="",FALSE,TRUE),exact(Metadata!C74,"animal secretion"))</f>
        <v>0</v>
      </c>
      <c r="X74">
        <f>AND(IF(Metadata!D74="",FALSE,TRUE),exact(Metadata!D74,"saliva"))</f>
        <v>0</v>
      </c>
      <c r="Y74">
        <f>AND(IF(Metadata!E74="",FALSE,TRUE),exact(Metadata!E74,"human-oral"))</f>
        <v>0</v>
      </c>
      <c r="Z74">
        <f>AND(IF(Metadata!F74="",FALSE,TRUE),exact(Metadata!F74,"UBERON:oral cavity"))</f>
        <v>0</v>
      </c>
      <c r="AA74">
        <f>AND(IF(Metadata!G74="",FALSE,TRUE),exact(Metadata!G74,"UBERON:saliva"))</f>
        <v>0</v>
      </c>
      <c r="AB74">
        <f>AND(IF(Metadata!H74="",FALSE,TRUE),exact(Metadata!H74,"UBERON:tongue"))</f>
        <v>0</v>
      </c>
      <c r="AC74">
        <f>AND(IF(Metadata!I74="",FALSE,TRUE),exact(Metadata!I74,"tongue"))</f>
        <v>0</v>
      </c>
      <c r="AD74">
        <f>AND(IF(Metadata!J74="",FALSE,TRUE),exact(Metadata!J74,"human oral metagenome"))</f>
        <v>0</v>
      </c>
      <c r="AE74">
        <f>AND(IF(Metadata!K74="",FALSE,TRUE),exact(Metadata!K74,"447426"))</f>
        <v>0</v>
      </c>
    </row>
    <row r="75" spans="1:31">
      <c r="A75" s="4">
        <f>IF(B75=" "," ",HYPERLINK(CONCATENATE("#metadata!",ADDRESS(INDEX($Q$2:$Q$1001,MATCH(ROWS($O$2:O75),$O$2:$O$1001,0),0),1)),INDEX($T$2:$T$1001,MATCH(ROWS($O$2:O75),$O$2:$O$1001,0),0)))</f>
        <v>0</v>
      </c>
      <c r="B75" s="3">
        <f>IF(OR(INDEX($P$2:$P$1001,MATCH(ROWS($O$2:O75),$O$2:$O$1001,0),1)&gt;=100000,INDEX($V$1005:$AE$1005,1,MATCH(COLUMNS($V$1006:V1006),$V$1006:$AE$1006,0))&gt;=100000), " ",IF(INDEX($V$2:$AE$1001,MATCH(ROWS($O$2:O75),$O$2:$O$1001,0),MATCH(COLUMNS($V$1006:V1006),$V$1006:$AE$1006,0)), HYPERLINK("#",""), HYPERLINK(CONCATENATE("#Metadata!", ADDRESS(INDEX($Q$2:$Q$1001,MATCH(ROWS($O$2:O75),$O$2:$O$1001,0),0), INDEX($V$1004:$AE$1004,1,MATCH(COLUMNS($V$1006:V1006),$V$1006:$AE$1006,0)))),"Fix")))</f>
        <v>0</v>
      </c>
      <c r="C75" s="3">
        <f>IF(OR(INDEX($P$2:$P$1001,MATCH(ROWS($O$2:O75),$O$2:$O$1001,0),1)&gt;=100000,INDEX($V$1005:$AE$1005,1,MATCH(COLUMNS($V$1006:W1006),$V$1006:$AE$1006,0))&gt;=100000), " ",IF(INDEX($V$2:$AE$1001,MATCH(ROWS($O$2:O75),$O$2:$O$1001,0),MATCH(COLUMNS($V$1006:W1006),$V$1006:$AE$1006,0)), HYPERLINK("#",""), HYPERLINK(CONCATENATE("#Metadata!", ADDRESS(INDEX($Q$2:$Q$1001,MATCH(ROWS($O$2:O75),$O$2:$O$1001,0),0), INDEX($V$1004:$AE$1004,1,MATCH(COLUMNS($V$1006:W1006),$V$1006:$AE$1006,0)))),"Fix")))</f>
        <v>0</v>
      </c>
      <c r="D75" s="3">
        <f>IF(OR(INDEX($P$2:$P$1001,MATCH(ROWS($O$2:O75),$O$2:$O$1001,0),1)&gt;=100000,INDEX($V$1005:$AE$1005,1,MATCH(COLUMNS($V$1006:X1006),$V$1006:$AE$1006,0))&gt;=100000), " ",IF(INDEX($V$2:$AE$1001,MATCH(ROWS($O$2:O75),$O$2:$O$1001,0),MATCH(COLUMNS($V$1006:X1006),$V$1006:$AE$1006,0)), HYPERLINK("#",""), HYPERLINK(CONCATENATE("#Metadata!", ADDRESS(INDEX($Q$2:$Q$1001,MATCH(ROWS($O$2:O75),$O$2:$O$1001,0),0), INDEX($V$1004:$AE$1004,1,MATCH(COLUMNS($V$1006:X1006),$V$1006:$AE$1006,0)))),"Fix")))</f>
        <v>0</v>
      </c>
      <c r="E75" s="3">
        <f>IF(OR(INDEX($P$2:$P$1001,MATCH(ROWS($O$2:O75),$O$2:$O$1001,0),1)&gt;=100000,INDEX($V$1005:$AE$1005,1,MATCH(COLUMNS($V$1006:Y1006),$V$1006:$AE$1006,0))&gt;=100000), " ",IF(INDEX($V$2:$AE$1001,MATCH(ROWS($O$2:O75),$O$2:$O$1001,0),MATCH(COLUMNS($V$1006:Y1006),$V$1006:$AE$1006,0)), HYPERLINK("#",""), HYPERLINK(CONCATENATE("#Metadata!", ADDRESS(INDEX($Q$2:$Q$1001,MATCH(ROWS($O$2:O75),$O$2:$O$1001,0),0), INDEX($V$1004:$AE$1004,1,MATCH(COLUMNS($V$1006:Y1006),$V$1006:$AE$1006,0)))),"Fix")))</f>
        <v>0</v>
      </c>
      <c r="F75" s="3">
        <f>IF(OR(INDEX($P$2:$P$1001,MATCH(ROWS($O$2:O75),$O$2:$O$1001,0),1)&gt;=100000,INDEX($V$1005:$AE$1005,1,MATCH(COLUMNS($V$1006:Z1006),$V$1006:$AE$1006,0))&gt;=100000), " ",IF(INDEX($V$2:$AE$1001,MATCH(ROWS($O$2:O75),$O$2:$O$1001,0),MATCH(COLUMNS($V$1006:Z1006),$V$1006:$AE$1006,0)), HYPERLINK("#",""), HYPERLINK(CONCATENATE("#Metadata!", ADDRESS(INDEX($Q$2:$Q$1001,MATCH(ROWS($O$2:O75),$O$2:$O$1001,0),0), INDEX($V$1004:$AE$1004,1,MATCH(COLUMNS($V$1006:Z1006),$V$1006:$AE$1006,0)))),"Fix")))</f>
        <v>0</v>
      </c>
      <c r="G75" s="3">
        <f>IF(OR(INDEX($P$2:$P$1001,MATCH(ROWS($O$2:O75),$O$2:$O$1001,0),1)&gt;=100000,INDEX($V$1005:$AE$1005,1,MATCH(COLUMNS($V$1006:AA1006),$V$1006:$AE$1006,0))&gt;=100000), " ",IF(INDEX($V$2:$AE$1001,MATCH(ROWS($O$2:O75),$O$2:$O$1001,0),MATCH(COLUMNS($V$1006:AA1006),$V$1006:$AE$1006,0)), HYPERLINK("#",""), HYPERLINK(CONCATENATE("#Metadata!", ADDRESS(INDEX($Q$2:$Q$1001,MATCH(ROWS($O$2:O75),$O$2:$O$1001,0),0), INDEX($V$1004:$AE$1004,1,MATCH(COLUMNS($V$1006:AA1006),$V$1006:$AE$1006,0)))),"Fix")))</f>
        <v>0</v>
      </c>
      <c r="H75" s="3">
        <f>IF(OR(INDEX($P$2:$P$1001,MATCH(ROWS($O$2:O75),$O$2:$O$1001,0),1)&gt;=100000,INDEX($V$1005:$AE$1005,1,MATCH(COLUMNS($V$1006:AB1006),$V$1006:$AE$1006,0))&gt;=100000), " ",IF(INDEX($V$2:$AE$1001,MATCH(ROWS($O$2:O75),$O$2:$O$1001,0),MATCH(COLUMNS($V$1006:AB1006),$V$1006:$AE$1006,0)), HYPERLINK("#",""), HYPERLINK(CONCATENATE("#Metadata!", ADDRESS(INDEX($Q$2:$Q$1001,MATCH(ROWS($O$2:O75),$O$2:$O$1001,0),0), INDEX($V$1004:$AE$1004,1,MATCH(COLUMNS($V$1006:AB1006),$V$1006:$AE$1006,0)))),"Fix")))</f>
        <v>0</v>
      </c>
      <c r="I75" s="3">
        <f>IF(OR(INDEX($P$2:$P$1001,MATCH(ROWS($O$2:O75),$O$2:$O$1001,0),1)&gt;=100000,INDEX($V$1005:$AE$1005,1,MATCH(COLUMNS($V$1006:AC1006),$V$1006:$AE$1006,0))&gt;=100000), " ",IF(INDEX($V$2:$AE$1001,MATCH(ROWS($O$2:O75),$O$2:$O$1001,0),MATCH(COLUMNS($V$1006:AC1006),$V$1006:$AE$1006,0)), HYPERLINK("#",""), HYPERLINK(CONCATENATE("#Metadata!", ADDRESS(INDEX($Q$2:$Q$1001,MATCH(ROWS($O$2:O75),$O$2:$O$1001,0),0), INDEX($V$1004:$AE$1004,1,MATCH(COLUMNS($V$1006:AC1006),$V$1006:$AE$1006,0)))),"Fix")))</f>
        <v>0</v>
      </c>
      <c r="J75" s="3">
        <f>IF(OR(INDEX($P$2:$P$1001,MATCH(ROWS($O$2:O75),$O$2:$O$1001,0),1)&gt;=100000,INDEX($V$1005:$AE$1005,1,MATCH(COLUMNS($V$1006:AD1006),$V$1006:$AE$1006,0))&gt;=100000), " ",IF(INDEX($V$2:$AE$1001,MATCH(ROWS($O$2:O75),$O$2:$O$1001,0),MATCH(COLUMNS($V$1006:AD1006),$V$1006:$AE$1006,0)), HYPERLINK("#",""), HYPERLINK(CONCATENATE("#Metadata!", ADDRESS(INDEX($Q$2:$Q$1001,MATCH(ROWS($O$2:O75),$O$2:$O$1001,0),0), INDEX($V$1004:$AE$1004,1,MATCH(COLUMNS($V$1006:AD1006),$V$1006:$AE$1006,0)))),"Fix")))</f>
        <v>0</v>
      </c>
      <c r="K75" s="3">
        <f>IF(OR(INDEX($P$2:$P$1001,MATCH(ROWS($O$2:O75),$O$2:$O$1001,0),1)&gt;=100000,INDEX($V$1005:$AE$1005,1,MATCH(COLUMNS($V$1006:AE1006),$V$1006:$AE$1006,0))&gt;=100000), " ",IF(INDEX($V$2:$AE$1001,MATCH(ROWS($O$2:O75),$O$2:$O$1001,0),MATCH(COLUMNS($V$1006:AE1006),$V$1006:$AE$1006,0)), HYPERLINK("#",""), HYPERLINK(CONCATENATE("#Metadata!", ADDRESS(INDEX($Q$2:$Q$1001,MATCH(ROWS($O$2:O75),$O$2:$O$1001,0),0), INDEX($V$1004:$AE$1004,1,MATCH(COLUMNS($V$1006:AE1006),$V$1006:$AE$1006,0)))),"Fix")))</f>
        <v>0</v>
      </c>
      <c r="O75">
        <v>0</v>
      </c>
      <c r="P75">
        <v>0</v>
      </c>
      <c r="Q75">
        <v>0</v>
      </c>
      <c r="R75">
        <f>IF(S75,TRUE,AND(V75:AE75))</f>
        <v>0</v>
      </c>
      <c r="S75">
        <f>COUNTBLANK(Metadata!B75:K75)=COLUMNS(Metadata!B75:K75)</f>
        <v>0</v>
      </c>
      <c r="T75">
        <v>0</v>
      </c>
      <c r="V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W75">
        <f>AND(IF(Metadata!C75="",FALSE,TRUE),exact(Metadata!C75,"animal secretion"))</f>
        <v>0</v>
      </c>
      <c r="X75">
        <f>AND(IF(Metadata!D75="",FALSE,TRUE),exact(Metadata!D75,"saliva"))</f>
        <v>0</v>
      </c>
      <c r="Y75">
        <f>AND(IF(Metadata!E75="",FALSE,TRUE),exact(Metadata!E75,"human-oral"))</f>
        <v>0</v>
      </c>
      <c r="Z75">
        <f>AND(IF(Metadata!F75="",FALSE,TRUE),exact(Metadata!F75,"UBERON:oral cavity"))</f>
        <v>0</v>
      </c>
      <c r="AA75">
        <f>AND(IF(Metadata!G75="",FALSE,TRUE),exact(Metadata!G75,"UBERON:saliva"))</f>
        <v>0</v>
      </c>
      <c r="AB75">
        <f>AND(IF(Metadata!H75="",FALSE,TRUE),exact(Metadata!H75,"UBERON:tongue"))</f>
        <v>0</v>
      </c>
      <c r="AC75">
        <f>AND(IF(Metadata!I75="",FALSE,TRUE),exact(Metadata!I75,"tongue"))</f>
        <v>0</v>
      </c>
      <c r="AD75">
        <f>AND(IF(Metadata!J75="",FALSE,TRUE),exact(Metadata!J75,"human oral metagenome"))</f>
        <v>0</v>
      </c>
      <c r="AE75">
        <f>AND(IF(Metadata!K75="",FALSE,TRUE),exact(Metadata!K75,"447426"))</f>
        <v>0</v>
      </c>
    </row>
    <row r="76" spans="1:31">
      <c r="A76" s="4">
        <f>IF(B76=" "," ",HYPERLINK(CONCATENATE("#metadata!",ADDRESS(INDEX($Q$2:$Q$1001,MATCH(ROWS($O$2:O76),$O$2:$O$1001,0),0),1)),INDEX($T$2:$T$1001,MATCH(ROWS($O$2:O76),$O$2:$O$1001,0),0)))</f>
        <v>0</v>
      </c>
      <c r="B76" s="3">
        <f>IF(OR(INDEX($P$2:$P$1001,MATCH(ROWS($O$2:O76),$O$2:$O$1001,0),1)&gt;=100000,INDEX($V$1005:$AE$1005,1,MATCH(COLUMNS($V$1006:V1006),$V$1006:$AE$1006,0))&gt;=100000), " ",IF(INDEX($V$2:$AE$1001,MATCH(ROWS($O$2:O76),$O$2:$O$1001,0),MATCH(COLUMNS($V$1006:V1006),$V$1006:$AE$1006,0)), HYPERLINK("#",""), HYPERLINK(CONCATENATE("#Metadata!", ADDRESS(INDEX($Q$2:$Q$1001,MATCH(ROWS($O$2:O76),$O$2:$O$1001,0),0), INDEX($V$1004:$AE$1004,1,MATCH(COLUMNS($V$1006:V1006),$V$1006:$AE$1006,0)))),"Fix")))</f>
        <v>0</v>
      </c>
      <c r="C76" s="3">
        <f>IF(OR(INDEX($P$2:$P$1001,MATCH(ROWS($O$2:O76),$O$2:$O$1001,0),1)&gt;=100000,INDEX($V$1005:$AE$1005,1,MATCH(COLUMNS($V$1006:W1006),$V$1006:$AE$1006,0))&gt;=100000), " ",IF(INDEX($V$2:$AE$1001,MATCH(ROWS($O$2:O76),$O$2:$O$1001,0),MATCH(COLUMNS($V$1006:W1006),$V$1006:$AE$1006,0)), HYPERLINK("#",""), HYPERLINK(CONCATENATE("#Metadata!", ADDRESS(INDEX($Q$2:$Q$1001,MATCH(ROWS($O$2:O76),$O$2:$O$1001,0),0), INDEX($V$1004:$AE$1004,1,MATCH(COLUMNS($V$1006:W1006),$V$1006:$AE$1006,0)))),"Fix")))</f>
        <v>0</v>
      </c>
      <c r="D76" s="3">
        <f>IF(OR(INDEX($P$2:$P$1001,MATCH(ROWS($O$2:O76),$O$2:$O$1001,0),1)&gt;=100000,INDEX($V$1005:$AE$1005,1,MATCH(COLUMNS($V$1006:X1006),$V$1006:$AE$1006,0))&gt;=100000), " ",IF(INDEX($V$2:$AE$1001,MATCH(ROWS($O$2:O76),$O$2:$O$1001,0),MATCH(COLUMNS($V$1006:X1006),$V$1006:$AE$1006,0)), HYPERLINK("#",""), HYPERLINK(CONCATENATE("#Metadata!", ADDRESS(INDEX($Q$2:$Q$1001,MATCH(ROWS($O$2:O76),$O$2:$O$1001,0),0), INDEX($V$1004:$AE$1004,1,MATCH(COLUMNS($V$1006:X1006),$V$1006:$AE$1006,0)))),"Fix")))</f>
        <v>0</v>
      </c>
      <c r="E76" s="3">
        <f>IF(OR(INDEX($P$2:$P$1001,MATCH(ROWS($O$2:O76),$O$2:$O$1001,0),1)&gt;=100000,INDEX($V$1005:$AE$1005,1,MATCH(COLUMNS($V$1006:Y1006),$V$1006:$AE$1006,0))&gt;=100000), " ",IF(INDEX($V$2:$AE$1001,MATCH(ROWS($O$2:O76),$O$2:$O$1001,0),MATCH(COLUMNS($V$1006:Y1006),$V$1006:$AE$1006,0)), HYPERLINK("#",""), HYPERLINK(CONCATENATE("#Metadata!", ADDRESS(INDEX($Q$2:$Q$1001,MATCH(ROWS($O$2:O76),$O$2:$O$1001,0),0), INDEX($V$1004:$AE$1004,1,MATCH(COLUMNS($V$1006:Y1006),$V$1006:$AE$1006,0)))),"Fix")))</f>
        <v>0</v>
      </c>
      <c r="F76" s="3">
        <f>IF(OR(INDEX($P$2:$P$1001,MATCH(ROWS($O$2:O76),$O$2:$O$1001,0),1)&gt;=100000,INDEX($V$1005:$AE$1005,1,MATCH(COLUMNS($V$1006:Z1006),$V$1006:$AE$1006,0))&gt;=100000), " ",IF(INDEX($V$2:$AE$1001,MATCH(ROWS($O$2:O76),$O$2:$O$1001,0),MATCH(COLUMNS($V$1006:Z1006),$V$1006:$AE$1006,0)), HYPERLINK("#",""), HYPERLINK(CONCATENATE("#Metadata!", ADDRESS(INDEX($Q$2:$Q$1001,MATCH(ROWS($O$2:O76),$O$2:$O$1001,0),0), INDEX($V$1004:$AE$1004,1,MATCH(COLUMNS($V$1006:Z1006),$V$1006:$AE$1006,0)))),"Fix")))</f>
        <v>0</v>
      </c>
      <c r="G76" s="3">
        <f>IF(OR(INDEX($P$2:$P$1001,MATCH(ROWS($O$2:O76),$O$2:$O$1001,0),1)&gt;=100000,INDEX($V$1005:$AE$1005,1,MATCH(COLUMNS($V$1006:AA1006),$V$1006:$AE$1006,0))&gt;=100000), " ",IF(INDEX($V$2:$AE$1001,MATCH(ROWS($O$2:O76),$O$2:$O$1001,0),MATCH(COLUMNS($V$1006:AA1006),$V$1006:$AE$1006,0)), HYPERLINK("#",""), HYPERLINK(CONCATENATE("#Metadata!", ADDRESS(INDEX($Q$2:$Q$1001,MATCH(ROWS($O$2:O76),$O$2:$O$1001,0),0), INDEX($V$1004:$AE$1004,1,MATCH(COLUMNS($V$1006:AA1006),$V$1006:$AE$1006,0)))),"Fix")))</f>
        <v>0</v>
      </c>
      <c r="H76" s="3">
        <f>IF(OR(INDEX($P$2:$P$1001,MATCH(ROWS($O$2:O76),$O$2:$O$1001,0),1)&gt;=100000,INDEX($V$1005:$AE$1005,1,MATCH(COLUMNS($V$1006:AB1006),$V$1006:$AE$1006,0))&gt;=100000), " ",IF(INDEX($V$2:$AE$1001,MATCH(ROWS($O$2:O76),$O$2:$O$1001,0),MATCH(COLUMNS($V$1006:AB1006),$V$1006:$AE$1006,0)), HYPERLINK("#",""), HYPERLINK(CONCATENATE("#Metadata!", ADDRESS(INDEX($Q$2:$Q$1001,MATCH(ROWS($O$2:O76),$O$2:$O$1001,0),0), INDEX($V$1004:$AE$1004,1,MATCH(COLUMNS($V$1006:AB1006),$V$1006:$AE$1006,0)))),"Fix")))</f>
        <v>0</v>
      </c>
      <c r="I76" s="3">
        <f>IF(OR(INDEX($P$2:$P$1001,MATCH(ROWS($O$2:O76),$O$2:$O$1001,0),1)&gt;=100000,INDEX($V$1005:$AE$1005,1,MATCH(COLUMNS($V$1006:AC1006),$V$1006:$AE$1006,0))&gt;=100000), " ",IF(INDEX($V$2:$AE$1001,MATCH(ROWS($O$2:O76),$O$2:$O$1001,0),MATCH(COLUMNS($V$1006:AC1006),$V$1006:$AE$1006,0)), HYPERLINK("#",""), HYPERLINK(CONCATENATE("#Metadata!", ADDRESS(INDEX($Q$2:$Q$1001,MATCH(ROWS($O$2:O76),$O$2:$O$1001,0),0), INDEX($V$1004:$AE$1004,1,MATCH(COLUMNS($V$1006:AC1006),$V$1006:$AE$1006,0)))),"Fix")))</f>
        <v>0</v>
      </c>
      <c r="J76" s="3">
        <f>IF(OR(INDEX($P$2:$P$1001,MATCH(ROWS($O$2:O76),$O$2:$O$1001,0),1)&gt;=100000,INDEX($V$1005:$AE$1005,1,MATCH(COLUMNS($V$1006:AD1006),$V$1006:$AE$1006,0))&gt;=100000), " ",IF(INDEX($V$2:$AE$1001,MATCH(ROWS($O$2:O76),$O$2:$O$1001,0),MATCH(COLUMNS($V$1006:AD1006),$V$1006:$AE$1006,0)), HYPERLINK("#",""), HYPERLINK(CONCATENATE("#Metadata!", ADDRESS(INDEX($Q$2:$Q$1001,MATCH(ROWS($O$2:O76),$O$2:$O$1001,0),0), INDEX($V$1004:$AE$1004,1,MATCH(COLUMNS($V$1006:AD1006),$V$1006:$AE$1006,0)))),"Fix")))</f>
        <v>0</v>
      </c>
      <c r="K76" s="3">
        <f>IF(OR(INDEX($P$2:$P$1001,MATCH(ROWS($O$2:O76),$O$2:$O$1001,0),1)&gt;=100000,INDEX($V$1005:$AE$1005,1,MATCH(COLUMNS($V$1006:AE1006),$V$1006:$AE$1006,0))&gt;=100000), " ",IF(INDEX($V$2:$AE$1001,MATCH(ROWS($O$2:O76),$O$2:$O$1001,0),MATCH(COLUMNS($V$1006:AE1006),$V$1006:$AE$1006,0)), HYPERLINK("#",""), HYPERLINK(CONCATENATE("#Metadata!", ADDRESS(INDEX($Q$2:$Q$1001,MATCH(ROWS($O$2:O76),$O$2:$O$1001,0),0), INDEX($V$1004:$AE$1004,1,MATCH(COLUMNS($V$1006:AE1006),$V$1006:$AE$1006,0)))),"Fix")))</f>
        <v>0</v>
      </c>
      <c r="O76">
        <v>0</v>
      </c>
      <c r="P76">
        <v>0</v>
      </c>
      <c r="Q76">
        <v>0</v>
      </c>
      <c r="R76">
        <f>IF(S76,TRUE,AND(V76:AE76))</f>
        <v>0</v>
      </c>
      <c r="S76">
        <f>COUNTBLANK(Metadata!B76:K76)=COLUMNS(Metadata!B76:K76)</f>
        <v>0</v>
      </c>
      <c r="T76">
        <v>0</v>
      </c>
      <c r="V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W76">
        <f>AND(IF(Metadata!C76="",FALSE,TRUE),exact(Metadata!C76,"animal secretion"))</f>
        <v>0</v>
      </c>
      <c r="X76">
        <f>AND(IF(Metadata!D76="",FALSE,TRUE),exact(Metadata!D76,"saliva"))</f>
        <v>0</v>
      </c>
      <c r="Y76">
        <f>AND(IF(Metadata!E76="",FALSE,TRUE),exact(Metadata!E76,"human-oral"))</f>
        <v>0</v>
      </c>
      <c r="Z76">
        <f>AND(IF(Metadata!F76="",FALSE,TRUE),exact(Metadata!F76,"UBERON:oral cavity"))</f>
        <v>0</v>
      </c>
      <c r="AA76">
        <f>AND(IF(Metadata!G76="",FALSE,TRUE),exact(Metadata!G76,"UBERON:saliva"))</f>
        <v>0</v>
      </c>
      <c r="AB76">
        <f>AND(IF(Metadata!H76="",FALSE,TRUE),exact(Metadata!H76,"UBERON:tongue"))</f>
        <v>0</v>
      </c>
      <c r="AC76">
        <f>AND(IF(Metadata!I76="",FALSE,TRUE),exact(Metadata!I76,"tongue"))</f>
        <v>0</v>
      </c>
      <c r="AD76">
        <f>AND(IF(Metadata!J76="",FALSE,TRUE),exact(Metadata!J76,"human oral metagenome"))</f>
        <v>0</v>
      </c>
      <c r="AE76">
        <f>AND(IF(Metadata!K76="",FALSE,TRUE),exact(Metadata!K76,"447426"))</f>
        <v>0</v>
      </c>
    </row>
    <row r="77" spans="1:31">
      <c r="A77" s="4">
        <f>IF(B77=" "," ",HYPERLINK(CONCATENATE("#metadata!",ADDRESS(INDEX($Q$2:$Q$1001,MATCH(ROWS($O$2:O77),$O$2:$O$1001,0),0),1)),INDEX($T$2:$T$1001,MATCH(ROWS($O$2:O77),$O$2:$O$1001,0),0)))</f>
        <v>0</v>
      </c>
      <c r="B77" s="3">
        <f>IF(OR(INDEX($P$2:$P$1001,MATCH(ROWS($O$2:O77),$O$2:$O$1001,0),1)&gt;=100000,INDEX($V$1005:$AE$1005,1,MATCH(COLUMNS($V$1006:V1006),$V$1006:$AE$1006,0))&gt;=100000), " ",IF(INDEX($V$2:$AE$1001,MATCH(ROWS($O$2:O77),$O$2:$O$1001,0),MATCH(COLUMNS($V$1006:V1006),$V$1006:$AE$1006,0)), HYPERLINK("#",""), HYPERLINK(CONCATENATE("#Metadata!", ADDRESS(INDEX($Q$2:$Q$1001,MATCH(ROWS($O$2:O77),$O$2:$O$1001,0),0), INDEX($V$1004:$AE$1004,1,MATCH(COLUMNS($V$1006:V1006),$V$1006:$AE$1006,0)))),"Fix")))</f>
        <v>0</v>
      </c>
      <c r="C77" s="3">
        <f>IF(OR(INDEX($P$2:$P$1001,MATCH(ROWS($O$2:O77),$O$2:$O$1001,0),1)&gt;=100000,INDEX($V$1005:$AE$1005,1,MATCH(COLUMNS($V$1006:W1006),$V$1006:$AE$1006,0))&gt;=100000), " ",IF(INDEX($V$2:$AE$1001,MATCH(ROWS($O$2:O77),$O$2:$O$1001,0),MATCH(COLUMNS($V$1006:W1006),$V$1006:$AE$1006,0)), HYPERLINK("#",""), HYPERLINK(CONCATENATE("#Metadata!", ADDRESS(INDEX($Q$2:$Q$1001,MATCH(ROWS($O$2:O77),$O$2:$O$1001,0),0), INDEX($V$1004:$AE$1004,1,MATCH(COLUMNS($V$1006:W1006),$V$1006:$AE$1006,0)))),"Fix")))</f>
        <v>0</v>
      </c>
      <c r="D77" s="3">
        <f>IF(OR(INDEX($P$2:$P$1001,MATCH(ROWS($O$2:O77),$O$2:$O$1001,0),1)&gt;=100000,INDEX($V$1005:$AE$1005,1,MATCH(COLUMNS($V$1006:X1006),$V$1006:$AE$1006,0))&gt;=100000), " ",IF(INDEX($V$2:$AE$1001,MATCH(ROWS($O$2:O77),$O$2:$O$1001,0),MATCH(COLUMNS($V$1006:X1006),$V$1006:$AE$1006,0)), HYPERLINK("#",""), HYPERLINK(CONCATENATE("#Metadata!", ADDRESS(INDEX($Q$2:$Q$1001,MATCH(ROWS($O$2:O77),$O$2:$O$1001,0),0), INDEX($V$1004:$AE$1004,1,MATCH(COLUMNS($V$1006:X1006),$V$1006:$AE$1006,0)))),"Fix")))</f>
        <v>0</v>
      </c>
      <c r="E77" s="3">
        <f>IF(OR(INDEX($P$2:$P$1001,MATCH(ROWS($O$2:O77),$O$2:$O$1001,0),1)&gt;=100000,INDEX($V$1005:$AE$1005,1,MATCH(COLUMNS($V$1006:Y1006),$V$1006:$AE$1006,0))&gt;=100000), " ",IF(INDEX($V$2:$AE$1001,MATCH(ROWS($O$2:O77),$O$2:$O$1001,0),MATCH(COLUMNS($V$1006:Y1006),$V$1006:$AE$1006,0)), HYPERLINK("#",""), HYPERLINK(CONCATENATE("#Metadata!", ADDRESS(INDEX($Q$2:$Q$1001,MATCH(ROWS($O$2:O77),$O$2:$O$1001,0),0), INDEX($V$1004:$AE$1004,1,MATCH(COLUMNS($V$1006:Y1006),$V$1006:$AE$1006,0)))),"Fix")))</f>
        <v>0</v>
      </c>
      <c r="F77" s="3">
        <f>IF(OR(INDEX($P$2:$P$1001,MATCH(ROWS($O$2:O77),$O$2:$O$1001,0),1)&gt;=100000,INDEX($V$1005:$AE$1005,1,MATCH(COLUMNS($V$1006:Z1006),$V$1006:$AE$1006,0))&gt;=100000), " ",IF(INDEX($V$2:$AE$1001,MATCH(ROWS($O$2:O77),$O$2:$O$1001,0),MATCH(COLUMNS($V$1006:Z1006),$V$1006:$AE$1006,0)), HYPERLINK("#",""), HYPERLINK(CONCATENATE("#Metadata!", ADDRESS(INDEX($Q$2:$Q$1001,MATCH(ROWS($O$2:O77),$O$2:$O$1001,0),0), INDEX($V$1004:$AE$1004,1,MATCH(COLUMNS($V$1006:Z1006),$V$1006:$AE$1006,0)))),"Fix")))</f>
        <v>0</v>
      </c>
      <c r="G77" s="3">
        <f>IF(OR(INDEX($P$2:$P$1001,MATCH(ROWS($O$2:O77),$O$2:$O$1001,0),1)&gt;=100000,INDEX($V$1005:$AE$1005,1,MATCH(COLUMNS($V$1006:AA1006),$V$1006:$AE$1006,0))&gt;=100000), " ",IF(INDEX($V$2:$AE$1001,MATCH(ROWS($O$2:O77),$O$2:$O$1001,0),MATCH(COLUMNS($V$1006:AA1006),$V$1006:$AE$1006,0)), HYPERLINK("#",""), HYPERLINK(CONCATENATE("#Metadata!", ADDRESS(INDEX($Q$2:$Q$1001,MATCH(ROWS($O$2:O77),$O$2:$O$1001,0),0), INDEX($V$1004:$AE$1004,1,MATCH(COLUMNS($V$1006:AA1006),$V$1006:$AE$1006,0)))),"Fix")))</f>
        <v>0</v>
      </c>
      <c r="H77" s="3">
        <f>IF(OR(INDEX($P$2:$P$1001,MATCH(ROWS($O$2:O77),$O$2:$O$1001,0),1)&gt;=100000,INDEX($V$1005:$AE$1005,1,MATCH(COLUMNS($V$1006:AB1006),$V$1006:$AE$1006,0))&gt;=100000), " ",IF(INDEX($V$2:$AE$1001,MATCH(ROWS($O$2:O77),$O$2:$O$1001,0),MATCH(COLUMNS($V$1006:AB1006),$V$1006:$AE$1006,0)), HYPERLINK("#",""), HYPERLINK(CONCATENATE("#Metadata!", ADDRESS(INDEX($Q$2:$Q$1001,MATCH(ROWS($O$2:O77),$O$2:$O$1001,0),0), INDEX($V$1004:$AE$1004,1,MATCH(COLUMNS($V$1006:AB1006),$V$1006:$AE$1006,0)))),"Fix")))</f>
        <v>0</v>
      </c>
      <c r="I77" s="3">
        <f>IF(OR(INDEX($P$2:$P$1001,MATCH(ROWS($O$2:O77),$O$2:$O$1001,0),1)&gt;=100000,INDEX($V$1005:$AE$1005,1,MATCH(COLUMNS($V$1006:AC1006),$V$1006:$AE$1006,0))&gt;=100000), " ",IF(INDEX($V$2:$AE$1001,MATCH(ROWS($O$2:O77),$O$2:$O$1001,0),MATCH(COLUMNS($V$1006:AC1006),$V$1006:$AE$1006,0)), HYPERLINK("#",""), HYPERLINK(CONCATENATE("#Metadata!", ADDRESS(INDEX($Q$2:$Q$1001,MATCH(ROWS($O$2:O77),$O$2:$O$1001,0),0), INDEX($V$1004:$AE$1004,1,MATCH(COLUMNS($V$1006:AC1006),$V$1006:$AE$1006,0)))),"Fix")))</f>
        <v>0</v>
      </c>
      <c r="J77" s="3">
        <f>IF(OR(INDEX($P$2:$P$1001,MATCH(ROWS($O$2:O77),$O$2:$O$1001,0),1)&gt;=100000,INDEX($V$1005:$AE$1005,1,MATCH(COLUMNS($V$1006:AD1006),$V$1006:$AE$1006,0))&gt;=100000), " ",IF(INDEX($V$2:$AE$1001,MATCH(ROWS($O$2:O77),$O$2:$O$1001,0),MATCH(COLUMNS($V$1006:AD1006),$V$1006:$AE$1006,0)), HYPERLINK("#",""), HYPERLINK(CONCATENATE("#Metadata!", ADDRESS(INDEX($Q$2:$Q$1001,MATCH(ROWS($O$2:O77),$O$2:$O$1001,0),0), INDEX($V$1004:$AE$1004,1,MATCH(COLUMNS($V$1006:AD1006),$V$1006:$AE$1006,0)))),"Fix")))</f>
        <v>0</v>
      </c>
      <c r="K77" s="3">
        <f>IF(OR(INDEX($P$2:$P$1001,MATCH(ROWS($O$2:O77),$O$2:$O$1001,0),1)&gt;=100000,INDEX($V$1005:$AE$1005,1,MATCH(COLUMNS($V$1006:AE1006),$V$1006:$AE$1006,0))&gt;=100000), " ",IF(INDEX($V$2:$AE$1001,MATCH(ROWS($O$2:O77),$O$2:$O$1001,0),MATCH(COLUMNS($V$1006:AE1006),$V$1006:$AE$1006,0)), HYPERLINK("#",""), HYPERLINK(CONCATENATE("#Metadata!", ADDRESS(INDEX($Q$2:$Q$1001,MATCH(ROWS($O$2:O77),$O$2:$O$1001,0),0), INDEX($V$1004:$AE$1004,1,MATCH(COLUMNS($V$1006:AE1006),$V$1006:$AE$1006,0)))),"Fix")))</f>
        <v>0</v>
      </c>
      <c r="O77">
        <v>0</v>
      </c>
      <c r="P77">
        <v>0</v>
      </c>
      <c r="Q77">
        <v>0</v>
      </c>
      <c r="R77">
        <f>IF(S77,TRUE,AND(V77:AE77))</f>
        <v>0</v>
      </c>
      <c r="S77">
        <f>COUNTBLANK(Metadata!B77:K77)=COLUMNS(Metadata!B77:K77)</f>
        <v>0</v>
      </c>
      <c r="T77">
        <v>0</v>
      </c>
      <c r="V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W77">
        <f>AND(IF(Metadata!C77="",FALSE,TRUE),exact(Metadata!C77,"animal secretion"))</f>
        <v>0</v>
      </c>
      <c r="X77">
        <f>AND(IF(Metadata!D77="",FALSE,TRUE),exact(Metadata!D77,"saliva"))</f>
        <v>0</v>
      </c>
      <c r="Y77">
        <f>AND(IF(Metadata!E77="",FALSE,TRUE),exact(Metadata!E77,"human-oral"))</f>
        <v>0</v>
      </c>
      <c r="Z77">
        <f>AND(IF(Metadata!F77="",FALSE,TRUE),exact(Metadata!F77,"UBERON:oral cavity"))</f>
        <v>0</v>
      </c>
      <c r="AA77">
        <f>AND(IF(Metadata!G77="",FALSE,TRUE),exact(Metadata!G77,"UBERON:saliva"))</f>
        <v>0</v>
      </c>
      <c r="AB77">
        <f>AND(IF(Metadata!H77="",FALSE,TRUE),exact(Metadata!H77,"UBERON:tongue"))</f>
        <v>0</v>
      </c>
      <c r="AC77">
        <f>AND(IF(Metadata!I77="",FALSE,TRUE),exact(Metadata!I77,"tongue"))</f>
        <v>0</v>
      </c>
      <c r="AD77">
        <f>AND(IF(Metadata!J77="",FALSE,TRUE),exact(Metadata!J77,"human oral metagenome"))</f>
        <v>0</v>
      </c>
      <c r="AE77">
        <f>AND(IF(Metadata!K77="",FALSE,TRUE),exact(Metadata!K77,"447426"))</f>
        <v>0</v>
      </c>
    </row>
    <row r="78" spans="1:31">
      <c r="A78" s="4">
        <f>IF(B78=" "," ",HYPERLINK(CONCATENATE("#metadata!",ADDRESS(INDEX($Q$2:$Q$1001,MATCH(ROWS($O$2:O78),$O$2:$O$1001,0),0),1)),INDEX($T$2:$T$1001,MATCH(ROWS($O$2:O78),$O$2:$O$1001,0),0)))</f>
        <v>0</v>
      </c>
      <c r="B78" s="3">
        <f>IF(OR(INDEX($P$2:$P$1001,MATCH(ROWS($O$2:O78),$O$2:$O$1001,0),1)&gt;=100000,INDEX($V$1005:$AE$1005,1,MATCH(COLUMNS($V$1006:V1006),$V$1006:$AE$1006,0))&gt;=100000), " ",IF(INDEX($V$2:$AE$1001,MATCH(ROWS($O$2:O78),$O$2:$O$1001,0),MATCH(COLUMNS($V$1006:V1006),$V$1006:$AE$1006,0)), HYPERLINK("#",""), HYPERLINK(CONCATENATE("#Metadata!", ADDRESS(INDEX($Q$2:$Q$1001,MATCH(ROWS($O$2:O78),$O$2:$O$1001,0),0), INDEX($V$1004:$AE$1004,1,MATCH(COLUMNS($V$1006:V1006),$V$1006:$AE$1006,0)))),"Fix")))</f>
        <v>0</v>
      </c>
      <c r="C78" s="3">
        <f>IF(OR(INDEX($P$2:$P$1001,MATCH(ROWS($O$2:O78),$O$2:$O$1001,0),1)&gt;=100000,INDEX($V$1005:$AE$1005,1,MATCH(COLUMNS($V$1006:W1006),$V$1006:$AE$1006,0))&gt;=100000), " ",IF(INDEX($V$2:$AE$1001,MATCH(ROWS($O$2:O78),$O$2:$O$1001,0),MATCH(COLUMNS($V$1006:W1006),$V$1006:$AE$1006,0)), HYPERLINK("#",""), HYPERLINK(CONCATENATE("#Metadata!", ADDRESS(INDEX($Q$2:$Q$1001,MATCH(ROWS($O$2:O78),$O$2:$O$1001,0),0), INDEX($V$1004:$AE$1004,1,MATCH(COLUMNS($V$1006:W1006),$V$1006:$AE$1006,0)))),"Fix")))</f>
        <v>0</v>
      </c>
      <c r="D78" s="3">
        <f>IF(OR(INDEX($P$2:$P$1001,MATCH(ROWS($O$2:O78),$O$2:$O$1001,0),1)&gt;=100000,INDEX($V$1005:$AE$1005,1,MATCH(COLUMNS($V$1006:X1006),$V$1006:$AE$1006,0))&gt;=100000), " ",IF(INDEX($V$2:$AE$1001,MATCH(ROWS($O$2:O78),$O$2:$O$1001,0),MATCH(COLUMNS($V$1006:X1006),$V$1006:$AE$1006,0)), HYPERLINK("#",""), HYPERLINK(CONCATENATE("#Metadata!", ADDRESS(INDEX($Q$2:$Q$1001,MATCH(ROWS($O$2:O78),$O$2:$O$1001,0),0), INDEX($V$1004:$AE$1004,1,MATCH(COLUMNS($V$1006:X1006),$V$1006:$AE$1006,0)))),"Fix")))</f>
        <v>0</v>
      </c>
      <c r="E78" s="3">
        <f>IF(OR(INDEX($P$2:$P$1001,MATCH(ROWS($O$2:O78),$O$2:$O$1001,0),1)&gt;=100000,INDEX($V$1005:$AE$1005,1,MATCH(COLUMNS($V$1006:Y1006),$V$1006:$AE$1006,0))&gt;=100000), " ",IF(INDEX($V$2:$AE$1001,MATCH(ROWS($O$2:O78),$O$2:$O$1001,0),MATCH(COLUMNS($V$1006:Y1006),$V$1006:$AE$1006,0)), HYPERLINK("#",""), HYPERLINK(CONCATENATE("#Metadata!", ADDRESS(INDEX($Q$2:$Q$1001,MATCH(ROWS($O$2:O78),$O$2:$O$1001,0),0), INDEX($V$1004:$AE$1004,1,MATCH(COLUMNS($V$1006:Y1006),$V$1006:$AE$1006,0)))),"Fix")))</f>
        <v>0</v>
      </c>
      <c r="F78" s="3">
        <f>IF(OR(INDEX($P$2:$P$1001,MATCH(ROWS($O$2:O78),$O$2:$O$1001,0),1)&gt;=100000,INDEX($V$1005:$AE$1005,1,MATCH(COLUMNS($V$1006:Z1006),$V$1006:$AE$1006,0))&gt;=100000), " ",IF(INDEX($V$2:$AE$1001,MATCH(ROWS($O$2:O78),$O$2:$O$1001,0),MATCH(COLUMNS($V$1006:Z1006),$V$1006:$AE$1006,0)), HYPERLINK("#",""), HYPERLINK(CONCATENATE("#Metadata!", ADDRESS(INDEX($Q$2:$Q$1001,MATCH(ROWS($O$2:O78),$O$2:$O$1001,0),0), INDEX($V$1004:$AE$1004,1,MATCH(COLUMNS($V$1006:Z1006),$V$1006:$AE$1006,0)))),"Fix")))</f>
        <v>0</v>
      </c>
      <c r="G78" s="3">
        <f>IF(OR(INDEX($P$2:$P$1001,MATCH(ROWS($O$2:O78),$O$2:$O$1001,0),1)&gt;=100000,INDEX($V$1005:$AE$1005,1,MATCH(COLUMNS($V$1006:AA1006),$V$1006:$AE$1006,0))&gt;=100000), " ",IF(INDEX($V$2:$AE$1001,MATCH(ROWS($O$2:O78),$O$2:$O$1001,0),MATCH(COLUMNS($V$1006:AA1006),$V$1006:$AE$1006,0)), HYPERLINK("#",""), HYPERLINK(CONCATENATE("#Metadata!", ADDRESS(INDEX($Q$2:$Q$1001,MATCH(ROWS($O$2:O78),$O$2:$O$1001,0),0), INDEX($V$1004:$AE$1004,1,MATCH(COLUMNS($V$1006:AA1006),$V$1006:$AE$1006,0)))),"Fix")))</f>
        <v>0</v>
      </c>
      <c r="H78" s="3">
        <f>IF(OR(INDEX($P$2:$P$1001,MATCH(ROWS($O$2:O78),$O$2:$O$1001,0),1)&gt;=100000,INDEX($V$1005:$AE$1005,1,MATCH(COLUMNS($V$1006:AB1006),$V$1006:$AE$1006,0))&gt;=100000), " ",IF(INDEX($V$2:$AE$1001,MATCH(ROWS($O$2:O78),$O$2:$O$1001,0),MATCH(COLUMNS($V$1006:AB1006),$V$1006:$AE$1006,0)), HYPERLINK("#",""), HYPERLINK(CONCATENATE("#Metadata!", ADDRESS(INDEX($Q$2:$Q$1001,MATCH(ROWS($O$2:O78),$O$2:$O$1001,0),0), INDEX($V$1004:$AE$1004,1,MATCH(COLUMNS($V$1006:AB1006),$V$1006:$AE$1006,0)))),"Fix")))</f>
        <v>0</v>
      </c>
      <c r="I78" s="3">
        <f>IF(OR(INDEX($P$2:$P$1001,MATCH(ROWS($O$2:O78),$O$2:$O$1001,0),1)&gt;=100000,INDEX($V$1005:$AE$1005,1,MATCH(COLUMNS($V$1006:AC1006),$V$1006:$AE$1006,0))&gt;=100000), " ",IF(INDEX($V$2:$AE$1001,MATCH(ROWS($O$2:O78),$O$2:$O$1001,0),MATCH(COLUMNS($V$1006:AC1006),$V$1006:$AE$1006,0)), HYPERLINK("#",""), HYPERLINK(CONCATENATE("#Metadata!", ADDRESS(INDEX($Q$2:$Q$1001,MATCH(ROWS($O$2:O78),$O$2:$O$1001,0),0), INDEX($V$1004:$AE$1004,1,MATCH(COLUMNS($V$1006:AC1006),$V$1006:$AE$1006,0)))),"Fix")))</f>
        <v>0</v>
      </c>
      <c r="J78" s="3">
        <f>IF(OR(INDEX($P$2:$P$1001,MATCH(ROWS($O$2:O78),$O$2:$O$1001,0),1)&gt;=100000,INDEX($V$1005:$AE$1005,1,MATCH(COLUMNS($V$1006:AD1006),$V$1006:$AE$1006,0))&gt;=100000), " ",IF(INDEX($V$2:$AE$1001,MATCH(ROWS($O$2:O78),$O$2:$O$1001,0),MATCH(COLUMNS($V$1006:AD1006),$V$1006:$AE$1006,0)), HYPERLINK("#",""), HYPERLINK(CONCATENATE("#Metadata!", ADDRESS(INDEX($Q$2:$Q$1001,MATCH(ROWS($O$2:O78),$O$2:$O$1001,0),0), INDEX($V$1004:$AE$1004,1,MATCH(COLUMNS($V$1006:AD1006),$V$1006:$AE$1006,0)))),"Fix")))</f>
        <v>0</v>
      </c>
      <c r="K78" s="3">
        <f>IF(OR(INDEX($P$2:$P$1001,MATCH(ROWS($O$2:O78),$O$2:$O$1001,0),1)&gt;=100000,INDEX($V$1005:$AE$1005,1,MATCH(COLUMNS($V$1006:AE1006),$V$1006:$AE$1006,0))&gt;=100000), " ",IF(INDEX($V$2:$AE$1001,MATCH(ROWS($O$2:O78),$O$2:$O$1001,0),MATCH(COLUMNS($V$1006:AE1006),$V$1006:$AE$1006,0)), HYPERLINK("#",""), HYPERLINK(CONCATENATE("#Metadata!", ADDRESS(INDEX($Q$2:$Q$1001,MATCH(ROWS($O$2:O78),$O$2:$O$1001,0),0), INDEX($V$1004:$AE$1004,1,MATCH(COLUMNS($V$1006:AE1006),$V$1006:$AE$1006,0)))),"Fix")))</f>
        <v>0</v>
      </c>
      <c r="O78">
        <v>0</v>
      </c>
      <c r="P78">
        <v>0</v>
      </c>
      <c r="Q78">
        <v>0</v>
      </c>
      <c r="R78">
        <f>IF(S78,TRUE,AND(V78:AE78))</f>
        <v>0</v>
      </c>
      <c r="S78">
        <f>COUNTBLANK(Metadata!B78:K78)=COLUMNS(Metadata!B78:K78)</f>
        <v>0</v>
      </c>
      <c r="T78">
        <v>0</v>
      </c>
      <c r="V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W78">
        <f>AND(IF(Metadata!C78="",FALSE,TRUE),exact(Metadata!C78,"animal secretion"))</f>
        <v>0</v>
      </c>
      <c r="X78">
        <f>AND(IF(Metadata!D78="",FALSE,TRUE),exact(Metadata!D78,"saliva"))</f>
        <v>0</v>
      </c>
      <c r="Y78">
        <f>AND(IF(Metadata!E78="",FALSE,TRUE),exact(Metadata!E78,"human-oral"))</f>
        <v>0</v>
      </c>
      <c r="Z78">
        <f>AND(IF(Metadata!F78="",FALSE,TRUE),exact(Metadata!F78,"UBERON:oral cavity"))</f>
        <v>0</v>
      </c>
      <c r="AA78">
        <f>AND(IF(Metadata!G78="",FALSE,TRUE),exact(Metadata!G78,"UBERON:saliva"))</f>
        <v>0</v>
      </c>
      <c r="AB78">
        <f>AND(IF(Metadata!H78="",FALSE,TRUE),exact(Metadata!H78,"UBERON:tongue"))</f>
        <v>0</v>
      </c>
      <c r="AC78">
        <f>AND(IF(Metadata!I78="",FALSE,TRUE),exact(Metadata!I78,"tongue"))</f>
        <v>0</v>
      </c>
      <c r="AD78">
        <f>AND(IF(Metadata!J78="",FALSE,TRUE),exact(Metadata!J78,"human oral metagenome"))</f>
        <v>0</v>
      </c>
      <c r="AE78">
        <f>AND(IF(Metadata!K78="",FALSE,TRUE),exact(Metadata!K78,"447426"))</f>
        <v>0</v>
      </c>
    </row>
    <row r="79" spans="1:31">
      <c r="A79" s="4">
        <f>IF(B79=" "," ",HYPERLINK(CONCATENATE("#metadata!",ADDRESS(INDEX($Q$2:$Q$1001,MATCH(ROWS($O$2:O79),$O$2:$O$1001,0),0),1)),INDEX($T$2:$T$1001,MATCH(ROWS($O$2:O79),$O$2:$O$1001,0),0)))</f>
        <v>0</v>
      </c>
      <c r="B79" s="3">
        <f>IF(OR(INDEX($P$2:$P$1001,MATCH(ROWS($O$2:O79),$O$2:$O$1001,0),1)&gt;=100000,INDEX($V$1005:$AE$1005,1,MATCH(COLUMNS($V$1006:V1006),$V$1006:$AE$1006,0))&gt;=100000), " ",IF(INDEX($V$2:$AE$1001,MATCH(ROWS($O$2:O79),$O$2:$O$1001,0),MATCH(COLUMNS($V$1006:V1006),$V$1006:$AE$1006,0)), HYPERLINK("#",""), HYPERLINK(CONCATENATE("#Metadata!", ADDRESS(INDEX($Q$2:$Q$1001,MATCH(ROWS($O$2:O79),$O$2:$O$1001,0),0), INDEX($V$1004:$AE$1004,1,MATCH(COLUMNS($V$1006:V1006),$V$1006:$AE$1006,0)))),"Fix")))</f>
        <v>0</v>
      </c>
      <c r="C79" s="3">
        <f>IF(OR(INDEX($P$2:$P$1001,MATCH(ROWS($O$2:O79),$O$2:$O$1001,0),1)&gt;=100000,INDEX($V$1005:$AE$1005,1,MATCH(COLUMNS($V$1006:W1006),$V$1006:$AE$1006,0))&gt;=100000), " ",IF(INDEX($V$2:$AE$1001,MATCH(ROWS($O$2:O79),$O$2:$O$1001,0),MATCH(COLUMNS($V$1006:W1006),$V$1006:$AE$1006,0)), HYPERLINK("#",""), HYPERLINK(CONCATENATE("#Metadata!", ADDRESS(INDEX($Q$2:$Q$1001,MATCH(ROWS($O$2:O79),$O$2:$O$1001,0),0), INDEX($V$1004:$AE$1004,1,MATCH(COLUMNS($V$1006:W1006),$V$1006:$AE$1006,0)))),"Fix")))</f>
        <v>0</v>
      </c>
      <c r="D79" s="3">
        <f>IF(OR(INDEX($P$2:$P$1001,MATCH(ROWS($O$2:O79),$O$2:$O$1001,0),1)&gt;=100000,INDEX($V$1005:$AE$1005,1,MATCH(COLUMNS($V$1006:X1006),$V$1006:$AE$1006,0))&gt;=100000), " ",IF(INDEX($V$2:$AE$1001,MATCH(ROWS($O$2:O79),$O$2:$O$1001,0),MATCH(COLUMNS($V$1006:X1006),$V$1006:$AE$1006,0)), HYPERLINK("#",""), HYPERLINK(CONCATENATE("#Metadata!", ADDRESS(INDEX($Q$2:$Q$1001,MATCH(ROWS($O$2:O79),$O$2:$O$1001,0),0), INDEX($V$1004:$AE$1004,1,MATCH(COLUMNS($V$1006:X1006),$V$1006:$AE$1006,0)))),"Fix")))</f>
        <v>0</v>
      </c>
      <c r="E79" s="3">
        <f>IF(OR(INDEX($P$2:$P$1001,MATCH(ROWS($O$2:O79),$O$2:$O$1001,0),1)&gt;=100000,INDEX($V$1005:$AE$1005,1,MATCH(COLUMNS($V$1006:Y1006),$V$1006:$AE$1006,0))&gt;=100000), " ",IF(INDEX($V$2:$AE$1001,MATCH(ROWS($O$2:O79),$O$2:$O$1001,0),MATCH(COLUMNS($V$1006:Y1006),$V$1006:$AE$1006,0)), HYPERLINK("#",""), HYPERLINK(CONCATENATE("#Metadata!", ADDRESS(INDEX($Q$2:$Q$1001,MATCH(ROWS($O$2:O79),$O$2:$O$1001,0),0), INDEX($V$1004:$AE$1004,1,MATCH(COLUMNS($V$1006:Y1006),$V$1006:$AE$1006,0)))),"Fix")))</f>
        <v>0</v>
      </c>
      <c r="F79" s="3">
        <f>IF(OR(INDEX($P$2:$P$1001,MATCH(ROWS($O$2:O79),$O$2:$O$1001,0),1)&gt;=100000,INDEX($V$1005:$AE$1005,1,MATCH(COLUMNS($V$1006:Z1006),$V$1006:$AE$1006,0))&gt;=100000), " ",IF(INDEX($V$2:$AE$1001,MATCH(ROWS($O$2:O79),$O$2:$O$1001,0),MATCH(COLUMNS($V$1006:Z1006),$V$1006:$AE$1006,0)), HYPERLINK("#",""), HYPERLINK(CONCATENATE("#Metadata!", ADDRESS(INDEX($Q$2:$Q$1001,MATCH(ROWS($O$2:O79),$O$2:$O$1001,0),0), INDEX($V$1004:$AE$1004,1,MATCH(COLUMNS($V$1006:Z1006),$V$1006:$AE$1006,0)))),"Fix")))</f>
        <v>0</v>
      </c>
      <c r="G79" s="3">
        <f>IF(OR(INDEX($P$2:$P$1001,MATCH(ROWS($O$2:O79),$O$2:$O$1001,0),1)&gt;=100000,INDEX($V$1005:$AE$1005,1,MATCH(COLUMNS($V$1006:AA1006),$V$1006:$AE$1006,0))&gt;=100000), " ",IF(INDEX($V$2:$AE$1001,MATCH(ROWS($O$2:O79),$O$2:$O$1001,0),MATCH(COLUMNS($V$1006:AA1006),$V$1006:$AE$1006,0)), HYPERLINK("#",""), HYPERLINK(CONCATENATE("#Metadata!", ADDRESS(INDEX($Q$2:$Q$1001,MATCH(ROWS($O$2:O79),$O$2:$O$1001,0),0), INDEX($V$1004:$AE$1004,1,MATCH(COLUMNS($V$1006:AA1006),$V$1006:$AE$1006,0)))),"Fix")))</f>
        <v>0</v>
      </c>
      <c r="H79" s="3">
        <f>IF(OR(INDEX($P$2:$P$1001,MATCH(ROWS($O$2:O79),$O$2:$O$1001,0),1)&gt;=100000,INDEX($V$1005:$AE$1005,1,MATCH(COLUMNS($V$1006:AB1006),$V$1006:$AE$1006,0))&gt;=100000), " ",IF(INDEX($V$2:$AE$1001,MATCH(ROWS($O$2:O79),$O$2:$O$1001,0),MATCH(COLUMNS($V$1006:AB1006),$V$1006:$AE$1006,0)), HYPERLINK("#",""), HYPERLINK(CONCATENATE("#Metadata!", ADDRESS(INDEX($Q$2:$Q$1001,MATCH(ROWS($O$2:O79),$O$2:$O$1001,0),0), INDEX($V$1004:$AE$1004,1,MATCH(COLUMNS($V$1006:AB1006),$V$1006:$AE$1006,0)))),"Fix")))</f>
        <v>0</v>
      </c>
      <c r="I79" s="3">
        <f>IF(OR(INDEX($P$2:$P$1001,MATCH(ROWS($O$2:O79),$O$2:$O$1001,0),1)&gt;=100000,INDEX($V$1005:$AE$1005,1,MATCH(COLUMNS($V$1006:AC1006),$V$1006:$AE$1006,0))&gt;=100000), " ",IF(INDEX($V$2:$AE$1001,MATCH(ROWS($O$2:O79),$O$2:$O$1001,0),MATCH(COLUMNS($V$1006:AC1006),$V$1006:$AE$1006,0)), HYPERLINK("#",""), HYPERLINK(CONCATENATE("#Metadata!", ADDRESS(INDEX($Q$2:$Q$1001,MATCH(ROWS($O$2:O79),$O$2:$O$1001,0),0), INDEX($V$1004:$AE$1004,1,MATCH(COLUMNS($V$1006:AC1006),$V$1006:$AE$1006,0)))),"Fix")))</f>
        <v>0</v>
      </c>
      <c r="J79" s="3">
        <f>IF(OR(INDEX($P$2:$P$1001,MATCH(ROWS($O$2:O79),$O$2:$O$1001,0),1)&gt;=100000,INDEX($V$1005:$AE$1005,1,MATCH(COLUMNS($V$1006:AD1006),$V$1006:$AE$1006,0))&gt;=100000), " ",IF(INDEX($V$2:$AE$1001,MATCH(ROWS($O$2:O79),$O$2:$O$1001,0),MATCH(COLUMNS($V$1006:AD1006),$V$1006:$AE$1006,0)), HYPERLINK("#",""), HYPERLINK(CONCATENATE("#Metadata!", ADDRESS(INDEX($Q$2:$Q$1001,MATCH(ROWS($O$2:O79),$O$2:$O$1001,0),0), INDEX($V$1004:$AE$1004,1,MATCH(COLUMNS($V$1006:AD1006),$V$1006:$AE$1006,0)))),"Fix")))</f>
        <v>0</v>
      </c>
      <c r="K79" s="3">
        <f>IF(OR(INDEX($P$2:$P$1001,MATCH(ROWS($O$2:O79),$O$2:$O$1001,0),1)&gt;=100000,INDEX($V$1005:$AE$1005,1,MATCH(COLUMNS($V$1006:AE1006),$V$1006:$AE$1006,0))&gt;=100000), " ",IF(INDEX($V$2:$AE$1001,MATCH(ROWS($O$2:O79),$O$2:$O$1001,0),MATCH(COLUMNS($V$1006:AE1006),$V$1006:$AE$1006,0)), HYPERLINK("#",""), HYPERLINK(CONCATENATE("#Metadata!", ADDRESS(INDEX($Q$2:$Q$1001,MATCH(ROWS($O$2:O79),$O$2:$O$1001,0),0), INDEX($V$1004:$AE$1004,1,MATCH(COLUMNS($V$1006:AE1006),$V$1006:$AE$1006,0)))),"Fix")))</f>
        <v>0</v>
      </c>
      <c r="O79">
        <v>0</v>
      </c>
      <c r="P79">
        <v>0</v>
      </c>
      <c r="Q79">
        <v>0</v>
      </c>
      <c r="R79">
        <f>IF(S79,TRUE,AND(V79:AE79))</f>
        <v>0</v>
      </c>
      <c r="S79">
        <f>COUNTBLANK(Metadata!B79:K79)=COLUMNS(Metadata!B79:K79)</f>
        <v>0</v>
      </c>
      <c r="T79">
        <v>0</v>
      </c>
      <c r="V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W79">
        <f>AND(IF(Metadata!C79="",FALSE,TRUE),exact(Metadata!C79,"animal secretion"))</f>
        <v>0</v>
      </c>
      <c r="X79">
        <f>AND(IF(Metadata!D79="",FALSE,TRUE),exact(Metadata!D79,"saliva"))</f>
        <v>0</v>
      </c>
      <c r="Y79">
        <f>AND(IF(Metadata!E79="",FALSE,TRUE),exact(Metadata!E79,"human-oral"))</f>
        <v>0</v>
      </c>
      <c r="Z79">
        <f>AND(IF(Metadata!F79="",FALSE,TRUE),exact(Metadata!F79,"UBERON:oral cavity"))</f>
        <v>0</v>
      </c>
      <c r="AA79">
        <f>AND(IF(Metadata!G79="",FALSE,TRUE),exact(Metadata!G79,"UBERON:saliva"))</f>
        <v>0</v>
      </c>
      <c r="AB79">
        <f>AND(IF(Metadata!H79="",FALSE,TRUE),exact(Metadata!H79,"UBERON:tongue"))</f>
        <v>0</v>
      </c>
      <c r="AC79">
        <f>AND(IF(Metadata!I79="",FALSE,TRUE),exact(Metadata!I79,"tongue"))</f>
        <v>0</v>
      </c>
      <c r="AD79">
        <f>AND(IF(Metadata!J79="",FALSE,TRUE),exact(Metadata!J79,"human oral metagenome"))</f>
        <v>0</v>
      </c>
      <c r="AE79">
        <f>AND(IF(Metadata!K79="",FALSE,TRUE),exact(Metadata!K79,"447426"))</f>
        <v>0</v>
      </c>
    </row>
    <row r="80" spans="1:31">
      <c r="A80" s="4">
        <f>IF(B80=" "," ",HYPERLINK(CONCATENATE("#metadata!",ADDRESS(INDEX($Q$2:$Q$1001,MATCH(ROWS($O$2:O80),$O$2:$O$1001,0),0),1)),INDEX($T$2:$T$1001,MATCH(ROWS($O$2:O80),$O$2:$O$1001,0),0)))</f>
        <v>0</v>
      </c>
      <c r="B80" s="3">
        <f>IF(OR(INDEX($P$2:$P$1001,MATCH(ROWS($O$2:O80),$O$2:$O$1001,0),1)&gt;=100000,INDEX($V$1005:$AE$1005,1,MATCH(COLUMNS($V$1006:V1006),$V$1006:$AE$1006,0))&gt;=100000), " ",IF(INDEX($V$2:$AE$1001,MATCH(ROWS($O$2:O80),$O$2:$O$1001,0),MATCH(COLUMNS($V$1006:V1006),$V$1006:$AE$1006,0)), HYPERLINK("#",""), HYPERLINK(CONCATENATE("#Metadata!", ADDRESS(INDEX($Q$2:$Q$1001,MATCH(ROWS($O$2:O80),$O$2:$O$1001,0),0), INDEX($V$1004:$AE$1004,1,MATCH(COLUMNS($V$1006:V1006),$V$1006:$AE$1006,0)))),"Fix")))</f>
        <v>0</v>
      </c>
      <c r="C80" s="3">
        <f>IF(OR(INDEX($P$2:$P$1001,MATCH(ROWS($O$2:O80),$O$2:$O$1001,0),1)&gt;=100000,INDEX($V$1005:$AE$1005,1,MATCH(COLUMNS($V$1006:W1006),$V$1006:$AE$1006,0))&gt;=100000), " ",IF(INDEX($V$2:$AE$1001,MATCH(ROWS($O$2:O80),$O$2:$O$1001,0),MATCH(COLUMNS($V$1006:W1006),$V$1006:$AE$1006,0)), HYPERLINK("#",""), HYPERLINK(CONCATENATE("#Metadata!", ADDRESS(INDEX($Q$2:$Q$1001,MATCH(ROWS($O$2:O80),$O$2:$O$1001,0),0), INDEX($V$1004:$AE$1004,1,MATCH(COLUMNS($V$1006:W1006),$V$1006:$AE$1006,0)))),"Fix")))</f>
        <v>0</v>
      </c>
      <c r="D80" s="3">
        <f>IF(OR(INDEX($P$2:$P$1001,MATCH(ROWS($O$2:O80),$O$2:$O$1001,0),1)&gt;=100000,INDEX($V$1005:$AE$1005,1,MATCH(COLUMNS($V$1006:X1006),$V$1006:$AE$1006,0))&gt;=100000), " ",IF(INDEX($V$2:$AE$1001,MATCH(ROWS($O$2:O80),$O$2:$O$1001,0),MATCH(COLUMNS($V$1006:X1006),$V$1006:$AE$1006,0)), HYPERLINK("#",""), HYPERLINK(CONCATENATE("#Metadata!", ADDRESS(INDEX($Q$2:$Q$1001,MATCH(ROWS($O$2:O80),$O$2:$O$1001,0),0), INDEX($V$1004:$AE$1004,1,MATCH(COLUMNS($V$1006:X1006),$V$1006:$AE$1006,0)))),"Fix")))</f>
        <v>0</v>
      </c>
      <c r="E80" s="3">
        <f>IF(OR(INDEX($P$2:$P$1001,MATCH(ROWS($O$2:O80),$O$2:$O$1001,0),1)&gt;=100000,INDEX($V$1005:$AE$1005,1,MATCH(COLUMNS($V$1006:Y1006),$V$1006:$AE$1006,0))&gt;=100000), " ",IF(INDEX($V$2:$AE$1001,MATCH(ROWS($O$2:O80),$O$2:$O$1001,0),MATCH(COLUMNS($V$1006:Y1006),$V$1006:$AE$1006,0)), HYPERLINK("#",""), HYPERLINK(CONCATENATE("#Metadata!", ADDRESS(INDEX($Q$2:$Q$1001,MATCH(ROWS($O$2:O80),$O$2:$O$1001,0),0), INDEX($V$1004:$AE$1004,1,MATCH(COLUMNS($V$1006:Y1006),$V$1006:$AE$1006,0)))),"Fix")))</f>
        <v>0</v>
      </c>
      <c r="F80" s="3">
        <f>IF(OR(INDEX($P$2:$P$1001,MATCH(ROWS($O$2:O80),$O$2:$O$1001,0),1)&gt;=100000,INDEX($V$1005:$AE$1005,1,MATCH(COLUMNS($V$1006:Z1006),$V$1006:$AE$1006,0))&gt;=100000), " ",IF(INDEX($V$2:$AE$1001,MATCH(ROWS($O$2:O80),$O$2:$O$1001,0),MATCH(COLUMNS($V$1006:Z1006),$V$1006:$AE$1006,0)), HYPERLINK("#",""), HYPERLINK(CONCATENATE("#Metadata!", ADDRESS(INDEX($Q$2:$Q$1001,MATCH(ROWS($O$2:O80),$O$2:$O$1001,0),0), INDEX($V$1004:$AE$1004,1,MATCH(COLUMNS($V$1006:Z1006),$V$1006:$AE$1006,0)))),"Fix")))</f>
        <v>0</v>
      </c>
      <c r="G80" s="3">
        <f>IF(OR(INDEX($P$2:$P$1001,MATCH(ROWS($O$2:O80),$O$2:$O$1001,0),1)&gt;=100000,INDEX($V$1005:$AE$1005,1,MATCH(COLUMNS($V$1006:AA1006),$V$1006:$AE$1006,0))&gt;=100000), " ",IF(INDEX($V$2:$AE$1001,MATCH(ROWS($O$2:O80),$O$2:$O$1001,0),MATCH(COLUMNS($V$1006:AA1006),$V$1006:$AE$1006,0)), HYPERLINK("#",""), HYPERLINK(CONCATENATE("#Metadata!", ADDRESS(INDEX($Q$2:$Q$1001,MATCH(ROWS($O$2:O80),$O$2:$O$1001,0),0), INDEX($V$1004:$AE$1004,1,MATCH(COLUMNS($V$1006:AA1006),$V$1006:$AE$1006,0)))),"Fix")))</f>
        <v>0</v>
      </c>
      <c r="H80" s="3">
        <f>IF(OR(INDEX($P$2:$P$1001,MATCH(ROWS($O$2:O80),$O$2:$O$1001,0),1)&gt;=100000,INDEX($V$1005:$AE$1005,1,MATCH(COLUMNS($V$1006:AB1006),$V$1006:$AE$1006,0))&gt;=100000), " ",IF(INDEX($V$2:$AE$1001,MATCH(ROWS($O$2:O80),$O$2:$O$1001,0),MATCH(COLUMNS($V$1006:AB1006),$V$1006:$AE$1006,0)), HYPERLINK("#",""), HYPERLINK(CONCATENATE("#Metadata!", ADDRESS(INDEX($Q$2:$Q$1001,MATCH(ROWS($O$2:O80),$O$2:$O$1001,0),0), INDEX($V$1004:$AE$1004,1,MATCH(COLUMNS($V$1006:AB1006),$V$1006:$AE$1006,0)))),"Fix")))</f>
        <v>0</v>
      </c>
      <c r="I80" s="3">
        <f>IF(OR(INDEX($P$2:$P$1001,MATCH(ROWS($O$2:O80),$O$2:$O$1001,0),1)&gt;=100000,INDEX($V$1005:$AE$1005,1,MATCH(COLUMNS($V$1006:AC1006),$V$1006:$AE$1006,0))&gt;=100000), " ",IF(INDEX($V$2:$AE$1001,MATCH(ROWS($O$2:O80),$O$2:$O$1001,0),MATCH(COLUMNS($V$1006:AC1006),$V$1006:$AE$1006,0)), HYPERLINK("#",""), HYPERLINK(CONCATENATE("#Metadata!", ADDRESS(INDEX($Q$2:$Q$1001,MATCH(ROWS($O$2:O80),$O$2:$O$1001,0),0), INDEX($V$1004:$AE$1004,1,MATCH(COLUMNS($V$1006:AC1006),$V$1006:$AE$1006,0)))),"Fix")))</f>
        <v>0</v>
      </c>
      <c r="J80" s="3">
        <f>IF(OR(INDEX($P$2:$P$1001,MATCH(ROWS($O$2:O80),$O$2:$O$1001,0),1)&gt;=100000,INDEX($V$1005:$AE$1005,1,MATCH(COLUMNS($V$1006:AD1006),$V$1006:$AE$1006,0))&gt;=100000), " ",IF(INDEX($V$2:$AE$1001,MATCH(ROWS($O$2:O80),$O$2:$O$1001,0),MATCH(COLUMNS($V$1006:AD1006),$V$1006:$AE$1006,0)), HYPERLINK("#",""), HYPERLINK(CONCATENATE("#Metadata!", ADDRESS(INDEX($Q$2:$Q$1001,MATCH(ROWS($O$2:O80),$O$2:$O$1001,0),0), INDEX($V$1004:$AE$1004,1,MATCH(COLUMNS($V$1006:AD1006),$V$1006:$AE$1006,0)))),"Fix")))</f>
        <v>0</v>
      </c>
      <c r="K80" s="3">
        <f>IF(OR(INDEX($P$2:$P$1001,MATCH(ROWS($O$2:O80),$O$2:$O$1001,0),1)&gt;=100000,INDEX($V$1005:$AE$1005,1,MATCH(COLUMNS($V$1006:AE1006),$V$1006:$AE$1006,0))&gt;=100000), " ",IF(INDEX($V$2:$AE$1001,MATCH(ROWS($O$2:O80),$O$2:$O$1001,0),MATCH(COLUMNS($V$1006:AE1006),$V$1006:$AE$1006,0)), HYPERLINK("#",""), HYPERLINK(CONCATENATE("#Metadata!", ADDRESS(INDEX($Q$2:$Q$1001,MATCH(ROWS($O$2:O80),$O$2:$O$1001,0),0), INDEX($V$1004:$AE$1004,1,MATCH(COLUMNS($V$1006:AE1006),$V$1006:$AE$1006,0)))),"Fix")))</f>
        <v>0</v>
      </c>
      <c r="O80">
        <v>0</v>
      </c>
      <c r="P80">
        <v>0</v>
      </c>
      <c r="Q80">
        <v>0</v>
      </c>
      <c r="R80">
        <f>IF(S80,TRUE,AND(V80:AE80))</f>
        <v>0</v>
      </c>
      <c r="S80">
        <f>COUNTBLANK(Metadata!B80:K80)=COLUMNS(Metadata!B80:K80)</f>
        <v>0</v>
      </c>
      <c r="T80">
        <v>0</v>
      </c>
      <c r="V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W80">
        <f>AND(IF(Metadata!C80="",FALSE,TRUE),exact(Metadata!C80,"animal secretion"))</f>
        <v>0</v>
      </c>
      <c r="X80">
        <f>AND(IF(Metadata!D80="",FALSE,TRUE),exact(Metadata!D80,"saliva"))</f>
        <v>0</v>
      </c>
      <c r="Y80">
        <f>AND(IF(Metadata!E80="",FALSE,TRUE),exact(Metadata!E80,"human-oral"))</f>
        <v>0</v>
      </c>
      <c r="Z80">
        <f>AND(IF(Metadata!F80="",FALSE,TRUE),exact(Metadata!F80,"UBERON:oral cavity"))</f>
        <v>0</v>
      </c>
      <c r="AA80">
        <f>AND(IF(Metadata!G80="",FALSE,TRUE),exact(Metadata!G80,"UBERON:saliva"))</f>
        <v>0</v>
      </c>
      <c r="AB80">
        <f>AND(IF(Metadata!H80="",FALSE,TRUE),exact(Metadata!H80,"UBERON:tongue"))</f>
        <v>0</v>
      </c>
      <c r="AC80">
        <f>AND(IF(Metadata!I80="",FALSE,TRUE),exact(Metadata!I80,"tongue"))</f>
        <v>0</v>
      </c>
      <c r="AD80">
        <f>AND(IF(Metadata!J80="",FALSE,TRUE),exact(Metadata!J80,"human oral metagenome"))</f>
        <v>0</v>
      </c>
      <c r="AE80">
        <f>AND(IF(Metadata!K80="",FALSE,TRUE),exact(Metadata!K80,"447426"))</f>
        <v>0</v>
      </c>
    </row>
    <row r="81" spans="1:31">
      <c r="A81" s="4">
        <f>IF(B81=" "," ",HYPERLINK(CONCATENATE("#metadata!",ADDRESS(INDEX($Q$2:$Q$1001,MATCH(ROWS($O$2:O81),$O$2:$O$1001,0),0),1)),INDEX($T$2:$T$1001,MATCH(ROWS($O$2:O81),$O$2:$O$1001,0),0)))</f>
        <v>0</v>
      </c>
      <c r="B81" s="3">
        <f>IF(OR(INDEX($P$2:$P$1001,MATCH(ROWS($O$2:O81),$O$2:$O$1001,0),1)&gt;=100000,INDEX($V$1005:$AE$1005,1,MATCH(COLUMNS($V$1006:V1006),$V$1006:$AE$1006,0))&gt;=100000), " ",IF(INDEX($V$2:$AE$1001,MATCH(ROWS($O$2:O81),$O$2:$O$1001,0),MATCH(COLUMNS($V$1006:V1006),$V$1006:$AE$1006,0)), HYPERLINK("#",""), HYPERLINK(CONCATENATE("#Metadata!", ADDRESS(INDEX($Q$2:$Q$1001,MATCH(ROWS($O$2:O81),$O$2:$O$1001,0),0), INDEX($V$1004:$AE$1004,1,MATCH(COLUMNS($V$1006:V1006),$V$1006:$AE$1006,0)))),"Fix")))</f>
        <v>0</v>
      </c>
      <c r="C81" s="3">
        <f>IF(OR(INDEX($P$2:$P$1001,MATCH(ROWS($O$2:O81),$O$2:$O$1001,0),1)&gt;=100000,INDEX($V$1005:$AE$1005,1,MATCH(COLUMNS($V$1006:W1006),$V$1006:$AE$1006,0))&gt;=100000), " ",IF(INDEX($V$2:$AE$1001,MATCH(ROWS($O$2:O81),$O$2:$O$1001,0),MATCH(COLUMNS($V$1006:W1006),$V$1006:$AE$1006,0)), HYPERLINK("#",""), HYPERLINK(CONCATENATE("#Metadata!", ADDRESS(INDEX($Q$2:$Q$1001,MATCH(ROWS($O$2:O81),$O$2:$O$1001,0),0), INDEX($V$1004:$AE$1004,1,MATCH(COLUMNS($V$1006:W1006),$V$1006:$AE$1006,0)))),"Fix")))</f>
        <v>0</v>
      </c>
      <c r="D81" s="3">
        <f>IF(OR(INDEX($P$2:$P$1001,MATCH(ROWS($O$2:O81),$O$2:$O$1001,0),1)&gt;=100000,INDEX($V$1005:$AE$1005,1,MATCH(COLUMNS($V$1006:X1006),$V$1006:$AE$1006,0))&gt;=100000), " ",IF(INDEX($V$2:$AE$1001,MATCH(ROWS($O$2:O81),$O$2:$O$1001,0),MATCH(COLUMNS($V$1006:X1006),$V$1006:$AE$1006,0)), HYPERLINK("#",""), HYPERLINK(CONCATENATE("#Metadata!", ADDRESS(INDEX($Q$2:$Q$1001,MATCH(ROWS($O$2:O81),$O$2:$O$1001,0),0), INDEX($V$1004:$AE$1004,1,MATCH(COLUMNS($V$1006:X1006),$V$1006:$AE$1006,0)))),"Fix")))</f>
        <v>0</v>
      </c>
      <c r="E81" s="3">
        <f>IF(OR(INDEX($P$2:$P$1001,MATCH(ROWS($O$2:O81),$O$2:$O$1001,0),1)&gt;=100000,INDEX($V$1005:$AE$1005,1,MATCH(COLUMNS($V$1006:Y1006),$V$1006:$AE$1006,0))&gt;=100000), " ",IF(INDEX($V$2:$AE$1001,MATCH(ROWS($O$2:O81),$O$2:$O$1001,0),MATCH(COLUMNS($V$1006:Y1006),$V$1006:$AE$1006,0)), HYPERLINK("#",""), HYPERLINK(CONCATENATE("#Metadata!", ADDRESS(INDEX($Q$2:$Q$1001,MATCH(ROWS($O$2:O81),$O$2:$O$1001,0),0), INDEX($V$1004:$AE$1004,1,MATCH(COLUMNS($V$1006:Y1006),$V$1006:$AE$1006,0)))),"Fix")))</f>
        <v>0</v>
      </c>
      <c r="F81" s="3">
        <f>IF(OR(INDEX($P$2:$P$1001,MATCH(ROWS($O$2:O81),$O$2:$O$1001,0),1)&gt;=100000,INDEX($V$1005:$AE$1005,1,MATCH(COLUMNS($V$1006:Z1006),$V$1006:$AE$1006,0))&gt;=100000), " ",IF(INDEX($V$2:$AE$1001,MATCH(ROWS($O$2:O81),$O$2:$O$1001,0),MATCH(COLUMNS($V$1006:Z1006),$V$1006:$AE$1006,0)), HYPERLINK("#",""), HYPERLINK(CONCATENATE("#Metadata!", ADDRESS(INDEX($Q$2:$Q$1001,MATCH(ROWS($O$2:O81),$O$2:$O$1001,0),0), INDEX($V$1004:$AE$1004,1,MATCH(COLUMNS($V$1006:Z1006),$V$1006:$AE$1006,0)))),"Fix")))</f>
        <v>0</v>
      </c>
      <c r="G81" s="3">
        <f>IF(OR(INDEX($P$2:$P$1001,MATCH(ROWS($O$2:O81),$O$2:$O$1001,0),1)&gt;=100000,INDEX($V$1005:$AE$1005,1,MATCH(COLUMNS($V$1006:AA1006),$V$1006:$AE$1006,0))&gt;=100000), " ",IF(INDEX($V$2:$AE$1001,MATCH(ROWS($O$2:O81),$O$2:$O$1001,0),MATCH(COLUMNS($V$1006:AA1006),$V$1006:$AE$1006,0)), HYPERLINK("#",""), HYPERLINK(CONCATENATE("#Metadata!", ADDRESS(INDEX($Q$2:$Q$1001,MATCH(ROWS($O$2:O81),$O$2:$O$1001,0),0), INDEX($V$1004:$AE$1004,1,MATCH(COLUMNS($V$1006:AA1006),$V$1006:$AE$1006,0)))),"Fix")))</f>
        <v>0</v>
      </c>
      <c r="H81" s="3">
        <f>IF(OR(INDEX($P$2:$P$1001,MATCH(ROWS($O$2:O81),$O$2:$O$1001,0),1)&gt;=100000,INDEX($V$1005:$AE$1005,1,MATCH(COLUMNS($V$1006:AB1006),$V$1006:$AE$1006,0))&gt;=100000), " ",IF(INDEX($V$2:$AE$1001,MATCH(ROWS($O$2:O81),$O$2:$O$1001,0),MATCH(COLUMNS($V$1006:AB1006),$V$1006:$AE$1006,0)), HYPERLINK("#",""), HYPERLINK(CONCATENATE("#Metadata!", ADDRESS(INDEX($Q$2:$Q$1001,MATCH(ROWS($O$2:O81),$O$2:$O$1001,0),0), INDEX($V$1004:$AE$1004,1,MATCH(COLUMNS($V$1006:AB1006),$V$1006:$AE$1006,0)))),"Fix")))</f>
        <v>0</v>
      </c>
      <c r="I81" s="3">
        <f>IF(OR(INDEX($P$2:$P$1001,MATCH(ROWS($O$2:O81),$O$2:$O$1001,0),1)&gt;=100000,INDEX($V$1005:$AE$1005,1,MATCH(COLUMNS($V$1006:AC1006),$V$1006:$AE$1006,0))&gt;=100000), " ",IF(INDEX($V$2:$AE$1001,MATCH(ROWS($O$2:O81),$O$2:$O$1001,0),MATCH(COLUMNS($V$1006:AC1006),$V$1006:$AE$1006,0)), HYPERLINK("#",""), HYPERLINK(CONCATENATE("#Metadata!", ADDRESS(INDEX($Q$2:$Q$1001,MATCH(ROWS($O$2:O81),$O$2:$O$1001,0),0), INDEX($V$1004:$AE$1004,1,MATCH(COLUMNS($V$1006:AC1006),$V$1006:$AE$1006,0)))),"Fix")))</f>
        <v>0</v>
      </c>
      <c r="J81" s="3">
        <f>IF(OR(INDEX($P$2:$P$1001,MATCH(ROWS($O$2:O81),$O$2:$O$1001,0),1)&gt;=100000,INDEX($V$1005:$AE$1005,1,MATCH(COLUMNS($V$1006:AD1006),$V$1006:$AE$1006,0))&gt;=100000), " ",IF(INDEX($V$2:$AE$1001,MATCH(ROWS($O$2:O81),$O$2:$O$1001,0),MATCH(COLUMNS($V$1006:AD1006),$V$1006:$AE$1006,0)), HYPERLINK("#",""), HYPERLINK(CONCATENATE("#Metadata!", ADDRESS(INDEX($Q$2:$Q$1001,MATCH(ROWS($O$2:O81),$O$2:$O$1001,0),0), INDEX($V$1004:$AE$1004,1,MATCH(COLUMNS($V$1006:AD1006),$V$1006:$AE$1006,0)))),"Fix")))</f>
        <v>0</v>
      </c>
      <c r="K81" s="3">
        <f>IF(OR(INDEX($P$2:$P$1001,MATCH(ROWS($O$2:O81),$O$2:$O$1001,0),1)&gt;=100000,INDEX($V$1005:$AE$1005,1,MATCH(COLUMNS($V$1006:AE1006),$V$1006:$AE$1006,0))&gt;=100000), " ",IF(INDEX($V$2:$AE$1001,MATCH(ROWS($O$2:O81),$O$2:$O$1001,0),MATCH(COLUMNS($V$1006:AE1006),$V$1006:$AE$1006,0)), HYPERLINK("#",""), HYPERLINK(CONCATENATE("#Metadata!", ADDRESS(INDEX($Q$2:$Q$1001,MATCH(ROWS($O$2:O81),$O$2:$O$1001,0),0), INDEX($V$1004:$AE$1004,1,MATCH(COLUMNS($V$1006:AE1006),$V$1006:$AE$1006,0)))),"Fix")))</f>
        <v>0</v>
      </c>
      <c r="O81">
        <v>0</v>
      </c>
      <c r="P81">
        <v>0</v>
      </c>
      <c r="Q81">
        <v>0</v>
      </c>
      <c r="R81">
        <f>IF(S81,TRUE,AND(V81:AE81))</f>
        <v>0</v>
      </c>
      <c r="S81">
        <f>COUNTBLANK(Metadata!B81:K81)=COLUMNS(Metadata!B81:K81)</f>
        <v>0</v>
      </c>
      <c r="T81">
        <v>0</v>
      </c>
      <c r="V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W81">
        <f>AND(IF(Metadata!C81="",FALSE,TRUE),exact(Metadata!C81,"animal secretion"))</f>
        <v>0</v>
      </c>
      <c r="X81">
        <f>AND(IF(Metadata!D81="",FALSE,TRUE),exact(Metadata!D81,"saliva"))</f>
        <v>0</v>
      </c>
      <c r="Y81">
        <f>AND(IF(Metadata!E81="",FALSE,TRUE),exact(Metadata!E81,"human-oral"))</f>
        <v>0</v>
      </c>
      <c r="Z81">
        <f>AND(IF(Metadata!F81="",FALSE,TRUE),exact(Metadata!F81,"UBERON:oral cavity"))</f>
        <v>0</v>
      </c>
      <c r="AA81">
        <f>AND(IF(Metadata!G81="",FALSE,TRUE),exact(Metadata!G81,"UBERON:saliva"))</f>
        <v>0</v>
      </c>
      <c r="AB81">
        <f>AND(IF(Metadata!H81="",FALSE,TRUE),exact(Metadata!H81,"UBERON:tongue"))</f>
        <v>0</v>
      </c>
      <c r="AC81">
        <f>AND(IF(Metadata!I81="",FALSE,TRUE),exact(Metadata!I81,"tongue"))</f>
        <v>0</v>
      </c>
      <c r="AD81">
        <f>AND(IF(Metadata!J81="",FALSE,TRUE),exact(Metadata!J81,"human oral metagenome"))</f>
        <v>0</v>
      </c>
      <c r="AE81">
        <f>AND(IF(Metadata!K81="",FALSE,TRUE),exact(Metadata!K81,"447426"))</f>
        <v>0</v>
      </c>
    </row>
    <row r="82" spans="1:31">
      <c r="A82" s="4">
        <f>IF(B82=" "," ",HYPERLINK(CONCATENATE("#metadata!",ADDRESS(INDEX($Q$2:$Q$1001,MATCH(ROWS($O$2:O82),$O$2:$O$1001,0),0),1)),INDEX($T$2:$T$1001,MATCH(ROWS($O$2:O82),$O$2:$O$1001,0),0)))</f>
        <v>0</v>
      </c>
      <c r="B82" s="3">
        <f>IF(OR(INDEX($P$2:$P$1001,MATCH(ROWS($O$2:O82),$O$2:$O$1001,0),1)&gt;=100000,INDEX($V$1005:$AE$1005,1,MATCH(COLUMNS($V$1006:V1006),$V$1006:$AE$1006,0))&gt;=100000), " ",IF(INDEX($V$2:$AE$1001,MATCH(ROWS($O$2:O82),$O$2:$O$1001,0),MATCH(COLUMNS($V$1006:V1006),$V$1006:$AE$1006,0)), HYPERLINK("#",""), HYPERLINK(CONCATENATE("#Metadata!", ADDRESS(INDEX($Q$2:$Q$1001,MATCH(ROWS($O$2:O82),$O$2:$O$1001,0),0), INDEX($V$1004:$AE$1004,1,MATCH(COLUMNS($V$1006:V1006),$V$1006:$AE$1006,0)))),"Fix")))</f>
        <v>0</v>
      </c>
      <c r="C82" s="3">
        <f>IF(OR(INDEX($P$2:$P$1001,MATCH(ROWS($O$2:O82),$O$2:$O$1001,0),1)&gt;=100000,INDEX($V$1005:$AE$1005,1,MATCH(COLUMNS($V$1006:W1006),$V$1006:$AE$1006,0))&gt;=100000), " ",IF(INDEX($V$2:$AE$1001,MATCH(ROWS($O$2:O82),$O$2:$O$1001,0),MATCH(COLUMNS($V$1006:W1006),$V$1006:$AE$1006,0)), HYPERLINK("#",""), HYPERLINK(CONCATENATE("#Metadata!", ADDRESS(INDEX($Q$2:$Q$1001,MATCH(ROWS($O$2:O82),$O$2:$O$1001,0),0), INDEX($V$1004:$AE$1004,1,MATCH(COLUMNS($V$1006:W1006),$V$1006:$AE$1006,0)))),"Fix")))</f>
        <v>0</v>
      </c>
      <c r="D82" s="3">
        <f>IF(OR(INDEX($P$2:$P$1001,MATCH(ROWS($O$2:O82),$O$2:$O$1001,0),1)&gt;=100000,INDEX($V$1005:$AE$1005,1,MATCH(COLUMNS($V$1006:X1006),$V$1006:$AE$1006,0))&gt;=100000), " ",IF(INDEX($V$2:$AE$1001,MATCH(ROWS($O$2:O82),$O$2:$O$1001,0),MATCH(COLUMNS($V$1006:X1006),$V$1006:$AE$1006,0)), HYPERLINK("#",""), HYPERLINK(CONCATENATE("#Metadata!", ADDRESS(INDEX($Q$2:$Q$1001,MATCH(ROWS($O$2:O82),$O$2:$O$1001,0),0), INDEX($V$1004:$AE$1004,1,MATCH(COLUMNS($V$1006:X1006),$V$1006:$AE$1006,0)))),"Fix")))</f>
        <v>0</v>
      </c>
      <c r="E82" s="3">
        <f>IF(OR(INDEX($P$2:$P$1001,MATCH(ROWS($O$2:O82),$O$2:$O$1001,0),1)&gt;=100000,INDEX($V$1005:$AE$1005,1,MATCH(COLUMNS($V$1006:Y1006),$V$1006:$AE$1006,0))&gt;=100000), " ",IF(INDEX($V$2:$AE$1001,MATCH(ROWS($O$2:O82),$O$2:$O$1001,0),MATCH(COLUMNS($V$1006:Y1006),$V$1006:$AE$1006,0)), HYPERLINK("#",""), HYPERLINK(CONCATENATE("#Metadata!", ADDRESS(INDEX($Q$2:$Q$1001,MATCH(ROWS($O$2:O82),$O$2:$O$1001,0),0), INDEX($V$1004:$AE$1004,1,MATCH(COLUMNS($V$1006:Y1006),$V$1006:$AE$1006,0)))),"Fix")))</f>
        <v>0</v>
      </c>
      <c r="F82" s="3">
        <f>IF(OR(INDEX($P$2:$P$1001,MATCH(ROWS($O$2:O82),$O$2:$O$1001,0),1)&gt;=100000,INDEX($V$1005:$AE$1005,1,MATCH(COLUMNS($V$1006:Z1006),$V$1006:$AE$1006,0))&gt;=100000), " ",IF(INDEX($V$2:$AE$1001,MATCH(ROWS($O$2:O82),$O$2:$O$1001,0),MATCH(COLUMNS($V$1006:Z1006),$V$1006:$AE$1006,0)), HYPERLINK("#",""), HYPERLINK(CONCATENATE("#Metadata!", ADDRESS(INDEX($Q$2:$Q$1001,MATCH(ROWS($O$2:O82),$O$2:$O$1001,0),0), INDEX($V$1004:$AE$1004,1,MATCH(COLUMNS($V$1006:Z1006),$V$1006:$AE$1006,0)))),"Fix")))</f>
        <v>0</v>
      </c>
      <c r="G82" s="3">
        <f>IF(OR(INDEX($P$2:$P$1001,MATCH(ROWS($O$2:O82),$O$2:$O$1001,0),1)&gt;=100000,INDEX($V$1005:$AE$1005,1,MATCH(COLUMNS($V$1006:AA1006),$V$1006:$AE$1006,0))&gt;=100000), " ",IF(INDEX($V$2:$AE$1001,MATCH(ROWS($O$2:O82),$O$2:$O$1001,0),MATCH(COLUMNS($V$1006:AA1006),$V$1006:$AE$1006,0)), HYPERLINK("#",""), HYPERLINK(CONCATENATE("#Metadata!", ADDRESS(INDEX($Q$2:$Q$1001,MATCH(ROWS($O$2:O82),$O$2:$O$1001,0),0), INDEX($V$1004:$AE$1004,1,MATCH(COLUMNS($V$1006:AA1006),$V$1006:$AE$1006,0)))),"Fix")))</f>
        <v>0</v>
      </c>
      <c r="H82" s="3">
        <f>IF(OR(INDEX($P$2:$P$1001,MATCH(ROWS($O$2:O82),$O$2:$O$1001,0),1)&gt;=100000,INDEX($V$1005:$AE$1005,1,MATCH(COLUMNS($V$1006:AB1006),$V$1006:$AE$1006,0))&gt;=100000), " ",IF(INDEX($V$2:$AE$1001,MATCH(ROWS($O$2:O82),$O$2:$O$1001,0),MATCH(COLUMNS($V$1006:AB1006),$V$1006:$AE$1006,0)), HYPERLINK("#",""), HYPERLINK(CONCATENATE("#Metadata!", ADDRESS(INDEX($Q$2:$Q$1001,MATCH(ROWS($O$2:O82),$O$2:$O$1001,0),0), INDEX($V$1004:$AE$1004,1,MATCH(COLUMNS($V$1006:AB1006),$V$1006:$AE$1006,0)))),"Fix")))</f>
        <v>0</v>
      </c>
      <c r="I82" s="3">
        <f>IF(OR(INDEX($P$2:$P$1001,MATCH(ROWS($O$2:O82),$O$2:$O$1001,0),1)&gt;=100000,INDEX($V$1005:$AE$1005,1,MATCH(COLUMNS($V$1006:AC1006),$V$1006:$AE$1006,0))&gt;=100000), " ",IF(INDEX($V$2:$AE$1001,MATCH(ROWS($O$2:O82),$O$2:$O$1001,0),MATCH(COLUMNS($V$1006:AC1006),$V$1006:$AE$1006,0)), HYPERLINK("#",""), HYPERLINK(CONCATENATE("#Metadata!", ADDRESS(INDEX($Q$2:$Q$1001,MATCH(ROWS($O$2:O82),$O$2:$O$1001,0),0), INDEX($V$1004:$AE$1004,1,MATCH(COLUMNS($V$1006:AC1006),$V$1006:$AE$1006,0)))),"Fix")))</f>
        <v>0</v>
      </c>
      <c r="J82" s="3">
        <f>IF(OR(INDEX($P$2:$P$1001,MATCH(ROWS($O$2:O82),$O$2:$O$1001,0),1)&gt;=100000,INDEX($V$1005:$AE$1005,1,MATCH(COLUMNS($V$1006:AD1006),$V$1006:$AE$1006,0))&gt;=100000), " ",IF(INDEX($V$2:$AE$1001,MATCH(ROWS($O$2:O82),$O$2:$O$1001,0),MATCH(COLUMNS($V$1006:AD1006),$V$1006:$AE$1006,0)), HYPERLINK("#",""), HYPERLINK(CONCATENATE("#Metadata!", ADDRESS(INDEX($Q$2:$Q$1001,MATCH(ROWS($O$2:O82),$O$2:$O$1001,0),0), INDEX($V$1004:$AE$1004,1,MATCH(COLUMNS($V$1006:AD1006),$V$1006:$AE$1006,0)))),"Fix")))</f>
        <v>0</v>
      </c>
      <c r="K82" s="3">
        <f>IF(OR(INDEX($P$2:$P$1001,MATCH(ROWS($O$2:O82),$O$2:$O$1001,0),1)&gt;=100000,INDEX($V$1005:$AE$1005,1,MATCH(COLUMNS($V$1006:AE1006),$V$1006:$AE$1006,0))&gt;=100000), " ",IF(INDEX($V$2:$AE$1001,MATCH(ROWS($O$2:O82),$O$2:$O$1001,0),MATCH(COLUMNS($V$1006:AE1006),$V$1006:$AE$1006,0)), HYPERLINK("#",""), HYPERLINK(CONCATENATE("#Metadata!", ADDRESS(INDEX($Q$2:$Q$1001,MATCH(ROWS($O$2:O82),$O$2:$O$1001,0),0), INDEX($V$1004:$AE$1004,1,MATCH(COLUMNS($V$1006:AE1006),$V$1006:$AE$1006,0)))),"Fix")))</f>
        <v>0</v>
      </c>
      <c r="O82">
        <v>0</v>
      </c>
      <c r="P82">
        <v>0</v>
      </c>
      <c r="Q82">
        <v>0</v>
      </c>
      <c r="R82">
        <f>IF(S82,TRUE,AND(V82:AE82))</f>
        <v>0</v>
      </c>
      <c r="S82">
        <f>COUNTBLANK(Metadata!B82:K82)=COLUMNS(Metadata!B82:K82)</f>
        <v>0</v>
      </c>
      <c r="T82">
        <v>0</v>
      </c>
      <c r="V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W82">
        <f>AND(IF(Metadata!C82="",FALSE,TRUE),exact(Metadata!C82,"animal secretion"))</f>
        <v>0</v>
      </c>
      <c r="X82">
        <f>AND(IF(Metadata!D82="",FALSE,TRUE),exact(Metadata!D82,"saliva"))</f>
        <v>0</v>
      </c>
      <c r="Y82">
        <f>AND(IF(Metadata!E82="",FALSE,TRUE),exact(Metadata!E82,"human-oral"))</f>
        <v>0</v>
      </c>
      <c r="Z82">
        <f>AND(IF(Metadata!F82="",FALSE,TRUE),exact(Metadata!F82,"UBERON:oral cavity"))</f>
        <v>0</v>
      </c>
      <c r="AA82">
        <f>AND(IF(Metadata!G82="",FALSE,TRUE),exact(Metadata!G82,"UBERON:saliva"))</f>
        <v>0</v>
      </c>
      <c r="AB82">
        <f>AND(IF(Metadata!H82="",FALSE,TRUE),exact(Metadata!H82,"UBERON:tongue"))</f>
        <v>0</v>
      </c>
      <c r="AC82">
        <f>AND(IF(Metadata!I82="",FALSE,TRUE),exact(Metadata!I82,"tongue"))</f>
        <v>0</v>
      </c>
      <c r="AD82">
        <f>AND(IF(Metadata!J82="",FALSE,TRUE),exact(Metadata!J82,"human oral metagenome"))</f>
        <v>0</v>
      </c>
      <c r="AE82">
        <f>AND(IF(Metadata!K82="",FALSE,TRUE),exact(Metadata!K82,"447426"))</f>
        <v>0</v>
      </c>
    </row>
    <row r="83" spans="1:31">
      <c r="A83" s="4">
        <f>IF(B83=" "," ",HYPERLINK(CONCATENATE("#metadata!",ADDRESS(INDEX($Q$2:$Q$1001,MATCH(ROWS($O$2:O83),$O$2:$O$1001,0),0),1)),INDEX($T$2:$T$1001,MATCH(ROWS($O$2:O83),$O$2:$O$1001,0),0)))</f>
        <v>0</v>
      </c>
      <c r="B83" s="3">
        <f>IF(OR(INDEX($P$2:$P$1001,MATCH(ROWS($O$2:O83),$O$2:$O$1001,0),1)&gt;=100000,INDEX($V$1005:$AE$1005,1,MATCH(COLUMNS($V$1006:V1006),$V$1006:$AE$1006,0))&gt;=100000), " ",IF(INDEX($V$2:$AE$1001,MATCH(ROWS($O$2:O83),$O$2:$O$1001,0),MATCH(COLUMNS($V$1006:V1006),$V$1006:$AE$1006,0)), HYPERLINK("#",""), HYPERLINK(CONCATENATE("#Metadata!", ADDRESS(INDEX($Q$2:$Q$1001,MATCH(ROWS($O$2:O83),$O$2:$O$1001,0),0), INDEX($V$1004:$AE$1004,1,MATCH(COLUMNS($V$1006:V1006),$V$1006:$AE$1006,0)))),"Fix")))</f>
        <v>0</v>
      </c>
      <c r="C83" s="3">
        <f>IF(OR(INDEX($P$2:$P$1001,MATCH(ROWS($O$2:O83),$O$2:$O$1001,0),1)&gt;=100000,INDEX($V$1005:$AE$1005,1,MATCH(COLUMNS($V$1006:W1006),$V$1006:$AE$1006,0))&gt;=100000), " ",IF(INDEX($V$2:$AE$1001,MATCH(ROWS($O$2:O83),$O$2:$O$1001,0),MATCH(COLUMNS($V$1006:W1006),$V$1006:$AE$1006,0)), HYPERLINK("#",""), HYPERLINK(CONCATENATE("#Metadata!", ADDRESS(INDEX($Q$2:$Q$1001,MATCH(ROWS($O$2:O83),$O$2:$O$1001,0),0), INDEX($V$1004:$AE$1004,1,MATCH(COLUMNS($V$1006:W1006),$V$1006:$AE$1006,0)))),"Fix")))</f>
        <v>0</v>
      </c>
      <c r="D83" s="3">
        <f>IF(OR(INDEX($P$2:$P$1001,MATCH(ROWS($O$2:O83),$O$2:$O$1001,0),1)&gt;=100000,INDEX($V$1005:$AE$1005,1,MATCH(COLUMNS($V$1006:X1006),$V$1006:$AE$1006,0))&gt;=100000), " ",IF(INDEX($V$2:$AE$1001,MATCH(ROWS($O$2:O83),$O$2:$O$1001,0),MATCH(COLUMNS($V$1006:X1006),$V$1006:$AE$1006,0)), HYPERLINK("#",""), HYPERLINK(CONCATENATE("#Metadata!", ADDRESS(INDEX($Q$2:$Q$1001,MATCH(ROWS($O$2:O83),$O$2:$O$1001,0),0), INDEX($V$1004:$AE$1004,1,MATCH(COLUMNS($V$1006:X1006),$V$1006:$AE$1006,0)))),"Fix")))</f>
        <v>0</v>
      </c>
      <c r="E83" s="3">
        <f>IF(OR(INDEX($P$2:$P$1001,MATCH(ROWS($O$2:O83),$O$2:$O$1001,0),1)&gt;=100000,INDEX($V$1005:$AE$1005,1,MATCH(COLUMNS($V$1006:Y1006),$V$1006:$AE$1006,0))&gt;=100000), " ",IF(INDEX($V$2:$AE$1001,MATCH(ROWS($O$2:O83),$O$2:$O$1001,0),MATCH(COLUMNS($V$1006:Y1006),$V$1006:$AE$1006,0)), HYPERLINK("#",""), HYPERLINK(CONCATENATE("#Metadata!", ADDRESS(INDEX($Q$2:$Q$1001,MATCH(ROWS($O$2:O83),$O$2:$O$1001,0),0), INDEX($V$1004:$AE$1004,1,MATCH(COLUMNS($V$1006:Y1006),$V$1006:$AE$1006,0)))),"Fix")))</f>
        <v>0</v>
      </c>
      <c r="F83" s="3">
        <f>IF(OR(INDEX($P$2:$P$1001,MATCH(ROWS($O$2:O83),$O$2:$O$1001,0),1)&gt;=100000,INDEX($V$1005:$AE$1005,1,MATCH(COLUMNS($V$1006:Z1006),$V$1006:$AE$1006,0))&gt;=100000), " ",IF(INDEX($V$2:$AE$1001,MATCH(ROWS($O$2:O83),$O$2:$O$1001,0),MATCH(COLUMNS($V$1006:Z1006),$V$1006:$AE$1006,0)), HYPERLINK("#",""), HYPERLINK(CONCATENATE("#Metadata!", ADDRESS(INDEX($Q$2:$Q$1001,MATCH(ROWS($O$2:O83),$O$2:$O$1001,0),0), INDEX($V$1004:$AE$1004,1,MATCH(COLUMNS($V$1006:Z1006),$V$1006:$AE$1006,0)))),"Fix")))</f>
        <v>0</v>
      </c>
      <c r="G83" s="3">
        <f>IF(OR(INDEX($P$2:$P$1001,MATCH(ROWS($O$2:O83),$O$2:$O$1001,0),1)&gt;=100000,INDEX($V$1005:$AE$1005,1,MATCH(COLUMNS($V$1006:AA1006),$V$1006:$AE$1006,0))&gt;=100000), " ",IF(INDEX($V$2:$AE$1001,MATCH(ROWS($O$2:O83),$O$2:$O$1001,0),MATCH(COLUMNS($V$1006:AA1006),$V$1006:$AE$1006,0)), HYPERLINK("#",""), HYPERLINK(CONCATENATE("#Metadata!", ADDRESS(INDEX($Q$2:$Q$1001,MATCH(ROWS($O$2:O83),$O$2:$O$1001,0),0), INDEX($V$1004:$AE$1004,1,MATCH(COLUMNS($V$1006:AA1006),$V$1006:$AE$1006,0)))),"Fix")))</f>
        <v>0</v>
      </c>
      <c r="H83" s="3">
        <f>IF(OR(INDEX($P$2:$P$1001,MATCH(ROWS($O$2:O83),$O$2:$O$1001,0),1)&gt;=100000,INDEX($V$1005:$AE$1005,1,MATCH(COLUMNS($V$1006:AB1006),$V$1006:$AE$1006,0))&gt;=100000), " ",IF(INDEX($V$2:$AE$1001,MATCH(ROWS($O$2:O83),$O$2:$O$1001,0),MATCH(COLUMNS($V$1006:AB1006),$V$1006:$AE$1006,0)), HYPERLINK("#",""), HYPERLINK(CONCATENATE("#Metadata!", ADDRESS(INDEX($Q$2:$Q$1001,MATCH(ROWS($O$2:O83),$O$2:$O$1001,0),0), INDEX($V$1004:$AE$1004,1,MATCH(COLUMNS($V$1006:AB1006),$V$1006:$AE$1006,0)))),"Fix")))</f>
        <v>0</v>
      </c>
      <c r="I83" s="3">
        <f>IF(OR(INDEX($P$2:$P$1001,MATCH(ROWS($O$2:O83),$O$2:$O$1001,0),1)&gt;=100000,INDEX($V$1005:$AE$1005,1,MATCH(COLUMNS($V$1006:AC1006),$V$1006:$AE$1006,0))&gt;=100000), " ",IF(INDEX($V$2:$AE$1001,MATCH(ROWS($O$2:O83),$O$2:$O$1001,0),MATCH(COLUMNS($V$1006:AC1006),$V$1006:$AE$1006,0)), HYPERLINK("#",""), HYPERLINK(CONCATENATE("#Metadata!", ADDRESS(INDEX($Q$2:$Q$1001,MATCH(ROWS($O$2:O83),$O$2:$O$1001,0),0), INDEX($V$1004:$AE$1004,1,MATCH(COLUMNS($V$1006:AC1006),$V$1006:$AE$1006,0)))),"Fix")))</f>
        <v>0</v>
      </c>
      <c r="J83" s="3">
        <f>IF(OR(INDEX($P$2:$P$1001,MATCH(ROWS($O$2:O83),$O$2:$O$1001,0),1)&gt;=100000,INDEX($V$1005:$AE$1005,1,MATCH(COLUMNS($V$1006:AD1006),$V$1006:$AE$1006,0))&gt;=100000), " ",IF(INDEX($V$2:$AE$1001,MATCH(ROWS($O$2:O83),$O$2:$O$1001,0),MATCH(COLUMNS($V$1006:AD1006),$V$1006:$AE$1006,0)), HYPERLINK("#",""), HYPERLINK(CONCATENATE("#Metadata!", ADDRESS(INDEX($Q$2:$Q$1001,MATCH(ROWS($O$2:O83),$O$2:$O$1001,0),0), INDEX($V$1004:$AE$1004,1,MATCH(COLUMNS($V$1006:AD1006),$V$1006:$AE$1006,0)))),"Fix")))</f>
        <v>0</v>
      </c>
      <c r="K83" s="3">
        <f>IF(OR(INDEX($P$2:$P$1001,MATCH(ROWS($O$2:O83),$O$2:$O$1001,0),1)&gt;=100000,INDEX($V$1005:$AE$1005,1,MATCH(COLUMNS($V$1006:AE1006),$V$1006:$AE$1006,0))&gt;=100000), " ",IF(INDEX($V$2:$AE$1001,MATCH(ROWS($O$2:O83),$O$2:$O$1001,0),MATCH(COLUMNS($V$1006:AE1006),$V$1006:$AE$1006,0)), HYPERLINK("#",""), HYPERLINK(CONCATENATE("#Metadata!", ADDRESS(INDEX($Q$2:$Q$1001,MATCH(ROWS($O$2:O83),$O$2:$O$1001,0),0), INDEX($V$1004:$AE$1004,1,MATCH(COLUMNS($V$1006:AE1006),$V$1006:$AE$1006,0)))),"Fix")))</f>
        <v>0</v>
      </c>
      <c r="O83">
        <v>0</v>
      </c>
      <c r="P83">
        <v>0</v>
      </c>
      <c r="Q83">
        <v>0</v>
      </c>
      <c r="R83">
        <f>IF(S83,TRUE,AND(V83:AE83))</f>
        <v>0</v>
      </c>
      <c r="S83">
        <f>COUNTBLANK(Metadata!B83:K83)=COLUMNS(Metadata!B83:K83)</f>
        <v>0</v>
      </c>
      <c r="T83">
        <v>0</v>
      </c>
      <c r="V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W83">
        <f>AND(IF(Metadata!C83="",FALSE,TRUE),exact(Metadata!C83,"animal secretion"))</f>
        <v>0</v>
      </c>
      <c r="X83">
        <f>AND(IF(Metadata!D83="",FALSE,TRUE),exact(Metadata!D83,"saliva"))</f>
        <v>0</v>
      </c>
      <c r="Y83">
        <f>AND(IF(Metadata!E83="",FALSE,TRUE),exact(Metadata!E83,"human-oral"))</f>
        <v>0</v>
      </c>
      <c r="Z83">
        <f>AND(IF(Metadata!F83="",FALSE,TRUE),exact(Metadata!F83,"UBERON:oral cavity"))</f>
        <v>0</v>
      </c>
      <c r="AA83">
        <f>AND(IF(Metadata!G83="",FALSE,TRUE),exact(Metadata!G83,"UBERON:saliva"))</f>
        <v>0</v>
      </c>
      <c r="AB83">
        <f>AND(IF(Metadata!H83="",FALSE,TRUE),exact(Metadata!H83,"UBERON:tongue"))</f>
        <v>0</v>
      </c>
      <c r="AC83">
        <f>AND(IF(Metadata!I83="",FALSE,TRUE),exact(Metadata!I83,"tongue"))</f>
        <v>0</v>
      </c>
      <c r="AD83">
        <f>AND(IF(Metadata!J83="",FALSE,TRUE),exact(Metadata!J83,"human oral metagenome"))</f>
        <v>0</v>
      </c>
      <c r="AE83">
        <f>AND(IF(Metadata!K83="",FALSE,TRUE),exact(Metadata!K83,"447426"))</f>
        <v>0</v>
      </c>
    </row>
    <row r="84" spans="1:31">
      <c r="A84" s="4">
        <f>IF(B84=" "," ",HYPERLINK(CONCATENATE("#metadata!",ADDRESS(INDEX($Q$2:$Q$1001,MATCH(ROWS($O$2:O84),$O$2:$O$1001,0),0),1)),INDEX($T$2:$T$1001,MATCH(ROWS($O$2:O84),$O$2:$O$1001,0),0)))</f>
        <v>0</v>
      </c>
      <c r="B84" s="3">
        <f>IF(OR(INDEX($P$2:$P$1001,MATCH(ROWS($O$2:O84),$O$2:$O$1001,0),1)&gt;=100000,INDEX($V$1005:$AE$1005,1,MATCH(COLUMNS($V$1006:V1006),$V$1006:$AE$1006,0))&gt;=100000), " ",IF(INDEX($V$2:$AE$1001,MATCH(ROWS($O$2:O84),$O$2:$O$1001,0),MATCH(COLUMNS($V$1006:V1006),$V$1006:$AE$1006,0)), HYPERLINK("#",""), HYPERLINK(CONCATENATE("#Metadata!", ADDRESS(INDEX($Q$2:$Q$1001,MATCH(ROWS($O$2:O84),$O$2:$O$1001,0),0), INDEX($V$1004:$AE$1004,1,MATCH(COLUMNS($V$1006:V1006),$V$1006:$AE$1006,0)))),"Fix")))</f>
        <v>0</v>
      </c>
      <c r="C84" s="3">
        <f>IF(OR(INDEX($P$2:$P$1001,MATCH(ROWS($O$2:O84),$O$2:$O$1001,0),1)&gt;=100000,INDEX($V$1005:$AE$1005,1,MATCH(COLUMNS($V$1006:W1006),$V$1006:$AE$1006,0))&gt;=100000), " ",IF(INDEX($V$2:$AE$1001,MATCH(ROWS($O$2:O84),$O$2:$O$1001,0),MATCH(COLUMNS($V$1006:W1006),$V$1006:$AE$1006,0)), HYPERLINK("#",""), HYPERLINK(CONCATENATE("#Metadata!", ADDRESS(INDEX($Q$2:$Q$1001,MATCH(ROWS($O$2:O84),$O$2:$O$1001,0),0), INDEX($V$1004:$AE$1004,1,MATCH(COLUMNS($V$1006:W1006),$V$1006:$AE$1006,0)))),"Fix")))</f>
        <v>0</v>
      </c>
      <c r="D84" s="3">
        <f>IF(OR(INDEX($P$2:$P$1001,MATCH(ROWS($O$2:O84),$O$2:$O$1001,0),1)&gt;=100000,INDEX($V$1005:$AE$1005,1,MATCH(COLUMNS($V$1006:X1006),$V$1006:$AE$1006,0))&gt;=100000), " ",IF(INDEX($V$2:$AE$1001,MATCH(ROWS($O$2:O84),$O$2:$O$1001,0),MATCH(COLUMNS($V$1006:X1006),$V$1006:$AE$1006,0)), HYPERLINK("#",""), HYPERLINK(CONCATENATE("#Metadata!", ADDRESS(INDEX($Q$2:$Q$1001,MATCH(ROWS($O$2:O84),$O$2:$O$1001,0),0), INDEX($V$1004:$AE$1004,1,MATCH(COLUMNS($V$1006:X1006),$V$1006:$AE$1006,0)))),"Fix")))</f>
        <v>0</v>
      </c>
      <c r="E84" s="3">
        <f>IF(OR(INDEX($P$2:$P$1001,MATCH(ROWS($O$2:O84),$O$2:$O$1001,0),1)&gt;=100000,INDEX($V$1005:$AE$1005,1,MATCH(COLUMNS($V$1006:Y1006),$V$1006:$AE$1006,0))&gt;=100000), " ",IF(INDEX($V$2:$AE$1001,MATCH(ROWS($O$2:O84),$O$2:$O$1001,0),MATCH(COLUMNS($V$1006:Y1006),$V$1006:$AE$1006,0)), HYPERLINK("#",""), HYPERLINK(CONCATENATE("#Metadata!", ADDRESS(INDEX($Q$2:$Q$1001,MATCH(ROWS($O$2:O84),$O$2:$O$1001,0),0), INDEX($V$1004:$AE$1004,1,MATCH(COLUMNS($V$1006:Y1006),$V$1006:$AE$1006,0)))),"Fix")))</f>
        <v>0</v>
      </c>
      <c r="F84" s="3">
        <f>IF(OR(INDEX($P$2:$P$1001,MATCH(ROWS($O$2:O84),$O$2:$O$1001,0),1)&gt;=100000,INDEX($V$1005:$AE$1005,1,MATCH(COLUMNS($V$1006:Z1006),$V$1006:$AE$1006,0))&gt;=100000), " ",IF(INDEX($V$2:$AE$1001,MATCH(ROWS($O$2:O84),$O$2:$O$1001,0),MATCH(COLUMNS($V$1006:Z1006),$V$1006:$AE$1006,0)), HYPERLINK("#",""), HYPERLINK(CONCATENATE("#Metadata!", ADDRESS(INDEX($Q$2:$Q$1001,MATCH(ROWS($O$2:O84),$O$2:$O$1001,0),0), INDEX($V$1004:$AE$1004,1,MATCH(COLUMNS($V$1006:Z1006),$V$1006:$AE$1006,0)))),"Fix")))</f>
        <v>0</v>
      </c>
      <c r="G84" s="3">
        <f>IF(OR(INDEX($P$2:$P$1001,MATCH(ROWS($O$2:O84),$O$2:$O$1001,0),1)&gt;=100000,INDEX($V$1005:$AE$1005,1,MATCH(COLUMNS($V$1006:AA1006),$V$1006:$AE$1006,0))&gt;=100000), " ",IF(INDEX($V$2:$AE$1001,MATCH(ROWS($O$2:O84),$O$2:$O$1001,0),MATCH(COLUMNS($V$1006:AA1006),$V$1006:$AE$1006,0)), HYPERLINK("#",""), HYPERLINK(CONCATENATE("#Metadata!", ADDRESS(INDEX($Q$2:$Q$1001,MATCH(ROWS($O$2:O84),$O$2:$O$1001,0),0), INDEX($V$1004:$AE$1004,1,MATCH(COLUMNS($V$1006:AA1006),$V$1006:$AE$1006,0)))),"Fix")))</f>
        <v>0</v>
      </c>
      <c r="H84" s="3">
        <f>IF(OR(INDEX($P$2:$P$1001,MATCH(ROWS($O$2:O84),$O$2:$O$1001,0),1)&gt;=100000,INDEX($V$1005:$AE$1005,1,MATCH(COLUMNS($V$1006:AB1006),$V$1006:$AE$1006,0))&gt;=100000), " ",IF(INDEX($V$2:$AE$1001,MATCH(ROWS($O$2:O84),$O$2:$O$1001,0),MATCH(COLUMNS($V$1006:AB1006),$V$1006:$AE$1006,0)), HYPERLINK("#",""), HYPERLINK(CONCATENATE("#Metadata!", ADDRESS(INDEX($Q$2:$Q$1001,MATCH(ROWS($O$2:O84),$O$2:$O$1001,0),0), INDEX($V$1004:$AE$1004,1,MATCH(COLUMNS($V$1006:AB1006),$V$1006:$AE$1006,0)))),"Fix")))</f>
        <v>0</v>
      </c>
      <c r="I84" s="3">
        <f>IF(OR(INDEX($P$2:$P$1001,MATCH(ROWS($O$2:O84),$O$2:$O$1001,0),1)&gt;=100000,INDEX($V$1005:$AE$1005,1,MATCH(COLUMNS($V$1006:AC1006),$V$1006:$AE$1006,0))&gt;=100000), " ",IF(INDEX($V$2:$AE$1001,MATCH(ROWS($O$2:O84),$O$2:$O$1001,0),MATCH(COLUMNS($V$1006:AC1006),$V$1006:$AE$1006,0)), HYPERLINK("#",""), HYPERLINK(CONCATENATE("#Metadata!", ADDRESS(INDEX($Q$2:$Q$1001,MATCH(ROWS($O$2:O84),$O$2:$O$1001,0),0), INDEX($V$1004:$AE$1004,1,MATCH(COLUMNS($V$1006:AC1006),$V$1006:$AE$1006,0)))),"Fix")))</f>
        <v>0</v>
      </c>
      <c r="J84" s="3">
        <f>IF(OR(INDEX($P$2:$P$1001,MATCH(ROWS($O$2:O84),$O$2:$O$1001,0),1)&gt;=100000,INDEX($V$1005:$AE$1005,1,MATCH(COLUMNS($V$1006:AD1006),$V$1006:$AE$1006,0))&gt;=100000), " ",IF(INDEX($V$2:$AE$1001,MATCH(ROWS($O$2:O84),$O$2:$O$1001,0),MATCH(COLUMNS($V$1006:AD1006),$V$1006:$AE$1006,0)), HYPERLINK("#",""), HYPERLINK(CONCATENATE("#Metadata!", ADDRESS(INDEX($Q$2:$Q$1001,MATCH(ROWS($O$2:O84),$O$2:$O$1001,0),0), INDEX($V$1004:$AE$1004,1,MATCH(COLUMNS($V$1006:AD1006),$V$1006:$AE$1006,0)))),"Fix")))</f>
        <v>0</v>
      </c>
      <c r="K84" s="3">
        <f>IF(OR(INDEX($P$2:$P$1001,MATCH(ROWS($O$2:O84),$O$2:$O$1001,0),1)&gt;=100000,INDEX($V$1005:$AE$1005,1,MATCH(COLUMNS($V$1006:AE1006),$V$1006:$AE$1006,0))&gt;=100000), " ",IF(INDEX($V$2:$AE$1001,MATCH(ROWS($O$2:O84),$O$2:$O$1001,0),MATCH(COLUMNS($V$1006:AE1006),$V$1006:$AE$1006,0)), HYPERLINK("#",""), HYPERLINK(CONCATENATE("#Metadata!", ADDRESS(INDEX($Q$2:$Q$1001,MATCH(ROWS($O$2:O84),$O$2:$O$1001,0),0), INDEX($V$1004:$AE$1004,1,MATCH(COLUMNS($V$1006:AE1006),$V$1006:$AE$1006,0)))),"Fix")))</f>
        <v>0</v>
      </c>
      <c r="O84">
        <v>0</v>
      </c>
      <c r="P84">
        <v>0</v>
      </c>
      <c r="Q84">
        <v>0</v>
      </c>
      <c r="R84">
        <f>IF(S84,TRUE,AND(V84:AE84))</f>
        <v>0</v>
      </c>
      <c r="S84">
        <f>COUNTBLANK(Metadata!B84:K84)=COLUMNS(Metadata!B84:K84)</f>
        <v>0</v>
      </c>
      <c r="T84">
        <v>0</v>
      </c>
      <c r="V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W84">
        <f>AND(IF(Metadata!C84="",FALSE,TRUE),exact(Metadata!C84,"animal secretion"))</f>
        <v>0</v>
      </c>
      <c r="X84">
        <f>AND(IF(Metadata!D84="",FALSE,TRUE),exact(Metadata!D84,"saliva"))</f>
        <v>0</v>
      </c>
      <c r="Y84">
        <f>AND(IF(Metadata!E84="",FALSE,TRUE),exact(Metadata!E84,"human-oral"))</f>
        <v>0</v>
      </c>
      <c r="Z84">
        <f>AND(IF(Metadata!F84="",FALSE,TRUE),exact(Metadata!F84,"UBERON:oral cavity"))</f>
        <v>0</v>
      </c>
      <c r="AA84">
        <f>AND(IF(Metadata!G84="",FALSE,TRUE),exact(Metadata!G84,"UBERON:saliva"))</f>
        <v>0</v>
      </c>
      <c r="AB84">
        <f>AND(IF(Metadata!H84="",FALSE,TRUE),exact(Metadata!H84,"UBERON:tongue"))</f>
        <v>0</v>
      </c>
      <c r="AC84">
        <f>AND(IF(Metadata!I84="",FALSE,TRUE),exact(Metadata!I84,"tongue"))</f>
        <v>0</v>
      </c>
      <c r="AD84">
        <f>AND(IF(Metadata!J84="",FALSE,TRUE),exact(Metadata!J84,"human oral metagenome"))</f>
        <v>0</v>
      </c>
      <c r="AE84">
        <f>AND(IF(Metadata!K84="",FALSE,TRUE),exact(Metadata!K84,"447426"))</f>
        <v>0</v>
      </c>
    </row>
    <row r="85" spans="1:31">
      <c r="A85" s="4">
        <f>IF(B85=" "," ",HYPERLINK(CONCATENATE("#metadata!",ADDRESS(INDEX($Q$2:$Q$1001,MATCH(ROWS($O$2:O85),$O$2:$O$1001,0),0),1)),INDEX($T$2:$T$1001,MATCH(ROWS($O$2:O85),$O$2:$O$1001,0),0)))</f>
        <v>0</v>
      </c>
      <c r="B85" s="3">
        <f>IF(OR(INDEX($P$2:$P$1001,MATCH(ROWS($O$2:O85),$O$2:$O$1001,0),1)&gt;=100000,INDEX($V$1005:$AE$1005,1,MATCH(COLUMNS($V$1006:V1006),$V$1006:$AE$1006,0))&gt;=100000), " ",IF(INDEX($V$2:$AE$1001,MATCH(ROWS($O$2:O85),$O$2:$O$1001,0),MATCH(COLUMNS($V$1006:V1006),$V$1006:$AE$1006,0)), HYPERLINK("#",""), HYPERLINK(CONCATENATE("#Metadata!", ADDRESS(INDEX($Q$2:$Q$1001,MATCH(ROWS($O$2:O85),$O$2:$O$1001,0),0), INDEX($V$1004:$AE$1004,1,MATCH(COLUMNS($V$1006:V1006),$V$1006:$AE$1006,0)))),"Fix")))</f>
        <v>0</v>
      </c>
      <c r="C85" s="3">
        <f>IF(OR(INDEX($P$2:$P$1001,MATCH(ROWS($O$2:O85),$O$2:$O$1001,0),1)&gt;=100000,INDEX($V$1005:$AE$1005,1,MATCH(COLUMNS($V$1006:W1006),$V$1006:$AE$1006,0))&gt;=100000), " ",IF(INDEX($V$2:$AE$1001,MATCH(ROWS($O$2:O85),$O$2:$O$1001,0),MATCH(COLUMNS($V$1006:W1006),$V$1006:$AE$1006,0)), HYPERLINK("#",""), HYPERLINK(CONCATENATE("#Metadata!", ADDRESS(INDEX($Q$2:$Q$1001,MATCH(ROWS($O$2:O85),$O$2:$O$1001,0),0), INDEX($V$1004:$AE$1004,1,MATCH(COLUMNS($V$1006:W1006),$V$1006:$AE$1006,0)))),"Fix")))</f>
        <v>0</v>
      </c>
      <c r="D85" s="3">
        <f>IF(OR(INDEX($P$2:$P$1001,MATCH(ROWS($O$2:O85),$O$2:$O$1001,0),1)&gt;=100000,INDEX($V$1005:$AE$1005,1,MATCH(COLUMNS($V$1006:X1006),$V$1006:$AE$1006,0))&gt;=100000), " ",IF(INDEX($V$2:$AE$1001,MATCH(ROWS($O$2:O85),$O$2:$O$1001,0),MATCH(COLUMNS($V$1006:X1006),$V$1006:$AE$1006,0)), HYPERLINK("#",""), HYPERLINK(CONCATENATE("#Metadata!", ADDRESS(INDEX($Q$2:$Q$1001,MATCH(ROWS($O$2:O85),$O$2:$O$1001,0),0), INDEX($V$1004:$AE$1004,1,MATCH(COLUMNS($V$1006:X1006),$V$1006:$AE$1006,0)))),"Fix")))</f>
        <v>0</v>
      </c>
      <c r="E85" s="3">
        <f>IF(OR(INDEX($P$2:$P$1001,MATCH(ROWS($O$2:O85),$O$2:$O$1001,0),1)&gt;=100000,INDEX($V$1005:$AE$1005,1,MATCH(COLUMNS($V$1006:Y1006),$V$1006:$AE$1006,0))&gt;=100000), " ",IF(INDEX($V$2:$AE$1001,MATCH(ROWS($O$2:O85),$O$2:$O$1001,0),MATCH(COLUMNS($V$1006:Y1006),$V$1006:$AE$1006,0)), HYPERLINK("#",""), HYPERLINK(CONCATENATE("#Metadata!", ADDRESS(INDEX($Q$2:$Q$1001,MATCH(ROWS($O$2:O85),$O$2:$O$1001,0),0), INDEX($V$1004:$AE$1004,1,MATCH(COLUMNS($V$1006:Y1006),$V$1006:$AE$1006,0)))),"Fix")))</f>
        <v>0</v>
      </c>
      <c r="F85" s="3">
        <f>IF(OR(INDEX($P$2:$P$1001,MATCH(ROWS($O$2:O85),$O$2:$O$1001,0),1)&gt;=100000,INDEX($V$1005:$AE$1005,1,MATCH(COLUMNS($V$1006:Z1006),$V$1006:$AE$1006,0))&gt;=100000), " ",IF(INDEX($V$2:$AE$1001,MATCH(ROWS($O$2:O85),$O$2:$O$1001,0),MATCH(COLUMNS($V$1006:Z1006),$V$1006:$AE$1006,0)), HYPERLINK("#",""), HYPERLINK(CONCATENATE("#Metadata!", ADDRESS(INDEX($Q$2:$Q$1001,MATCH(ROWS($O$2:O85),$O$2:$O$1001,0),0), INDEX($V$1004:$AE$1004,1,MATCH(COLUMNS($V$1006:Z1006),$V$1006:$AE$1006,0)))),"Fix")))</f>
        <v>0</v>
      </c>
      <c r="G85" s="3">
        <f>IF(OR(INDEX($P$2:$P$1001,MATCH(ROWS($O$2:O85),$O$2:$O$1001,0),1)&gt;=100000,INDEX($V$1005:$AE$1005,1,MATCH(COLUMNS($V$1006:AA1006),$V$1006:$AE$1006,0))&gt;=100000), " ",IF(INDEX($V$2:$AE$1001,MATCH(ROWS($O$2:O85),$O$2:$O$1001,0),MATCH(COLUMNS($V$1006:AA1006),$V$1006:$AE$1006,0)), HYPERLINK("#",""), HYPERLINK(CONCATENATE("#Metadata!", ADDRESS(INDEX($Q$2:$Q$1001,MATCH(ROWS($O$2:O85),$O$2:$O$1001,0),0), INDEX($V$1004:$AE$1004,1,MATCH(COLUMNS($V$1006:AA1006),$V$1006:$AE$1006,0)))),"Fix")))</f>
        <v>0</v>
      </c>
      <c r="H85" s="3">
        <f>IF(OR(INDEX($P$2:$P$1001,MATCH(ROWS($O$2:O85),$O$2:$O$1001,0),1)&gt;=100000,INDEX($V$1005:$AE$1005,1,MATCH(COLUMNS($V$1006:AB1006),$V$1006:$AE$1006,0))&gt;=100000), " ",IF(INDEX($V$2:$AE$1001,MATCH(ROWS($O$2:O85),$O$2:$O$1001,0),MATCH(COLUMNS($V$1006:AB1006),$V$1006:$AE$1006,0)), HYPERLINK("#",""), HYPERLINK(CONCATENATE("#Metadata!", ADDRESS(INDEX($Q$2:$Q$1001,MATCH(ROWS($O$2:O85),$O$2:$O$1001,0),0), INDEX($V$1004:$AE$1004,1,MATCH(COLUMNS($V$1006:AB1006),$V$1006:$AE$1006,0)))),"Fix")))</f>
        <v>0</v>
      </c>
      <c r="I85" s="3">
        <f>IF(OR(INDEX($P$2:$P$1001,MATCH(ROWS($O$2:O85),$O$2:$O$1001,0),1)&gt;=100000,INDEX($V$1005:$AE$1005,1,MATCH(COLUMNS($V$1006:AC1006),$V$1006:$AE$1006,0))&gt;=100000), " ",IF(INDEX($V$2:$AE$1001,MATCH(ROWS($O$2:O85),$O$2:$O$1001,0),MATCH(COLUMNS($V$1006:AC1006),$V$1006:$AE$1006,0)), HYPERLINK("#",""), HYPERLINK(CONCATENATE("#Metadata!", ADDRESS(INDEX($Q$2:$Q$1001,MATCH(ROWS($O$2:O85),$O$2:$O$1001,0),0), INDEX($V$1004:$AE$1004,1,MATCH(COLUMNS($V$1006:AC1006),$V$1006:$AE$1006,0)))),"Fix")))</f>
        <v>0</v>
      </c>
      <c r="J85" s="3">
        <f>IF(OR(INDEX($P$2:$P$1001,MATCH(ROWS($O$2:O85),$O$2:$O$1001,0),1)&gt;=100000,INDEX($V$1005:$AE$1005,1,MATCH(COLUMNS($V$1006:AD1006),$V$1006:$AE$1006,0))&gt;=100000), " ",IF(INDEX($V$2:$AE$1001,MATCH(ROWS($O$2:O85),$O$2:$O$1001,0),MATCH(COLUMNS($V$1006:AD1006),$V$1006:$AE$1006,0)), HYPERLINK("#",""), HYPERLINK(CONCATENATE("#Metadata!", ADDRESS(INDEX($Q$2:$Q$1001,MATCH(ROWS($O$2:O85),$O$2:$O$1001,0),0), INDEX($V$1004:$AE$1004,1,MATCH(COLUMNS($V$1006:AD1006),$V$1006:$AE$1006,0)))),"Fix")))</f>
        <v>0</v>
      </c>
      <c r="K85" s="3">
        <f>IF(OR(INDEX($P$2:$P$1001,MATCH(ROWS($O$2:O85),$O$2:$O$1001,0),1)&gt;=100000,INDEX($V$1005:$AE$1005,1,MATCH(COLUMNS($V$1006:AE1006),$V$1006:$AE$1006,0))&gt;=100000), " ",IF(INDEX($V$2:$AE$1001,MATCH(ROWS($O$2:O85),$O$2:$O$1001,0),MATCH(COLUMNS($V$1006:AE1006),$V$1006:$AE$1006,0)), HYPERLINK("#",""), HYPERLINK(CONCATENATE("#Metadata!", ADDRESS(INDEX($Q$2:$Q$1001,MATCH(ROWS($O$2:O85),$O$2:$O$1001,0),0), INDEX($V$1004:$AE$1004,1,MATCH(COLUMNS($V$1006:AE1006),$V$1006:$AE$1006,0)))),"Fix")))</f>
        <v>0</v>
      </c>
      <c r="O85">
        <v>0</v>
      </c>
      <c r="P85">
        <v>0</v>
      </c>
      <c r="Q85">
        <v>0</v>
      </c>
      <c r="R85">
        <f>IF(S85,TRUE,AND(V85:AE85))</f>
        <v>0</v>
      </c>
      <c r="S85">
        <f>COUNTBLANK(Metadata!B85:K85)=COLUMNS(Metadata!B85:K85)</f>
        <v>0</v>
      </c>
      <c r="T85">
        <v>0</v>
      </c>
      <c r="V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W85">
        <f>AND(IF(Metadata!C85="",FALSE,TRUE),exact(Metadata!C85,"animal secretion"))</f>
        <v>0</v>
      </c>
      <c r="X85">
        <f>AND(IF(Metadata!D85="",FALSE,TRUE),exact(Metadata!D85,"saliva"))</f>
        <v>0</v>
      </c>
      <c r="Y85">
        <f>AND(IF(Metadata!E85="",FALSE,TRUE),exact(Metadata!E85,"human-oral"))</f>
        <v>0</v>
      </c>
      <c r="Z85">
        <f>AND(IF(Metadata!F85="",FALSE,TRUE),exact(Metadata!F85,"UBERON:oral cavity"))</f>
        <v>0</v>
      </c>
      <c r="AA85">
        <f>AND(IF(Metadata!G85="",FALSE,TRUE),exact(Metadata!G85,"UBERON:saliva"))</f>
        <v>0</v>
      </c>
      <c r="AB85">
        <f>AND(IF(Metadata!H85="",FALSE,TRUE),exact(Metadata!H85,"UBERON:tongue"))</f>
        <v>0</v>
      </c>
      <c r="AC85">
        <f>AND(IF(Metadata!I85="",FALSE,TRUE),exact(Metadata!I85,"tongue"))</f>
        <v>0</v>
      </c>
      <c r="AD85">
        <f>AND(IF(Metadata!J85="",FALSE,TRUE),exact(Metadata!J85,"human oral metagenome"))</f>
        <v>0</v>
      </c>
      <c r="AE85">
        <f>AND(IF(Metadata!K85="",FALSE,TRUE),exact(Metadata!K85,"447426"))</f>
        <v>0</v>
      </c>
    </row>
    <row r="86" spans="1:31">
      <c r="A86" s="4">
        <f>IF(B86=" "," ",HYPERLINK(CONCATENATE("#metadata!",ADDRESS(INDEX($Q$2:$Q$1001,MATCH(ROWS($O$2:O86),$O$2:$O$1001,0),0),1)),INDEX($T$2:$T$1001,MATCH(ROWS($O$2:O86),$O$2:$O$1001,0),0)))</f>
        <v>0</v>
      </c>
      <c r="B86" s="3">
        <f>IF(OR(INDEX($P$2:$P$1001,MATCH(ROWS($O$2:O86),$O$2:$O$1001,0),1)&gt;=100000,INDEX($V$1005:$AE$1005,1,MATCH(COLUMNS($V$1006:V1006),$V$1006:$AE$1006,0))&gt;=100000), " ",IF(INDEX($V$2:$AE$1001,MATCH(ROWS($O$2:O86),$O$2:$O$1001,0),MATCH(COLUMNS($V$1006:V1006),$V$1006:$AE$1006,0)), HYPERLINK("#",""), HYPERLINK(CONCATENATE("#Metadata!", ADDRESS(INDEX($Q$2:$Q$1001,MATCH(ROWS($O$2:O86),$O$2:$O$1001,0),0), INDEX($V$1004:$AE$1004,1,MATCH(COLUMNS($V$1006:V1006),$V$1006:$AE$1006,0)))),"Fix")))</f>
        <v>0</v>
      </c>
      <c r="C86" s="3">
        <f>IF(OR(INDEX($P$2:$P$1001,MATCH(ROWS($O$2:O86),$O$2:$O$1001,0),1)&gt;=100000,INDEX($V$1005:$AE$1005,1,MATCH(COLUMNS($V$1006:W1006),$V$1006:$AE$1006,0))&gt;=100000), " ",IF(INDEX($V$2:$AE$1001,MATCH(ROWS($O$2:O86),$O$2:$O$1001,0),MATCH(COLUMNS($V$1006:W1006),$V$1006:$AE$1006,0)), HYPERLINK("#",""), HYPERLINK(CONCATENATE("#Metadata!", ADDRESS(INDEX($Q$2:$Q$1001,MATCH(ROWS($O$2:O86),$O$2:$O$1001,0),0), INDEX($V$1004:$AE$1004,1,MATCH(COLUMNS($V$1006:W1006),$V$1006:$AE$1006,0)))),"Fix")))</f>
        <v>0</v>
      </c>
      <c r="D86" s="3">
        <f>IF(OR(INDEX($P$2:$P$1001,MATCH(ROWS($O$2:O86),$O$2:$O$1001,0),1)&gt;=100000,INDEX($V$1005:$AE$1005,1,MATCH(COLUMNS($V$1006:X1006),$V$1006:$AE$1006,0))&gt;=100000), " ",IF(INDEX($V$2:$AE$1001,MATCH(ROWS($O$2:O86),$O$2:$O$1001,0),MATCH(COLUMNS($V$1006:X1006),$V$1006:$AE$1006,0)), HYPERLINK("#",""), HYPERLINK(CONCATENATE("#Metadata!", ADDRESS(INDEX($Q$2:$Q$1001,MATCH(ROWS($O$2:O86),$O$2:$O$1001,0),0), INDEX($V$1004:$AE$1004,1,MATCH(COLUMNS($V$1006:X1006),$V$1006:$AE$1006,0)))),"Fix")))</f>
        <v>0</v>
      </c>
      <c r="E86" s="3">
        <f>IF(OR(INDEX($P$2:$P$1001,MATCH(ROWS($O$2:O86),$O$2:$O$1001,0),1)&gt;=100000,INDEX($V$1005:$AE$1005,1,MATCH(COLUMNS($V$1006:Y1006),$V$1006:$AE$1006,0))&gt;=100000), " ",IF(INDEX($V$2:$AE$1001,MATCH(ROWS($O$2:O86),$O$2:$O$1001,0),MATCH(COLUMNS($V$1006:Y1006),$V$1006:$AE$1006,0)), HYPERLINK("#",""), HYPERLINK(CONCATENATE("#Metadata!", ADDRESS(INDEX($Q$2:$Q$1001,MATCH(ROWS($O$2:O86),$O$2:$O$1001,0),0), INDEX($V$1004:$AE$1004,1,MATCH(COLUMNS($V$1006:Y1006),$V$1006:$AE$1006,0)))),"Fix")))</f>
        <v>0</v>
      </c>
      <c r="F86" s="3">
        <f>IF(OR(INDEX($P$2:$P$1001,MATCH(ROWS($O$2:O86),$O$2:$O$1001,0),1)&gt;=100000,INDEX($V$1005:$AE$1005,1,MATCH(COLUMNS($V$1006:Z1006),$V$1006:$AE$1006,0))&gt;=100000), " ",IF(INDEX($V$2:$AE$1001,MATCH(ROWS($O$2:O86),$O$2:$O$1001,0),MATCH(COLUMNS($V$1006:Z1006),$V$1006:$AE$1006,0)), HYPERLINK("#",""), HYPERLINK(CONCATENATE("#Metadata!", ADDRESS(INDEX($Q$2:$Q$1001,MATCH(ROWS($O$2:O86),$O$2:$O$1001,0),0), INDEX($V$1004:$AE$1004,1,MATCH(COLUMNS($V$1006:Z1006),$V$1006:$AE$1006,0)))),"Fix")))</f>
        <v>0</v>
      </c>
      <c r="G86" s="3">
        <f>IF(OR(INDEX($P$2:$P$1001,MATCH(ROWS($O$2:O86),$O$2:$O$1001,0),1)&gt;=100000,INDEX($V$1005:$AE$1005,1,MATCH(COLUMNS($V$1006:AA1006),$V$1006:$AE$1006,0))&gt;=100000), " ",IF(INDEX($V$2:$AE$1001,MATCH(ROWS($O$2:O86),$O$2:$O$1001,0),MATCH(COLUMNS($V$1006:AA1006),$V$1006:$AE$1006,0)), HYPERLINK("#",""), HYPERLINK(CONCATENATE("#Metadata!", ADDRESS(INDEX($Q$2:$Q$1001,MATCH(ROWS($O$2:O86),$O$2:$O$1001,0),0), INDEX($V$1004:$AE$1004,1,MATCH(COLUMNS($V$1006:AA1006),$V$1006:$AE$1006,0)))),"Fix")))</f>
        <v>0</v>
      </c>
      <c r="H86" s="3">
        <f>IF(OR(INDEX($P$2:$P$1001,MATCH(ROWS($O$2:O86),$O$2:$O$1001,0),1)&gt;=100000,INDEX($V$1005:$AE$1005,1,MATCH(COLUMNS($V$1006:AB1006),$V$1006:$AE$1006,0))&gt;=100000), " ",IF(INDEX($V$2:$AE$1001,MATCH(ROWS($O$2:O86),$O$2:$O$1001,0),MATCH(COLUMNS($V$1006:AB1006),$V$1006:$AE$1006,0)), HYPERLINK("#",""), HYPERLINK(CONCATENATE("#Metadata!", ADDRESS(INDEX($Q$2:$Q$1001,MATCH(ROWS($O$2:O86),$O$2:$O$1001,0),0), INDEX($V$1004:$AE$1004,1,MATCH(COLUMNS($V$1006:AB1006),$V$1006:$AE$1006,0)))),"Fix")))</f>
        <v>0</v>
      </c>
      <c r="I86" s="3">
        <f>IF(OR(INDEX($P$2:$P$1001,MATCH(ROWS($O$2:O86),$O$2:$O$1001,0),1)&gt;=100000,INDEX($V$1005:$AE$1005,1,MATCH(COLUMNS($V$1006:AC1006),$V$1006:$AE$1006,0))&gt;=100000), " ",IF(INDEX($V$2:$AE$1001,MATCH(ROWS($O$2:O86),$O$2:$O$1001,0),MATCH(COLUMNS($V$1006:AC1006),$V$1006:$AE$1006,0)), HYPERLINK("#",""), HYPERLINK(CONCATENATE("#Metadata!", ADDRESS(INDEX($Q$2:$Q$1001,MATCH(ROWS($O$2:O86),$O$2:$O$1001,0),0), INDEX($V$1004:$AE$1004,1,MATCH(COLUMNS($V$1006:AC1006),$V$1006:$AE$1006,0)))),"Fix")))</f>
        <v>0</v>
      </c>
      <c r="J86" s="3">
        <f>IF(OR(INDEX($P$2:$P$1001,MATCH(ROWS($O$2:O86),$O$2:$O$1001,0),1)&gt;=100000,INDEX($V$1005:$AE$1005,1,MATCH(COLUMNS($V$1006:AD1006),$V$1006:$AE$1006,0))&gt;=100000), " ",IF(INDEX($V$2:$AE$1001,MATCH(ROWS($O$2:O86),$O$2:$O$1001,0),MATCH(COLUMNS($V$1006:AD1006),$V$1006:$AE$1006,0)), HYPERLINK("#",""), HYPERLINK(CONCATENATE("#Metadata!", ADDRESS(INDEX($Q$2:$Q$1001,MATCH(ROWS($O$2:O86),$O$2:$O$1001,0),0), INDEX($V$1004:$AE$1004,1,MATCH(COLUMNS($V$1006:AD1006),$V$1006:$AE$1006,0)))),"Fix")))</f>
        <v>0</v>
      </c>
      <c r="K86" s="3">
        <f>IF(OR(INDEX($P$2:$P$1001,MATCH(ROWS($O$2:O86),$O$2:$O$1001,0),1)&gt;=100000,INDEX($V$1005:$AE$1005,1,MATCH(COLUMNS($V$1006:AE1006),$V$1006:$AE$1006,0))&gt;=100000), " ",IF(INDEX($V$2:$AE$1001,MATCH(ROWS($O$2:O86),$O$2:$O$1001,0),MATCH(COLUMNS($V$1006:AE1006),$V$1006:$AE$1006,0)), HYPERLINK("#",""), HYPERLINK(CONCATENATE("#Metadata!", ADDRESS(INDEX($Q$2:$Q$1001,MATCH(ROWS($O$2:O86),$O$2:$O$1001,0),0), INDEX($V$1004:$AE$1004,1,MATCH(COLUMNS($V$1006:AE1006),$V$1006:$AE$1006,0)))),"Fix")))</f>
        <v>0</v>
      </c>
      <c r="O86">
        <v>0</v>
      </c>
      <c r="P86">
        <v>0</v>
      </c>
      <c r="Q86">
        <v>0</v>
      </c>
      <c r="R86">
        <f>IF(S86,TRUE,AND(V86:AE86))</f>
        <v>0</v>
      </c>
      <c r="S86">
        <f>COUNTBLANK(Metadata!B86:K86)=COLUMNS(Metadata!B86:K86)</f>
        <v>0</v>
      </c>
      <c r="T86">
        <v>0</v>
      </c>
      <c r="V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W86">
        <f>AND(IF(Metadata!C86="",FALSE,TRUE),exact(Metadata!C86,"animal secretion"))</f>
        <v>0</v>
      </c>
      <c r="X86">
        <f>AND(IF(Metadata!D86="",FALSE,TRUE),exact(Metadata!D86,"saliva"))</f>
        <v>0</v>
      </c>
      <c r="Y86">
        <f>AND(IF(Metadata!E86="",FALSE,TRUE),exact(Metadata!E86,"human-oral"))</f>
        <v>0</v>
      </c>
      <c r="Z86">
        <f>AND(IF(Metadata!F86="",FALSE,TRUE),exact(Metadata!F86,"UBERON:oral cavity"))</f>
        <v>0</v>
      </c>
      <c r="AA86">
        <f>AND(IF(Metadata!G86="",FALSE,TRUE),exact(Metadata!G86,"UBERON:saliva"))</f>
        <v>0</v>
      </c>
      <c r="AB86">
        <f>AND(IF(Metadata!H86="",FALSE,TRUE),exact(Metadata!H86,"UBERON:tongue"))</f>
        <v>0</v>
      </c>
      <c r="AC86">
        <f>AND(IF(Metadata!I86="",FALSE,TRUE),exact(Metadata!I86,"tongue"))</f>
        <v>0</v>
      </c>
      <c r="AD86">
        <f>AND(IF(Metadata!J86="",FALSE,TRUE),exact(Metadata!J86,"human oral metagenome"))</f>
        <v>0</v>
      </c>
      <c r="AE86">
        <f>AND(IF(Metadata!K86="",FALSE,TRUE),exact(Metadata!K86,"447426"))</f>
        <v>0</v>
      </c>
    </row>
    <row r="87" spans="1:31">
      <c r="A87" s="4">
        <f>IF(B87=" "," ",HYPERLINK(CONCATENATE("#metadata!",ADDRESS(INDEX($Q$2:$Q$1001,MATCH(ROWS($O$2:O87),$O$2:$O$1001,0),0),1)),INDEX($T$2:$T$1001,MATCH(ROWS($O$2:O87),$O$2:$O$1001,0),0)))</f>
        <v>0</v>
      </c>
      <c r="B87" s="3">
        <f>IF(OR(INDEX($P$2:$P$1001,MATCH(ROWS($O$2:O87),$O$2:$O$1001,0),1)&gt;=100000,INDEX($V$1005:$AE$1005,1,MATCH(COLUMNS($V$1006:V1006),$V$1006:$AE$1006,0))&gt;=100000), " ",IF(INDEX($V$2:$AE$1001,MATCH(ROWS($O$2:O87),$O$2:$O$1001,0),MATCH(COLUMNS($V$1006:V1006),$V$1006:$AE$1006,0)), HYPERLINK("#",""), HYPERLINK(CONCATENATE("#Metadata!", ADDRESS(INDEX($Q$2:$Q$1001,MATCH(ROWS($O$2:O87),$O$2:$O$1001,0),0), INDEX($V$1004:$AE$1004,1,MATCH(COLUMNS($V$1006:V1006),$V$1006:$AE$1006,0)))),"Fix")))</f>
        <v>0</v>
      </c>
      <c r="C87" s="3">
        <f>IF(OR(INDEX($P$2:$P$1001,MATCH(ROWS($O$2:O87),$O$2:$O$1001,0),1)&gt;=100000,INDEX($V$1005:$AE$1005,1,MATCH(COLUMNS($V$1006:W1006),$V$1006:$AE$1006,0))&gt;=100000), " ",IF(INDEX($V$2:$AE$1001,MATCH(ROWS($O$2:O87),$O$2:$O$1001,0),MATCH(COLUMNS($V$1006:W1006),$V$1006:$AE$1006,0)), HYPERLINK("#",""), HYPERLINK(CONCATENATE("#Metadata!", ADDRESS(INDEX($Q$2:$Q$1001,MATCH(ROWS($O$2:O87),$O$2:$O$1001,0),0), INDEX($V$1004:$AE$1004,1,MATCH(COLUMNS($V$1006:W1006),$V$1006:$AE$1006,0)))),"Fix")))</f>
        <v>0</v>
      </c>
      <c r="D87" s="3">
        <f>IF(OR(INDEX($P$2:$P$1001,MATCH(ROWS($O$2:O87),$O$2:$O$1001,0),1)&gt;=100000,INDEX($V$1005:$AE$1005,1,MATCH(COLUMNS($V$1006:X1006),$V$1006:$AE$1006,0))&gt;=100000), " ",IF(INDEX($V$2:$AE$1001,MATCH(ROWS($O$2:O87),$O$2:$O$1001,0),MATCH(COLUMNS($V$1006:X1006),$V$1006:$AE$1006,0)), HYPERLINK("#",""), HYPERLINK(CONCATENATE("#Metadata!", ADDRESS(INDEX($Q$2:$Q$1001,MATCH(ROWS($O$2:O87),$O$2:$O$1001,0),0), INDEX($V$1004:$AE$1004,1,MATCH(COLUMNS($V$1006:X1006),$V$1006:$AE$1006,0)))),"Fix")))</f>
        <v>0</v>
      </c>
      <c r="E87" s="3">
        <f>IF(OR(INDEX($P$2:$P$1001,MATCH(ROWS($O$2:O87),$O$2:$O$1001,0),1)&gt;=100000,INDEX($V$1005:$AE$1005,1,MATCH(COLUMNS($V$1006:Y1006),$V$1006:$AE$1006,0))&gt;=100000), " ",IF(INDEX($V$2:$AE$1001,MATCH(ROWS($O$2:O87),$O$2:$O$1001,0),MATCH(COLUMNS($V$1006:Y1006),$V$1006:$AE$1006,0)), HYPERLINK("#",""), HYPERLINK(CONCATENATE("#Metadata!", ADDRESS(INDEX($Q$2:$Q$1001,MATCH(ROWS($O$2:O87),$O$2:$O$1001,0),0), INDEX($V$1004:$AE$1004,1,MATCH(COLUMNS($V$1006:Y1006),$V$1006:$AE$1006,0)))),"Fix")))</f>
        <v>0</v>
      </c>
      <c r="F87" s="3">
        <f>IF(OR(INDEX($P$2:$P$1001,MATCH(ROWS($O$2:O87),$O$2:$O$1001,0),1)&gt;=100000,INDEX($V$1005:$AE$1005,1,MATCH(COLUMNS($V$1006:Z1006),$V$1006:$AE$1006,0))&gt;=100000), " ",IF(INDEX($V$2:$AE$1001,MATCH(ROWS($O$2:O87),$O$2:$O$1001,0),MATCH(COLUMNS($V$1006:Z1006),$V$1006:$AE$1006,0)), HYPERLINK("#",""), HYPERLINK(CONCATENATE("#Metadata!", ADDRESS(INDEX($Q$2:$Q$1001,MATCH(ROWS($O$2:O87),$O$2:$O$1001,0),0), INDEX($V$1004:$AE$1004,1,MATCH(COLUMNS($V$1006:Z1006),$V$1006:$AE$1006,0)))),"Fix")))</f>
        <v>0</v>
      </c>
      <c r="G87" s="3">
        <f>IF(OR(INDEX($P$2:$P$1001,MATCH(ROWS($O$2:O87),$O$2:$O$1001,0),1)&gt;=100000,INDEX($V$1005:$AE$1005,1,MATCH(COLUMNS($V$1006:AA1006),$V$1006:$AE$1006,0))&gt;=100000), " ",IF(INDEX($V$2:$AE$1001,MATCH(ROWS($O$2:O87),$O$2:$O$1001,0),MATCH(COLUMNS($V$1006:AA1006),$V$1006:$AE$1006,0)), HYPERLINK("#",""), HYPERLINK(CONCATENATE("#Metadata!", ADDRESS(INDEX($Q$2:$Q$1001,MATCH(ROWS($O$2:O87),$O$2:$O$1001,0),0), INDEX($V$1004:$AE$1004,1,MATCH(COLUMNS($V$1006:AA1006),$V$1006:$AE$1006,0)))),"Fix")))</f>
        <v>0</v>
      </c>
      <c r="H87" s="3">
        <f>IF(OR(INDEX($P$2:$P$1001,MATCH(ROWS($O$2:O87),$O$2:$O$1001,0),1)&gt;=100000,INDEX($V$1005:$AE$1005,1,MATCH(COLUMNS($V$1006:AB1006),$V$1006:$AE$1006,0))&gt;=100000), " ",IF(INDEX($V$2:$AE$1001,MATCH(ROWS($O$2:O87),$O$2:$O$1001,0),MATCH(COLUMNS($V$1006:AB1006),$V$1006:$AE$1006,0)), HYPERLINK("#",""), HYPERLINK(CONCATENATE("#Metadata!", ADDRESS(INDEX($Q$2:$Q$1001,MATCH(ROWS($O$2:O87),$O$2:$O$1001,0),0), INDEX($V$1004:$AE$1004,1,MATCH(COLUMNS($V$1006:AB1006),$V$1006:$AE$1006,0)))),"Fix")))</f>
        <v>0</v>
      </c>
      <c r="I87" s="3">
        <f>IF(OR(INDEX($P$2:$P$1001,MATCH(ROWS($O$2:O87),$O$2:$O$1001,0),1)&gt;=100000,INDEX($V$1005:$AE$1005,1,MATCH(COLUMNS($V$1006:AC1006),$V$1006:$AE$1006,0))&gt;=100000), " ",IF(INDEX($V$2:$AE$1001,MATCH(ROWS($O$2:O87),$O$2:$O$1001,0),MATCH(COLUMNS($V$1006:AC1006),$V$1006:$AE$1006,0)), HYPERLINK("#",""), HYPERLINK(CONCATENATE("#Metadata!", ADDRESS(INDEX($Q$2:$Q$1001,MATCH(ROWS($O$2:O87),$O$2:$O$1001,0),0), INDEX($V$1004:$AE$1004,1,MATCH(COLUMNS($V$1006:AC1006),$V$1006:$AE$1006,0)))),"Fix")))</f>
        <v>0</v>
      </c>
      <c r="J87" s="3">
        <f>IF(OR(INDEX($P$2:$P$1001,MATCH(ROWS($O$2:O87),$O$2:$O$1001,0),1)&gt;=100000,INDEX($V$1005:$AE$1005,1,MATCH(COLUMNS($V$1006:AD1006),$V$1006:$AE$1006,0))&gt;=100000), " ",IF(INDEX($V$2:$AE$1001,MATCH(ROWS($O$2:O87),$O$2:$O$1001,0),MATCH(COLUMNS($V$1006:AD1006),$V$1006:$AE$1006,0)), HYPERLINK("#",""), HYPERLINK(CONCATENATE("#Metadata!", ADDRESS(INDEX($Q$2:$Q$1001,MATCH(ROWS($O$2:O87),$O$2:$O$1001,0),0), INDEX($V$1004:$AE$1004,1,MATCH(COLUMNS($V$1006:AD1006),$V$1006:$AE$1006,0)))),"Fix")))</f>
        <v>0</v>
      </c>
      <c r="K87" s="3">
        <f>IF(OR(INDEX($P$2:$P$1001,MATCH(ROWS($O$2:O87),$O$2:$O$1001,0),1)&gt;=100000,INDEX($V$1005:$AE$1005,1,MATCH(COLUMNS($V$1006:AE1006),$V$1006:$AE$1006,0))&gt;=100000), " ",IF(INDEX($V$2:$AE$1001,MATCH(ROWS($O$2:O87),$O$2:$O$1001,0),MATCH(COLUMNS($V$1006:AE1006),$V$1006:$AE$1006,0)), HYPERLINK("#",""), HYPERLINK(CONCATENATE("#Metadata!", ADDRESS(INDEX($Q$2:$Q$1001,MATCH(ROWS($O$2:O87),$O$2:$O$1001,0),0), INDEX($V$1004:$AE$1004,1,MATCH(COLUMNS($V$1006:AE1006),$V$1006:$AE$1006,0)))),"Fix")))</f>
        <v>0</v>
      </c>
      <c r="O87">
        <v>0</v>
      </c>
      <c r="P87">
        <v>0</v>
      </c>
      <c r="Q87">
        <v>0</v>
      </c>
      <c r="R87">
        <f>IF(S87,TRUE,AND(V87:AE87))</f>
        <v>0</v>
      </c>
      <c r="S87">
        <f>COUNTBLANK(Metadata!B87:K87)=COLUMNS(Metadata!B87:K87)</f>
        <v>0</v>
      </c>
      <c r="T87">
        <v>0</v>
      </c>
      <c r="V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W87">
        <f>AND(IF(Metadata!C87="",FALSE,TRUE),exact(Metadata!C87,"animal secretion"))</f>
        <v>0</v>
      </c>
      <c r="X87">
        <f>AND(IF(Metadata!D87="",FALSE,TRUE),exact(Metadata!D87,"saliva"))</f>
        <v>0</v>
      </c>
      <c r="Y87">
        <f>AND(IF(Metadata!E87="",FALSE,TRUE),exact(Metadata!E87,"human-oral"))</f>
        <v>0</v>
      </c>
      <c r="Z87">
        <f>AND(IF(Metadata!F87="",FALSE,TRUE),exact(Metadata!F87,"UBERON:oral cavity"))</f>
        <v>0</v>
      </c>
      <c r="AA87">
        <f>AND(IF(Metadata!G87="",FALSE,TRUE),exact(Metadata!G87,"UBERON:saliva"))</f>
        <v>0</v>
      </c>
      <c r="AB87">
        <f>AND(IF(Metadata!H87="",FALSE,TRUE),exact(Metadata!H87,"UBERON:tongue"))</f>
        <v>0</v>
      </c>
      <c r="AC87">
        <f>AND(IF(Metadata!I87="",FALSE,TRUE),exact(Metadata!I87,"tongue"))</f>
        <v>0</v>
      </c>
      <c r="AD87">
        <f>AND(IF(Metadata!J87="",FALSE,TRUE),exact(Metadata!J87,"human oral metagenome"))</f>
        <v>0</v>
      </c>
      <c r="AE87">
        <f>AND(IF(Metadata!K87="",FALSE,TRUE),exact(Metadata!K87,"447426"))</f>
        <v>0</v>
      </c>
    </row>
    <row r="88" spans="1:31">
      <c r="A88" s="4">
        <f>IF(B88=" "," ",HYPERLINK(CONCATENATE("#metadata!",ADDRESS(INDEX($Q$2:$Q$1001,MATCH(ROWS($O$2:O88),$O$2:$O$1001,0),0),1)),INDEX($T$2:$T$1001,MATCH(ROWS($O$2:O88),$O$2:$O$1001,0),0)))</f>
        <v>0</v>
      </c>
      <c r="B88" s="3">
        <f>IF(OR(INDEX($P$2:$P$1001,MATCH(ROWS($O$2:O88),$O$2:$O$1001,0),1)&gt;=100000,INDEX($V$1005:$AE$1005,1,MATCH(COLUMNS($V$1006:V1006),$V$1006:$AE$1006,0))&gt;=100000), " ",IF(INDEX($V$2:$AE$1001,MATCH(ROWS($O$2:O88),$O$2:$O$1001,0),MATCH(COLUMNS($V$1006:V1006),$V$1006:$AE$1006,0)), HYPERLINK("#",""), HYPERLINK(CONCATENATE("#Metadata!", ADDRESS(INDEX($Q$2:$Q$1001,MATCH(ROWS($O$2:O88),$O$2:$O$1001,0),0), INDEX($V$1004:$AE$1004,1,MATCH(COLUMNS($V$1006:V1006),$V$1006:$AE$1006,0)))),"Fix")))</f>
        <v>0</v>
      </c>
      <c r="C88" s="3">
        <f>IF(OR(INDEX($P$2:$P$1001,MATCH(ROWS($O$2:O88),$O$2:$O$1001,0),1)&gt;=100000,INDEX($V$1005:$AE$1005,1,MATCH(COLUMNS($V$1006:W1006),$V$1006:$AE$1006,0))&gt;=100000), " ",IF(INDEX($V$2:$AE$1001,MATCH(ROWS($O$2:O88),$O$2:$O$1001,0),MATCH(COLUMNS($V$1006:W1006),$V$1006:$AE$1006,0)), HYPERLINK("#",""), HYPERLINK(CONCATENATE("#Metadata!", ADDRESS(INDEX($Q$2:$Q$1001,MATCH(ROWS($O$2:O88),$O$2:$O$1001,0),0), INDEX($V$1004:$AE$1004,1,MATCH(COLUMNS($V$1006:W1006),$V$1006:$AE$1006,0)))),"Fix")))</f>
        <v>0</v>
      </c>
      <c r="D88" s="3">
        <f>IF(OR(INDEX($P$2:$P$1001,MATCH(ROWS($O$2:O88),$O$2:$O$1001,0),1)&gt;=100000,INDEX($V$1005:$AE$1005,1,MATCH(COLUMNS($V$1006:X1006),$V$1006:$AE$1006,0))&gt;=100000), " ",IF(INDEX($V$2:$AE$1001,MATCH(ROWS($O$2:O88),$O$2:$O$1001,0),MATCH(COLUMNS($V$1006:X1006),$V$1006:$AE$1006,0)), HYPERLINK("#",""), HYPERLINK(CONCATENATE("#Metadata!", ADDRESS(INDEX($Q$2:$Q$1001,MATCH(ROWS($O$2:O88),$O$2:$O$1001,0),0), INDEX($V$1004:$AE$1004,1,MATCH(COLUMNS($V$1006:X1006),$V$1006:$AE$1006,0)))),"Fix")))</f>
        <v>0</v>
      </c>
      <c r="E88" s="3">
        <f>IF(OR(INDEX($P$2:$P$1001,MATCH(ROWS($O$2:O88),$O$2:$O$1001,0),1)&gt;=100000,INDEX($V$1005:$AE$1005,1,MATCH(COLUMNS($V$1006:Y1006),$V$1006:$AE$1006,0))&gt;=100000), " ",IF(INDEX($V$2:$AE$1001,MATCH(ROWS($O$2:O88),$O$2:$O$1001,0),MATCH(COLUMNS($V$1006:Y1006),$V$1006:$AE$1006,0)), HYPERLINK("#",""), HYPERLINK(CONCATENATE("#Metadata!", ADDRESS(INDEX($Q$2:$Q$1001,MATCH(ROWS($O$2:O88),$O$2:$O$1001,0),0), INDEX($V$1004:$AE$1004,1,MATCH(COLUMNS($V$1006:Y1006),$V$1006:$AE$1006,0)))),"Fix")))</f>
        <v>0</v>
      </c>
      <c r="F88" s="3">
        <f>IF(OR(INDEX($P$2:$P$1001,MATCH(ROWS($O$2:O88),$O$2:$O$1001,0),1)&gt;=100000,INDEX($V$1005:$AE$1005,1,MATCH(COLUMNS($V$1006:Z1006),$V$1006:$AE$1006,0))&gt;=100000), " ",IF(INDEX($V$2:$AE$1001,MATCH(ROWS($O$2:O88),$O$2:$O$1001,0),MATCH(COLUMNS($V$1006:Z1006),$V$1006:$AE$1006,0)), HYPERLINK("#",""), HYPERLINK(CONCATENATE("#Metadata!", ADDRESS(INDEX($Q$2:$Q$1001,MATCH(ROWS($O$2:O88),$O$2:$O$1001,0),0), INDEX($V$1004:$AE$1004,1,MATCH(COLUMNS($V$1006:Z1006),$V$1006:$AE$1006,0)))),"Fix")))</f>
        <v>0</v>
      </c>
      <c r="G88" s="3">
        <f>IF(OR(INDEX($P$2:$P$1001,MATCH(ROWS($O$2:O88),$O$2:$O$1001,0),1)&gt;=100000,INDEX($V$1005:$AE$1005,1,MATCH(COLUMNS($V$1006:AA1006),$V$1006:$AE$1006,0))&gt;=100000), " ",IF(INDEX($V$2:$AE$1001,MATCH(ROWS($O$2:O88),$O$2:$O$1001,0),MATCH(COLUMNS($V$1006:AA1006),$V$1006:$AE$1006,0)), HYPERLINK("#",""), HYPERLINK(CONCATENATE("#Metadata!", ADDRESS(INDEX($Q$2:$Q$1001,MATCH(ROWS($O$2:O88),$O$2:$O$1001,0),0), INDEX($V$1004:$AE$1004,1,MATCH(COLUMNS($V$1006:AA1006),$V$1006:$AE$1006,0)))),"Fix")))</f>
        <v>0</v>
      </c>
      <c r="H88" s="3">
        <f>IF(OR(INDEX($P$2:$P$1001,MATCH(ROWS($O$2:O88),$O$2:$O$1001,0),1)&gt;=100000,INDEX($V$1005:$AE$1005,1,MATCH(COLUMNS($V$1006:AB1006),$V$1006:$AE$1006,0))&gt;=100000), " ",IF(INDEX($V$2:$AE$1001,MATCH(ROWS($O$2:O88),$O$2:$O$1001,0),MATCH(COLUMNS($V$1006:AB1006),$V$1006:$AE$1006,0)), HYPERLINK("#",""), HYPERLINK(CONCATENATE("#Metadata!", ADDRESS(INDEX($Q$2:$Q$1001,MATCH(ROWS($O$2:O88),$O$2:$O$1001,0),0), INDEX($V$1004:$AE$1004,1,MATCH(COLUMNS($V$1006:AB1006),$V$1006:$AE$1006,0)))),"Fix")))</f>
        <v>0</v>
      </c>
      <c r="I88" s="3">
        <f>IF(OR(INDEX($P$2:$P$1001,MATCH(ROWS($O$2:O88),$O$2:$O$1001,0),1)&gt;=100000,INDEX($V$1005:$AE$1005,1,MATCH(COLUMNS($V$1006:AC1006),$V$1006:$AE$1006,0))&gt;=100000), " ",IF(INDEX($V$2:$AE$1001,MATCH(ROWS($O$2:O88),$O$2:$O$1001,0),MATCH(COLUMNS($V$1006:AC1006),$V$1006:$AE$1006,0)), HYPERLINK("#",""), HYPERLINK(CONCATENATE("#Metadata!", ADDRESS(INDEX($Q$2:$Q$1001,MATCH(ROWS($O$2:O88),$O$2:$O$1001,0),0), INDEX($V$1004:$AE$1004,1,MATCH(COLUMNS($V$1006:AC1006),$V$1006:$AE$1006,0)))),"Fix")))</f>
        <v>0</v>
      </c>
      <c r="J88" s="3">
        <f>IF(OR(INDEX($P$2:$P$1001,MATCH(ROWS($O$2:O88),$O$2:$O$1001,0),1)&gt;=100000,INDEX($V$1005:$AE$1005,1,MATCH(COLUMNS($V$1006:AD1006),$V$1006:$AE$1006,0))&gt;=100000), " ",IF(INDEX($V$2:$AE$1001,MATCH(ROWS($O$2:O88),$O$2:$O$1001,0),MATCH(COLUMNS($V$1006:AD1006),$V$1006:$AE$1006,0)), HYPERLINK("#",""), HYPERLINK(CONCATENATE("#Metadata!", ADDRESS(INDEX($Q$2:$Q$1001,MATCH(ROWS($O$2:O88),$O$2:$O$1001,0),0), INDEX($V$1004:$AE$1004,1,MATCH(COLUMNS($V$1006:AD1006),$V$1006:$AE$1006,0)))),"Fix")))</f>
        <v>0</v>
      </c>
      <c r="K88" s="3">
        <f>IF(OR(INDEX($P$2:$P$1001,MATCH(ROWS($O$2:O88),$O$2:$O$1001,0),1)&gt;=100000,INDEX($V$1005:$AE$1005,1,MATCH(COLUMNS($V$1006:AE1006),$V$1006:$AE$1006,0))&gt;=100000), " ",IF(INDEX($V$2:$AE$1001,MATCH(ROWS($O$2:O88),$O$2:$O$1001,0),MATCH(COLUMNS($V$1006:AE1006),$V$1006:$AE$1006,0)), HYPERLINK("#",""), HYPERLINK(CONCATENATE("#Metadata!", ADDRESS(INDEX($Q$2:$Q$1001,MATCH(ROWS($O$2:O88),$O$2:$O$1001,0),0), INDEX($V$1004:$AE$1004,1,MATCH(COLUMNS($V$1006:AE1006),$V$1006:$AE$1006,0)))),"Fix")))</f>
        <v>0</v>
      </c>
      <c r="O88">
        <v>0</v>
      </c>
      <c r="P88">
        <v>0</v>
      </c>
      <c r="Q88">
        <v>0</v>
      </c>
      <c r="R88">
        <f>IF(S88,TRUE,AND(V88:AE88))</f>
        <v>0</v>
      </c>
      <c r="S88">
        <f>COUNTBLANK(Metadata!B88:K88)=COLUMNS(Metadata!B88:K88)</f>
        <v>0</v>
      </c>
      <c r="T88">
        <v>0</v>
      </c>
      <c r="V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W88">
        <f>AND(IF(Metadata!C88="",FALSE,TRUE),exact(Metadata!C88,"animal secretion"))</f>
        <v>0</v>
      </c>
      <c r="X88">
        <f>AND(IF(Metadata!D88="",FALSE,TRUE),exact(Metadata!D88,"saliva"))</f>
        <v>0</v>
      </c>
      <c r="Y88">
        <f>AND(IF(Metadata!E88="",FALSE,TRUE),exact(Metadata!E88,"human-oral"))</f>
        <v>0</v>
      </c>
      <c r="Z88">
        <f>AND(IF(Metadata!F88="",FALSE,TRUE),exact(Metadata!F88,"UBERON:oral cavity"))</f>
        <v>0</v>
      </c>
      <c r="AA88">
        <f>AND(IF(Metadata!G88="",FALSE,TRUE),exact(Metadata!G88,"UBERON:saliva"))</f>
        <v>0</v>
      </c>
      <c r="AB88">
        <f>AND(IF(Metadata!H88="",FALSE,TRUE),exact(Metadata!H88,"UBERON:tongue"))</f>
        <v>0</v>
      </c>
      <c r="AC88">
        <f>AND(IF(Metadata!I88="",FALSE,TRUE),exact(Metadata!I88,"tongue"))</f>
        <v>0</v>
      </c>
      <c r="AD88">
        <f>AND(IF(Metadata!J88="",FALSE,TRUE),exact(Metadata!J88,"human oral metagenome"))</f>
        <v>0</v>
      </c>
      <c r="AE88">
        <f>AND(IF(Metadata!K88="",FALSE,TRUE),exact(Metadata!K88,"447426"))</f>
        <v>0</v>
      </c>
    </row>
    <row r="89" spans="1:31">
      <c r="A89" s="4">
        <f>IF(B89=" "," ",HYPERLINK(CONCATENATE("#metadata!",ADDRESS(INDEX($Q$2:$Q$1001,MATCH(ROWS($O$2:O89),$O$2:$O$1001,0),0),1)),INDEX($T$2:$T$1001,MATCH(ROWS($O$2:O89),$O$2:$O$1001,0),0)))</f>
        <v>0</v>
      </c>
      <c r="B89" s="3">
        <f>IF(OR(INDEX($P$2:$P$1001,MATCH(ROWS($O$2:O89),$O$2:$O$1001,0),1)&gt;=100000,INDEX($V$1005:$AE$1005,1,MATCH(COLUMNS($V$1006:V1006),$V$1006:$AE$1006,0))&gt;=100000), " ",IF(INDEX($V$2:$AE$1001,MATCH(ROWS($O$2:O89),$O$2:$O$1001,0),MATCH(COLUMNS($V$1006:V1006),$V$1006:$AE$1006,0)), HYPERLINK("#",""), HYPERLINK(CONCATENATE("#Metadata!", ADDRESS(INDEX($Q$2:$Q$1001,MATCH(ROWS($O$2:O89),$O$2:$O$1001,0),0), INDEX($V$1004:$AE$1004,1,MATCH(COLUMNS($V$1006:V1006),$V$1006:$AE$1006,0)))),"Fix")))</f>
        <v>0</v>
      </c>
      <c r="C89" s="3">
        <f>IF(OR(INDEX($P$2:$P$1001,MATCH(ROWS($O$2:O89),$O$2:$O$1001,0),1)&gt;=100000,INDEX($V$1005:$AE$1005,1,MATCH(COLUMNS($V$1006:W1006),$V$1006:$AE$1006,0))&gt;=100000), " ",IF(INDEX($V$2:$AE$1001,MATCH(ROWS($O$2:O89),$O$2:$O$1001,0),MATCH(COLUMNS($V$1006:W1006),$V$1006:$AE$1006,0)), HYPERLINK("#",""), HYPERLINK(CONCATENATE("#Metadata!", ADDRESS(INDEX($Q$2:$Q$1001,MATCH(ROWS($O$2:O89),$O$2:$O$1001,0),0), INDEX($V$1004:$AE$1004,1,MATCH(COLUMNS($V$1006:W1006),$V$1006:$AE$1006,0)))),"Fix")))</f>
        <v>0</v>
      </c>
      <c r="D89" s="3">
        <f>IF(OR(INDEX($P$2:$P$1001,MATCH(ROWS($O$2:O89),$O$2:$O$1001,0),1)&gt;=100000,INDEX($V$1005:$AE$1005,1,MATCH(COLUMNS($V$1006:X1006),$V$1006:$AE$1006,0))&gt;=100000), " ",IF(INDEX($V$2:$AE$1001,MATCH(ROWS($O$2:O89),$O$2:$O$1001,0),MATCH(COLUMNS($V$1006:X1006),$V$1006:$AE$1006,0)), HYPERLINK("#",""), HYPERLINK(CONCATENATE("#Metadata!", ADDRESS(INDEX($Q$2:$Q$1001,MATCH(ROWS($O$2:O89),$O$2:$O$1001,0),0), INDEX($V$1004:$AE$1004,1,MATCH(COLUMNS($V$1006:X1006),$V$1006:$AE$1006,0)))),"Fix")))</f>
        <v>0</v>
      </c>
      <c r="E89" s="3">
        <f>IF(OR(INDEX($P$2:$P$1001,MATCH(ROWS($O$2:O89),$O$2:$O$1001,0),1)&gt;=100000,INDEX($V$1005:$AE$1005,1,MATCH(COLUMNS($V$1006:Y1006),$V$1006:$AE$1006,0))&gt;=100000), " ",IF(INDEX($V$2:$AE$1001,MATCH(ROWS($O$2:O89),$O$2:$O$1001,0),MATCH(COLUMNS($V$1006:Y1006),$V$1006:$AE$1006,0)), HYPERLINK("#",""), HYPERLINK(CONCATENATE("#Metadata!", ADDRESS(INDEX($Q$2:$Q$1001,MATCH(ROWS($O$2:O89),$O$2:$O$1001,0),0), INDEX($V$1004:$AE$1004,1,MATCH(COLUMNS($V$1006:Y1006),$V$1006:$AE$1006,0)))),"Fix")))</f>
        <v>0</v>
      </c>
      <c r="F89" s="3">
        <f>IF(OR(INDEX($P$2:$P$1001,MATCH(ROWS($O$2:O89),$O$2:$O$1001,0),1)&gt;=100000,INDEX($V$1005:$AE$1005,1,MATCH(COLUMNS($V$1006:Z1006),$V$1006:$AE$1006,0))&gt;=100000), " ",IF(INDEX($V$2:$AE$1001,MATCH(ROWS($O$2:O89),$O$2:$O$1001,0),MATCH(COLUMNS($V$1006:Z1006),$V$1006:$AE$1006,0)), HYPERLINK("#",""), HYPERLINK(CONCATENATE("#Metadata!", ADDRESS(INDEX($Q$2:$Q$1001,MATCH(ROWS($O$2:O89),$O$2:$O$1001,0),0), INDEX($V$1004:$AE$1004,1,MATCH(COLUMNS($V$1006:Z1006),$V$1006:$AE$1006,0)))),"Fix")))</f>
        <v>0</v>
      </c>
      <c r="G89" s="3">
        <f>IF(OR(INDEX($P$2:$P$1001,MATCH(ROWS($O$2:O89),$O$2:$O$1001,0),1)&gt;=100000,INDEX($V$1005:$AE$1005,1,MATCH(COLUMNS($V$1006:AA1006),$V$1006:$AE$1006,0))&gt;=100000), " ",IF(INDEX($V$2:$AE$1001,MATCH(ROWS($O$2:O89),$O$2:$O$1001,0),MATCH(COLUMNS($V$1006:AA1006),$V$1006:$AE$1006,0)), HYPERLINK("#",""), HYPERLINK(CONCATENATE("#Metadata!", ADDRESS(INDEX($Q$2:$Q$1001,MATCH(ROWS($O$2:O89),$O$2:$O$1001,0),0), INDEX($V$1004:$AE$1004,1,MATCH(COLUMNS($V$1006:AA1006),$V$1006:$AE$1006,0)))),"Fix")))</f>
        <v>0</v>
      </c>
      <c r="H89" s="3">
        <f>IF(OR(INDEX($P$2:$P$1001,MATCH(ROWS($O$2:O89),$O$2:$O$1001,0),1)&gt;=100000,INDEX($V$1005:$AE$1005,1,MATCH(COLUMNS($V$1006:AB1006),$V$1006:$AE$1006,0))&gt;=100000), " ",IF(INDEX($V$2:$AE$1001,MATCH(ROWS($O$2:O89),$O$2:$O$1001,0),MATCH(COLUMNS($V$1006:AB1006),$V$1006:$AE$1006,0)), HYPERLINK("#",""), HYPERLINK(CONCATENATE("#Metadata!", ADDRESS(INDEX($Q$2:$Q$1001,MATCH(ROWS($O$2:O89),$O$2:$O$1001,0),0), INDEX($V$1004:$AE$1004,1,MATCH(COLUMNS($V$1006:AB1006),$V$1006:$AE$1006,0)))),"Fix")))</f>
        <v>0</v>
      </c>
      <c r="I89" s="3">
        <f>IF(OR(INDEX($P$2:$P$1001,MATCH(ROWS($O$2:O89),$O$2:$O$1001,0),1)&gt;=100000,INDEX($V$1005:$AE$1005,1,MATCH(COLUMNS($V$1006:AC1006),$V$1006:$AE$1006,0))&gt;=100000), " ",IF(INDEX($V$2:$AE$1001,MATCH(ROWS($O$2:O89),$O$2:$O$1001,0),MATCH(COLUMNS($V$1006:AC1006),$V$1006:$AE$1006,0)), HYPERLINK("#",""), HYPERLINK(CONCATENATE("#Metadata!", ADDRESS(INDEX($Q$2:$Q$1001,MATCH(ROWS($O$2:O89),$O$2:$O$1001,0),0), INDEX($V$1004:$AE$1004,1,MATCH(COLUMNS($V$1006:AC1006),$V$1006:$AE$1006,0)))),"Fix")))</f>
        <v>0</v>
      </c>
      <c r="J89" s="3">
        <f>IF(OR(INDEX($P$2:$P$1001,MATCH(ROWS($O$2:O89),$O$2:$O$1001,0),1)&gt;=100000,INDEX($V$1005:$AE$1005,1,MATCH(COLUMNS($V$1006:AD1006),$V$1006:$AE$1006,0))&gt;=100000), " ",IF(INDEX($V$2:$AE$1001,MATCH(ROWS($O$2:O89),$O$2:$O$1001,0),MATCH(COLUMNS($V$1006:AD1006),$V$1006:$AE$1006,0)), HYPERLINK("#",""), HYPERLINK(CONCATENATE("#Metadata!", ADDRESS(INDEX($Q$2:$Q$1001,MATCH(ROWS($O$2:O89),$O$2:$O$1001,0),0), INDEX($V$1004:$AE$1004,1,MATCH(COLUMNS($V$1006:AD1006),$V$1006:$AE$1006,0)))),"Fix")))</f>
        <v>0</v>
      </c>
      <c r="K89" s="3">
        <f>IF(OR(INDEX($P$2:$P$1001,MATCH(ROWS($O$2:O89),$O$2:$O$1001,0),1)&gt;=100000,INDEX($V$1005:$AE$1005,1,MATCH(COLUMNS($V$1006:AE1006),$V$1006:$AE$1006,0))&gt;=100000), " ",IF(INDEX($V$2:$AE$1001,MATCH(ROWS($O$2:O89),$O$2:$O$1001,0),MATCH(COLUMNS($V$1006:AE1006),$V$1006:$AE$1006,0)), HYPERLINK("#",""), HYPERLINK(CONCATENATE("#Metadata!", ADDRESS(INDEX($Q$2:$Q$1001,MATCH(ROWS($O$2:O89),$O$2:$O$1001,0),0), INDEX($V$1004:$AE$1004,1,MATCH(COLUMNS($V$1006:AE1006),$V$1006:$AE$1006,0)))),"Fix")))</f>
        <v>0</v>
      </c>
      <c r="O89">
        <v>0</v>
      </c>
      <c r="P89">
        <v>0</v>
      </c>
      <c r="Q89">
        <v>0</v>
      </c>
      <c r="R89">
        <f>IF(S89,TRUE,AND(V89:AE89))</f>
        <v>0</v>
      </c>
      <c r="S89">
        <f>COUNTBLANK(Metadata!B89:K89)=COLUMNS(Metadata!B89:K89)</f>
        <v>0</v>
      </c>
      <c r="T89">
        <v>0</v>
      </c>
      <c r="V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W89">
        <f>AND(IF(Metadata!C89="",FALSE,TRUE),exact(Metadata!C89,"animal secretion"))</f>
        <v>0</v>
      </c>
      <c r="X89">
        <f>AND(IF(Metadata!D89="",FALSE,TRUE),exact(Metadata!D89,"saliva"))</f>
        <v>0</v>
      </c>
      <c r="Y89">
        <f>AND(IF(Metadata!E89="",FALSE,TRUE),exact(Metadata!E89,"human-oral"))</f>
        <v>0</v>
      </c>
      <c r="Z89">
        <f>AND(IF(Metadata!F89="",FALSE,TRUE),exact(Metadata!F89,"UBERON:oral cavity"))</f>
        <v>0</v>
      </c>
      <c r="AA89">
        <f>AND(IF(Metadata!G89="",FALSE,TRUE),exact(Metadata!G89,"UBERON:saliva"))</f>
        <v>0</v>
      </c>
      <c r="AB89">
        <f>AND(IF(Metadata!H89="",FALSE,TRUE),exact(Metadata!H89,"UBERON:tongue"))</f>
        <v>0</v>
      </c>
      <c r="AC89">
        <f>AND(IF(Metadata!I89="",FALSE,TRUE),exact(Metadata!I89,"tongue"))</f>
        <v>0</v>
      </c>
      <c r="AD89">
        <f>AND(IF(Metadata!J89="",FALSE,TRUE),exact(Metadata!J89,"human oral metagenome"))</f>
        <v>0</v>
      </c>
      <c r="AE89">
        <f>AND(IF(Metadata!K89="",FALSE,TRUE),exact(Metadata!K89,"447426"))</f>
        <v>0</v>
      </c>
    </row>
    <row r="90" spans="1:31">
      <c r="A90" s="4">
        <f>IF(B90=" "," ",HYPERLINK(CONCATENATE("#metadata!",ADDRESS(INDEX($Q$2:$Q$1001,MATCH(ROWS($O$2:O90),$O$2:$O$1001,0),0),1)),INDEX($T$2:$T$1001,MATCH(ROWS($O$2:O90),$O$2:$O$1001,0),0)))</f>
        <v>0</v>
      </c>
      <c r="B90" s="3">
        <f>IF(OR(INDEX($P$2:$P$1001,MATCH(ROWS($O$2:O90),$O$2:$O$1001,0),1)&gt;=100000,INDEX($V$1005:$AE$1005,1,MATCH(COLUMNS($V$1006:V1006),$V$1006:$AE$1006,0))&gt;=100000), " ",IF(INDEX($V$2:$AE$1001,MATCH(ROWS($O$2:O90),$O$2:$O$1001,0),MATCH(COLUMNS($V$1006:V1006),$V$1006:$AE$1006,0)), HYPERLINK("#",""), HYPERLINK(CONCATENATE("#Metadata!", ADDRESS(INDEX($Q$2:$Q$1001,MATCH(ROWS($O$2:O90),$O$2:$O$1001,0),0), INDEX($V$1004:$AE$1004,1,MATCH(COLUMNS($V$1006:V1006),$V$1006:$AE$1006,0)))),"Fix")))</f>
        <v>0</v>
      </c>
      <c r="C90" s="3">
        <f>IF(OR(INDEX($P$2:$P$1001,MATCH(ROWS($O$2:O90),$O$2:$O$1001,0),1)&gt;=100000,INDEX($V$1005:$AE$1005,1,MATCH(COLUMNS($V$1006:W1006),$V$1006:$AE$1006,0))&gt;=100000), " ",IF(INDEX($V$2:$AE$1001,MATCH(ROWS($O$2:O90),$O$2:$O$1001,0),MATCH(COLUMNS($V$1006:W1006),$V$1006:$AE$1006,0)), HYPERLINK("#",""), HYPERLINK(CONCATENATE("#Metadata!", ADDRESS(INDEX($Q$2:$Q$1001,MATCH(ROWS($O$2:O90),$O$2:$O$1001,0),0), INDEX($V$1004:$AE$1004,1,MATCH(COLUMNS($V$1006:W1006),$V$1006:$AE$1006,0)))),"Fix")))</f>
        <v>0</v>
      </c>
      <c r="D90" s="3">
        <f>IF(OR(INDEX($P$2:$P$1001,MATCH(ROWS($O$2:O90),$O$2:$O$1001,0),1)&gt;=100000,INDEX($V$1005:$AE$1005,1,MATCH(COLUMNS($V$1006:X1006),$V$1006:$AE$1006,0))&gt;=100000), " ",IF(INDEX($V$2:$AE$1001,MATCH(ROWS($O$2:O90),$O$2:$O$1001,0),MATCH(COLUMNS($V$1006:X1006),$V$1006:$AE$1006,0)), HYPERLINK("#",""), HYPERLINK(CONCATENATE("#Metadata!", ADDRESS(INDEX($Q$2:$Q$1001,MATCH(ROWS($O$2:O90),$O$2:$O$1001,0),0), INDEX($V$1004:$AE$1004,1,MATCH(COLUMNS($V$1006:X1006),$V$1006:$AE$1006,0)))),"Fix")))</f>
        <v>0</v>
      </c>
      <c r="E90" s="3">
        <f>IF(OR(INDEX($P$2:$P$1001,MATCH(ROWS($O$2:O90),$O$2:$O$1001,0),1)&gt;=100000,INDEX($V$1005:$AE$1005,1,MATCH(COLUMNS($V$1006:Y1006),$V$1006:$AE$1006,0))&gt;=100000), " ",IF(INDEX($V$2:$AE$1001,MATCH(ROWS($O$2:O90),$O$2:$O$1001,0),MATCH(COLUMNS($V$1006:Y1006),$V$1006:$AE$1006,0)), HYPERLINK("#",""), HYPERLINK(CONCATENATE("#Metadata!", ADDRESS(INDEX($Q$2:$Q$1001,MATCH(ROWS($O$2:O90),$O$2:$O$1001,0),0), INDEX($V$1004:$AE$1004,1,MATCH(COLUMNS($V$1006:Y1006),$V$1006:$AE$1006,0)))),"Fix")))</f>
        <v>0</v>
      </c>
      <c r="F90" s="3">
        <f>IF(OR(INDEX($P$2:$P$1001,MATCH(ROWS($O$2:O90),$O$2:$O$1001,0),1)&gt;=100000,INDEX($V$1005:$AE$1005,1,MATCH(COLUMNS($V$1006:Z1006),$V$1006:$AE$1006,0))&gt;=100000), " ",IF(INDEX($V$2:$AE$1001,MATCH(ROWS($O$2:O90),$O$2:$O$1001,0),MATCH(COLUMNS($V$1006:Z1006),$V$1006:$AE$1006,0)), HYPERLINK("#",""), HYPERLINK(CONCATENATE("#Metadata!", ADDRESS(INDEX($Q$2:$Q$1001,MATCH(ROWS($O$2:O90),$O$2:$O$1001,0),0), INDEX($V$1004:$AE$1004,1,MATCH(COLUMNS($V$1006:Z1006),$V$1006:$AE$1006,0)))),"Fix")))</f>
        <v>0</v>
      </c>
      <c r="G90" s="3">
        <f>IF(OR(INDEX($P$2:$P$1001,MATCH(ROWS($O$2:O90),$O$2:$O$1001,0),1)&gt;=100000,INDEX($V$1005:$AE$1005,1,MATCH(COLUMNS($V$1006:AA1006),$V$1006:$AE$1006,0))&gt;=100000), " ",IF(INDEX($V$2:$AE$1001,MATCH(ROWS($O$2:O90),$O$2:$O$1001,0),MATCH(COLUMNS($V$1006:AA1006),$V$1006:$AE$1006,0)), HYPERLINK("#",""), HYPERLINK(CONCATENATE("#Metadata!", ADDRESS(INDEX($Q$2:$Q$1001,MATCH(ROWS($O$2:O90),$O$2:$O$1001,0),0), INDEX($V$1004:$AE$1004,1,MATCH(COLUMNS($V$1006:AA1006),$V$1006:$AE$1006,0)))),"Fix")))</f>
        <v>0</v>
      </c>
      <c r="H90" s="3">
        <f>IF(OR(INDEX($P$2:$P$1001,MATCH(ROWS($O$2:O90),$O$2:$O$1001,0),1)&gt;=100000,INDEX($V$1005:$AE$1005,1,MATCH(COLUMNS($V$1006:AB1006),$V$1006:$AE$1006,0))&gt;=100000), " ",IF(INDEX($V$2:$AE$1001,MATCH(ROWS($O$2:O90),$O$2:$O$1001,0),MATCH(COLUMNS($V$1006:AB1006),$V$1006:$AE$1006,0)), HYPERLINK("#",""), HYPERLINK(CONCATENATE("#Metadata!", ADDRESS(INDEX($Q$2:$Q$1001,MATCH(ROWS($O$2:O90),$O$2:$O$1001,0),0), INDEX($V$1004:$AE$1004,1,MATCH(COLUMNS($V$1006:AB1006),$V$1006:$AE$1006,0)))),"Fix")))</f>
        <v>0</v>
      </c>
      <c r="I90" s="3">
        <f>IF(OR(INDEX($P$2:$P$1001,MATCH(ROWS($O$2:O90),$O$2:$O$1001,0),1)&gt;=100000,INDEX($V$1005:$AE$1005,1,MATCH(COLUMNS($V$1006:AC1006),$V$1006:$AE$1006,0))&gt;=100000), " ",IF(INDEX($V$2:$AE$1001,MATCH(ROWS($O$2:O90),$O$2:$O$1001,0),MATCH(COLUMNS($V$1006:AC1006),$V$1006:$AE$1006,0)), HYPERLINK("#",""), HYPERLINK(CONCATENATE("#Metadata!", ADDRESS(INDEX($Q$2:$Q$1001,MATCH(ROWS($O$2:O90),$O$2:$O$1001,0),0), INDEX($V$1004:$AE$1004,1,MATCH(COLUMNS($V$1006:AC1006),$V$1006:$AE$1006,0)))),"Fix")))</f>
        <v>0</v>
      </c>
      <c r="J90" s="3">
        <f>IF(OR(INDEX($P$2:$P$1001,MATCH(ROWS($O$2:O90),$O$2:$O$1001,0),1)&gt;=100000,INDEX($V$1005:$AE$1005,1,MATCH(COLUMNS($V$1006:AD1006),$V$1006:$AE$1006,0))&gt;=100000), " ",IF(INDEX($V$2:$AE$1001,MATCH(ROWS($O$2:O90),$O$2:$O$1001,0),MATCH(COLUMNS($V$1006:AD1006),$V$1006:$AE$1006,0)), HYPERLINK("#",""), HYPERLINK(CONCATENATE("#Metadata!", ADDRESS(INDEX($Q$2:$Q$1001,MATCH(ROWS($O$2:O90),$O$2:$O$1001,0),0), INDEX($V$1004:$AE$1004,1,MATCH(COLUMNS($V$1006:AD1006),$V$1006:$AE$1006,0)))),"Fix")))</f>
        <v>0</v>
      </c>
      <c r="K90" s="3">
        <f>IF(OR(INDEX($P$2:$P$1001,MATCH(ROWS($O$2:O90),$O$2:$O$1001,0),1)&gt;=100000,INDEX($V$1005:$AE$1005,1,MATCH(COLUMNS($V$1006:AE1006),$V$1006:$AE$1006,0))&gt;=100000), " ",IF(INDEX($V$2:$AE$1001,MATCH(ROWS($O$2:O90),$O$2:$O$1001,0),MATCH(COLUMNS($V$1006:AE1006),$V$1006:$AE$1006,0)), HYPERLINK("#",""), HYPERLINK(CONCATENATE("#Metadata!", ADDRESS(INDEX($Q$2:$Q$1001,MATCH(ROWS($O$2:O90),$O$2:$O$1001,0),0), INDEX($V$1004:$AE$1004,1,MATCH(COLUMNS($V$1006:AE1006),$V$1006:$AE$1006,0)))),"Fix")))</f>
        <v>0</v>
      </c>
      <c r="O90">
        <v>0</v>
      </c>
      <c r="P90">
        <v>0</v>
      </c>
      <c r="Q90">
        <v>0</v>
      </c>
      <c r="R90">
        <f>IF(S90,TRUE,AND(V90:AE90))</f>
        <v>0</v>
      </c>
      <c r="S90">
        <f>COUNTBLANK(Metadata!B90:K90)=COLUMNS(Metadata!B90:K90)</f>
        <v>0</v>
      </c>
      <c r="T90">
        <v>0</v>
      </c>
      <c r="V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W90">
        <f>AND(IF(Metadata!C90="",FALSE,TRUE),exact(Metadata!C90,"animal secretion"))</f>
        <v>0</v>
      </c>
      <c r="X90">
        <f>AND(IF(Metadata!D90="",FALSE,TRUE),exact(Metadata!D90,"saliva"))</f>
        <v>0</v>
      </c>
      <c r="Y90">
        <f>AND(IF(Metadata!E90="",FALSE,TRUE),exact(Metadata!E90,"human-oral"))</f>
        <v>0</v>
      </c>
      <c r="Z90">
        <f>AND(IF(Metadata!F90="",FALSE,TRUE),exact(Metadata!F90,"UBERON:oral cavity"))</f>
        <v>0</v>
      </c>
      <c r="AA90">
        <f>AND(IF(Metadata!G90="",FALSE,TRUE),exact(Metadata!G90,"UBERON:saliva"))</f>
        <v>0</v>
      </c>
      <c r="AB90">
        <f>AND(IF(Metadata!H90="",FALSE,TRUE),exact(Metadata!H90,"UBERON:tongue"))</f>
        <v>0</v>
      </c>
      <c r="AC90">
        <f>AND(IF(Metadata!I90="",FALSE,TRUE),exact(Metadata!I90,"tongue"))</f>
        <v>0</v>
      </c>
      <c r="AD90">
        <f>AND(IF(Metadata!J90="",FALSE,TRUE),exact(Metadata!J90,"human oral metagenome"))</f>
        <v>0</v>
      </c>
      <c r="AE90">
        <f>AND(IF(Metadata!K90="",FALSE,TRUE),exact(Metadata!K90,"447426"))</f>
        <v>0</v>
      </c>
    </row>
    <row r="91" spans="1:31">
      <c r="A91" s="4">
        <f>IF(B91=" "," ",HYPERLINK(CONCATENATE("#metadata!",ADDRESS(INDEX($Q$2:$Q$1001,MATCH(ROWS($O$2:O91),$O$2:$O$1001,0),0),1)),INDEX($T$2:$T$1001,MATCH(ROWS($O$2:O91),$O$2:$O$1001,0),0)))</f>
        <v>0</v>
      </c>
      <c r="B91" s="3">
        <f>IF(OR(INDEX($P$2:$P$1001,MATCH(ROWS($O$2:O91),$O$2:$O$1001,0),1)&gt;=100000,INDEX($V$1005:$AE$1005,1,MATCH(COLUMNS($V$1006:V1006),$V$1006:$AE$1006,0))&gt;=100000), " ",IF(INDEX($V$2:$AE$1001,MATCH(ROWS($O$2:O91),$O$2:$O$1001,0),MATCH(COLUMNS($V$1006:V1006),$V$1006:$AE$1006,0)), HYPERLINK("#",""), HYPERLINK(CONCATENATE("#Metadata!", ADDRESS(INDEX($Q$2:$Q$1001,MATCH(ROWS($O$2:O91),$O$2:$O$1001,0),0), INDEX($V$1004:$AE$1004,1,MATCH(COLUMNS($V$1006:V1006),$V$1006:$AE$1006,0)))),"Fix")))</f>
        <v>0</v>
      </c>
      <c r="C91" s="3">
        <f>IF(OR(INDEX($P$2:$P$1001,MATCH(ROWS($O$2:O91),$O$2:$O$1001,0),1)&gt;=100000,INDEX($V$1005:$AE$1005,1,MATCH(COLUMNS($V$1006:W1006),$V$1006:$AE$1006,0))&gt;=100000), " ",IF(INDEX($V$2:$AE$1001,MATCH(ROWS($O$2:O91),$O$2:$O$1001,0),MATCH(COLUMNS($V$1006:W1006),$V$1006:$AE$1006,0)), HYPERLINK("#",""), HYPERLINK(CONCATENATE("#Metadata!", ADDRESS(INDEX($Q$2:$Q$1001,MATCH(ROWS($O$2:O91),$O$2:$O$1001,0),0), INDEX($V$1004:$AE$1004,1,MATCH(COLUMNS($V$1006:W1006),$V$1006:$AE$1006,0)))),"Fix")))</f>
        <v>0</v>
      </c>
      <c r="D91" s="3">
        <f>IF(OR(INDEX($P$2:$P$1001,MATCH(ROWS($O$2:O91),$O$2:$O$1001,0),1)&gt;=100000,INDEX($V$1005:$AE$1005,1,MATCH(COLUMNS($V$1006:X1006),$V$1006:$AE$1006,0))&gt;=100000), " ",IF(INDEX($V$2:$AE$1001,MATCH(ROWS($O$2:O91),$O$2:$O$1001,0),MATCH(COLUMNS($V$1006:X1006),$V$1006:$AE$1006,0)), HYPERLINK("#",""), HYPERLINK(CONCATENATE("#Metadata!", ADDRESS(INDEX($Q$2:$Q$1001,MATCH(ROWS($O$2:O91),$O$2:$O$1001,0),0), INDEX($V$1004:$AE$1004,1,MATCH(COLUMNS($V$1006:X1006),$V$1006:$AE$1006,0)))),"Fix")))</f>
        <v>0</v>
      </c>
      <c r="E91" s="3">
        <f>IF(OR(INDEX($P$2:$P$1001,MATCH(ROWS($O$2:O91),$O$2:$O$1001,0),1)&gt;=100000,INDEX($V$1005:$AE$1005,1,MATCH(COLUMNS($V$1006:Y1006),$V$1006:$AE$1006,0))&gt;=100000), " ",IF(INDEX($V$2:$AE$1001,MATCH(ROWS($O$2:O91),$O$2:$O$1001,0),MATCH(COLUMNS($V$1006:Y1006),$V$1006:$AE$1006,0)), HYPERLINK("#",""), HYPERLINK(CONCATENATE("#Metadata!", ADDRESS(INDEX($Q$2:$Q$1001,MATCH(ROWS($O$2:O91),$O$2:$O$1001,0),0), INDEX($V$1004:$AE$1004,1,MATCH(COLUMNS($V$1006:Y1006),$V$1006:$AE$1006,0)))),"Fix")))</f>
        <v>0</v>
      </c>
      <c r="F91" s="3">
        <f>IF(OR(INDEX($P$2:$P$1001,MATCH(ROWS($O$2:O91),$O$2:$O$1001,0),1)&gt;=100000,INDEX($V$1005:$AE$1005,1,MATCH(COLUMNS($V$1006:Z1006),$V$1006:$AE$1006,0))&gt;=100000), " ",IF(INDEX($V$2:$AE$1001,MATCH(ROWS($O$2:O91),$O$2:$O$1001,0),MATCH(COLUMNS($V$1006:Z1006),$V$1006:$AE$1006,0)), HYPERLINK("#",""), HYPERLINK(CONCATENATE("#Metadata!", ADDRESS(INDEX($Q$2:$Q$1001,MATCH(ROWS($O$2:O91),$O$2:$O$1001,0),0), INDEX($V$1004:$AE$1004,1,MATCH(COLUMNS($V$1006:Z1006),$V$1006:$AE$1006,0)))),"Fix")))</f>
        <v>0</v>
      </c>
      <c r="G91" s="3">
        <f>IF(OR(INDEX($P$2:$P$1001,MATCH(ROWS($O$2:O91),$O$2:$O$1001,0),1)&gt;=100000,INDEX($V$1005:$AE$1005,1,MATCH(COLUMNS($V$1006:AA1006),$V$1006:$AE$1006,0))&gt;=100000), " ",IF(INDEX($V$2:$AE$1001,MATCH(ROWS($O$2:O91),$O$2:$O$1001,0),MATCH(COLUMNS($V$1006:AA1006),$V$1006:$AE$1006,0)), HYPERLINK("#",""), HYPERLINK(CONCATENATE("#Metadata!", ADDRESS(INDEX($Q$2:$Q$1001,MATCH(ROWS($O$2:O91),$O$2:$O$1001,0),0), INDEX($V$1004:$AE$1004,1,MATCH(COLUMNS($V$1006:AA1006),$V$1006:$AE$1006,0)))),"Fix")))</f>
        <v>0</v>
      </c>
      <c r="H91" s="3">
        <f>IF(OR(INDEX($P$2:$P$1001,MATCH(ROWS($O$2:O91),$O$2:$O$1001,0),1)&gt;=100000,INDEX($V$1005:$AE$1005,1,MATCH(COLUMNS($V$1006:AB1006),$V$1006:$AE$1006,0))&gt;=100000), " ",IF(INDEX($V$2:$AE$1001,MATCH(ROWS($O$2:O91),$O$2:$O$1001,0),MATCH(COLUMNS($V$1006:AB1006),$V$1006:$AE$1006,0)), HYPERLINK("#",""), HYPERLINK(CONCATENATE("#Metadata!", ADDRESS(INDEX($Q$2:$Q$1001,MATCH(ROWS($O$2:O91),$O$2:$O$1001,0),0), INDEX($V$1004:$AE$1004,1,MATCH(COLUMNS($V$1006:AB1006),$V$1006:$AE$1006,0)))),"Fix")))</f>
        <v>0</v>
      </c>
      <c r="I91" s="3">
        <f>IF(OR(INDEX($P$2:$P$1001,MATCH(ROWS($O$2:O91),$O$2:$O$1001,0),1)&gt;=100000,INDEX($V$1005:$AE$1005,1,MATCH(COLUMNS($V$1006:AC1006),$V$1006:$AE$1006,0))&gt;=100000), " ",IF(INDEX($V$2:$AE$1001,MATCH(ROWS($O$2:O91),$O$2:$O$1001,0),MATCH(COLUMNS($V$1006:AC1006),$V$1006:$AE$1006,0)), HYPERLINK("#",""), HYPERLINK(CONCATENATE("#Metadata!", ADDRESS(INDEX($Q$2:$Q$1001,MATCH(ROWS($O$2:O91),$O$2:$O$1001,0),0), INDEX($V$1004:$AE$1004,1,MATCH(COLUMNS($V$1006:AC1006),$V$1006:$AE$1006,0)))),"Fix")))</f>
        <v>0</v>
      </c>
      <c r="J91" s="3">
        <f>IF(OR(INDEX($P$2:$P$1001,MATCH(ROWS($O$2:O91),$O$2:$O$1001,0),1)&gt;=100000,INDEX($V$1005:$AE$1005,1,MATCH(COLUMNS($V$1006:AD1006),$V$1006:$AE$1006,0))&gt;=100000), " ",IF(INDEX($V$2:$AE$1001,MATCH(ROWS($O$2:O91),$O$2:$O$1001,0),MATCH(COLUMNS($V$1006:AD1006),$V$1006:$AE$1006,0)), HYPERLINK("#",""), HYPERLINK(CONCATENATE("#Metadata!", ADDRESS(INDEX($Q$2:$Q$1001,MATCH(ROWS($O$2:O91),$O$2:$O$1001,0),0), INDEX($V$1004:$AE$1004,1,MATCH(COLUMNS($V$1006:AD1006),$V$1006:$AE$1006,0)))),"Fix")))</f>
        <v>0</v>
      </c>
      <c r="K91" s="3">
        <f>IF(OR(INDEX($P$2:$P$1001,MATCH(ROWS($O$2:O91),$O$2:$O$1001,0),1)&gt;=100000,INDEX($V$1005:$AE$1005,1,MATCH(COLUMNS($V$1006:AE1006),$V$1006:$AE$1006,0))&gt;=100000), " ",IF(INDEX($V$2:$AE$1001,MATCH(ROWS($O$2:O91),$O$2:$O$1001,0),MATCH(COLUMNS($V$1006:AE1006),$V$1006:$AE$1006,0)), HYPERLINK("#",""), HYPERLINK(CONCATENATE("#Metadata!", ADDRESS(INDEX($Q$2:$Q$1001,MATCH(ROWS($O$2:O91),$O$2:$O$1001,0),0), INDEX($V$1004:$AE$1004,1,MATCH(COLUMNS($V$1006:AE1006),$V$1006:$AE$1006,0)))),"Fix")))</f>
        <v>0</v>
      </c>
      <c r="O91">
        <v>0</v>
      </c>
      <c r="P91">
        <v>0</v>
      </c>
      <c r="Q91">
        <v>0</v>
      </c>
      <c r="R91">
        <f>IF(S91,TRUE,AND(V91:AE91))</f>
        <v>0</v>
      </c>
      <c r="S91">
        <f>COUNTBLANK(Metadata!B91:K91)=COLUMNS(Metadata!B91:K91)</f>
        <v>0</v>
      </c>
      <c r="T91">
        <v>0</v>
      </c>
      <c r="V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W91">
        <f>AND(IF(Metadata!C91="",FALSE,TRUE),exact(Metadata!C91,"animal secretion"))</f>
        <v>0</v>
      </c>
      <c r="X91">
        <f>AND(IF(Metadata!D91="",FALSE,TRUE),exact(Metadata!D91,"saliva"))</f>
        <v>0</v>
      </c>
      <c r="Y91">
        <f>AND(IF(Metadata!E91="",FALSE,TRUE),exact(Metadata!E91,"human-oral"))</f>
        <v>0</v>
      </c>
      <c r="Z91">
        <f>AND(IF(Metadata!F91="",FALSE,TRUE),exact(Metadata!F91,"UBERON:oral cavity"))</f>
        <v>0</v>
      </c>
      <c r="AA91">
        <f>AND(IF(Metadata!G91="",FALSE,TRUE),exact(Metadata!G91,"UBERON:saliva"))</f>
        <v>0</v>
      </c>
      <c r="AB91">
        <f>AND(IF(Metadata!H91="",FALSE,TRUE),exact(Metadata!H91,"UBERON:tongue"))</f>
        <v>0</v>
      </c>
      <c r="AC91">
        <f>AND(IF(Metadata!I91="",FALSE,TRUE),exact(Metadata!I91,"tongue"))</f>
        <v>0</v>
      </c>
      <c r="AD91">
        <f>AND(IF(Metadata!J91="",FALSE,TRUE),exact(Metadata!J91,"human oral metagenome"))</f>
        <v>0</v>
      </c>
      <c r="AE91">
        <f>AND(IF(Metadata!K91="",FALSE,TRUE),exact(Metadata!K91,"447426"))</f>
        <v>0</v>
      </c>
    </row>
    <row r="92" spans="1:31">
      <c r="A92" s="4">
        <f>IF(B92=" "," ",HYPERLINK(CONCATENATE("#metadata!",ADDRESS(INDEX($Q$2:$Q$1001,MATCH(ROWS($O$2:O92),$O$2:$O$1001,0),0),1)),INDEX($T$2:$T$1001,MATCH(ROWS($O$2:O92),$O$2:$O$1001,0),0)))</f>
        <v>0</v>
      </c>
      <c r="B92" s="3">
        <f>IF(OR(INDEX($P$2:$P$1001,MATCH(ROWS($O$2:O92),$O$2:$O$1001,0),1)&gt;=100000,INDEX($V$1005:$AE$1005,1,MATCH(COLUMNS($V$1006:V1006),$V$1006:$AE$1006,0))&gt;=100000), " ",IF(INDEX($V$2:$AE$1001,MATCH(ROWS($O$2:O92),$O$2:$O$1001,0),MATCH(COLUMNS($V$1006:V1006),$V$1006:$AE$1006,0)), HYPERLINK("#",""), HYPERLINK(CONCATENATE("#Metadata!", ADDRESS(INDEX($Q$2:$Q$1001,MATCH(ROWS($O$2:O92),$O$2:$O$1001,0),0), INDEX($V$1004:$AE$1004,1,MATCH(COLUMNS($V$1006:V1006),$V$1006:$AE$1006,0)))),"Fix")))</f>
        <v>0</v>
      </c>
      <c r="C92" s="3">
        <f>IF(OR(INDEX($P$2:$P$1001,MATCH(ROWS($O$2:O92),$O$2:$O$1001,0),1)&gt;=100000,INDEX($V$1005:$AE$1005,1,MATCH(COLUMNS($V$1006:W1006),$V$1006:$AE$1006,0))&gt;=100000), " ",IF(INDEX($V$2:$AE$1001,MATCH(ROWS($O$2:O92),$O$2:$O$1001,0),MATCH(COLUMNS($V$1006:W1006),$V$1006:$AE$1006,0)), HYPERLINK("#",""), HYPERLINK(CONCATENATE("#Metadata!", ADDRESS(INDEX($Q$2:$Q$1001,MATCH(ROWS($O$2:O92),$O$2:$O$1001,0),0), INDEX($V$1004:$AE$1004,1,MATCH(COLUMNS($V$1006:W1006),$V$1006:$AE$1006,0)))),"Fix")))</f>
        <v>0</v>
      </c>
      <c r="D92" s="3">
        <f>IF(OR(INDEX($P$2:$P$1001,MATCH(ROWS($O$2:O92),$O$2:$O$1001,0),1)&gt;=100000,INDEX($V$1005:$AE$1005,1,MATCH(COLUMNS($V$1006:X1006),$V$1006:$AE$1006,0))&gt;=100000), " ",IF(INDEX($V$2:$AE$1001,MATCH(ROWS($O$2:O92),$O$2:$O$1001,0),MATCH(COLUMNS($V$1006:X1006),$V$1006:$AE$1006,0)), HYPERLINK("#",""), HYPERLINK(CONCATENATE("#Metadata!", ADDRESS(INDEX($Q$2:$Q$1001,MATCH(ROWS($O$2:O92),$O$2:$O$1001,0),0), INDEX($V$1004:$AE$1004,1,MATCH(COLUMNS($V$1006:X1006),$V$1006:$AE$1006,0)))),"Fix")))</f>
        <v>0</v>
      </c>
      <c r="E92" s="3">
        <f>IF(OR(INDEX($P$2:$P$1001,MATCH(ROWS($O$2:O92),$O$2:$O$1001,0),1)&gt;=100000,INDEX($V$1005:$AE$1005,1,MATCH(COLUMNS($V$1006:Y1006),$V$1006:$AE$1006,0))&gt;=100000), " ",IF(INDEX($V$2:$AE$1001,MATCH(ROWS($O$2:O92),$O$2:$O$1001,0),MATCH(COLUMNS($V$1006:Y1006),$V$1006:$AE$1006,0)), HYPERLINK("#",""), HYPERLINK(CONCATENATE("#Metadata!", ADDRESS(INDEX($Q$2:$Q$1001,MATCH(ROWS($O$2:O92),$O$2:$O$1001,0),0), INDEX($V$1004:$AE$1004,1,MATCH(COLUMNS($V$1006:Y1006),$V$1006:$AE$1006,0)))),"Fix")))</f>
        <v>0</v>
      </c>
      <c r="F92" s="3">
        <f>IF(OR(INDEX($P$2:$P$1001,MATCH(ROWS($O$2:O92),$O$2:$O$1001,0),1)&gt;=100000,INDEX($V$1005:$AE$1005,1,MATCH(COLUMNS($V$1006:Z1006),$V$1006:$AE$1006,0))&gt;=100000), " ",IF(INDEX($V$2:$AE$1001,MATCH(ROWS($O$2:O92),$O$2:$O$1001,0),MATCH(COLUMNS($V$1006:Z1006),$V$1006:$AE$1006,0)), HYPERLINK("#",""), HYPERLINK(CONCATENATE("#Metadata!", ADDRESS(INDEX($Q$2:$Q$1001,MATCH(ROWS($O$2:O92),$O$2:$O$1001,0),0), INDEX($V$1004:$AE$1004,1,MATCH(COLUMNS($V$1006:Z1006),$V$1006:$AE$1006,0)))),"Fix")))</f>
        <v>0</v>
      </c>
      <c r="G92" s="3">
        <f>IF(OR(INDEX($P$2:$P$1001,MATCH(ROWS($O$2:O92),$O$2:$O$1001,0),1)&gt;=100000,INDEX($V$1005:$AE$1005,1,MATCH(COLUMNS($V$1006:AA1006),$V$1006:$AE$1006,0))&gt;=100000), " ",IF(INDEX($V$2:$AE$1001,MATCH(ROWS($O$2:O92),$O$2:$O$1001,0),MATCH(COLUMNS($V$1006:AA1006),$V$1006:$AE$1006,0)), HYPERLINK("#",""), HYPERLINK(CONCATENATE("#Metadata!", ADDRESS(INDEX($Q$2:$Q$1001,MATCH(ROWS($O$2:O92),$O$2:$O$1001,0),0), INDEX($V$1004:$AE$1004,1,MATCH(COLUMNS($V$1006:AA1006),$V$1006:$AE$1006,0)))),"Fix")))</f>
        <v>0</v>
      </c>
      <c r="H92" s="3">
        <f>IF(OR(INDEX($P$2:$P$1001,MATCH(ROWS($O$2:O92),$O$2:$O$1001,0),1)&gt;=100000,INDEX($V$1005:$AE$1005,1,MATCH(COLUMNS($V$1006:AB1006),$V$1006:$AE$1006,0))&gt;=100000), " ",IF(INDEX($V$2:$AE$1001,MATCH(ROWS($O$2:O92),$O$2:$O$1001,0),MATCH(COLUMNS($V$1006:AB1006),$V$1006:$AE$1006,0)), HYPERLINK("#",""), HYPERLINK(CONCATENATE("#Metadata!", ADDRESS(INDEX($Q$2:$Q$1001,MATCH(ROWS($O$2:O92),$O$2:$O$1001,0),0), INDEX($V$1004:$AE$1004,1,MATCH(COLUMNS($V$1006:AB1006),$V$1006:$AE$1006,0)))),"Fix")))</f>
        <v>0</v>
      </c>
      <c r="I92" s="3">
        <f>IF(OR(INDEX($P$2:$P$1001,MATCH(ROWS($O$2:O92),$O$2:$O$1001,0),1)&gt;=100000,INDEX($V$1005:$AE$1005,1,MATCH(COLUMNS($V$1006:AC1006),$V$1006:$AE$1006,0))&gt;=100000), " ",IF(INDEX($V$2:$AE$1001,MATCH(ROWS($O$2:O92),$O$2:$O$1001,0),MATCH(COLUMNS($V$1006:AC1006),$V$1006:$AE$1006,0)), HYPERLINK("#",""), HYPERLINK(CONCATENATE("#Metadata!", ADDRESS(INDEX($Q$2:$Q$1001,MATCH(ROWS($O$2:O92),$O$2:$O$1001,0),0), INDEX($V$1004:$AE$1004,1,MATCH(COLUMNS($V$1006:AC1006),$V$1006:$AE$1006,0)))),"Fix")))</f>
        <v>0</v>
      </c>
      <c r="J92" s="3">
        <f>IF(OR(INDEX($P$2:$P$1001,MATCH(ROWS($O$2:O92),$O$2:$O$1001,0),1)&gt;=100000,INDEX($V$1005:$AE$1005,1,MATCH(COLUMNS($V$1006:AD1006),$V$1006:$AE$1006,0))&gt;=100000), " ",IF(INDEX($V$2:$AE$1001,MATCH(ROWS($O$2:O92),$O$2:$O$1001,0),MATCH(COLUMNS($V$1006:AD1006),$V$1006:$AE$1006,0)), HYPERLINK("#",""), HYPERLINK(CONCATENATE("#Metadata!", ADDRESS(INDEX($Q$2:$Q$1001,MATCH(ROWS($O$2:O92),$O$2:$O$1001,0),0), INDEX($V$1004:$AE$1004,1,MATCH(COLUMNS($V$1006:AD1006),$V$1006:$AE$1006,0)))),"Fix")))</f>
        <v>0</v>
      </c>
      <c r="K92" s="3">
        <f>IF(OR(INDEX($P$2:$P$1001,MATCH(ROWS($O$2:O92),$O$2:$O$1001,0),1)&gt;=100000,INDEX($V$1005:$AE$1005,1,MATCH(COLUMNS($V$1006:AE1006),$V$1006:$AE$1006,0))&gt;=100000), " ",IF(INDEX($V$2:$AE$1001,MATCH(ROWS($O$2:O92),$O$2:$O$1001,0),MATCH(COLUMNS($V$1006:AE1006),$V$1006:$AE$1006,0)), HYPERLINK("#",""), HYPERLINK(CONCATENATE("#Metadata!", ADDRESS(INDEX($Q$2:$Q$1001,MATCH(ROWS($O$2:O92),$O$2:$O$1001,0),0), INDEX($V$1004:$AE$1004,1,MATCH(COLUMNS($V$1006:AE1006),$V$1006:$AE$1006,0)))),"Fix")))</f>
        <v>0</v>
      </c>
      <c r="O92">
        <v>0</v>
      </c>
      <c r="P92">
        <v>0</v>
      </c>
      <c r="Q92">
        <v>0</v>
      </c>
      <c r="R92">
        <f>IF(S92,TRUE,AND(V92:AE92))</f>
        <v>0</v>
      </c>
      <c r="S92">
        <f>COUNTBLANK(Metadata!B92:K92)=COLUMNS(Metadata!B92:K92)</f>
        <v>0</v>
      </c>
      <c r="T92">
        <v>0</v>
      </c>
      <c r="V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W92">
        <f>AND(IF(Metadata!C92="",FALSE,TRUE),exact(Metadata!C92,"animal secretion"))</f>
        <v>0</v>
      </c>
      <c r="X92">
        <f>AND(IF(Metadata!D92="",FALSE,TRUE),exact(Metadata!D92,"saliva"))</f>
        <v>0</v>
      </c>
      <c r="Y92">
        <f>AND(IF(Metadata!E92="",FALSE,TRUE),exact(Metadata!E92,"human-oral"))</f>
        <v>0</v>
      </c>
      <c r="Z92">
        <f>AND(IF(Metadata!F92="",FALSE,TRUE),exact(Metadata!F92,"UBERON:oral cavity"))</f>
        <v>0</v>
      </c>
      <c r="AA92">
        <f>AND(IF(Metadata!G92="",FALSE,TRUE),exact(Metadata!G92,"UBERON:saliva"))</f>
        <v>0</v>
      </c>
      <c r="AB92">
        <f>AND(IF(Metadata!H92="",FALSE,TRUE),exact(Metadata!H92,"UBERON:tongue"))</f>
        <v>0</v>
      </c>
      <c r="AC92">
        <f>AND(IF(Metadata!I92="",FALSE,TRUE),exact(Metadata!I92,"tongue"))</f>
        <v>0</v>
      </c>
      <c r="AD92">
        <f>AND(IF(Metadata!J92="",FALSE,TRUE),exact(Metadata!J92,"human oral metagenome"))</f>
        <v>0</v>
      </c>
      <c r="AE92">
        <f>AND(IF(Metadata!K92="",FALSE,TRUE),exact(Metadata!K92,"447426"))</f>
        <v>0</v>
      </c>
    </row>
    <row r="93" spans="1:31">
      <c r="A93" s="4">
        <f>IF(B93=" "," ",HYPERLINK(CONCATENATE("#metadata!",ADDRESS(INDEX($Q$2:$Q$1001,MATCH(ROWS($O$2:O93),$O$2:$O$1001,0),0),1)),INDEX($T$2:$T$1001,MATCH(ROWS($O$2:O93),$O$2:$O$1001,0),0)))</f>
        <v>0</v>
      </c>
      <c r="B93" s="3">
        <f>IF(OR(INDEX($P$2:$P$1001,MATCH(ROWS($O$2:O93),$O$2:$O$1001,0),1)&gt;=100000,INDEX($V$1005:$AE$1005,1,MATCH(COLUMNS($V$1006:V1006),$V$1006:$AE$1006,0))&gt;=100000), " ",IF(INDEX($V$2:$AE$1001,MATCH(ROWS($O$2:O93),$O$2:$O$1001,0),MATCH(COLUMNS($V$1006:V1006),$V$1006:$AE$1006,0)), HYPERLINK("#",""), HYPERLINK(CONCATENATE("#Metadata!", ADDRESS(INDEX($Q$2:$Q$1001,MATCH(ROWS($O$2:O93),$O$2:$O$1001,0),0), INDEX($V$1004:$AE$1004,1,MATCH(COLUMNS($V$1006:V1006),$V$1006:$AE$1006,0)))),"Fix")))</f>
        <v>0</v>
      </c>
      <c r="C93" s="3">
        <f>IF(OR(INDEX($P$2:$P$1001,MATCH(ROWS($O$2:O93),$O$2:$O$1001,0),1)&gt;=100000,INDEX($V$1005:$AE$1005,1,MATCH(COLUMNS($V$1006:W1006),$V$1006:$AE$1006,0))&gt;=100000), " ",IF(INDEX($V$2:$AE$1001,MATCH(ROWS($O$2:O93),$O$2:$O$1001,0),MATCH(COLUMNS($V$1006:W1006),$V$1006:$AE$1006,0)), HYPERLINK("#",""), HYPERLINK(CONCATENATE("#Metadata!", ADDRESS(INDEX($Q$2:$Q$1001,MATCH(ROWS($O$2:O93),$O$2:$O$1001,0),0), INDEX($V$1004:$AE$1004,1,MATCH(COLUMNS($V$1006:W1006),$V$1006:$AE$1006,0)))),"Fix")))</f>
        <v>0</v>
      </c>
      <c r="D93" s="3">
        <f>IF(OR(INDEX($P$2:$P$1001,MATCH(ROWS($O$2:O93),$O$2:$O$1001,0),1)&gt;=100000,INDEX($V$1005:$AE$1005,1,MATCH(COLUMNS($V$1006:X1006),$V$1006:$AE$1006,0))&gt;=100000), " ",IF(INDEX($V$2:$AE$1001,MATCH(ROWS($O$2:O93),$O$2:$O$1001,0),MATCH(COLUMNS($V$1006:X1006),$V$1006:$AE$1006,0)), HYPERLINK("#",""), HYPERLINK(CONCATENATE("#Metadata!", ADDRESS(INDEX($Q$2:$Q$1001,MATCH(ROWS($O$2:O93),$O$2:$O$1001,0),0), INDEX($V$1004:$AE$1004,1,MATCH(COLUMNS($V$1006:X1006),$V$1006:$AE$1006,0)))),"Fix")))</f>
        <v>0</v>
      </c>
      <c r="E93" s="3">
        <f>IF(OR(INDEX($P$2:$P$1001,MATCH(ROWS($O$2:O93),$O$2:$O$1001,0),1)&gt;=100000,INDEX($V$1005:$AE$1005,1,MATCH(COLUMNS($V$1006:Y1006),$V$1006:$AE$1006,0))&gt;=100000), " ",IF(INDEX($V$2:$AE$1001,MATCH(ROWS($O$2:O93),$O$2:$O$1001,0),MATCH(COLUMNS($V$1006:Y1006),$V$1006:$AE$1006,0)), HYPERLINK("#",""), HYPERLINK(CONCATENATE("#Metadata!", ADDRESS(INDEX($Q$2:$Q$1001,MATCH(ROWS($O$2:O93),$O$2:$O$1001,0),0), INDEX($V$1004:$AE$1004,1,MATCH(COLUMNS($V$1006:Y1006),$V$1006:$AE$1006,0)))),"Fix")))</f>
        <v>0</v>
      </c>
      <c r="F93" s="3">
        <f>IF(OR(INDEX($P$2:$P$1001,MATCH(ROWS($O$2:O93),$O$2:$O$1001,0),1)&gt;=100000,INDEX($V$1005:$AE$1005,1,MATCH(COLUMNS($V$1006:Z1006),$V$1006:$AE$1006,0))&gt;=100000), " ",IF(INDEX($V$2:$AE$1001,MATCH(ROWS($O$2:O93),$O$2:$O$1001,0),MATCH(COLUMNS($V$1006:Z1006),$V$1006:$AE$1006,0)), HYPERLINK("#",""), HYPERLINK(CONCATENATE("#Metadata!", ADDRESS(INDEX($Q$2:$Q$1001,MATCH(ROWS($O$2:O93),$O$2:$O$1001,0),0), INDEX($V$1004:$AE$1004,1,MATCH(COLUMNS($V$1006:Z1006),$V$1006:$AE$1006,0)))),"Fix")))</f>
        <v>0</v>
      </c>
      <c r="G93" s="3">
        <f>IF(OR(INDEX($P$2:$P$1001,MATCH(ROWS($O$2:O93),$O$2:$O$1001,0),1)&gt;=100000,INDEX($V$1005:$AE$1005,1,MATCH(COLUMNS($V$1006:AA1006),$V$1006:$AE$1006,0))&gt;=100000), " ",IF(INDEX($V$2:$AE$1001,MATCH(ROWS($O$2:O93),$O$2:$O$1001,0),MATCH(COLUMNS($V$1006:AA1006),$V$1006:$AE$1006,0)), HYPERLINK("#",""), HYPERLINK(CONCATENATE("#Metadata!", ADDRESS(INDEX($Q$2:$Q$1001,MATCH(ROWS($O$2:O93),$O$2:$O$1001,0),0), INDEX($V$1004:$AE$1004,1,MATCH(COLUMNS($V$1006:AA1006),$V$1006:$AE$1006,0)))),"Fix")))</f>
        <v>0</v>
      </c>
      <c r="H93" s="3">
        <f>IF(OR(INDEX($P$2:$P$1001,MATCH(ROWS($O$2:O93),$O$2:$O$1001,0),1)&gt;=100000,INDEX($V$1005:$AE$1005,1,MATCH(COLUMNS($V$1006:AB1006),$V$1006:$AE$1006,0))&gt;=100000), " ",IF(INDEX($V$2:$AE$1001,MATCH(ROWS($O$2:O93),$O$2:$O$1001,0),MATCH(COLUMNS($V$1006:AB1006),$V$1006:$AE$1006,0)), HYPERLINK("#",""), HYPERLINK(CONCATENATE("#Metadata!", ADDRESS(INDEX($Q$2:$Q$1001,MATCH(ROWS($O$2:O93),$O$2:$O$1001,0),0), INDEX($V$1004:$AE$1004,1,MATCH(COLUMNS($V$1006:AB1006),$V$1006:$AE$1006,0)))),"Fix")))</f>
        <v>0</v>
      </c>
      <c r="I93" s="3">
        <f>IF(OR(INDEX($P$2:$P$1001,MATCH(ROWS($O$2:O93),$O$2:$O$1001,0),1)&gt;=100000,INDEX($V$1005:$AE$1005,1,MATCH(COLUMNS($V$1006:AC1006),$V$1006:$AE$1006,0))&gt;=100000), " ",IF(INDEX($V$2:$AE$1001,MATCH(ROWS($O$2:O93),$O$2:$O$1001,0),MATCH(COLUMNS($V$1006:AC1006),$V$1006:$AE$1006,0)), HYPERLINK("#",""), HYPERLINK(CONCATENATE("#Metadata!", ADDRESS(INDEX($Q$2:$Q$1001,MATCH(ROWS($O$2:O93),$O$2:$O$1001,0),0), INDEX($V$1004:$AE$1004,1,MATCH(COLUMNS($V$1006:AC1006),$V$1006:$AE$1006,0)))),"Fix")))</f>
        <v>0</v>
      </c>
      <c r="J93" s="3">
        <f>IF(OR(INDEX($P$2:$P$1001,MATCH(ROWS($O$2:O93),$O$2:$O$1001,0),1)&gt;=100000,INDEX($V$1005:$AE$1005,1,MATCH(COLUMNS($V$1006:AD1006),$V$1006:$AE$1006,0))&gt;=100000), " ",IF(INDEX($V$2:$AE$1001,MATCH(ROWS($O$2:O93),$O$2:$O$1001,0),MATCH(COLUMNS($V$1006:AD1006),$V$1006:$AE$1006,0)), HYPERLINK("#",""), HYPERLINK(CONCATENATE("#Metadata!", ADDRESS(INDEX($Q$2:$Q$1001,MATCH(ROWS($O$2:O93),$O$2:$O$1001,0),0), INDEX($V$1004:$AE$1004,1,MATCH(COLUMNS($V$1006:AD1006),$V$1006:$AE$1006,0)))),"Fix")))</f>
        <v>0</v>
      </c>
      <c r="K93" s="3">
        <f>IF(OR(INDEX($P$2:$P$1001,MATCH(ROWS($O$2:O93),$O$2:$O$1001,0),1)&gt;=100000,INDEX($V$1005:$AE$1005,1,MATCH(COLUMNS($V$1006:AE1006),$V$1006:$AE$1006,0))&gt;=100000), " ",IF(INDEX($V$2:$AE$1001,MATCH(ROWS($O$2:O93),$O$2:$O$1001,0),MATCH(COLUMNS($V$1006:AE1006),$V$1006:$AE$1006,0)), HYPERLINK("#",""), HYPERLINK(CONCATENATE("#Metadata!", ADDRESS(INDEX($Q$2:$Q$1001,MATCH(ROWS($O$2:O93),$O$2:$O$1001,0),0), INDEX($V$1004:$AE$1004,1,MATCH(COLUMNS($V$1006:AE1006),$V$1006:$AE$1006,0)))),"Fix")))</f>
        <v>0</v>
      </c>
      <c r="O93">
        <v>0</v>
      </c>
      <c r="P93">
        <v>0</v>
      </c>
      <c r="Q93">
        <v>0</v>
      </c>
      <c r="R93">
        <f>IF(S93,TRUE,AND(V93:AE93))</f>
        <v>0</v>
      </c>
      <c r="S93">
        <f>COUNTBLANK(Metadata!B93:K93)=COLUMNS(Metadata!B93:K93)</f>
        <v>0</v>
      </c>
      <c r="T93">
        <v>0</v>
      </c>
      <c r="V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W93">
        <f>AND(IF(Metadata!C93="",FALSE,TRUE),exact(Metadata!C93,"animal secretion"))</f>
        <v>0</v>
      </c>
      <c r="X93">
        <f>AND(IF(Metadata!D93="",FALSE,TRUE),exact(Metadata!D93,"saliva"))</f>
        <v>0</v>
      </c>
      <c r="Y93">
        <f>AND(IF(Metadata!E93="",FALSE,TRUE),exact(Metadata!E93,"human-oral"))</f>
        <v>0</v>
      </c>
      <c r="Z93">
        <f>AND(IF(Metadata!F93="",FALSE,TRUE),exact(Metadata!F93,"UBERON:oral cavity"))</f>
        <v>0</v>
      </c>
      <c r="AA93">
        <f>AND(IF(Metadata!G93="",FALSE,TRUE),exact(Metadata!G93,"UBERON:saliva"))</f>
        <v>0</v>
      </c>
      <c r="AB93">
        <f>AND(IF(Metadata!H93="",FALSE,TRUE),exact(Metadata!H93,"UBERON:tongue"))</f>
        <v>0</v>
      </c>
      <c r="AC93">
        <f>AND(IF(Metadata!I93="",FALSE,TRUE),exact(Metadata!I93,"tongue"))</f>
        <v>0</v>
      </c>
      <c r="AD93">
        <f>AND(IF(Metadata!J93="",FALSE,TRUE),exact(Metadata!J93,"human oral metagenome"))</f>
        <v>0</v>
      </c>
      <c r="AE93">
        <f>AND(IF(Metadata!K93="",FALSE,TRUE),exact(Metadata!K93,"447426"))</f>
        <v>0</v>
      </c>
    </row>
    <row r="94" spans="1:31">
      <c r="A94" s="4">
        <f>IF(B94=" "," ",HYPERLINK(CONCATENATE("#metadata!",ADDRESS(INDEX($Q$2:$Q$1001,MATCH(ROWS($O$2:O94),$O$2:$O$1001,0),0),1)),INDEX($T$2:$T$1001,MATCH(ROWS($O$2:O94),$O$2:$O$1001,0),0)))</f>
        <v>0</v>
      </c>
      <c r="B94" s="3">
        <f>IF(OR(INDEX($P$2:$P$1001,MATCH(ROWS($O$2:O94),$O$2:$O$1001,0),1)&gt;=100000,INDEX($V$1005:$AE$1005,1,MATCH(COLUMNS($V$1006:V1006),$V$1006:$AE$1006,0))&gt;=100000), " ",IF(INDEX($V$2:$AE$1001,MATCH(ROWS($O$2:O94),$O$2:$O$1001,0),MATCH(COLUMNS($V$1006:V1006),$V$1006:$AE$1006,0)), HYPERLINK("#",""), HYPERLINK(CONCATENATE("#Metadata!", ADDRESS(INDEX($Q$2:$Q$1001,MATCH(ROWS($O$2:O94),$O$2:$O$1001,0),0), INDEX($V$1004:$AE$1004,1,MATCH(COLUMNS($V$1006:V1006),$V$1006:$AE$1006,0)))),"Fix")))</f>
        <v>0</v>
      </c>
      <c r="C94" s="3">
        <f>IF(OR(INDEX($P$2:$P$1001,MATCH(ROWS($O$2:O94),$O$2:$O$1001,0),1)&gt;=100000,INDEX($V$1005:$AE$1005,1,MATCH(COLUMNS($V$1006:W1006),$V$1006:$AE$1006,0))&gt;=100000), " ",IF(INDEX($V$2:$AE$1001,MATCH(ROWS($O$2:O94),$O$2:$O$1001,0),MATCH(COLUMNS($V$1006:W1006),$V$1006:$AE$1006,0)), HYPERLINK("#",""), HYPERLINK(CONCATENATE("#Metadata!", ADDRESS(INDEX($Q$2:$Q$1001,MATCH(ROWS($O$2:O94),$O$2:$O$1001,0),0), INDEX($V$1004:$AE$1004,1,MATCH(COLUMNS($V$1006:W1006),$V$1006:$AE$1006,0)))),"Fix")))</f>
        <v>0</v>
      </c>
      <c r="D94" s="3">
        <f>IF(OR(INDEX($P$2:$P$1001,MATCH(ROWS($O$2:O94),$O$2:$O$1001,0),1)&gt;=100000,INDEX($V$1005:$AE$1005,1,MATCH(COLUMNS($V$1006:X1006),$V$1006:$AE$1006,0))&gt;=100000), " ",IF(INDEX($V$2:$AE$1001,MATCH(ROWS($O$2:O94),$O$2:$O$1001,0),MATCH(COLUMNS($V$1006:X1006),$V$1006:$AE$1006,0)), HYPERLINK("#",""), HYPERLINK(CONCATENATE("#Metadata!", ADDRESS(INDEX($Q$2:$Q$1001,MATCH(ROWS($O$2:O94),$O$2:$O$1001,0),0), INDEX($V$1004:$AE$1004,1,MATCH(COLUMNS($V$1006:X1006),$V$1006:$AE$1006,0)))),"Fix")))</f>
        <v>0</v>
      </c>
      <c r="E94" s="3">
        <f>IF(OR(INDEX($P$2:$P$1001,MATCH(ROWS($O$2:O94),$O$2:$O$1001,0),1)&gt;=100000,INDEX($V$1005:$AE$1005,1,MATCH(COLUMNS($V$1006:Y1006),$V$1006:$AE$1006,0))&gt;=100000), " ",IF(INDEX($V$2:$AE$1001,MATCH(ROWS($O$2:O94),$O$2:$O$1001,0),MATCH(COLUMNS($V$1006:Y1006),$V$1006:$AE$1006,0)), HYPERLINK("#",""), HYPERLINK(CONCATENATE("#Metadata!", ADDRESS(INDEX($Q$2:$Q$1001,MATCH(ROWS($O$2:O94),$O$2:$O$1001,0),0), INDEX($V$1004:$AE$1004,1,MATCH(COLUMNS($V$1006:Y1006),$V$1006:$AE$1006,0)))),"Fix")))</f>
        <v>0</v>
      </c>
      <c r="F94" s="3">
        <f>IF(OR(INDEX($P$2:$P$1001,MATCH(ROWS($O$2:O94),$O$2:$O$1001,0),1)&gt;=100000,INDEX($V$1005:$AE$1005,1,MATCH(COLUMNS($V$1006:Z1006),$V$1006:$AE$1006,0))&gt;=100000), " ",IF(INDEX($V$2:$AE$1001,MATCH(ROWS($O$2:O94),$O$2:$O$1001,0),MATCH(COLUMNS($V$1006:Z1006),$V$1006:$AE$1006,0)), HYPERLINK("#",""), HYPERLINK(CONCATENATE("#Metadata!", ADDRESS(INDEX($Q$2:$Q$1001,MATCH(ROWS($O$2:O94),$O$2:$O$1001,0),0), INDEX($V$1004:$AE$1004,1,MATCH(COLUMNS($V$1006:Z1006),$V$1006:$AE$1006,0)))),"Fix")))</f>
        <v>0</v>
      </c>
      <c r="G94" s="3">
        <f>IF(OR(INDEX($P$2:$P$1001,MATCH(ROWS($O$2:O94),$O$2:$O$1001,0),1)&gt;=100000,INDEX($V$1005:$AE$1005,1,MATCH(COLUMNS($V$1006:AA1006),$V$1006:$AE$1006,0))&gt;=100000), " ",IF(INDEX($V$2:$AE$1001,MATCH(ROWS($O$2:O94),$O$2:$O$1001,0),MATCH(COLUMNS($V$1006:AA1006),$V$1006:$AE$1006,0)), HYPERLINK("#",""), HYPERLINK(CONCATENATE("#Metadata!", ADDRESS(INDEX($Q$2:$Q$1001,MATCH(ROWS($O$2:O94),$O$2:$O$1001,0),0), INDEX($V$1004:$AE$1004,1,MATCH(COLUMNS($V$1006:AA1006),$V$1006:$AE$1006,0)))),"Fix")))</f>
        <v>0</v>
      </c>
      <c r="H94" s="3">
        <f>IF(OR(INDEX($P$2:$P$1001,MATCH(ROWS($O$2:O94),$O$2:$O$1001,0),1)&gt;=100000,INDEX($V$1005:$AE$1005,1,MATCH(COLUMNS($V$1006:AB1006),$V$1006:$AE$1006,0))&gt;=100000), " ",IF(INDEX($V$2:$AE$1001,MATCH(ROWS($O$2:O94),$O$2:$O$1001,0),MATCH(COLUMNS($V$1006:AB1006),$V$1006:$AE$1006,0)), HYPERLINK("#",""), HYPERLINK(CONCATENATE("#Metadata!", ADDRESS(INDEX($Q$2:$Q$1001,MATCH(ROWS($O$2:O94),$O$2:$O$1001,0),0), INDEX($V$1004:$AE$1004,1,MATCH(COLUMNS($V$1006:AB1006),$V$1006:$AE$1006,0)))),"Fix")))</f>
        <v>0</v>
      </c>
      <c r="I94" s="3">
        <f>IF(OR(INDEX($P$2:$P$1001,MATCH(ROWS($O$2:O94),$O$2:$O$1001,0),1)&gt;=100000,INDEX($V$1005:$AE$1005,1,MATCH(COLUMNS($V$1006:AC1006),$V$1006:$AE$1006,0))&gt;=100000), " ",IF(INDEX($V$2:$AE$1001,MATCH(ROWS($O$2:O94),$O$2:$O$1001,0),MATCH(COLUMNS($V$1006:AC1006),$V$1006:$AE$1006,0)), HYPERLINK("#",""), HYPERLINK(CONCATENATE("#Metadata!", ADDRESS(INDEX($Q$2:$Q$1001,MATCH(ROWS($O$2:O94),$O$2:$O$1001,0),0), INDEX($V$1004:$AE$1004,1,MATCH(COLUMNS($V$1006:AC1006),$V$1006:$AE$1006,0)))),"Fix")))</f>
        <v>0</v>
      </c>
      <c r="J94" s="3">
        <f>IF(OR(INDEX($P$2:$P$1001,MATCH(ROWS($O$2:O94),$O$2:$O$1001,0),1)&gt;=100000,INDEX($V$1005:$AE$1005,1,MATCH(COLUMNS($V$1006:AD1006),$V$1006:$AE$1006,0))&gt;=100000), " ",IF(INDEX($V$2:$AE$1001,MATCH(ROWS($O$2:O94),$O$2:$O$1001,0),MATCH(COLUMNS($V$1006:AD1006),$V$1006:$AE$1006,0)), HYPERLINK("#",""), HYPERLINK(CONCATENATE("#Metadata!", ADDRESS(INDEX($Q$2:$Q$1001,MATCH(ROWS($O$2:O94),$O$2:$O$1001,0),0), INDEX($V$1004:$AE$1004,1,MATCH(COLUMNS($V$1006:AD1006),$V$1006:$AE$1006,0)))),"Fix")))</f>
        <v>0</v>
      </c>
      <c r="K94" s="3">
        <f>IF(OR(INDEX($P$2:$P$1001,MATCH(ROWS($O$2:O94),$O$2:$O$1001,0),1)&gt;=100000,INDEX($V$1005:$AE$1005,1,MATCH(COLUMNS($V$1006:AE1006),$V$1006:$AE$1006,0))&gt;=100000), " ",IF(INDEX($V$2:$AE$1001,MATCH(ROWS($O$2:O94),$O$2:$O$1001,0),MATCH(COLUMNS($V$1006:AE1006),$V$1006:$AE$1006,0)), HYPERLINK("#",""), HYPERLINK(CONCATENATE("#Metadata!", ADDRESS(INDEX($Q$2:$Q$1001,MATCH(ROWS($O$2:O94),$O$2:$O$1001,0),0), INDEX($V$1004:$AE$1004,1,MATCH(COLUMNS($V$1006:AE1006),$V$1006:$AE$1006,0)))),"Fix")))</f>
        <v>0</v>
      </c>
      <c r="O94">
        <v>0</v>
      </c>
      <c r="P94">
        <v>0</v>
      </c>
      <c r="Q94">
        <v>0</v>
      </c>
      <c r="R94">
        <f>IF(S94,TRUE,AND(V94:AE94))</f>
        <v>0</v>
      </c>
      <c r="S94">
        <f>COUNTBLANK(Metadata!B94:K94)=COLUMNS(Metadata!B94:K94)</f>
        <v>0</v>
      </c>
      <c r="T94">
        <v>0</v>
      </c>
      <c r="V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W94">
        <f>AND(IF(Metadata!C94="",FALSE,TRUE),exact(Metadata!C94,"animal secretion"))</f>
        <v>0</v>
      </c>
      <c r="X94">
        <f>AND(IF(Metadata!D94="",FALSE,TRUE),exact(Metadata!D94,"saliva"))</f>
        <v>0</v>
      </c>
      <c r="Y94">
        <f>AND(IF(Metadata!E94="",FALSE,TRUE),exact(Metadata!E94,"human-oral"))</f>
        <v>0</v>
      </c>
      <c r="Z94">
        <f>AND(IF(Metadata!F94="",FALSE,TRUE),exact(Metadata!F94,"UBERON:oral cavity"))</f>
        <v>0</v>
      </c>
      <c r="AA94">
        <f>AND(IF(Metadata!G94="",FALSE,TRUE),exact(Metadata!G94,"UBERON:saliva"))</f>
        <v>0</v>
      </c>
      <c r="AB94">
        <f>AND(IF(Metadata!H94="",FALSE,TRUE),exact(Metadata!H94,"UBERON:tongue"))</f>
        <v>0</v>
      </c>
      <c r="AC94">
        <f>AND(IF(Metadata!I94="",FALSE,TRUE),exact(Metadata!I94,"tongue"))</f>
        <v>0</v>
      </c>
      <c r="AD94">
        <f>AND(IF(Metadata!J94="",FALSE,TRUE),exact(Metadata!J94,"human oral metagenome"))</f>
        <v>0</v>
      </c>
      <c r="AE94">
        <f>AND(IF(Metadata!K94="",FALSE,TRUE),exact(Metadata!K94,"447426"))</f>
        <v>0</v>
      </c>
    </row>
    <row r="95" spans="1:31">
      <c r="A95" s="4">
        <f>IF(B95=" "," ",HYPERLINK(CONCATENATE("#metadata!",ADDRESS(INDEX($Q$2:$Q$1001,MATCH(ROWS($O$2:O95),$O$2:$O$1001,0),0),1)),INDEX($T$2:$T$1001,MATCH(ROWS($O$2:O95),$O$2:$O$1001,0),0)))</f>
        <v>0</v>
      </c>
      <c r="B95" s="3">
        <f>IF(OR(INDEX($P$2:$P$1001,MATCH(ROWS($O$2:O95),$O$2:$O$1001,0),1)&gt;=100000,INDEX($V$1005:$AE$1005,1,MATCH(COLUMNS($V$1006:V1006),$V$1006:$AE$1006,0))&gt;=100000), " ",IF(INDEX($V$2:$AE$1001,MATCH(ROWS($O$2:O95),$O$2:$O$1001,0),MATCH(COLUMNS($V$1006:V1006),$V$1006:$AE$1006,0)), HYPERLINK("#",""), HYPERLINK(CONCATENATE("#Metadata!", ADDRESS(INDEX($Q$2:$Q$1001,MATCH(ROWS($O$2:O95),$O$2:$O$1001,0),0), INDEX($V$1004:$AE$1004,1,MATCH(COLUMNS($V$1006:V1006),$V$1006:$AE$1006,0)))),"Fix")))</f>
        <v>0</v>
      </c>
      <c r="C95" s="3">
        <f>IF(OR(INDEX($P$2:$P$1001,MATCH(ROWS($O$2:O95),$O$2:$O$1001,0),1)&gt;=100000,INDEX($V$1005:$AE$1005,1,MATCH(COLUMNS($V$1006:W1006),$V$1006:$AE$1006,0))&gt;=100000), " ",IF(INDEX($V$2:$AE$1001,MATCH(ROWS($O$2:O95),$O$2:$O$1001,0),MATCH(COLUMNS($V$1006:W1006),$V$1006:$AE$1006,0)), HYPERLINK("#",""), HYPERLINK(CONCATENATE("#Metadata!", ADDRESS(INDEX($Q$2:$Q$1001,MATCH(ROWS($O$2:O95),$O$2:$O$1001,0),0), INDEX($V$1004:$AE$1004,1,MATCH(COLUMNS($V$1006:W1006),$V$1006:$AE$1006,0)))),"Fix")))</f>
        <v>0</v>
      </c>
      <c r="D95" s="3">
        <f>IF(OR(INDEX($P$2:$P$1001,MATCH(ROWS($O$2:O95),$O$2:$O$1001,0),1)&gt;=100000,INDEX($V$1005:$AE$1005,1,MATCH(COLUMNS($V$1006:X1006),$V$1006:$AE$1006,0))&gt;=100000), " ",IF(INDEX($V$2:$AE$1001,MATCH(ROWS($O$2:O95),$O$2:$O$1001,0),MATCH(COLUMNS($V$1006:X1006),$V$1006:$AE$1006,0)), HYPERLINK("#",""), HYPERLINK(CONCATENATE("#Metadata!", ADDRESS(INDEX($Q$2:$Q$1001,MATCH(ROWS($O$2:O95),$O$2:$O$1001,0),0), INDEX($V$1004:$AE$1004,1,MATCH(COLUMNS($V$1006:X1006),$V$1006:$AE$1006,0)))),"Fix")))</f>
        <v>0</v>
      </c>
      <c r="E95" s="3">
        <f>IF(OR(INDEX($P$2:$P$1001,MATCH(ROWS($O$2:O95),$O$2:$O$1001,0),1)&gt;=100000,INDEX($V$1005:$AE$1005,1,MATCH(COLUMNS($V$1006:Y1006),$V$1006:$AE$1006,0))&gt;=100000), " ",IF(INDEX($V$2:$AE$1001,MATCH(ROWS($O$2:O95),$O$2:$O$1001,0),MATCH(COLUMNS($V$1006:Y1006),$V$1006:$AE$1006,0)), HYPERLINK("#",""), HYPERLINK(CONCATENATE("#Metadata!", ADDRESS(INDEX($Q$2:$Q$1001,MATCH(ROWS($O$2:O95),$O$2:$O$1001,0),0), INDEX($V$1004:$AE$1004,1,MATCH(COLUMNS($V$1006:Y1006),$V$1006:$AE$1006,0)))),"Fix")))</f>
        <v>0</v>
      </c>
      <c r="F95" s="3">
        <f>IF(OR(INDEX($P$2:$P$1001,MATCH(ROWS($O$2:O95),$O$2:$O$1001,0),1)&gt;=100000,INDEX($V$1005:$AE$1005,1,MATCH(COLUMNS($V$1006:Z1006),$V$1006:$AE$1006,0))&gt;=100000), " ",IF(INDEX($V$2:$AE$1001,MATCH(ROWS($O$2:O95),$O$2:$O$1001,0),MATCH(COLUMNS($V$1006:Z1006),$V$1006:$AE$1006,0)), HYPERLINK("#",""), HYPERLINK(CONCATENATE("#Metadata!", ADDRESS(INDEX($Q$2:$Q$1001,MATCH(ROWS($O$2:O95),$O$2:$O$1001,0),0), INDEX($V$1004:$AE$1004,1,MATCH(COLUMNS($V$1006:Z1006),$V$1006:$AE$1006,0)))),"Fix")))</f>
        <v>0</v>
      </c>
      <c r="G95" s="3">
        <f>IF(OR(INDEX($P$2:$P$1001,MATCH(ROWS($O$2:O95),$O$2:$O$1001,0),1)&gt;=100000,INDEX($V$1005:$AE$1005,1,MATCH(COLUMNS($V$1006:AA1006),$V$1006:$AE$1006,0))&gt;=100000), " ",IF(INDEX($V$2:$AE$1001,MATCH(ROWS($O$2:O95),$O$2:$O$1001,0),MATCH(COLUMNS($V$1006:AA1006),$V$1006:$AE$1006,0)), HYPERLINK("#",""), HYPERLINK(CONCATENATE("#Metadata!", ADDRESS(INDEX($Q$2:$Q$1001,MATCH(ROWS($O$2:O95),$O$2:$O$1001,0),0), INDEX($V$1004:$AE$1004,1,MATCH(COLUMNS($V$1006:AA1006),$V$1006:$AE$1006,0)))),"Fix")))</f>
        <v>0</v>
      </c>
      <c r="H95" s="3">
        <f>IF(OR(INDEX($P$2:$P$1001,MATCH(ROWS($O$2:O95),$O$2:$O$1001,0),1)&gt;=100000,INDEX($V$1005:$AE$1005,1,MATCH(COLUMNS($V$1006:AB1006),$V$1006:$AE$1006,0))&gt;=100000), " ",IF(INDEX($V$2:$AE$1001,MATCH(ROWS($O$2:O95),$O$2:$O$1001,0),MATCH(COLUMNS($V$1006:AB1006),$V$1006:$AE$1006,0)), HYPERLINK("#",""), HYPERLINK(CONCATENATE("#Metadata!", ADDRESS(INDEX($Q$2:$Q$1001,MATCH(ROWS($O$2:O95),$O$2:$O$1001,0),0), INDEX($V$1004:$AE$1004,1,MATCH(COLUMNS($V$1006:AB1006),$V$1006:$AE$1006,0)))),"Fix")))</f>
        <v>0</v>
      </c>
      <c r="I95" s="3">
        <f>IF(OR(INDEX($P$2:$P$1001,MATCH(ROWS($O$2:O95),$O$2:$O$1001,0),1)&gt;=100000,INDEX($V$1005:$AE$1005,1,MATCH(COLUMNS($V$1006:AC1006),$V$1006:$AE$1006,0))&gt;=100000), " ",IF(INDEX($V$2:$AE$1001,MATCH(ROWS($O$2:O95),$O$2:$O$1001,0),MATCH(COLUMNS($V$1006:AC1006),$V$1006:$AE$1006,0)), HYPERLINK("#",""), HYPERLINK(CONCATENATE("#Metadata!", ADDRESS(INDEX($Q$2:$Q$1001,MATCH(ROWS($O$2:O95),$O$2:$O$1001,0),0), INDEX($V$1004:$AE$1004,1,MATCH(COLUMNS($V$1006:AC1006),$V$1006:$AE$1006,0)))),"Fix")))</f>
        <v>0</v>
      </c>
      <c r="J95" s="3">
        <f>IF(OR(INDEX($P$2:$P$1001,MATCH(ROWS($O$2:O95),$O$2:$O$1001,0),1)&gt;=100000,INDEX($V$1005:$AE$1005,1,MATCH(COLUMNS($V$1006:AD1006),$V$1006:$AE$1006,0))&gt;=100000), " ",IF(INDEX($V$2:$AE$1001,MATCH(ROWS($O$2:O95),$O$2:$O$1001,0),MATCH(COLUMNS($V$1006:AD1006),$V$1006:$AE$1006,0)), HYPERLINK("#",""), HYPERLINK(CONCATENATE("#Metadata!", ADDRESS(INDEX($Q$2:$Q$1001,MATCH(ROWS($O$2:O95),$O$2:$O$1001,0),0), INDEX($V$1004:$AE$1004,1,MATCH(COLUMNS($V$1006:AD1006),$V$1006:$AE$1006,0)))),"Fix")))</f>
        <v>0</v>
      </c>
      <c r="K95" s="3">
        <f>IF(OR(INDEX($P$2:$P$1001,MATCH(ROWS($O$2:O95),$O$2:$O$1001,0),1)&gt;=100000,INDEX($V$1005:$AE$1005,1,MATCH(COLUMNS($V$1006:AE1006),$V$1006:$AE$1006,0))&gt;=100000), " ",IF(INDEX($V$2:$AE$1001,MATCH(ROWS($O$2:O95),$O$2:$O$1001,0),MATCH(COLUMNS($V$1006:AE1006),$V$1006:$AE$1006,0)), HYPERLINK("#",""), HYPERLINK(CONCATENATE("#Metadata!", ADDRESS(INDEX($Q$2:$Q$1001,MATCH(ROWS($O$2:O95),$O$2:$O$1001,0),0), INDEX($V$1004:$AE$1004,1,MATCH(COLUMNS($V$1006:AE1006),$V$1006:$AE$1006,0)))),"Fix")))</f>
        <v>0</v>
      </c>
      <c r="O95">
        <v>0</v>
      </c>
      <c r="P95">
        <v>0</v>
      </c>
      <c r="Q95">
        <v>0</v>
      </c>
      <c r="R95">
        <f>IF(S95,TRUE,AND(V95:AE95))</f>
        <v>0</v>
      </c>
      <c r="S95">
        <f>COUNTBLANK(Metadata!B95:K95)=COLUMNS(Metadata!B95:K95)</f>
        <v>0</v>
      </c>
      <c r="T95">
        <v>0</v>
      </c>
      <c r="V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W95">
        <f>AND(IF(Metadata!C95="",FALSE,TRUE),exact(Metadata!C95,"animal secretion"))</f>
        <v>0</v>
      </c>
      <c r="X95">
        <f>AND(IF(Metadata!D95="",FALSE,TRUE),exact(Metadata!D95,"saliva"))</f>
        <v>0</v>
      </c>
      <c r="Y95">
        <f>AND(IF(Metadata!E95="",FALSE,TRUE),exact(Metadata!E95,"human-oral"))</f>
        <v>0</v>
      </c>
      <c r="Z95">
        <f>AND(IF(Metadata!F95="",FALSE,TRUE),exact(Metadata!F95,"UBERON:oral cavity"))</f>
        <v>0</v>
      </c>
      <c r="AA95">
        <f>AND(IF(Metadata!G95="",FALSE,TRUE),exact(Metadata!G95,"UBERON:saliva"))</f>
        <v>0</v>
      </c>
      <c r="AB95">
        <f>AND(IF(Metadata!H95="",FALSE,TRUE),exact(Metadata!H95,"UBERON:tongue"))</f>
        <v>0</v>
      </c>
      <c r="AC95">
        <f>AND(IF(Metadata!I95="",FALSE,TRUE),exact(Metadata!I95,"tongue"))</f>
        <v>0</v>
      </c>
      <c r="AD95">
        <f>AND(IF(Metadata!J95="",FALSE,TRUE),exact(Metadata!J95,"human oral metagenome"))</f>
        <v>0</v>
      </c>
      <c r="AE95">
        <f>AND(IF(Metadata!K95="",FALSE,TRUE),exact(Metadata!K95,"447426"))</f>
        <v>0</v>
      </c>
    </row>
    <row r="96" spans="1:31">
      <c r="A96" s="4">
        <f>IF(B96=" "," ",HYPERLINK(CONCATENATE("#metadata!",ADDRESS(INDEX($Q$2:$Q$1001,MATCH(ROWS($O$2:O96),$O$2:$O$1001,0),0),1)),INDEX($T$2:$T$1001,MATCH(ROWS($O$2:O96),$O$2:$O$1001,0),0)))</f>
        <v>0</v>
      </c>
      <c r="B96" s="3">
        <f>IF(OR(INDEX($P$2:$P$1001,MATCH(ROWS($O$2:O96),$O$2:$O$1001,0),1)&gt;=100000,INDEX($V$1005:$AE$1005,1,MATCH(COLUMNS($V$1006:V1006),$V$1006:$AE$1006,0))&gt;=100000), " ",IF(INDEX($V$2:$AE$1001,MATCH(ROWS($O$2:O96),$O$2:$O$1001,0),MATCH(COLUMNS($V$1006:V1006),$V$1006:$AE$1006,0)), HYPERLINK("#",""), HYPERLINK(CONCATENATE("#Metadata!", ADDRESS(INDEX($Q$2:$Q$1001,MATCH(ROWS($O$2:O96),$O$2:$O$1001,0),0), INDEX($V$1004:$AE$1004,1,MATCH(COLUMNS($V$1006:V1006),$V$1006:$AE$1006,0)))),"Fix")))</f>
        <v>0</v>
      </c>
      <c r="C96" s="3">
        <f>IF(OR(INDEX($P$2:$P$1001,MATCH(ROWS($O$2:O96),$O$2:$O$1001,0),1)&gt;=100000,INDEX($V$1005:$AE$1005,1,MATCH(COLUMNS($V$1006:W1006),$V$1006:$AE$1006,0))&gt;=100000), " ",IF(INDEX($V$2:$AE$1001,MATCH(ROWS($O$2:O96),$O$2:$O$1001,0),MATCH(COLUMNS($V$1006:W1006),$V$1006:$AE$1006,0)), HYPERLINK("#",""), HYPERLINK(CONCATENATE("#Metadata!", ADDRESS(INDEX($Q$2:$Q$1001,MATCH(ROWS($O$2:O96),$O$2:$O$1001,0),0), INDEX($V$1004:$AE$1004,1,MATCH(COLUMNS($V$1006:W1006),$V$1006:$AE$1006,0)))),"Fix")))</f>
        <v>0</v>
      </c>
      <c r="D96" s="3">
        <f>IF(OR(INDEX($P$2:$P$1001,MATCH(ROWS($O$2:O96),$O$2:$O$1001,0),1)&gt;=100000,INDEX($V$1005:$AE$1005,1,MATCH(COLUMNS($V$1006:X1006),$V$1006:$AE$1006,0))&gt;=100000), " ",IF(INDEX($V$2:$AE$1001,MATCH(ROWS($O$2:O96),$O$2:$O$1001,0),MATCH(COLUMNS($V$1006:X1006),$V$1006:$AE$1006,0)), HYPERLINK("#",""), HYPERLINK(CONCATENATE("#Metadata!", ADDRESS(INDEX($Q$2:$Q$1001,MATCH(ROWS($O$2:O96),$O$2:$O$1001,0),0), INDEX($V$1004:$AE$1004,1,MATCH(COLUMNS($V$1006:X1006),$V$1006:$AE$1006,0)))),"Fix")))</f>
        <v>0</v>
      </c>
      <c r="E96" s="3">
        <f>IF(OR(INDEX($P$2:$P$1001,MATCH(ROWS($O$2:O96),$O$2:$O$1001,0),1)&gt;=100000,INDEX($V$1005:$AE$1005,1,MATCH(COLUMNS($V$1006:Y1006),$V$1006:$AE$1006,0))&gt;=100000), " ",IF(INDEX($V$2:$AE$1001,MATCH(ROWS($O$2:O96),$O$2:$O$1001,0),MATCH(COLUMNS($V$1006:Y1006),$V$1006:$AE$1006,0)), HYPERLINK("#",""), HYPERLINK(CONCATENATE("#Metadata!", ADDRESS(INDEX($Q$2:$Q$1001,MATCH(ROWS($O$2:O96),$O$2:$O$1001,0),0), INDEX($V$1004:$AE$1004,1,MATCH(COLUMNS($V$1006:Y1006),$V$1006:$AE$1006,0)))),"Fix")))</f>
        <v>0</v>
      </c>
      <c r="F96" s="3">
        <f>IF(OR(INDEX($P$2:$P$1001,MATCH(ROWS($O$2:O96),$O$2:$O$1001,0),1)&gt;=100000,INDEX($V$1005:$AE$1005,1,MATCH(COLUMNS($V$1006:Z1006),$V$1006:$AE$1006,0))&gt;=100000), " ",IF(INDEX($V$2:$AE$1001,MATCH(ROWS($O$2:O96),$O$2:$O$1001,0),MATCH(COLUMNS($V$1006:Z1006),$V$1006:$AE$1006,0)), HYPERLINK("#",""), HYPERLINK(CONCATENATE("#Metadata!", ADDRESS(INDEX($Q$2:$Q$1001,MATCH(ROWS($O$2:O96),$O$2:$O$1001,0),0), INDEX($V$1004:$AE$1004,1,MATCH(COLUMNS($V$1006:Z1006),$V$1006:$AE$1006,0)))),"Fix")))</f>
        <v>0</v>
      </c>
      <c r="G96" s="3">
        <f>IF(OR(INDEX($P$2:$P$1001,MATCH(ROWS($O$2:O96),$O$2:$O$1001,0),1)&gt;=100000,INDEX($V$1005:$AE$1005,1,MATCH(COLUMNS($V$1006:AA1006),$V$1006:$AE$1006,0))&gt;=100000), " ",IF(INDEX($V$2:$AE$1001,MATCH(ROWS($O$2:O96),$O$2:$O$1001,0),MATCH(COLUMNS($V$1006:AA1006),$V$1006:$AE$1006,0)), HYPERLINK("#",""), HYPERLINK(CONCATENATE("#Metadata!", ADDRESS(INDEX($Q$2:$Q$1001,MATCH(ROWS($O$2:O96),$O$2:$O$1001,0),0), INDEX($V$1004:$AE$1004,1,MATCH(COLUMNS($V$1006:AA1006),$V$1006:$AE$1006,0)))),"Fix")))</f>
        <v>0</v>
      </c>
      <c r="H96" s="3">
        <f>IF(OR(INDEX($P$2:$P$1001,MATCH(ROWS($O$2:O96),$O$2:$O$1001,0),1)&gt;=100000,INDEX($V$1005:$AE$1005,1,MATCH(COLUMNS($V$1006:AB1006),$V$1006:$AE$1006,0))&gt;=100000), " ",IF(INDEX($V$2:$AE$1001,MATCH(ROWS($O$2:O96),$O$2:$O$1001,0),MATCH(COLUMNS($V$1006:AB1006),$V$1006:$AE$1006,0)), HYPERLINK("#",""), HYPERLINK(CONCATENATE("#Metadata!", ADDRESS(INDEX($Q$2:$Q$1001,MATCH(ROWS($O$2:O96),$O$2:$O$1001,0),0), INDEX($V$1004:$AE$1004,1,MATCH(COLUMNS($V$1006:AB1006),$V$1006:$AE$1006,0)))),"Fix")))</f>
        <v>0</v>
      </c>
      <c r="I96" s="3">
        <f>IF(OR(INDEX($P$2:$P$1001,MATCH(ROWS($O$2:O96),$O$2:$O$1001,0),1)&gt;=100000,INDEX($V$1005:$AE$1005,1,MATCH(COLUMNS($V$1006:AC1006),$V$1006:$AE$1006,0))&gt;=100000), " ",IF(INDEX($V$2:$AE$1001,MATCH(ROWS($O$2:O96),$O$2:$O$1001,0),MATCH(COLUMNS($V$1006:AC1006),$V$1006:$AE$1006,0)), HYPERLINK("#",""), HYPERLINK(CONCATENATE("#Metadata!", ADDRESS(INDEX($Q$2:$Q$1001,MATCH(ROWS($O$2:O96),$O$2:$O$1001,0),0), INDEX($V$1004:$AE$1004,1,MATCH(COLUMNS($V$1006:AC1006),$V$1006:$AE$1006,0)))),"Fix")))</f>
        <v>0</v>
      </c>
      <c r="J96" s="3">
        <f>IF(OR(INDEX($P$2:$P$1001,MATCH(ROWS($O$2:O96),$O$2:$O$1001,0),1)&gt;=100000,INDEX($V$1005:$AE$1005,1,MATCH(COLUMNS($V$1006:AD1006),$V$1006:$AE$1006,0))&gt;=100000), " ",IF(INDEX($V$2:$AE$1001,MATCH(ROWS($O$2:O96),$O$2:$O$1001,0),MATCH(COLUMNS($V$1006:AD1006),$V$1006:$AE$1006,0)), HYPERLINK("#",""), HYPERLINK(CONCATENATE("#Metadata!", ADDRESS(INDEX($Q$2:$Q$1001,MATCH(ROWS($O$2:O96),$O$2:$O$1001,0),0), INDEX($V$1004:$AE$1004,1,MATCH(COLUMNS($V$1006:AD1006),$V$1006:$AE$1006,0)))),"Fix")))</f>
        <v>0</v>
      </c>
      <c r="K96" s="3">
        <f>IF(OR(INDEX($P$2:$P$1001,MATCH(ROWS($O$2:O96),$O$2:$O$1001,0),1)&gt;=100000,INDEX($V$1005:$AE$1005,1,MATCH(COLUMNS($V$1006:AE1006),$V$1006:$AE$1006,0))&gt;=100000), " ",IF(INDEX($V$2:$AE$1001,MATCH(ROWS($O$2:O96),$O$2:$O$1001,0),MATCH(COLUMNS($V$1006:AE1006),$V$1006:$AE$1006,0)), HYPERLINK("#",""), HYPERLINK(CONCATENATE("#Metadata!", ADDRESS(INDEX($Q$2:$Q$1001,MATCH(ROWS($O$2:O96),$O$2:$O$1001,0),0), INDEX($V$1004:$AE$1004,1,MATCH(COLUMNS($V$1006:AE1006),$V$1006:$AE$1006,0)))),"Fix")))</f>
        <v>0</v>
      </c>
      <c r="O96">
        <v>0</v>
      </c>
      <c r="P96">
        <v>0</v>
      </c>
      <c r="Q96">
        <v>0</v>
      </c>
      <c r="R96">
        <f>IF(S96,TRUE,AND(V96:AE96))</f>
        <v>0</v>
      </c>
      <c r="S96">
        <f>COUNTBLANK(Metadata!B96:K96)=COLUMNS(Metadata!B96:K96)</f>
        <v>0</v>
      </c>
      <c r="T96">
        <v>0</v>
      </c>
      <c r="V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W96">
        <f>AND(IF(Metadata!C96="",FALSE,TRUE),exact(Metadata!C96,"animal secretion"))</f>
        <v>0</v>
      </c>
      <c r="X96">
        <f>AND(IF(Metadata!D96="",FALSE,TRUE),exact(Metadata!D96,"saliva"))</f>
        <v>0</v>
      </c>
      <c r="Y96">
        <f>AND(IF(Metadata!E96="",FALSE,TRUE),exact(Metadata!E96,"human-oral"))</f>
        <v>0</v>
      </c>
      <c r="Z96">
        <f>AND(IF(Metadata!F96="",FALSE,TRUE),exact(Metadata!F96,"UBERON:oral cavity"))</f>
        <v>0</v>
      </c>
      <c r="AA96">
        <f>AND(IF(Metadata!G96="",FALSE,TRUE),exact(Metadata!G96,"UBERON:saliva"))</f>
        <v>0</v>
      </c>
      <c r="AB96">
        <f>AND(IF(Metadata!H96="",FALSE,TRUE),exact(Metadata!H96,"UBERON:tongue"))</f>
        <v>0</v>
      </c>
      <c r="AC96">
        <f>AND(IF(Metadata!I96="",FALSE,TRUE),exact(Metadata!I96,"tongue"))</f>
        <v>0</v>
      </c>
      <c r="AD96">
        <f>AND(IF(Metadata!J96="",FALSE,TRUE),exact(Metadata!J96,"human oral metagenome"))</f>
        <v>0</v>
      </c>
      <c r="AE96">
        <f>AND(IF(Metadata!K96="",FALSE,TRUE),exact(Metadata!K96,"447426"))</f>
        <v>0</v>
      </c>
    </row>
    <row r="97" spans="1:31">
      <c r="A97" s="4">
        <f>IF(B97=" "," ",HYPERLINK(CONCATENATE("#metadata!",ADDRESS(INDEX($Q$2:$Q$1001,MATCH(ROWS($O$2:O97),$O$2:$O$1001,0),0),1)),INDEX($T$2:$T$1001,MATCH(ROWS($O$2:O97),$O$2:$O$1001,0),0)))</f>
        <v>0</v>
      </c>
      <c r="B97" s="3">
        <f>IF(OR(INDEX($P$2:$P$1001,MATCH(ROWS($O$2:O97),$O$2:$O$1001,0),1)&gt;=100000,INDEX($V$1005:$AE$1005,1,MATCH(COLUMNS($V$1006:V1006),$V$1006:$AE$1006,0))&gt;=100000), " ",IF(INDEX($V$2:$AE$1001,MATCH(ROWS($O$2:O97),$O$2:$O$1001,0),MATCH(COLUMNS($V$1006:V1006),$V$1006:$AE$1006,0)), HYPERLINK("#",""), HYPERLINK(CONCATENATE("#Metadata!", ADDRESS(INDEX($Q$2:$Q$1001,MATCH(ROWS($O$2:O97),$O$2:$O$1001,0),0), INDEX($V$1004:$AE$1004,1,MATCH(COLUMNS($V$1006:V1006),$V$1006:$AE$1006,0)))),"Fix")))</f>
        <v>0</v>
      </c>
      <c r="C97" s="3">
        <f>IF(OR(INDEX($P$2:$P$1001,MATCH(ROWS($O$2:O97),$O$2:$O$1001,0),1)&gt;=100000,INDEX($V$1005:$AE$1005,1,MATCH(COLUMNS($V$1006:W1006),$V$1006:$AE$1006,0))&gt;=100000), " ",IF(INDEX($V$2:$AE$1001,MATCH(ROWS($O$2:O97),$O$2:$O$1001,0),MATCH(COLUMNS($V$1006:W1006),$V$1006:$AE$1006,0)), HYPERLINK("#",""), HYPERLINK(CONCATENATE("#Metadata!", ADDRESS(INDEX($Q$2:$Q$1001,MATCH(ROWS($O$2:O97),$O$2:$O$1001,0),0), INDEX($V$1004:$AE$1004,1,MATCH(COLUMNS($V$1006:W1006),$V$1006:$AE$1006,0)))),"Fix")))</f>
        <v>0</v>
      </c>
      <c r="D97" s="3">
        <f>IF(OR(INDEX($P$2:$P$1001,MATCH(ROWS($O$2:O97),$O$2:$O$1001,0),1)&gt;=100000,INDEX($V$1005:$AE$1005,1,MATCH(COLUMNS($V$1006:X1006),$V$1006:$AE$1006,0))&gt;=100000), " ",IF(INDEX($V$2:$AE$1001,MATCH(ROWS($O$2:O97),$O$2:$O$1001,0),MATCH(COLUMNS($V$1006:X1006),$V$1006:$AE$1006,0)), HYPERLINK("#",""), HYPERLINK(CONCATENATE("#Metadata!", ADDRESS(INDEX($Q$2:$Q$1001,MATCH(ROWS($O$2:O97),$O$2:$O$1001,0),0), INDEX($V$1004:$AE$1004,1,MATCH(COLUMNS($V$1006:X1006),$V$1006:$AE$1006,0)))),"Fix")))</f>
        <v>0</v>
      </c>
      <c r="E97" s="3">
        <f>IF(OR(INDEX($P$2:$P$1001,MATCH(ROWS($O$2:O97),$O$2:$O$1001,0),1)&gt;=100000,INDEX($V$1005:$AE$1005,1,MATCH(COLUMNS($V$1006:Y1006),$V$1006:$AE$1006,0))&gt;=100000), " ",IF(INDEX($V$2:$AE$1001,MATCH(ROWS($O$2:O97),$O$2:$O$1001,0),MATCH(COLUMNS($V$1006:Y1006),$V$1006:$AE$1006,0)), HYPERLINK("#",""), HYPERLINK(CONCATENATE("#Metadata!", ADDRESS(INDEX($Q$2:$Q$1001,MATCH(ROWS($O$2:O97),$O$2:$O$1001,0),0), INDEX($V$1004:$AE$1004,1,MATCH(COLUMNS($V$1006:Y1006),$V$1006:$AE$1006,0)))),"Fix")))</f>
        <v>0</v>
      </c>
      <c r="F97" s="3">
        <f>IF(OR(INDEX($P$2:$P$1001,MATCH(ROWS($O$2:O97),$O$2:$O$1001,0),1)&gt;=100000,INDEX($V$1005:$AE$1005,1,MATCH(COLUMNS($V$1006:Z1006),$V$1006:$AE$1006,0))&gt;=100000), " ",IF(INDEX($V$2:$AE$1001,MATCH(ROWS($O$2:O97),$O$2:$O$1001,0),MATCH(COLUMNS($V$1006:Z1006),$V$1006:$AE$1006,0)), HYPERLINK("#",""), HYPERLINK(CONCATENATE("#Metadata!", ADDRESS(INDEX($Q$2:$Q$1001,MATCH(ROWS($O$2:O97),$O$2:$O$1001,0),0), INDEX($V$1004:$AE$1004,1,MATCH(COLUMNS($V$1006:Z1006),$V$1006:$AE$1006,0)))),"Fix")))</f>
        <v>0</v>
      </c>
      <c r="G97" s="3">
        <f>IF(OR(INDEX($P$2:$P$1001,MATCH(ROWS($O$2:O97),$O$2:$O$1001,0),1)&gt;=100000,INDEX($V$1005:$AE$1005,1,MATCH(COLUMNS($V$1006:AA1006),$V$1006:$AE$1006,0))&gt;=100000), " ",IF(INDEX($V$2:$AE$1001,MATCH(ROWS($O$2:O97),$O$2:$O$1001,0),MATCH(COLUMNS($V$1006:AA1006),$V$1006:$AE$1006,0)), HYPERLINK("#",""), HYPERLINK(CONCATENATE("#Metadata!", ADDRESS(INDEX($Q$2:$Q$1001,MATCH(ROWS($O$2:O97),$O$2:$O$1001,0),0), INDEX($V$1004:$AE$1004,1,MATCH(COLUMNS($V$1006:AA1006),$V$1006:$AE$1006,0)))),"Fix")))</f>
        <v>0</v>
      </c>
      <c r="H97" s="3">
        <f>IF(OR(INDEX($P$2:$P$1001,MATCH(ROWS($O$2:O97),$O$2:$O$1001,0),1)&gt;=100000,INDEX($V$1005:$AE$1005,1,MATCH(COLUMNS($V$1006:AB1006),$V$1006:$AE$1006,0))&gt;=100000), " ",IF(INDEX($V$2:$AE$1001,MATCH(ROWS($O$2:O97),$O$2:$O$1001,0),MATCH(COLUMNS($V$1006:AB1006),$V$1006:$AE$1006,0)), HYPERLINK("#",""), HYPERLINK(CONCATENATE("#Metadata!", ADDRESS(INDEX($Q$2:$Q$1001,MATCH(ROWS($O$2:O97),$O$2:$O$1001,0),0), INDEX($V$1004:$AE$1004,1,MATCH(COLUMNS($V$1006:AB1006),$V$1006:$AE$1006,0)))),"Fix")))</f>
        <v>0</v>
      </c>
      <c r="I97" s="3">
        <f>IF(OR(INDEX($P$2:$P$1001,MATCH(ROWS($O$2:O97),$O$2:$O$1001,0),1)&gt;=100000,INDEX($V$1005:$AE$1005,1,MATCH(COLUMNS($V$1006:AC1006),$V$1006:$AE$1006,0))&gt;=100000), " ",IF(INDEX($V$2:$AE$1001,MATCH(ROWS($O$2:O97),$O$2:$O$1001,0),MATCH(COLUMNS($V$1006:AC1006),$V$1006:$AE$1006,0)), HYPERLINK("#",""), HYPERLINK(CONCATENATE("#Metadata!", ADDRESS(INDEX($Q$2:$Q$1001,MATCH(ROWS($O$2:O97),$O$2:$O$1001,0),0), INDEX($V$1004:$AE$1004,1,MATCH(COLUMNS($V$1006:AC1006),$V$1006:$AE$1006,0)))),"Fix")))</f>
        <v>0</v>
      </c>
      <c r="J97" s="3">
        <f>IF(OR(INDEX($P$2:$P$1001,MATCH(ROWS($O$2:O97),$O$2:$O$1001,0),1)&gt;=100000,INDEX($V$1005:$AE$1005,1,MATCH(COLUMNS($V$1006:AD1006),$V$1006:$AE$1006,0))&gt;=100000), " ",IF(INDEX($V$2:$AE$1001,MATCH(ROWS($O$2:O97),$O$2:$O$1001,0),MATCH(COLUMNS($V$1006:AD1006),$V$1006:$AE$1006,0)), HYPERLINK("#",""), HYPERLINK(CONCATENATE("#Metadata!", ADDRESS(INDEX($Q$2:$Q$1001,MATCH(ROWS($O$2:O97),$O$2:$O$1001,0),0), INDEX($V$1004:$AE$1004,1,MATCH(COLUMNS($V$1006:AD1006),$V$1006:$AE$1006,0)))),"Fix")))</f>
        <v>0</v>
      </c>
      <c r="K97" s="3">
        <f>IF(OR(INDEX($P$2:$P$1001,MATCH(ROWS($O$2:O97),$O$2:$O$1001,0),1)&gt;=100000,INDEX($V$1005:$AE$1005,1,MATCH(COLUMNS($V$1006:AE1006),$V$1006:$AE$1006,0))&gt;=100000), " ",IF(INDEX($V$2:$AE$1001,MATCH(ROWS($O$2:O97),$O$2:$O$1001,0),MATCH(COLUMNS($V$1006:AE1006),$V$1006:$AE$1006,0)), HYPERLINK("#",""), HYPERLINK(CONCATENATE("#Metadata!", ADDRESS(INDEX($Q$2:$Q$1001,MATCH(ROWS($O$2:O97),$O$2:$O$1001,0),0), INDEX($V$1004:$AE$1004,1,MATCH(COLUMNS($V$1006:AE1006),$V$1006:$AE$1006,0)))),"Fix")))</f>
        <v>0</v>
      </c>
      <c r="O97">
        <v>0</v>
      </c>
      <c r="P97">
        <v>0</v>
      </c>
      <c r="Q97">
        <v>0</v>
      </c>
      <c r="R97">
        <f>IF(S97,TRUE,AND(V97:AE97))</f>
        <v>0</v>
      </c>
      <c r="S97">
        <f>COUNTBLANK(Metadata!B97:K97)=COLUMNS(Metadata!B97:K97)</f>
        <v>0</v>
      </c>
      <c r="T97">
        <v>0</v>
      </c>
      <c r="V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W97">
        <f>AND(IF(Metadata!C97="",FALSE,TRUE),exact(Metadata!C97,"animal secretion"))</f>
        <v>0</v>
      </c>
      <c r="X97">
        <f>AND(IF(Metadata!D97="",FALSE,TRUE),exact(Metadata!D97,"saliva"))</f>
        <v>0</v>
      </c>
      <c r="Y97">
        <f>AND(IF(Metadata!E97="",FALSE,TRUE),exact(Metadata!E97,"human-oral"))</f>
        <v>0</v>
      </c>
      <c r="Z97">
        <f>AND(IF(Metadata!F97="",FALSE,TRUE),exact(Metadata!F97,"UBERON:oral cavity"))</f>
        <v>0</v>
      </c>
      <c r="AA97">
        <f>AND(IF(Metadata!G97="",FALSE,TRUE),exact(Metadata!G97,"UBERON:saliva"))</f>
        <v>0</v>
      </c>
      <c r="AB97">
        <f>AND(IF(Metadata!H97="",FALSE,TRUE),exact(Metadata!H97,"UBERON:tongue"))</f>
        <v>0</v>
      </c>
      <c r="AC97">
        <f>AND(IF(Metadata!I97="",FALSE,TRUE),exact(Metadata!I97,"tongue"))</f>
        <v>0</v>
      </c>
      <c r="AD97">
        <f>AND(IF(Metadata!J97="",FALSE,TRUE),exact(Metadata!J97,"human oral metagenome"))</f>
        <v>0</v>
      </c>
      <c r="AE97">
        <f>AND(IF(Metadata!K97="",FALSE,TRUE),exact(Metadata!K97,"447426"))</f>
        <v>0</v>
      </c>
    </row>
    <row r="98" spans="1:31">
      <c r="A98" s="4">
        <f>IF(B98=" "," ",HYPERLINK(CONCATENATE("#metadata!",ADDRESS(INDEX($Q$2:$Q$1001,MATCH(ROWS($O$2:O98),$O$2:$O$1001,0),0),1)),INDEX($T$2:$T$1001,MATCH(ROWS($O$2:O98),$O$2:$O$1001,0),0)))</f>
        <v>0</v>
      </c>
      <c r="B98" s="3">
        <f>IF(OR(INDEX($P$2:$P$1001,MATCH(ROWS($O$2:O98),$O$2:$O$1001,0),1)&gt;=100000,INDEX($V$1005:$AE$1005,1,MATCH(COLUMNS($V$1006:V1006),$V$1006:$AE$1006,0))&gt;=100000), " ",IF(INDEX($V$2:$AE$1001,MATCH(ROWS($O$2:O98),$O$2:$O$1001,0),MATCH(COLUMNS($V$1006:V1006),$V$1006:$AE$1006,0)), HYPERLINK("#",""), HYPERLINK(CONCATENATE("#Metadata!", ADDRESS(INDEX($Q$2:$Q$1001,MATCH(ROWS($O$2:O98),$O$2:$O$1001,0),0), INDEX($V$1004:$AE$1004,1,MATCH(COLUMNS($V$1006:V1006),$V$1006:$AE$1006,0)))),"Fix")))</f>
        <v>0</v>
      </c>
      <c r="C98" s="3">
        <f>IF(OR(INDEX($P$2:$P$1001,MATCH(ROWS($O$2:O98),$O$2:$O$1001,0),1)&gt;=100000,INDEX($V$1005:$AE$1005,1,MATCH(COLUMNS($V$1006:W1006),$V$1006:$AE$1006,0))&gt;=100000), " ",IF(INDEX($V$2:$AE$1001,MATCH(ROWS($O$2:O98),$O$2:$O$1001,0),MATCH(COLUMNS($V$1006:W1006),$V$1006:$AE$1006,0)), HYPERLINK("#",""), HYPERLINK(CONCATENATE("#Metadata!", ADDRESS(INDEX($Q$2:$Q$1001,MATCH(ROWS($O$2:O98),$O$2:$O$1001,0),0), INDEX($V$1004:$AE$1004,1,MATCH(COLUMNS($V$1006:W1006),$V$1006:$AE$1006,0)))),"Fix")))</f>
        <v>0</v>
      </c>
      <c r="D98" s="3">
        <f>IF(OR(INDEX($P$2:$P$1001,MATCH(ROWS($O$2:O98),$O$2:$O$1001,0),1)&gt;=100000,INDEX($V$1005:$AE$1005,1,MATCH(COLUMNS($V$1006:X1006),$V$1006:$AE$1006,0))&gt;=100000), " ",IF(INDEX($V$2:$AE$1001,MATCH(ROWS($O$2:O98),$O$2:$O$1001,0),MATCH(COLUMNS($V$1006:X1006),$V$1006:$AE$1006,0)), HYPERLINK("#",""), HYPERLINK(CONCATENATE("#Metadata!", ADDRESS(INDEX($Q$2:$Q$1001,MATCH(ROWS($O$2:O98),$O$2:$O$1001,0),0), INDEX($V$1004:$AE$1004,1,MATCH(COLUMNS($V$1006:X1006),$V$1006:$AE$1006,0)))),"Fix")))</f>
        <v>0</v>
      </c>
      <c r="E98" s="3">
        <f>IF(OR(INDEX($P$2:$P$1001,MATCH(ROWS($O$2:O98),$O$2:$O$1001,0),1)&gt;=100000,INDEX($V$1005:$AE$1005,1,MATCH(COLUMNS($V$1006:Y1006),$V$1006:$AE$1006,0))&gt;=100000), " ",IF(INDEX($V$2:$AE$1001,MATCH(ROWS($O$2:O98),$O$2:$O$1001,0),MATCH(COLUMNS($V$1006:Y1006),$V$1006:$AE$1006,0)), HYPERLINK("#",""), HYPERLINK(CONCATENATE("#Metadata!", ADDRESS(INDEX($Q$2:$Q$1001,MATCH(ROWS($O$2:O98),$O$2:$O$1001,0),0), INDEX($V$1004:$AE$1004,1,MATCH(COLUMNS($V$1006:Y1006),$V$1006:$AE$1006,0)))),"Fix")))</f>
        <v>0</v>
      </c>
      <c r="F98" s="3">
        <f>IF(OR(INDEX($P$2:$P$1001,MATCH(ROWS($O$2:O98),$O$2:$O$1001,0),1)&gt;=100000,INDEX($V$1005:$AE$1005,1,MATCH(COLUMNS($V$1006:Z1006),$V$1006:$AE$1006,0))&gt;=100000), " ",IF(INDEX($V$2:$AE$1001,MATCH(ROWS($O$2:O98),$O$2:$O$1001,0),MATCH(COLUMNS($V$1006:Z1006),$V$1006:$AE$1006,0)), HYPERLINK("#",""), HYPERLINK(CONCATENATE("#Metadata!", ADDRESS(INDEX($Q$2:$Q$1001,MATCH(ROWS($O$2:O98),$O$2:$O$1001,0),0), INDEX($V$1004:$AE$1004,1,MATCH(COLUMNS($V$1006:Z1006),$V$1006:$AE$1006,0)))),"Fix")))</f>
        <v>0</v>
      </c>
      <c r="G98" s="3">
        <f>IF(OR(INDEX($P$2:$P$1001,MATCH(ROWS($O$2:O98),$O$2:$O$1001,0),1)&gt;=100000,INDEX($V$1005:$AE$1005,1,MATCH(COLUMNS($V$1006:AA1006),$V$1006:$AE$1006,0))&gt;=100000), " ",IF(INDEX($V$2:$AE$1001,MATCH(ROWS($O$2:O98),$O$2:$O$1001,0),MATCH(COLUMNS($V$1006:AA1006),$V$1006:$AE$1006,0)), HYPERLINK("#",""), HYPERLINK(CONCATENATE("#Metadata!", ADDRESS(INDEX($Q$2:$Q$1001,MATCH(ROWS($O$2:O98),$O$2:$O$1001,0),0), INDEX($V$1004:$AE$1004,1,MATCH(COLUMNS($V$1006:AA1006),$V$1006:$AE$1006,0)))),"Fix")))</f>
        <v>0</v>
      </c>
      <c r="H98" s="3">
        <f>IF(OR(INDEX($P$2:$P$1001,MATCH(ROWS($O$2:O98),$O$2:$O$1001,0),1)&gt;=100000,INDEX($V$1005:$AE$1005,1,MATCH(COLUMNS($V$1006:AB1006),$V$1006:$AE$1006,0))&gt;=100000), " ",IF(INDEX($V$2:$AE$1001,MATCH(ROWS($O$2:O98),$O$2:$O$1001,0),MATCH(COLUMNS($V$1006:AB1006),$V$1006:$AE$1006,0)), HYPERLINK("#",""), HYPERLINK(CONCATENATE("#Metadata!", ADDRESS(INDEX($Q$2:$Q$1001,MATCH(ROWS($O$2:O98),$O$2:$O$1001,0),0), INDEX($V$1004:$AE$1004,1,MATCH(COLUMNS($V$1006:AB1006),$V$1006:$AE$1006,0)))),"Fix")))</f>
        <v>0</v>
      </c>
      <c r="I98" s="3">
        <f>IF(OR(INDEX($P$2:$P$1001,MATCH(ROWS($O$2:O98),$O$2:$O$1001,0),1)&gt;=100000,INDEX($V$1005:$AE$1005,1,MATCH(COLUMNS($V$1006:AC1006),$V$1006:$AE$1006,0))&gt;=100000), " ",IF(INDEX($V$2:$AE$1001,MATCH(ROWS($O$2:O98),$O$2:$O$1001,0),MATCH(COLUMNS($V$1006:AC1006),$V$1006:$AE$1006,0)), HYPERLINK("#",""), HYPERLINK(CONCATENATE("#Metadata!", ADDRESS(INDEX($Q$2:$Q$1001,MATCH(ROWS($O$2:O98),$O$2:$O$1001,0),0), INDEX($V$1004:$AE$1004,1,MATCH(COLUMNS($V$1006:AC1006),$V$1006:$AE$1006,0)))),"Fix")))</f>
        <v>0</v>
      </c>
      <c r="J98" s="3">
        <f>IF(OR(INDEX($P$2:$P$1001,MATCH(ROWS($O$2:O98),$O$2:$O$1001,0),1)&gt;=100000,INDEX($V$1005:$AE$1005,1,MATCH(COLUMNS($V$1006:AD1006),$V$1006:$AE$1006,0))&gt;=100000), " ",IF(INDEX($V$2:$AE$1001,MATCH(ROWS($O$2:O98),$O$2:$O$1001,0),MATCH(COLUMNS($V$1006:AD1006),$V$1006:$AE$1006,0)), HYPERLINK("#",""), HYPERLINK(CONCATENATE("#Metadata!", ADDRESS(INDEX($Q$2:$Q$1001,MATCH(ROWS($O$2:O98),$O$2:$O$1001,0),0), INDEX($V$1004:$AE$1004,1,MATCH(COLUMNS($V$1006:AD1006),$V$1006:$AE$1006,0)))),"Fix")))</f>
        <v>0</v>
      </c>
      <c r="K98" s="3">
        <f>IF(OR(INDEX($P$2:$P$1001,MATCH(ROWS($O$2:O98),$O$2:$O$1001,0),1)&gt;=100000,INDEX($V$1005:$AE$1005,1,MATCH(COLUMNS($V$1006:AE1006),$V$1006:$AE$1006,0))&gt;=100000), " ",IF(INDEX($V$2:$AE$1001,MATCH(ROWS($O$2:O98),$O$2:$O$1001,0),MATCH(COLUMNS($V$1006:AE1006),$V$1006:$AE$1006,0)), HYPERLINK("#",""), HYPERLINK(CONCATENATE("#Metadata!", ADDRESS(INDEX($Q$2:$Q$1001,MATCH(ROWS($O$2:O98),$O$2:$O$1001,0),0), INDEX($V$1004:$AE$1004,1,MATCH(COLUMNS($V$1006:AE1006),$V$1006:$AE$1006,0)))),"Fix")))</f>
        <v>0</v>
      </c>
      <c r="O98">
        <v>0</v>
      </c>
      <c r="P98">
        <v>0</v>
      </c>
      <c r="Q98">
        <v>0</v>
      </c>
      <c r="R98">
        <f>IF(S98,TRUE,AND(V98:AE98))</f>
        <v>0</v>
      </c>
      <c r="S98">
        <f>COUNTBLANK(Metadata!B98:K98)=COLUMNS(Metadata!B98:K98)</f>
        <v>0</v>
      </c>
      <c r="T98">
        <v>0</v>
      </c>
      <c r="V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W98">
        <f>AND(IF(Metadata!C98="",FALSE,TRUE),exact(Metadata!C98,"animal secretion"))</f>
        <v>0</v>
      </c>
      <c r="X98">
        <f>AND(IF(Metadata!D98="",FALSE,TRUE),exact(Metadata!D98,"saliva"))</f>
        <v>0</v>
      </c>
      <c r="Y98">
        <f>AND(IF(Metadata!E98="",FALSE,TRUE),exact(Metadata!E98,"human-oral"))</f>
        <v>0</v>
      </c>
      <c r="Z98">
        <f>AND(IF(Metadata!F98="",FALSE,TRUE),exact(Metadata!F98,"UBERON:oral cavity"))</f>
        <v>0</v>
      </c>
      <c r="AA98">
        <f>AND(IF(Metadata!G98="",FALSE,TRUE),exact(Metadata!G98,"UBERON:saliva"))</f>
        <v>0</v>
      </c>
      <c r="AB98">
        <f>AND(IF(Metadata!H98="",FALSE,TRUE),exact(Metadata!H98,"UBERON:tongue"))</f>
        <v>0</v>
      </c>
      <c r="AC98">
        <f>AND(IF(Metadata!I98="",FALSE,TRUE),exact(Metadata!I98,"tongue"))</f>
        <v>0</v>
      </c>
      <c r="AD98">
        <f>AND(IF(Metadata!J98="",FALSE,TRUE),exact(Metadata!J98,"human oral metagenome"))</f>
        <v>0</v>
      </c>
      <c r="AE98">
        <f>AND(IF(Metadata!K98="",FALSE,TRUE),exact(Metadata!K98,"447426"))</f>
        <v>0</v>
      </c>
    </row>
    <row r="99" spans="1:31">
      <c r="A99" s="4">
        <f>IF(B99=" "," ",HYPERLINK(CONCATENATE("#metadata!",ADDRESS(INDEX($Q$2:$Q$1001,MATCH(ROWS($O$2:O99),$O$2:$O$1001,0),0),1)),INDEX($T$2:$T$1001,MATCH(ROWS($O$2:O99),$O$2:$O$1001,0),0)))</f>
        <v>0</v>
      </c>
      <c r="B99" s="3">
        <f>IF(OR(INDEX($P$2:$P$1001,MATCH(ROWS($O$2:O99),$O$2:$O$1001,0),1)&gt;=100000,INDEX($V$1005:$AE$1005,1,MATCH(COLUMNS($V$1006:V1006),$V$1006:$AE$1006,0))&gt;=100000), " ",IF(INDEX($V$2:$AE$1001,MATCH(ROWS($O$2:O99),$O$2:$O$1001,0),MATCH(COLUMNS($V$1006:V1006),$V$1006:$AE$1006,0)), HYPERLINK("#",""), HYPERLINK(CONCATENATE("#Metadata!", ADDRESS(INDEX($Q$2:$Q$1001,MATCH(ROWS($O$2:O99),$O$2:$O$1001,0),0), INDEX($V$1004:$AE$1004,1,MATCH(COLUMNS($V$1006:V1006),$V$1006:$AE$1006,0)))),"Fix")))</f>
        <v>0</v>
      </c>
      <c r="C99" s="3">
        <f>IF(OR(INDEX($P$2:$P$1001,MATCH(ROWS($O$2:O99),$O$2:$O$1001,0),1)&gt;=100000,INDEX($V$1005:$AE$1005,1,MATCH(COLUMNS($V$1006:W1006),$V$1006:$AE$1006,0))&gt;=100000), " ",IF(INDEX($V$2:$AE$1001,MATCH(ROWS($O$2:O99),$O$2:$O$1001,0),MATCH(COLUMNS($V$1006:W1006),$V$1006:$AE$1006,0)), HYPERLINK("#",""), HYPERLINK(CONCATENATE("#Metadata!", ADDRESS(INDEX($Q$2:$Q$1001,MATCH(ROWS($O$2:O99),$O$2:$O$1001,0),0), INDEX($V$1004:$AE$1004,1,MATCH(COLUMNS($V$1006:W1006),$V$1006:$AE$1006,0)))),"Fix")))</f>
        <v>0</v>
      </c>
      <c r="D99" s="3">
        <f>IF(OR(INDEX($P$2:$P$1001,MATCH(ROWS($O$2:O99),$O$2:$O$1001,0),1)&gt;=100000,INDEX($V$1005:$AE$1005,1,MATCH(COLUMNS($V$1006:X1006),$V$1006:$AE$1006,0))&gt;=100000), " ",IF(INDEX($V$2:$AE$1001,MATCH(ROWS($O$2:O99),$O$2:$O$1001,0),MATCH(COLUMNS($V$1006:X1006),$V$1006:$AE$1006,0)), HYPERLINK("#",""), HYPERLINK(CONCATENATE("#Metadata!", ADDRESS(INDEX($Q$2:$Q$1001,MATCH(ROWS($O$2:O99),$O$2:$O$1001,0),0), INDEX($V$1004:$AE$1004,1,MATCH(COLUMNS($V$1006:X1006),$V$1006:$AE$1006,0)))),"Fix")))</f>
        <v>0</v>
      </c>
      <c r="E99" s="3">
        <f>IF(OR(INDEX($P$2:$P$1001,MATCH(ROWS($O$2:O99),$O$2:$O$1001,0),1)&gt;=100000,INDEX($V$1005:$AE$1005,1,MATCH(COLUMNS($V$1006:Y1006),$V$1006:$AE$1006,0))&gt;=100000), " ",IF(INDEX($V$2:$AE$1001,MATCH(ROWS($O$2:O99),$O$2:$O$1001,0),MATCH(COLUMNS($V$1006:Y1006),$V$1006:$AE$1006,0)), HYPERLINK("#",""), HYPERLINK(CONCATENATE("#Metadata!", ADDRESS(INDEX($Q$2:$Q$1001,MATCH(ROWS($O$2:O99),$O$2:$O$1001,0),0), INDEX($V$1004:$AE$1004,1,MATCH(COLUMNS($V$1006:Y1006),$V$1006:$AE$1006,0)))),"Fix")))</f>
        <v>0</v>
      </c>
      <c r="F99" s="3">
        <f>IF(OR(INDEX($P$2:$P$1001,MATCH(ROWS($O$2:O99),$O$2:$O$1001,0),1)&gt;=100000,INDEX($V$1005:$AE$1005,1,MATCH(COLUMNS($V$1006:Z1006),$V$1006:$AE$1006,0))&gt;=100000), " ",IF(INDEX($V$2:$AE$1001,MATCH(ROWS($O$2:O99),$O$2:$O$1001,0),MATCH(COLUMNS($V$1006:Z1006),$V$1006:$AE$1006,0)), HYPERLINK("#",""), HYPERLINK(CONCATENATE("#Metadata!", ADDRESS(INDEX($Q$2:$Q$1001,MATCH(ROWS($O$2:O99),$O$2:$O$1001,0),0), INDEX($V$1004:$AE$1004,1,MATCH(COLUMNS($V$1006:Z1006),$V$1006:$AE$1006,0)))),"Fix")))</f>
        <v>0</v>
      </c>
      <c r="G99" s="3">
        <f>IF(OR(INDEX($P$2:$P$1001,MATCH(ROWS($O$2:O99),$O$2:$O$1001,0),1)&gt;=100000,INDEX($V$1005:$AE$1005,1,MATCH(COLUMNS($V$1006:AA1006),$V$1006:$AE$1006,0))&gt;=100000), " ",IF(INDEX($V$2:$AE$1001,MATCH(ROWS($O$2:O99),$O$2:$O$1001,0),MATCH(COLUMNS($V$1006:AA1006),$V$1006:$AE$1006,0)), HYPERLINK("#",""), HYPERLINK(CONCATENATE("#Metadata!", ADDRESS(INDEX($Q$2:$Q$1001,MATCH(ROWS($O$2:O99),$O$2:$O$1001,0),0), INDEX($V$1004:$AE$1004,1,MATCH(COLUMNS($V$1006:AA1006),$V$1006:$AE$1006,0)))),"Fix")))</f>
        <v>0</v>
      </c>
      <c r="H99" s="3">
        <f>IF(OR(INDEX($P$2:$P$1001,MATCH(ROWS($O$2:O99),$O$2:$O$1001,0),1)&gt;=100000,INDEX($V$1005:$AE$1005,1,MATCH(COLUMNS($V$1006:AB1006),$V$1006:$AE$1006,0))&gt;=100000), " ",IF(INDEX($V$2:$AE$1001,MATCH(ROWS($O$2:O99),$O$2:$O$1001,0),MATCH(COLUMNS($V$1006:AB1006),$V$1006:$AE$1006,0)), HYPERLINK("#",""), HYPERLINK(CONCATENATE("#Metadata!", ADDRESS(INDEX($Q$2:$Q$1001,MATCH(ROWS($O$2:O99),$O$2:$O$1001,0),0), INDEX($V$1004:$AE$1004,1,MATCH(COLUMNS($V$1006:AB1006),$V$1006:$AE$1006,0)))),"Fix")))</f>
        <v>0</v>
      </c>
      <c r="I99" s="3">
        <f>IF(OR(INDEX($P$2:$P$1001,MATCH(ROWS($O$2:O99),$O$2:$O$1001,0),1)&gt;=100000,INDEX($V$1005:$AE$1005,1,MATCH(COLUMNS($V$1006:AC1006),$V$1006:$AE$1006,0))&gt;=100000), " ",IF(INDEX($V$2:$AE$1001,MATCH(ROWS($O$2:O99),$O$2:$O$1001,0),MATCH(COLUMNS($V$1006:AC1006),$V$1006:$AE$1006,0)), HYPERLINK("#",""), HYPERLINK(CONCATENATE("#Metadata!", ADDRESS(INDEX($Q$2:$Q$1001,MATCH(ROWS($O$2:O99),$O$2:$O$1001,0),0), INDEX($V$1004:$AE$1004,1,MATCH(COLUMNS($V$1006:AC1006),$V$1006:$AE$1006,0)))),"Fix")))</f>
        <v>0</v>
      </c>
      <c r="J99" s="3">
        <f>IF(OR(INDEX($P$2:$P$1001,MATCH(ROWS($O$2:O99),$O$2:$O$1001,0),1)&gt;=100000,INDEX($V$1005:$AE$1005,1,MATCH(COLUMNS($V$1006:AD1006),$V$1006:$AE$1006,0))&gt;=100000), " ",IF(INDEX($V$2:$AE$1001,MATCH(ROWS($O$2:O99),$O$2:$O$1001,0),MATCH(COLUMNS($V$1006:AD1006),$V$1006:$AE$1006,0)), HYPERLINK("#",""), HYPERLINK(CONCATENATE("#Metadata!", ADDRESS(INDEX($Q$2:$Q$1001,MATCH(ROWS($O$2:O99),$O$2:$O$1001,0),0), INDEX($V$1004:$AE$1004,1,MATCH(COLUMNS($V$1006:AD1006),$V$1006:$AE$1006,0)))),"Fix")))</f>
        <v>0</v>
      </c>
      <c r="K99" s="3">
        <f>IF(OR(INDEX($P$2:$P$1001,MATCH(ROWS($O$2:O99),$O$2:$O$1001,0),1)&gt;=100000,INDEX($V$1005:$AE$1005,1,MATCH(COLUMNS($V$1006:AE1006),$V$1006:$AE$1006,0))&gt;=100000), " ",IF(INDEX($V$2:$AE$1001,MATCH(ROWS($O$2:O99),$O$2:$O$1001,0),MATCH(COLUMNS($V$1006:AE1006),$V$1006:$AE$1006,0)), HYPERLINK("#",""), HYPERLINK(CONCATENATE("#Metadata!", ADDRESS(INDEX($Q$2:$Q$1001,MATCH(ROWS($O$2:O99),$O$2:$O$1001,0),0), INDEX($V$1004:$AE$1004,1,MATCH(COLUMNS($V$1006:AE1006),$V$1006:$AE$1006,0)))),"Fix")))</f>
        <v>0</v>
      </c>
      <c r="O99">
        <v>0</v>
      </c>
      <c r="P99">
        <v>0</v>
      </c>
      <c r="Q99">
        <v>0</v>
      </c>
      <c r="R99">
        <f>IF(S99,TRUE,AND(V99:AE99))</f>
        <v>0</v>
      </c>
      <c r="S99">
        <f>COUNTBLANK(Metadata!B99:K99)=COLUMNS(Metadata!B99:K99)</f>
        <v>0</v>
      </c>
      <c r="T99">
        <v>0</v>
      </c>
      <c r="V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W99">
        <f>AND(IF(Metadata!C99="",FALSE,TRUE),exact(Metadata!C99,"animal secretion"))</f>
        <v>0</v>
      </c>
      <c r="X99">
        <f>AND(IF(Metadata!D99="",FALSE,TRUE),exact(Metadata!D99,"saliva"))</f>
        <v>0</v>
      </c>
      <c r="Y99">
        <f>AND(IF(Metadata!E99="",FALSE,TRUE),exact(Metadata!E99,"human-oral"))</f>
        <v>0</v>
      </c>
      <c r="Z99">
        <f>AND(IF(Metadata!F99="",FALSE,TRUE),exact(Metadata!F99,"UBERON:oral cavity"))</f>
        <v>0</v>
      </c>
      <c r="AA99">
        <f>AND(IF(Metadata!G99="",FALSE,TRUE),exact(Metadata!G99,"UBERON:saliva"))</f>
        <v>0</v>
      </c>
      <c r="AB99">
        <f>AND(IF(Metadata!H99="",FALSE,TRUE),exact(Metadata!H99,"UBERON:tongue"))</f>
        <v>0</v>
      </c>
      <c r="AC99">
        <f>AND(IF(Metadata!I99="",FALSE,TRUE),exact(Metadata!I99,"tongue"))</f>
        <v>0</v>
      </c>
      <c r="AD99">
        <f>AND(IF(Metadata!J99="",FALSE,TRUE),exact(Metadata!J99,"human oral metagenome"))</f>
        <v>0</v>
      </c>
      <c r="AE99">
        <f>AND(IF(Metadata!K99="",FALSE,TRUE),exact(Metadata!K99,"447426"))</f>
        <v>0</v>
      </c>
    </row>
    <row r="100" spans="1:31">
      <c r="A100" s="4">
        <f>IF(B100=" "," ",HYPERLINK(CONCATENATE("#metadata!",ADDRESS(INDEX($Q$2:$Q$1001,MATCH(ROWS($O$2:O100),$O$2:$O$1001,0),0),1)),INDEX($T$2:$T$1001,MATCH(ROWS($O$2:O100),$O$2:$O$1001,0),0)))</f>
        <v>0</v>
      </c>
      <c r="B100" s="3">
        <f>IF(OR(INDEX($P$2:$P$1001,MATCH(ROWS($O$2:O100),$O$2:$O$1001,0),1)&gt;=100000,INDEX($V$1005:$AE$1005,1,MATCH(COLUMNS($V$1006:V1006),$V$1006:$AE$1006,0))&gt;=100000), " ",IF(INDEX($V$2:$AE$1001,MATCH(ROWS($O$2:O100),$O$2:$O$1001,0),MATCH(COLUMNS($V$1006:V1006),$V$1006:$AE$1006,0)), HYPERLINK("#",""), HYPERLINK(CONCATENATE("#Metadata!", ADDRESS(INDEX($Q$2:$Q$1001,MATCH(ROWS($O$2:O100),$O$2:$O$1001,0),0), INDEX($V$1004:$AE$1004,1,MATCH(COLUMNS($V$1006:V1006),$V$1006:$AE$1006,0)))),"Fix")))</f>
        <v>0</v>
      </c>
      <c r="C100" s="3">
        <f>IF(OR(INDEX($P$2:$P$1001,MATCH(ROWS($O$2:O100),$O$2:$O$1001,0),1)&gt;=100000,INDEX($V$1005:$AE$1005,1,MATCH(COLUMNS($V$1006:W1006),$V$1006:$AE$1006,0))&gt;=100000), " ",IF(INDEX($V$2:$AE$1001,MATCH(ROWS($O$2:O100),$O$2:$O$1001,0),MATCH(COLUMNS($V$1006:W1006),$V$1006:$AE$1006,0)), HYPERLINK("#",""), HYPERLINK(CONCATENATE("#Metadata!", ADDRESS(INDEX($Q$2:$Q$1001,MATCH(ROWS($O$2:O100),$O$2:$O$1001,0),0), INDEX($V$1004:$AE$1004,1,MATCH(COLUMNS($V$1006:W1006),$V$1006:$AE$1006,0)))),"Fix")))</f>
        <v>0</v>
      </c>
      <c r="D100" s="3">
        <f>IF(OR(INDEX($P$2:$P$1001,MATCH(ROWS($O$2:O100),$O$2:$O$1001,0),1)&gt;=100000,INDEX($V$1005:$AE$1005,1,MATCH(COLUMNS($V$1006:X1006),$V$1006:$AE$1006,0))&gt;=100000), " ",IF(INDEX($V$2:$AE$1001,MATCH(ROWS($O$2:O100),$O$2:$O$1001,0),MATCH(COLUMNS($V$1006:X1006),$V$1006:$AE$1006,0)), HYPERLINK("#",""), HYPERLINK(CONCATENATE("#Metadata!", ADDRESS(INDEX($Q$2:$Q$1001,MATCH(ROWS($O$2:O100),$O$2:$O$1001,0),0), INDEX($V$1004:$AE$1004,1,MATCH(COLUMNS($V$1006:X1006),$V$1006:$AE$1006,0)))),"Fix")))</f>
        <v>0</v>
      </c>
      <c r="E100" s="3">
        <f>IF(OR(INDEX($P$2:$P$1001,MATCH(ROWS($O$2:O100),$O$2:$O$1001,0),1)&gt;=100000,INDEX($V$1005:$AE$1005,1,MATCH(COLUMNS($V$1006:Y1006),$V$1006:$AE$1006,0))&gt;=100000), " ",IF(INDEX($V$2:$AE$1001,MATCH(ROWS($O$2:O100),$O$2:$O$1001,0),MATCH(COLUMNS($V$1006:Y1006),$V$1006:$AE$1006,0)), HYPERLINK("#",""), HYPERLINK(CONCATENATE("#Metadata!", ADDRESS(INDEX($Q$2:$Q$1001,MATCH(ROWS($O$2:O100),$O$2:$O$1001,0),0), INDEX($V$1004:$AE$1004,1,MATCH(COLUMNS($V$1006:Y1006),$V$1006:$AE$1006,0)))),"Fix")))</f>
        <v>0</v>
      </c>
      <c r="F100" s="3">
        <f>IF(OR(INDEX($P$2:$P$1001,MATCH(ROWS($O$2:O100),$O$2:$O$1001,0),1)&gt;=100000,INDEX($V$1005:$AE$1005,1,MATCH(COLUMNS($V$1006:Z1006),$V$1006:$AE$1006,0))&gt;=100000), " ",IF(INDEX($V$2:$AE$1001,MATCH(ROWS($O$2:O100),$O$2:$O$1001,0),MATCH(COLUMNS($V$1006:Z1006),$V$1006:$AE$1006,0)), HYPERLINK("#",""), HYPERLINK(CONCATENATE("#Metadata!", ADDRESS(INDEX($Q$2:$Q$1001,MATCH(ROWS($O$2:O100),$O$2:$O$1001,0),0), INDEX($V$1004:$AE$1004,1,MATCH(COLUMNS($V$1006:Z1006),$V$1006:$AE$1006,0)))),"Fix")))</f>
        <v>0</v>
      </c>
      <c r="G100" s="3">
        <f>IF(OR(INDEX($P$2:$P$1001,MATCH(ROWS($O$2:O100),$O$2:$O$1001,0),1)&gt;=100000,INDEX($V$1005:$AE$1005,1,MATCH(COLUMNS($V$1006:AA1006),$V$1006:$AE$1006,0))&gt;=100000), " ",IF(INDEX($V$2:$AE$1001,MATCH(ROWS($O$2:O100),$O$2:$O$1001,0),MATCH(COLUMNS($V$1006:AA1006),$V$1006:$AE$1006,0)), HYPERLINK("#",""), HYPERLINK(CONCATENATE("#Metadata!", ADDRESS(INDEX($Q$2:$Q$1001,MATCH(ROWS($O$2:O100),$O$2:$O$1001,0),0), INDEX($V$1004:$AE$1004,1,MATCH(COLUMNS($V$1006:AA1006),$V$1006:$AE$1006,0)))),"Fix")))</f>
        <v>0</v>
      </c>
      <c r="H100" s="3">
        <f>IF(OR(INDEX($P$2:$P$1001,MATCH(ROWS($O$2:O100),$O$2:$O$1001,0),1)&gt;=100000,INDEX($V$1005:$AE$1005,1,MATCH(COLUMNS($V$1006:AB1006),$V$1006:$AE$1006,0))&gt;=100000), " ",IF(INDEX($V$2:$AE$1001,MATCH(ROWS($O$2:O100),$O$2:$O$1001,0),MATCH(COLUMNS($V$1006:AB1006),$V$1006:$AE$1006,0)), HYPERLINK("#",""), HYPERLINK(CONCATENATE("#Metadata!", ADDRESS(INDEX($Q$2:$Q$1001,MATCH(ROWS($O$2:O100),$O$2:$O$1001,0),0), INDEX($V$1004:$AE$1004,1,MATCH(COLUMNS($V$1006:AB1006),$V$1006:$AE$1006,0)))),"Fix")))</f>
        <v>0</v>
      </c>
      <c r="I100" s="3">
        <f>IF(OR(INDEX($P$2:$P$1001,MATCH(ROWS($O$2:O100),$O$2:$O$1001,0),1)&gt;=100000,INDEX($V$1005:$AE$1005,1,MATCH(COLUMNS($V$1006:AC1006),$V$1006:$AE$1006,0))&gt;=100000), " ",IF(INDEX($V$2:$AE$1001,MATCH(ROWS($O$2:O100),$O$2:$O$1001,0),MATCH(COLUMNS($V$1006:AC1006),$V$1006:$AE$1006,0)), HYPERLINK("#",""), HYPERLINK(CONCATENATE("#Metadata!", ADDRESS(INDEX($Q$2:$Q$1001,MATCH(ROWS($O$2:O100),$O$2:$O$1001,0),0), INDEX($V$1004:$AE$1004,1,MATCH(COLUMNS($V$1006:AC1006),$V$1006:$AE$1006,0)))),"Fix")))</f>
        <v>0</v>
      </c>
      <c r="J100" s="3">
        <f>IF(OR(INDEX($P$2:$P$1001,MATCH(ROWS($O$2:O100),$O$2:$O$1001,0),1)&gt;=100000,INDEX($V$1005:$AE$1005,1,MATCH(COLUMNS($V$1006:AD1006),$V$1006:$AE$1006,0))&gt;=100000), " ",IF(INDEX($V$2:$AE$1001,MATCH(ROWS($O$2:O100),$O$2:$O$1001,0),MATCH(COLUMNS($V$1006:AD1006),$V$1006:$AE$1006,0)), HYPERLINK("#",""), HYPERLINK(CONCATENATE("#Metadata!", ADDRESS(INDEX($Q$2:$Q$1001,MATCH(ROWS($O$2:O100),$O$2:$O$1001,0),0), INDEX($V$1004:$AE$1004,1,MATCH(COLUMNS($V$1006:AD1006),$V$1006:$AE$1006,0)))),"Fix")))</f>
        <v>0</v>
      </c>
      <c r="K100" s="3">
        <f>IF(OR(INDEX($P$2:$P$1001,MATCH(ROWS($O$2:O100),$O$2:$O$1001,0),1)&gt;=100000,INDEX($V$1005:$AE$1005,1,MATCH(COLUMNS($V$1006:AE1006),$V$1006:$AE$1006,0))&gt;=100000), " ",IF(INDEX($V$2:$AE$1001,MATCH(ROWS($O$2:O100),$O$2:$O$1001,0),MATCH(COLUMNS($V$1006:AE1006),$V$1006:$AE$1006,0)), HYPERLINK("#",""), HYPERLINK(CONCATENATE("#Metadata!", ADDRESS(INDEX($Q$2:$Q$1001,MATCH(ROWS($O$2:O100),$O$2:$O$1001,0),0), INDEX($V$1004:$AE$1004,1,MATCH(COLUMNS($V$1006:AE1006),$V$1006:$AE$1006,0)))),"Fix")))</f>
        <v>0</v>
      </c>
      <c r="O100">
        <v>0</v>
      </c>
      <c r="P100">
        <v>0</v>
      </c>
      <c r="Q100">
        <v>0</v>
      </c>
      <c r="R100">
        <f>IF(S100,TRUE,AND(V100:AE100))</f>
        <v>0</v>
      </c>
      <c r="S100">
        <f>COUNTBLANK(Metadata!B100:K100)=COLUMNS(Metadata!B100:K100)</f>
        <v>0</v>
      </c>
      <c r="T100">
        <v>0</v>
      </c>
      <c r="V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W100">
        <f>AND(IF(Metadata!C100="",FALSE,TRUE),exact(Metadata!C100,"animal secretion"))</f>
        <v>0</v>
      </c>
      <c r="X100">
        <f>AND(IF(Metadata!D100="",FALSE,TRUE),exact(Metadata!D100,"saliva"))</f>
        <v>0</v>
      </c>
      <c r="Y100">
        <f>AND(IF(Metadata!E100="",FALSE,TRUE),exact(Metadata!E100,"human-oral"))</f>
        <v>0</v>
      </c>
      <c r="Z100">
        <f>AND(IF(Metadata!F100="",FALSE,TRUE),exact(Metadata!F100,"UBERON:oral cavity"))</f>
        <v>0</v>
      </c>
      <c r="AA100">
        <f>AND(IF(Metadata!G100="",FALSE,TRUE),exact(Metadata!G100,"UBERON:saliva"))</f>
        <v>0</v>
      </c>
      <c r="AB100">
        <f>AND(IF(Metadata!H100="",FALSE,TRUE),exact(Metadata!H100,"UBERON:tongue"))</f>
        <v>0</v>
      </c>
      <c r="AC100">
        <f>AND(IF(Metadata!I100="",FALSE,TRUE),exact(Metadata!I100,"tongue"))</f>
        <v>0</v>
      </c>
      <c r="AD100">
        <f>AND(IF(Metadata!J100="",FALSE,TRUE),exact(Metadata!J100,"human oral metagenome"))</f>
        <v>0</v>
      </c>
      <c r="AE100">
        <f>AND(IF(Metadata!K100="",FALSE,TRUE),exact(Metadata!K100,"447426"))</f>
        <v>0</v>
      </c>
    </row>
    <row r="101" spans="1:31">
      <c r="A101" s="4">
        <f>IF(B101=" "," ",HYPERLINK(CONCATENATE("#metadata!",ADDRESS(INDEX($Q$2:$Q$1001,MATCH(ROWS($O$2:O101),$O$2:$O$1001,0),0),1)),INDEX($T$2:$T$1001,MATCH(ROWS($O$2:O101),$O$2:$O$1001,0),0)))</f>
        <v>0</v>
      </c>
      <c r="B101" s="3">
        <f>IF(OR(INDEX($P$2:$P$1001,MATCH(ROWS($O$2:O101),$O$2:$O$1001,0),1)&gt;=100000,INDEX($V$1005:$AE$1005,1,MATCH(COLUMNS($V$1006:V1006),$V$1006:$AE$1006,0))&gt;=100000), " ",IF(INDEX($V$2:$AE$1001,MATCH(ROWS($O$2:O101),$O$2:$O$1001,0),MATCH(COLUMNS($V$1006:V1006),$V$1006:$AE$1006,0)), HYPERLINK("#",""), HYPERLINK(CONCATENATE("#Metadata!", ADDRESS(INDEX($Q$2:$Q$1001,MATCH(ROWS($O$2:O101),$O$2:$O$1001,0),0), INDEX($V$1004:$AE$1004,1,MATCH(COLUMNS($V$1006:V1006),$V$1006:$AE$1006,0)))),"Fix")))</f>
        <v>0</v>
      </c>
      <c r="C101" s="3">
        <f>IF(OR(INDEX($P$2:$P$1001,MATCH(ROWS($O$2:O101),$O$2:$O$1001,0),1)&gt;=100000,INDEX($V$1005:$AE$1005,1,MATCH(COLUMNS($V$1006:W1006),$V$1006:$AE$1006,0))&gt;=100000), " ",IF(INDEX($V$2:$AE$1001,MATCH(ROWS($O$2:O101),$O$2:$O$1001,0),MATCH(COLUMNS($V$1006:W1006),$V$1006:$AE$1006,0)), HYPERLINK("#",""), HYPERLINK(CONCATENATE("#Metadata!", ADDRESS(INDEX($Q$2:$Q$1001,MATCH(ROWS($O$2:O101),$O$2:$O$1001,0),0), INDEX($V$1004:$AE$1004,1,MATCH(COLUMNS($V$1006:W1006),$V$1006:$AE$1006,0)))),"Fix")))</f>
        <v>0</v>
      </c>
      <c r="D101" s="3">
        <f>IF(OR(INDEX($P$2:$P$1001,MATCH(ROWS($O$2:O101),$O$2:$O$1001,0),1)&gt;=100000,INDEX($V$1005:$AE$1005,1,MATCH(COLUMNS($V$1006:X1006),$V$1006:$AE$1006,0))&gt;=100000), " ",IF(INDEX($V$2:$AE$1001,MATCH(ROWS($O$2:O101),$O$2:$O$1001,0),MATCH(COLUMNS($V$1006:X1006),$V$1006:$AE$1006,0)), HYPERLINK("#",""), HYPERLINK(CONCATENATE("#Metadata!", ADDRESS(INDEX($Q$2:$Q$1001,MATCH(ROWS($O$2:O101),$O$2:$O$1001,0),0), INDEX($V$1004:$AE$1004,1,MATCH(COLUMNS($V$1006:X1006),$V$1006:$AE$1006,0)))),"Fix")))</f>
        <v>0</v>
      </c>
      <c r="E101" s="3">
        <f>IF(OR(INDEX($P$2:$P$1001,MATCH(ROWS($O$2:O101),$O$2:$O$1001,0),1)&gt;=100000,INDEX($V$1005:$AE$1005,1,MATCH(COLUMNS($V$1006:Y1006),$V$1006:$AE$1006,0))&gt;=100000), " ",IF(INDEX($V$2:$AE$1001,MATCH(ROWS($O$2:O101),$O$2:$O$1001,0),MATCH(COLUMNS($V$1006:Y1006),$V$1006:$AE$1006,0)), HYPERLINK("#",""), HYPERLINK(CONCATENATE("#Metadata!", ADDRESS(INDEX($Q$2:$Q$1001,MATCH(ROWS($O$2:O101),$O$2:$O$1001,0),0), INDEX($V$1004:$AE$1004,1,MATCH(COLUMNS($V$1006:Y1006),$V$1006:$AE$1006,0)))),"Fix")))</f>
        <v>0</v>
      </c>
      <c r="F101" s="3">
        <f>IF(OR(INDEX($P$2:$P$1001,MATCH(ROWS($O$2:O101),$O$2:$O$1001,0),1)&gt;=100000,INDEX($V$1005:$AE$1005,1,MATCH(COLUMNS($V$1006:Z1006),$V$1006:$AE$1006,0))&gt;=100000), " ",IF(INDEX($V$2:$AE$1001,MATCH(ROWS($O$2:O101),$O$2:$O$1001,0),MATCH(COLUMNS($V$1006:Z1006),$V$1006:$AE$1006,0)), HYPERLINK("#",""), HYPERLINK(CONCATENATE("#Metadata!", ADDRESS(INDEX($Q$2:$Q$1001,MATCH(ROWS($O$2:O101),$O$2:$O$1001,0),0), INDEX($V$1004:$AE$1004,1,MATCH(COLUMNS($V$1006:Z1006),$V$1006:$AE$1006,0)))),"Fix")))</f>
        <v>0</v>
      </c>
      <c r="G101" s="3">
        <f>IF(OR(INDEX($P$2:$P$1001,MATCH(ROWS($O$2:O101),$O$2:$O$1001,0),1)&gt;=100000,INDEX($V$1005:$AE$1005,1,MATCH(COLUMNS($V$1006:AA1006),$V$1006:$AE$1006,0))&gt;=100000), " ",IF(INDEX($V$2:$AE$1001,MATCH(ROWS($O$2:O101),$O$2:$O$1001,0),MATCH(COLUMNS($V$1006:AA1006),$V$1006:$AE$1006,0)), HYPERLINK("#",""), HYPERLINK(CONCATENATE("#Metadata!", ADDRESS(INDEX($Q$2:$Q$1001,MATCH(ROWS($O$2:O101),$O$2:$O$1001,0),0), INDEX($V$1004:$AE$1004,1,MATCH(COLUMNS($V$1006:AA1006),$V$1006:$AE$1006,0)))),"Fix")))</f>
        <v>0</v>
      </c>
      <c r="H101" s="3">
        <f>IF(OR(INDEX($P$2:$P$1001,MATCH(ROWS($O$2:O101),$O$2:$O$1001,0),1)&gt;=100000,INDEX($V$1005:$AE$1005,1,MATCH(COLUMNS($V$1006:AB1006),$V$1006:$AE$1006,0))&gt;=100000), " ",IF(INDEX($V$2:$AE$1001,MATCH(ROWS($O$2:O101),$O$2:$O$1001,0),MATCH(COLUMNS($V$1006:AB1006),$V$1006:$AE$1006,0)), HYPERLINK("#",""), HYPERLINK(CONCATENATE("#Metadata!", ADDRESS(INDEX($Q$2:$Q$1001,MATCH(ROWS($O$2:O101),$O$2:$O$1001,0),0), INDEX($V$1004:$AE$1004,1,MATCH(COLUMNS($V$1006:AB1006),$V$1006:$AE$1006,0)))),"Fix")))</f>
        <v>0</v>
      </c>
      <c r="I101" s="3">
        <f>IF(OR(INDEX($P$2:$P$1001,MATCH(ROWS($O$2:O101),$O$2:$O$1001,0),1)&gt;=100000,INDEX($V$1005:$AE$1005,1,MATCH(COLUMNS($V$1006:AC1006),$V$1006:$AE$1006,0))&gt;=100000), " ",IF(INDEX($V$2:$AE$1001,MATCH(ROWS($O$2:O101),$O$2:$O$1001,0),MATCH(COLUMNS($V$1006:AC1006),$V$1006:$AE$1006,0)), HYPERLINK("#",""), HYPERLINK(CONCATENATE("#Metadata!", ADDRESS(INDEX($Q$2:$Q$1001,MATCH(ROWS($O$2:O101),$O$2:$O$1001,0),0), INDEX($V$1004:$AE$1004,1,MATCH(COLUMNS($V$1006:AC1006),$V$1006:$AE$1006,0)))),"Fix")))</f>
        <v>0</v>
      </c>
      <c r="J101" s="3">
        <f>IF(OR(INDEX($P$2:$P$1001,MATCH(ROWS($O$2:O101),$O$2:$O$1001,0),1)&gt;=100000,INDEX($V$1005:$AE$1005,1,MATCH(COLUMNS($V$1006:AD1006),$V$1006:$AE$1006,0))&gt;=100000), " ",IF(INDEX($V$2:$AE$1001,MATCH(ROWS($O$2:O101),$O$2:$O$1001,0),MATCH(COLUMNS($V$1006:AD1006),$V$1006:$AE$1006,0)), HYPERLINK("#",""), HYPERLINK(CONCATENATE("#Metadata!", ADDRESS(INDEX($Q$2:$Q$1001,MATCH(ROWS($O$2:O101),$O$2:$O$1001,0),0), INDEX($V$1004:$AE$1004,1,MATCH(COLUMNS($V$1006:AD1006),$V$1006:$AE$1006,0)))),"Fix")))</f>
        <v>0</v>
      </c>
      <c r="K101" s="3">
        <f>IF(OR(INDEX($P$2:$P$1001,MATCH(ROWS($O$2:O101),$O$2:$O$1001,0),1)&gt;=100000,INDEX($V$1005:$AE$1005,1,MATCH(COLUMNS($V$1006:AE1006),$V$1006:$AE$1006,0))&gt;=100000), " ",IF(INDEX($V$2:$AE$1001,MATCH(ROWS($O$2:O101),$O$2:$O$1001,0),MATCH(COLUMNS($V$1006:AE1006),$V$1006:$AE$1006,0)), HYPERLINK("#",""), HYPERLINK(CONCATENATE("#Metadata!", ADDRESS(INDEX($Q$2:$Q$1001,MATCH(ROWS($O$2:O101),$O$2:$O$1001,0),0), INDEX($V$1004:$AE$1004,1,MATCH(COLUMNS($V$1006:AE1006),$V$1006:$AE$1006,0)))),"Fix")))</f>
        <v>0</v>
      </c>
      <c r="O101">
        <v>0</v>
      </c>
      <c r="P101">
        <v>0</v>
      </c>
      <c r="Q101">
        <v>0</v>
      </c>
      <c r="R101">
        <f>IF(S101,TRUE,AND(V101:AE101))</f>
        <v>0</v>
      </c>
      <c r="S101">
        <f>COUNTBLANK(Metadata!B101:K101)=COLUMNS(Metadata!B101:K101)</f>
        <v>0</v>
      </c>
      <c r="T101">
        <v>0</v>
      </c>
      <c r="V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W101">
        <f>AND(IF(Metadata!C101="",FALSE,TRUE),exact(Metadata!C101,"animal secretion"))</f>
        <v>0</v>
      </c>
      <c r="X101">
        <f>AND(IF(Metadata!D101="",FALSE,TRUE),exact(Metadata!D101,"saliva"))</f>
        <v>0</v>
      </c>
      <c r="Y101">
        <f>AND(IF(Metadata!E101="",FALSE,TRUE),exact(Metadata!E101,"human-oral"))</f>
        <v>0</v>
      </c>
      <c r="Z101">
        <f>AND(IF(Metadata!F101="",FALSE,TRUE),exact(Metadata!F101,"UBERON:oral cavity"))</f>
        <v>0</v>
      </c>
      <c r="AA101">
        <f>AND(IF(Metadata!G101="",FALSE,TRUE),exact(Metadata!G101,"UBERON:saliva"))</f>
        <v>0</v>
      </c>
      <c r="AB101">
        <f>AND(IF(Metadata!H101="",FALSE,TRUE),exact(Metadata!H101,"UBERON:tongue"))</f>
        <v>0</v>
      </c>
      <c r="AC101">
        <f>AND(IF(Metadata!I101="",FALSE,TRUE),exact(Metadata!I101,"tongue"))</f>
        <v>0</v>
      </c>
      <c r="AD101">
        <f>AND(IF(Metadata!J101="",FALSE,TRUE),exact(Metadata!J101,"human oral metagenome"))</f>
        <v>0</v>
      </c>
      <c r="AE101">
        <f>AND(IF(Metadata!K101="",FALSE,TRUE),exact(Metadata!K101,"447426"))</f>
        <v>0</v>
      </c>
    </row>
    <row r="102" spans="1:31">
      <c r="A102" s="4">
        <f>IF(B102=" "," ",HYPERLINK(CONCATENATE("#metadata!",ADDRESS(INDEX($Q$2:$Q$1001,MATCH(ROWS($O$2:O102),$O$2:$O$1001,0),0),1)),INDEX($T$2:$T$1001,MATCH(ROWS($O$2:O102),$O$2:$O$1001,0),0)))</f>
        <v>0</v>
      </c>
      <c r="B102" s="3">
        <f>IF(OR(INDEX($P$2:$P$1001,MATCH(ROWS($O$2:O102),$O$2:$O$1001,0),1)&gt;=100000,INDEX($V$1005:$AE$1005,1,MATCH(COLUMNS($V$1006:V1006),$V$1006:$AE$1006,0))&gt;=100000), " ",IF(INDEX($V$2:$AE$1001,MATCH(ROWS($O$2:O102),$O$2:$O$1001,0),MATCH(COLUMNS($V$1006:V1006),$V$1006:$AE$1006,0)), HYPERLINK("#",""), HYPERLINK(CONCATENATE("#Metadata!", ADDRESS(INDEX($Q$2:$Q$1001,MATCH(ROWS($O$2:O102),$O$2:$O$1001,0),0), INDEX($V$1004:$AE$1004,1,MATCH(COLUMNS($V$1006:V1006),$V$1006:$AE$1006,0)))),"Fix")))</f>
        <v>0</v>
      </c>
      <c r="C102" s="3">
        <f>IF(OR(INDEX($P$2:$P$1001,MATCH(ROWS($O$2:O102),$O$2:$O$1001,0),1)&gt;=100000,INDEX($V$1005:$AE$1005,1,MATCH(COLUMNS($V$1006:W1006),$V$1006:$AE$1006,0))&gt;=100000), " ",IF(INDEX($V$2:$AE$1001,MATCH(ROWS($O$2:O102),$O$2:$O$1001,0),MATCH(COLUMNS($V$1006:W1006),$V$1006:$AE$1006,0)), HYPERLINK("#",""), HYPERLINK(CONCATENATE("#Metadata!", ADDRESS(INDEX($Q$2:$Q$1001,MATCH(ROWS($O$2:O102),$O$2:$O$1001,0),0), INDEX($V$1004:$AE$1004,1,MATCH(COLUMNS($V$1006:W1006),$V$1006:$AE$1006,0)))),"Fix")))</f>
        <v>0</v>
      </c>
      <c r="D102" s="3">
        <f>IF(OR(INDEX($P$2:$P$1001,MATCH(ROWS($O$2:O102),$O$2:$O$1001,0),1)&gt;=100000,INDEX($V$1005:$AE$1005,1,MATCH(COLUMNS($V$1006:X1006),$V$1006:$AE$1006,0))&gt;=100000), " ",IF(INDEX($V$2:$AE$1001,MATCH(ROWS($O$2:O102),$O$2:$O$1001,0),MATCH(COLUMNS($V$1006:X1006),$V$1006:$AE$1006,0)), HYPERLINK("#",""), HYPERLINK(CONCATENATE("#Metadata!", ADDRESS(INDEX($Q$2:$Q$1001,MATCH(ROWS($O$2:O102),$O$2:$O$1001,0),0), INDEX($V$1004:$AE$1004,1,MATCH(COLUMNS($V$1006:X1006),$V$1006:$AE$1006,0)))),"Fix")))</f>
        <v>0</v>
      </c>
      <c r="E102" s="3">
        <f>IF(OR(INDEX($P$2:$P$1001,MATCH(ROWS($O$2:O102),$O$2:$O$1001,0),1)&gt;=100000,INDEX($V$1005:$AE$1005,1,MATCH(COLUMNS($V$1006:Y1006),$V$1006:$AE$1006,0))&gt;=100000), " ",IF(INDEX($V$2:$AE$1001,MATCH(ROWS($O$2:O102),$O$2:$O$1001,0),MATCH(COLUMNS($V$1006:Y1006),$V$1006:$AE$1006,0)), HYPERLINK("#",""), HYPERLINK(CONCATENATE("#Metadata!", ADDRESS(INDEX($Q$2:$Q$1001,MATCH(ROWS($O$2:O102),$O$2:$O$1001,0),0), INDEX($V$1004:$AE$1004,1,MATCH(COLUMNS($V$1006:Y1006),$V$1006:$AE$1006,0)))),"Fix")))</f>
        <v>0</v>
      </c>
      <c r="F102" s="3">
        <f>IF(OR(INDEX($P$2:$P$1001,MATCH(ROWS($O$2:O102),$O$2:$O$1001,0),1)&gt;=100000,INDEX($V$1005:$AE$1005,1,MATCH(COLUMNS($V$1006:Z1006),$V$1006:$AE$1006,0))&gt;=100000), " ",IF(INDEX($V$2:$AE$1001,MATCH(ROWS($O$2:O102),$O$2:$O$1001,0),MATCH(COLUMNS($V$1006:Z1006),$V$1006:$AE$1006,0)), HYPERLINK("#",""), HYPERLINK(CONCATENATE("#Metadata!", ADDRESS(INDEX($Q$2:$Q$1001,MATCH(ROWS($O$2:O102),$O$2:$O$1001,0),0), INDEX($V$1004:$AE$1004,1,MATCH(COLUMNS($V$1006:Z1006),$V$1006:$AE$1006,0)))),"Fix")))</f>
        <v>0</v>
      </c>
      <c r="G102" s="3">
        <f>IF(OR(INDEX($P$2:$P$1001,MATCH(ROWS($O$2:O102),$O$2:$O$1001,0),1)&gt;=100000,INDEX($V$1005:$AE$1005,1,MATCH(COLUMNS($V$1006:AA1006),$V$1006:$AE$1006,0))&gt;=100000), " ",IF(INDEX($V$2:$AE$1001,MATCH(ROWS($O$2:O102),$O$2:$O$1001,0),MATCH(COLUMNS($V$1006:AA1006),$V$1006:$AE$1006,0)), HYPERLINK("#",""), HYPERLINK(CONCATENATE("#Metadata!", ADDRESS(INDEX($Q$2:$Q$1001,MATCH(ROWS($O$2:O102),$O$2:$O$1001,0),0), INDEX($V$1004:$AE$1004,1,MATCH(COLUMNS($V$1006:AA1006),$V$1006:$AE$1006,0)))),"Fix")))</f>
        <v>0</v>
      </c>
      <c r="H102" s="3">
        <f>IF(OR(INDEX($P$2:$P$1001,MATCH(ROWS($O$2:O102),$O$2:$O$1001,0),1)&gt;=100000,INDEX($V$1005:$AE$1005,1,MATCH(COLUMNS($V$1006:AB1006),$V$1006:$AE$1006,0))&gt;=100000), " ",IF(INDEX($V$2:$AE$1001,MATCH(ROWS($O$2:O102),$O$2:$O$1001,0),MATCH(COLUMNS($V$1006:AB1006),$V$1006:$AE$1006,0)), HYPERLINK("#",""), HYPERLINK(CONCATENATE("#Metadata!", ADDRESS(INDEX($Q$2:$Q$1001,MATCH(ROWS($O$2:O102),$O$2:$O$1001,0),0), INDEX($V$1004:$AE$1004,1,MATCH(COLUMNS($V$1006:AB1006),$V$1006:$AE$1006,0)))),"Fix")))</f>
        <v>0</v>
      </c>
      <c r="I102" s="3">
        <f>IF(OR(INDEX($P$2:$P$1001,MATCH(ROWS($O$2:O102),$O$2:$O$1001,0),1)&gt;=100000,INDEX($V$1005:$AE$1005,1,MATCH(COLUMNS($V$1006:AC1006),$V$1006:$AE$1006,0))&gt;=100000), " ",IF(INDEX($V$2:$AE$1001,MATCH(ROWS($O$2:O102),$O$2:$O$1001,0),MATCH(COLUMNS($V$1006:AC1006),$V$1006:$AE$1006,0)), HYPERLINK("#",""), HYPERLINK(CONCATENATE("#Metadata!", ADDRESS(INDEX($Q$2:$Q$1001,MATCH(ROWS($O$2:O102),$O$2:$O$1001,0),0), INDEX($V$1004:$AE$1004,1,MATCH(COLUMNS($V$1006:AC1006),$V$1006:$AE$1006,0)))),"Fix")))</f>
        <v>0</v>
      </c>
      <c r="J102" s="3">
        <f>IF(OR(INDEX($P$2:$P$1001,MATCH(ROWS($O$2:O102),$O$2:$O$1001,0),1)&gt;=100000,INDEX($V$1005:$AE$1005,1,MATCH(COLUMNS($V$1006:AD1006),$V$1006:$AE$1006,0))&gt;=100000), " ",IF(INDEX($V$2:$AE$1001,MATCH(ROWS($O$2:O102),$O$2:$O$1001,0),MATCH(COLUMNS($V$1006:AD1006),$V$1006:$AE$1006,0)), HYPERLINK("#",""), HYPERLINK(CONCATENATE("#Metadata!", ADDRESS(INDEX($Q$2:$Q$1001,MATCH(ROWS($O$2:O102),$O$2:$O$1001,0),0), INDEX($V$1004:$AE$1004,1,MATCH(COLUMNS($V$1006:AD1006),$V$1006:$AE$1006,0)))),"Fix")))</f>
        <v>0</v>
      </c>
      <c r="K102" s="3">
        <f>IF(OR(INDEX($P$2:$P$1001,MATCH(ROWS($O$2:O102),$O$2:$O$1001,0),1)&gt;=100000,INDEX($V$1005:$AE$1005,1,MATCH(COLUMNS($V$1006:AE1006),$V$1006:$AE$1006,0))&gt;=100000), " ",IF(INDEX($V$2:$AE$1001,MATCH(ROWS($O$2:O102),$O$2:$O$1001,0),MATCH(COLUMNS($V$1006:AE1006),$V$1006:$AE$1006,0)), HYPERLINK("#",""), HYPERLINK(CONCATENATE("#Metadata!", ADDRESS(INDEX($Q$2:$Q$1001,MATCH(ROWS($O$2:O102),$O$2:$O$1001,0),0), INDEX($V$1004:$AE$1004,1,MATCH(COLUMNS($V$1006:AE1006),$V$1006:$AE$1006,0)))),"Fix")))</f>
        <v>0</v>
      </c>
      <c r="O102">
        <v>0</v>
      </c>
      <c r="P102">
        <v>0</v>
      </c>
      <c r="Q102">
        <v>0</v>
      </c>
      <c r="R102">
        <f>IF(S102,TRUE,AND(V102:AE102))</f>
        <v>0</v>
      </c>
      <c r="S102">
        <f>COUNTBLANK(Metadata!B102:K102)=COLUMNS(Metadata!B102:K102)</f>
        <v>0</v>
      </c>
      <c r="T102">
        <v>0</v>
      </c>
      <c r="V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W102">
        <f>AND(IF(Metadata!C102="",FALSE,TRUE),exact(Metadata!C102,"animal secretion"))</f>
        <v>0</v>
      </c>
      <c r="X102">
        <f>AND(IF(Metadata!D102="",FALSE,TRUE),exact(Metadata!D102,"saliva"))</f>
        <v>0</v>
      </c>
      <c r="Y102">
        <f>AND(IF(Metadata!E102="",FALSE,TRUE),exact(Metadata!E102,"human-oral"))</f>
        <v>0</v>
      </c>
      <c r="Z102">
        <f>AND(IF(Metadata!F102="",FALSE,TRUE),exact(Metadata!F102,"UBERON:oral cavity"))</f>
        <v>0</v>
      </c>
      <c r="AA102">
        <f>AND(IF(Metadata!G102="",FALSE,TRUE),exact(Metadata!G102,"UBERON:saliva"))</f>
        <v>0</v>
      </c>
      <c r="AB102">
        <f>AND(IF(Metadata!H102="",FALSE,TRUE),exact(Metadata!H102,"UBERON:tongue"))</f>
        <v>0</v>
      </c>
      <c r="AC102">
        <f>AND(IF(Metadata!I102="",FALSE,TRUE),exact(Metadata!I102,"tongue"))</f>
        <v>0</v>
      </c>
      <c r="AD102">
        <f>AND(IF(Metadata!J102="",FALSE,TRUE),exact(Metadata!J102,"human oral metagenome"))</f>
        <v>0</v>
      </c>
      <c r="AE102">
        <f>AND(IF(Metadata!K102="",FALSE,TRUE),exact(Metadata!K102,"447426"))</f>
        <v>0</v>
      </c>
    </row>
    <row r="103" spans="1:31">
      <c r="A103" s="4">
        <f>IF(B103=" "," ",HYPERLINK(CONCATENATE("#metadata!",ADDRESS(INDEX($Q$2:$Q$1001,MATCH(ROWS($O$2:O103),$O$2:$O$1001,0),0),1)),INDEX($T$2:$T$1001,MATCH(ROWS($O$2:O103),$O$2:$O$1001,0),0)))</f>
        <v>0</v>
      </c>
      <c r="B103" s="3">
        <f>IF(OR(INDEX($P$2:$P$1001,MATCH(ROWS($O$2:O103),$O$2:$O$1001,0),1)&gt;=100000,INDEX($V$1005:$AE$1005,1,MATCH(COLUMNS($V$1006:V1006),$V$1006:$AE$1006,0))&gt;=100000), " ",IF(INDEX($V$2:$AE$1001,MATCH(ROWS($O$2:O103),$O$2:$O$1001,0),MATCH(COLUMNS($V$1006:V1006),$V$1006:$AE$1006,0)), HYPERLINK("#",""), HYPERLINK(CONCATENATE("#Metadata!", ADDRESS(INDEX($Q$2:$Q$1001,MATCH(ROWS($O$2:O103),$O$2:$O$1001,0),0), INDEX($V$1004:$AE$1004,1,MATCH(COLUMNS($V$1006:V1006),$V$1006:$AE$1006,0)))),"Fix")))</f>
        <v>0</v>
      </c>
      <c r="C103" s="3">
        <f>IF(OR(INDEX($P$2:$P$1001,MATCH(ROWS($O$2:O103),$O$2:$O$1001,0),1)&gt;=100000,INDEX($V$1005:$AE$1005,1,MATCH(COLUMNS($V$1006:W1006),$V$1006:$AE$1006,0))&gt;=100000), " ",IF(INDEX($V$2:$AE$1001,MATCH(ROWS($O$2:O103),$O$2:$O$1001,0),MATCH(COLUMNS($V$1006:W1006),$V$1006:$AE$1006,0)), HYPERLINK("#",""), HYPERLINK(CONCATENATE("#Metadata!", ADDRESS(INDEX($Q$2:$Q$1001,MATCH(ROWS($O$2:O103),$O$2:$O$1001,0),0), INDEX($V$1004:$AE$1004,1,MATCH(COLUMNS($V$1006:W1006),$V$1006:$AE$1006,0)))),"Fix")))</f>
        <v>0</v>
      </c>
      <c r="D103" s="3">
        <f>IF(OR(INDEX($P$2:$P$1001,MATCH(ROWS($O$2:O103),$O$2:$O$1001,0),1)&gt;=100000,INDEX($V$1005:$AE$1005,1,MATCH(COLUMNS($V$1006:X1006),$V$1006:$AE$1006,0))&gt;=100000), " ",IF(INDEX($V$2:$AE$1001,MATCH(ROWS($O$2:O103),$O$2:$O$1001,0),MATCH(COLUMNS($V$1006:X1006),$V$1006:$AE$1006,0)), HYPERLINK("#",""), HYPERLINK(CONCATENATE("#Metadata!", ADDRESS(INDEX($Q$2:$Q$1001,MATCH(ROWS($O$2:O103),$O$2:$O$1001,0),0), INDEX($V$1004:$AE$1004,1,MATCH(COLUMNS($V$1006:X1006),$V$1006:$AE$1006,0)))),"Fix")))</f>
        <v>0</v>
      </c>
      <c r="E103" s="3">
        <f>IF(OR(INDEX($P$2:$P$1001,MATCH(ROWS($O$2:O103),$O$2:$O$1001,0),1)&gt;=100000,INDEX($V$1005:$AE$1005,1,MATCH(COLUMNS($V$1006:Y1006),$V$1006:$AE$1006,0))&gt;=100000), " ",IF(INDEX($V$2:$AE$1001,MATCH(ROWS($O$2:O103),$O$2:$O$1001,0),MATCH(COLUMNS($V$1006:Y1006),$V$1006:$AE$1006,0)), HYPERLINK("#",""), HYPERLINK(CONCATENATE("#Metadata!", ADDRESS(INDEX($Q$2:$Q$1001,MATCH(ROWS($O$2:O103),$O$2:$O$1001,0),0), INDEX($V$1004:$AE$1004,1,MATCH(COLUMNS($V$1006:Y1006),$V$1006:$AE$1006,0)))),"Fix")))</f>
        <v>0</v>
      </c>
      <c r="F103" s="3">
        <f>IF(OR(INDEX($P$2:$P$1001,MATCH(ROWS($O$2:O103),$O$2:$O$1001,0),1)&gt;=100000,INDEX($V$1005:$AE$1005,1,MATCH(COLUMNS($V$1006:Z1006),$V$1006:$AE$1006,0))&gt;=100000), " ",IF(INDEX($V$2:$AE$1001,MATCH(ROWS($O$2:O103),$O$2:$O$1001,0),MATCH(COLUMNS($V$1006:Z1006),$V$1006:$AE$1006,0)), HYPERLINK("#",""), HYPERLINK(CONCATENATE("#Metadata!", ADDRESS(INDEX($Q$2:$Q$1001,MATCH(ROWS($O$2:O103),$O$2:$O$1001,0),0), INDEX($V$1004:$AE$1004,1,MATCH(COLUMNS($V$1006:Z1006),$V$1006:$AE$1006,0)))),"Fix")))</f>
        <v>0</v>
      </c>
      <c r="G103" s="3">
        <f>IF(OR(INDEX($P$2:$P$1001,MATCH(ROWS($O$2:O103),$O$2:$O$1001,0),1)&gt;=100000,INDEX($V$1005:$AE$1005,1,MATCH(COLUMNS($V$1006:AA1006),$V$1006:$AE$1006,0))&gt;=100000), " ",IF(INDEX($V$2:$AE$1001,MATCH(ROWS($O$2:O103),$O$2:$O$1001,0),MATCH(COLUMNS($V$1006:AA1006),$V$1006:$AE$1006,0)), HYPERLINK("#",""), HYPERLINK(CONCATENATE("#Metadata!", ADDRESS(INDEX($Q$2:$Q$1001,MATCH(ROWS($O$2:O103),$O$2:$O$1001,0),0), INDEX($V$1004:$AE$1004,1,MATCH(COLUMNS($V$1006:AA1006),$V$1006:$AE$1006,0)))),"Fix")))</f>
        <v>0</v>
      </c>
      <c r="H103" s="3">
        <f>IF(OR(INDEX($P$2:$P$1001,MATCH(ROWS($O$2:O103),$O$2:$O$1001,0),1)&gt;=100000,INDEX($V$1005:$AE$1005,1,MATCH(COLUMNS($V$1006:AB1006),$V$1006:$AE$1006,0))&gt;=100000), " ",IF(INDEX($V$2:$AE$1001,MATCH(ROWS($O$2:O103),$O$2:$O$1001,0),MATCH(COLUMNS($V$1006:AB1006),$V$1006:$AE$1006,0)), HYPERLINK("#",""), HYPERLINK(CONCATENATE("#Metadata!", ADDRESS(INDEX($Q$2:$Q$1001,MATCH(ROWS($O$2:O103),$O$2:$O$1001,0),0), INDEX($V$1004:$AE$1004,1,MATCH(COLUMNS($V$1006:AB1006),$V$1006:$AE$1006,0)))),"Fix")))</f>
        <v>0</v>
      </c>
      <c r="I103" s="3">
        <f>IF(OR(INDEX($P$2:$P$1001,MATCH(ROWS($O$2:O103),$O$2:$O$1001,0),1)&gt;=100000,INDEX($V$1005:$AE$1005,1,MATCH(COLUMNS($V$1006:AC1006),$V$1006:$AE$1006,0))&gt;=100000), " ",IF(INDEX($V$2:$AE$1001,MATCH(ROWS($O$2:O103),$O$2:$O$1001,0),MATCH(COLUMNS($V$1006:AC1006),$V$1006:$AE$1006,0)), HYPERLINK("#",""), HYPERLINK(CONCATENATE("#Metadata!", ADDRESS(INDEX($Q$2:$Q$1001,MATCH(ROWS($O$2:O103),$O$2:$O$1001,0),0), INDEX($V$1004:$AE$1004,1,MATCH(COLUMNS($V$1006:AC1006),$V$1006:$AE$1006,0)))),"Fix")))</f>
        <v>0</v>
      </c>
      <c r="J103" s="3">
        <f>IF(OR(INDEX($P$2:$P$1001,MATCH(ROWS($O$2:O103),$O$2:$O$1001,0),1)&gt;=100000,INDEX($V$1005:$AE$1005,1,MATCH(COLUMNS($V$1006:AD1006),$V$1006:$AE$1006,0))&gt;=100000), " ",IF(INDEX($V$2:$AE$1001,MATCH(ROWS($O$2:O103),$O$2:$O$1001,0),MATCH(COLUMNS($V$1006:AD1006),$V$1006:$AE$1006,0)), HYPERLINK("#",""), HYPERLINK(CONCATENATE("#Metadata!", ADDRESS(INDEX($Q$2:$Q$1001,MATCH(ROWS($O$2:O103),$O$2:$O$1001,0),0), INDEX($V$1004:$AE$1004,1,MATCH(COLUMNS($V$1006:AD1006),$V$1006:$AE$1006,0)))),"Fix")))</f>
        <v>0</v>
      </c>
      <c r="K103" s="3">
        <f>IF(OR(INDEX($P$2:$P$1001,MATCH(ROWS($O$2:O103),$O$2:$O$1001,0),1)&gt;=100000,INDEX($V$1005:$AE$1005,1,MATCH(COLUMNS($V$1006:AE1006),$V$1006:$AE$1006,0))&gt;=100000), " ",IF(INDEX($V$2:$AE$1001,MATCH(ROWS($O$2:O103),$O$2:$O$1001,0),MATCH(COLUMNS($V$1006:AE1006),$V$1006:$AE$1006,0)), HYPERLINK("#",""), HYPERLINK(CONCATENATE("#Metadata!", ADDRESS(INDEX($Q$2:$Q$1001,MATCH(ROWS($O$2:O103),$O$2:$O$1001,0),0), INDEX($V$1004:$AE$1004,1,MATCH(COLUMNS($V$1006:AE1006),$V$1006:$AE$1006,0)))),"Fix")))</f>
        <v>0</v>
      </c>
      <c r="O103">
        <v>0</v>
      </c>
      <c r="P103">
        <v>0</v>
      </c>
      <c r="Q103">
        <v>0</v>
      </c>
      <c r="R103">
        <f>IF(S103,TRUE,AND(V103:AE103))</f>
        <v>0</v>
      </c>
      <c r="S103">
        <f>COUNTBLANK(Metadata!B103:K103)=COLUMNS(Metadata!B103:K103)</f>
        <v>0</v>
      </c>
      <c r="T103">
        <v>0</v>
      </c>
      <c r="V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W103">
        <f>AND(IF(Metadata!C103="",FALSE,TRUE),exact(Metadata!C103,"animal secretion"))</f>
        <v>0</v>
      </c>
      <c r="X103">
        <f>AND(IF(Metadata!D103="",FALSE,TRUE),exact(Metadata!D103,"saliva"))</f>
        <v>0</v>
      </c>
      <c r="Y103">
        <f>AND(IF(Metadata!E103="",FALSE,TRUE),exact(Metadata!E103,"human-oral"))</f>
        <v>0</v>
      </c>
      <c r="Z103">
        <f>AND(IF(Metadata!F103="",FALSE,TRUE),exact(Metadata!F103,"UBERON:oral cavity"))</f>
        <v>0</v>
      </c>
      <c r="AA103">
        <f>AND(IF(Metadata!G103="",FALSE,TRUE),exact(Metadata!G103,"UBERON:saliva"))</f>
        <v>0</v>
      </c>
      <c r="AB103">
        <f>AND(IF(Metadata!H103="",FALSE,TRUE),exact(Metadata!H103,"UBERON:tongue"))</f>
        <v>0</v>
      </c>
      <c r="AC103">
        <f>AND(IF(Metadata!I103="",FALSE,TRUE),exact(Metadata!I103,"tongue"))</f>
        <v>0</v>
      </c>
      <c r="AD103">
        <f>AND(IF(Metadata!J103="",FALSE,TRUE),exact(Metadata!J103,"human oral metagenome"))</f>
        <v>0</v>
      </c>
      <c r="AE103">
        <f>AND(IF(Metadata!K103="",FALSE,TRUE),exact(Metadata!K103,"447426"))</f>
        <v>0</v>
      </c>
    </row>
    <row r="104" spans="1:31">
      <c r="A104" s="4">
        <f>IF(B104=" "," ",HYPERLINK(CONCATENATE("#metadata!",ADDRESS(INDEX($Q$2:$Q$1001,MATCH(ROWS($O$2:O104),$O$2:$O$1001,0),0),1)),INDEX($T$2:$T$1001,MATCH(ROWS($O$2:O104),$O$2:$O$1001,0),0)))</f>
        <v>0</v>
      </c>
      <c r="B104" s="3">
        <f>IF(OR(INDEX($P$2:$P$1001,MATCH(ROWS($O$2:O104),$O$2:$O$1001,0),1)&gt;=100000,INDEX($V$1005:$AE$1005,1,MATCH(COLUMNS($V$1006:V1006),$V$1006:$AE$1006,0))&gt;=100000), " ",IF(INDEX($V$2:$AE$1001,MATCH(ROWS($O$2:O104),$O$2:$O$1001,0),MATCH(COLUMNS($V$1006:V1006),$V$1006:$AE$1006,0)), HYPERLINK("#",""), HYPERLINK(CONCATENATE("#Metadata!", ADDRESS(INDEX($Q$2:$Q$1001,MATCH(ROWS($O$2:O104),$O$2:$O$1001,0),0), INDEX($V$1004:$AE$1004,1,MATCH(COLUMNS($V$1006:V1006),$V$1006:$AE$1006,0)))),"Fix")))</f>
        <v>0</v>
      </c>
      <c r="C104" s="3">
        <f>IF(OR(INDEX($P$2:$P$1001,MATCH(ROWS($O$2:O104),$O$2:$O$1001,0),1)&gt;=100000,INDEX($V$1005:$AE$1005,1,MATCH(COLUMNS($V$1006:W1006),$V$1006:$AE$1006,0))&gt;=100000), " ",IF(INDEX($V$2:$AE$1001,MATCH(ROWS($O$2:O104),$O$2:$O$1001,0),MATCH(COLUMNS($V$1006:W1006),$V$1006:$AE$1006,0)), HYPERLINK("#",""), HYPERLINK(CONCATENATE("#Metadata!", ADDRESS(INDEX($Q$2:$Q$1001,MATCH(ROWS($O$2:O104),$O$2:$O$1001,0),0), INDEX($V$1004:$AE$1004,1,MATCH(COLUMNS($V$1006:W1006),$V$1006:$AE$1006,0)))),"Fix")))</f>
        <v>0</v>
      </c>
      <c r="D104" s="3">
        <f>IF(OR(INDEX($P$2:$P$1001,MATCH(ROWS($O$2:O104),$O$2:$O$1001,0),1)&gt;=100000,INDEX($V$1005:$AE$1005,1,MATCH(COLUMNS($V$1006:X1006),$V$1006:$AE$1006,0))&gt;=100000), " ",IF(INDEX($V$2:$AE$1001,MATCH(ROWS($O$2:O104),$O$2:$O$1001,0),MATCH(COLUMNS($V$1006:X1006),$V$1006:$AE$1006,0)), HYPERLINK("#",""), HYPERLINK(CONCATENATE("#Metadata!", ADDRESS(INDEX($Q$2:$Q$1001,MATCH(ROWS($O$2:O104),$O$2:$O$1001,0),0), INDEX($V$1004:$AE$1004,1,MATCH(COLUMNS($V$1006:X1006),$V$1006:$AE$1006,0)))),"Fix")))</f>
        <v>0</v>
      </c>
      <c r="E104" s="3">
        <f>IF(OR(INDEX($P$2:$P$1001,MATCH(ROWS($O$2:O104),$O$2:$O$1001,0),1)&gt;=100000,INDEX($V$1005:$AE$1005,1,MATCH(COLUMNS($V$1006:Y1006),$V$1006:$AE$1006,0))&gt;=100000), " ",IF(INDEX($V$2:$AE$1001,MATCH(ROWS($O$2:O104),$O$2:$O$1001,0),MATCH(COLUMNS($V$1006:Y1006),$V$1006:$AE$1006,0)), HYPERLINK("#",""), HYPERLINK(CONCATENATE("#Metadata!", ADDRESS(INDEX($Q$2:$Q$1001,MATCH(ROWS($O$2:O104),$O$2:$O$1001,0),0), INDEX($V$1004:$AE$1004,1,MATCH(COLUMNS($V$1006:Y1006),$V$1006:$AE$1006,0)))),"Fix")))</f>
        <v>0</v>
      </c>
      <c r="F104" s="3">
        <f>IF(OR(INDEX($P$2:$P$1001,MATCH(ROWS($O$2:O104),$O$2:$O$1001,0),1)&gt;=100000,INDEX($V$1005:$AE$1005,1,MATCH(COLUMNS($V$1006:Z1006),$V$1006:$AE$1006,0))&gt;=100000), " ",IF(INDEX($V$2:$AE$1001,MATCH(ROWS($O$2:O104),$O$2:$O$1001,0),MATCH(COLUMNS($V$1006:Z1006),$V$1006:$AE$1006,0)), HYPERLINK("#",""), HYPERLINK(CONCATENATE("#Metadata!", ADDRESS(INDEX($Q$2:$Q$1001,MATCH(ROWS($O$2:O104),$O$2:$O$1001,0),0), INDEX($V$1004:$AE$1004,1,MATCH(COLUMNS($V$1006:Z1006),$V$1006:$AE$1006,0)))),"Fix")))</f>
        <v>0</v>
      </c>
      <c r="G104" s="3">
        <f>IF(OR(INDEX($P$2:$P$1001,MATCH(ROWS($O$2:O104),$O$2:$O$1001,0),1)&gt;=100000,INDEX($V$1005:$AE$1005,1,MATCH(COLUMNS($V$1006:AA1006),$V$1006:$AE$1006,0))&gt;=100000), " ",IF(INDEX($V$2:$AE$1001,MATCH(ROWS($O$2:O104),$O$2:$O$1001,0),MATCH(COLUMNS($V$1006:AA1006),$V$1006:$AE$1006,0)), HYPERLINK("#",""), HYPERLINK(CONCATENATE("#Metadata!", ADDRESS(INDEX($Q$2:$Q$1001,MATCH(ROWS($O$2:O104),$O$2:$O$1001,0),0), INDEX($V$1004:$AE$1004,1,MATCH(COLUMNS($V$1006:AA1006),$V$1006:$AE$1006,0)))),"Fix")))</f>
        <v>0</v>
      </c>
      <c r="H104" s="3">
        <f>IF(OR(INDEX($P$2:$P$1001,MATCH(ROWS($O$2:O104),$O$2:$O$1001,0),1)&gt;=100000,INDEX($V$1005:$AE$1005,1,MATCH(COLUMNS($V$1006:AB1006),$V$1006:$AE$1006,0))&gt;=100000), " ",IF(INDEX($V$2:$AE$1001,MATCH(ROWS($O$2:O104),$O$2:$O$1001,0),MATCH(COLUMNS($V$1006:AB1006),$V$1006:$AE$1006,0)), HYPERLINK("#",""), HYPERLINK(CONCATENATE("#Metadata!", ADDRESS(INDEX($Q$2:$Q$1001,MATCH(ROWS($O$2:O104),$O$2:$O$1001,0),0), INDEX($V$1004:$AE$1004,1,MATCH(COLUMNS($V$1006:AB1006),$V$1006:$AE$1006,0)))),"Fix")))</f>
        <v>0</v>
      </c>
      <c r="I104" s="3">
        <f>IF(OR(INDEX($P$2:$P$1001,MATCH(ROWS($O$2:O104),$O$2:$O$1001,0),1)&gt;=100000,INDEX($V$1005:$AE$1005,1,MATCH(COLUMNS($V$1006:AC1006),$V$1006:$AE$1006,0))&gt;=100000), " ",IF(INDEX($V$2:$AE$1001,MATCH(ROWS($O$2:O104),$O$2:$O$1001,0),MATCH(COLUMNS($V$1006:AC1006),$V$1006:$AE$1006,0)), HYPERLINK("#",""), HYPERLINK(CONCATENATE("#Metadata!", ADDRESS(INDEX($Q$2:$Q$1001,MATCH(ROWS($O$2:O104),$O$2:$O$1001,0),0), INDEX($V$1004:$AE$1004,1,MATCH(COLUMNS($V$1006:AC1006),$V$1006:$AE$1006,0)))),"Fix")))</f>
        <v>0</v>
      </c>
      <c r="J104" s="3">
        <f>IF(OR(INDEX($P$2:$P$1001,MATCH(ROWS($O$2:O104),$O$2:$O$1001,0),1)&gt;=100000,INDEX($V$1005:$AE$1005,1,MATCH(COLUMNS($V$1006:AD1006),$V$1006:$AE$1006,0))&gt;=100000), " ",IF(INDEX($V$2:$AE$1001,MATCH(ROWS($O$2:O104),$O$2:$O$1001,0),MATCH(COLUMNS($V$1006:AD1006),$V$1006:$AE$1006,0)), HYPERLINK("#",""), HYPERLINK(CONCATENATE("#Metadata!", ADDRESS(INDEX($Q$2:$Q$1001,MATCH(ROWS($O$2:O104),$O$2:$O$1001,0),0), INDEX($V$1004:$AE$1004,1,MATCH(COLUMNS($V$1006:AD1006),$V$1006:$AE$1006,0)))),"Fix")))</f>
        <v>0</v>
      </c>
      <c r="K104" s="3">
        <f>IF(OR(INDEX($P$2:$P$1001,MATCH(ROWS($O$2:O104),$O$2:$O$1001,0),1)&gt;=100000,INDEX($V$1005:$AE$1005,1,MATCH(COLUMNS($V$1006:AE1006),$V$1006:$AE$1006,0))&gt;=100000), " ",IF(INDEX($V$2:$AE$1001,MATCH(ROWS($O$2:O104),$O$2:$O$1001,0),MATCH(COLUMNS($V$1006:AE1006),$V$1006:$AE$1006,0)), HYPERLINK("#",""), HYPERLINK(CONCATENATE("#Metadata!", ADDRESS(INDEX($Q$2:$Q$1001,MATCH(ROWS($O$2:O104),$O$2:$O$1001,0),0), INDEX($V$1004:$AE$1004,1,MATCH(COLUMNS($V$1006:AE1006),$V$1006:$AE$1006,0)))),"Fix")))</f>
        <v>0</v>
      </c>
      <c r="O104">
        <v>0</v>
      </c>
      <c r="P104">
        <v>0</v>
      </c>
      <c r="Q104">
        <v>0</v>
      </c>
      <c r="R104">
        <f>IF(S104,TRUE,AND(V104:AE104))</f>
        <v>0</v>
      </c>
      <c r="S104">
        <f>COUNTBLANK(Metadata!B104:K104)=COLUMNS(Metadata!B104:K104)</f>
        <v>0</v>
      </c>
      <c r="T104">
        <v>0</v>
      </c>
      <c r="V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W104">
        <f>AND(IF(Metadata!C104="",FALSE,TRUE),exact(Metadata!C104,"animal secretion"))</f>
        <v>0</v>
      </c>
      <c r="X104">
        <f>AND(IF(Metadata!D104="",FALSE,TRUE),exact(Metadata!D104,"saliva"))</f>
        <v>0</v>
      </c>
      <c r="Y104">
        <f>AND(IF(Metadata!E104="",FALSE,TRUE),exact(Metadata!E104,"human-oral"))</f>
        <v>0</v>
      </c>
      <c r="Z104">
        <f>AND(IF(Metadata!F104="",FALSE,TRUE),exact(Metadata!F104,"UBERON:oral cavity"))</f>
        <v>0</v>
      </c>
      <c r="AA104">
        <f>AND(IF(Metadata!G104="",FALSE,TRUE),exact(Metadata!G104,"UBERON:saliva"))</f>
        <v>0</v>
      </c>
      <c r="AB104">
        <f>AND(IF(Metadata!H104="",FALSE,TRUE),exact(Metadata!H104,"UBERON:tongue"))</f>
        <v>0</v>
      </c>
      <c r="AC104">
        <f>AND(IF(Metadata!I104="",FALSE,TRUE),exact(Metadata!I104,"tongue"))</f>
        <v>0</v>
      </c>
      <c r="AD104">
        <f>AND(IF(Metadata!J104="",FALSE,TRUE),exact(Metadata!J104,"human oral metagenome"))</f>
        <v>0</v>
      </c>
      <c r="AE104">
        <f>AND(IF(Metadata!K104="",FALSE,TRUE),exact(Metadata!K104,"447426"))</f>
        <v>0</v>
      </c>
    </row>
    <row r="105" spans="1:31">
      <c r="A105" s="4">
        <f>IF(B105=" "," ",HYPERLINK(CONCATENATE("#metadata!",ADDRESS(INDEX($Q$2:$Q$1001,MATCH(ROWS($O$2:O105),$O$2:$O$1001,0),0),1)),INDEX($T$2:$T$1001,MATCH(ROWS($O$2:O105),$O$2:$O$1001,0),0)))</f>
        <v>0</v>
      </c>
      <c r="B105" s="3">
        <f>IF(OR(INDEX($P$2:$P$1001,MATCH(ROWS($O$2:O105),$O$2:$O$1001,0),1)&gt;=100000,INDEX($V$1005:$AE$1005,1,MATCH(COLUMNS($V$1006:V1006),$V$1006:$AE$1006,0))&gt;=100000), " ",IF(INDEX($V$2:$AE$1001,MATCH(ROWS($O$2:O105),$O$2:$O$1001,0),MATCH(COLUMNS($V$1006:V1006),$V$1006:$AE$1006,0)), HYPERLINK("#",""), HYPERLINK(CONCATENATE("#Metadata!", ADDRESS(INDEX($Q$2:$Q$1001,MATCH(ROWS($O$2:O105),$O$2:$O$1001,0),0), INDEX($V$1004:$AE$1004,1,MATCH(COLUMNS($V$1006:V1006),$V$1006:$AE$1006,0)))),"Fix")))</f>
        <v>0</v>
      </c>
      <c r="C105" s="3">
        <f>IF(OR(INDEX($P$2:$P$1001,MATCH(ROWS($O$2:O105),$O$2:$O$1001,0),1)&gt;=100000,INDEX($V$1005:$AE$1005,1,MATCH(COLUMNS($V$1006:W1006),$V$1006:$AE$1006,0))&gt;=100000), " ",IF(INDEX($V$2:$AE$1001,MATCH(ROWS($O$2:O105),$O$2:$O$1001,0),MATCH(COLUMNS($V$1006:W1006),$V$1006:$AE$1006,0)), HYPERLINK("#",""), HYPERLINK(CONCATENATE("#Metadata!", ADDRESS(INDEX($Q$2:$Q$1001,MATCH(ROWS($O$2:O105),$O$2:$O$1001,0),0), INDEX($V$1004:$AE$1004,1,MATCH(COLUMNS($V$1006:W1006),$V$1006:$AE$1006,0)))),"Fix")))</f>
        <v>0</v>
      </c>
      <c r="D105" s="3">
        <f>IF(OR(INDEX($P$2:$P$1001,MATCH(ROWS($O$2:O105),$O$2:$O$1001,0),1)&gt;=100000,INDEX($V$1005:$AE$1005,1,MATCH(COLUMNS($V$1006:X1006),$V$1006:$AE$1006,0))&gt;=100000), " ",IF(INDEX($V$2:$AE$1001,MATCH(ROWS($O$2:O105),$O$2:$O$1001,0),MATCH(COLUMNS($V$1006:X1006),$V$1006:$AE$1006,0)), HYPERLINK("#",""), HYPERLINK(CONCATENATE("#Metadata!", ADDRESS(INDEX($Q$2:$Q$1001,MATCH(ROWS($O$2:O105),$O$2:$O$1001,0),0), INDEX($V$1004:$AE$1004,1,MATCH(COLUMNS($V$1006:X1006),$V$1006:$AE$1006,0)))),"Fix")))</f>
        <v>0</v>
      </c>
      <c r="E105" s="3">
        <f>IF(OR(INDEX($P$2:$P$1001,MATCH(ROWS($O$2:O105),$O$2:$O$1001,0),1)&gt;=100000,INDEX($V$1005:$AE$1005,1,MATCH(COLUMNS($V$1006:Y1006),$V$1006:$AE$1006,0))&gt;=100000), " ",IF(INDEX($V$2:$AE$1001,MATCH(ROWS($O$2:O105),$O$2:$O$1001,0),MATCH(COLUMNS($V$1006:Y1006),$V$1006:$AE$1006,0)), HYPERLINK("#",""), HYPERLINK(CONCATENATE("#Metadata!", ADDRESS(INDEX($Q$2:$Q$1001,MATCH(ROWS($O$2:O105),$O$2:$O$1001,0),0), INDEX($V$1004:$AE$1004,1,MATCH(COLUMNS($V$1006:Y1006),$V$1006:$AE$1006,0)))),"Fix")))</f>
        <v>0</v>
      </c>
      <c r="F105" s="3">
        <f>IF(OR(INDEX($P$2:$P$1001,MATCH(ROWS($O$2:O105),$O$2:$O$1001,0),1)&gt;=100000,INDEX($V$1005:$AE$1005,1,MATCH(COLUMNS($V$1006:Z1006),$V$1006:$AE$1006,0))&gt;=100000), " ",IF(INDEX($V$2:$AE$1001,MATCH(ROWS($O$2:O105),$O$2:$O$1001,0),MATCH(COLUMNS($V$1006:Z1006),$V$1006:$AE$1006,0)), HYPERLINK("#",""), HYPERLINK(CONCATENATE("#Metadata!", ADDRESS(INDEX($Q$2:$Q$1001,MATCH(ROWS($O$2:O105),$O$2:$O$1001,0),0), INDEX($V$1004:$AE$1004,1,MATCH(COLUMNS($V$1006:Z1006),$V$1006:$AE$1006,0)))),"Fix")))</f>
        <v>0</v>
      </c>
      <c r="G105" s="3">
        <f>IF(OR(INDEX($P$2:$P$1001,MATCH(ROWS($O$2:O105),$O$2:$O$1001,0),1)&gt;=100000,INDEX($V$1005:$AE$1005,1,MATCH(COLUMNS($V$1006:AA1006),$V$1006:$AE$1006,0))&gt;=100000), " ",IF(INDEX($V$2:$AE$1001,MATCH(ROWS($O$2:O105),$O$2:$O$1001,0),MATCH(COLUMNS($V$1006:AA1006),$V$1006:$AE$1006,0)), HYPERLINK("#",""), HYPERLINK(CONCATENATE("#Metadata!", ADDRESS(INDEX($Q$2:$Q$1001,MATCH(ROWS($O$2:O105),$O$2:$O$1001,0),0), INDEX($V$1004:$AE$1004,1,MATCH(COLUMNS($V$1006:AA1006),$V$1006:$AE$1006,0)))),"Fix")))</f>
        <v>0</v>
      </c>
      <c r="H105" s="3">
        <f>IF(OR(INDEX($P$2:$P$1001,MATCH(ROWS($O$2:O105),$O$2:$O$1001,0),1)&gt;=100000,INDEX($V$1005:$AE$1005,1,MATCH(COLUMNS($V$1006:AB1006),$V$1006:$AE$1006,0))&gt;=100000), " ",IF(INDEX($V$2:$AE$1001,MATCH(ROWS($O$2:O105),$O$2:$O$1001,0),MATCH(COLUMNS($V$1006:AB1006),$V$1006:$AE$1006,0)), HYPERLINK("#",""), HYPERLINK(CONCATENATE("#Metadata!", ADDRESS(INDEX($Q$2:$Q$1001,MATCH(ROWS($O$2:O105),$O$2:$O$1001,0),0), INDEX($V$1004:$AE$1004,1,MATCH(COLUMNS($V$1006:AB1006),$V$1006:$AE$1006,0)))),"Fix")))</f>
        <v>0</v>
      </c>
      <c r="I105" s="3">
        <f>IF(OR(INDEX($P$2:$P$1001,MATCH(ROWS($O$2:O105),$O$2:$O$1001,0),1)&gt;=100000,INDEX($V$1005:$AE$1005,1,MATCH(COLUMNS($V$1006:AC1006),$V$1006:$AE$1006,0))&gt;=100000), " ",IF(INDEX($V$2:$AE$1001,MATCH(ROWS($O$2:O105),$O$2:$O$1001,0),MATCH(COLUMNS($V$1006:AC1006),$V$1006:$AE$1006,0)), HYPERLINK("#",""), HYPERLINK(CONCATENATE("#Metadata!", ADDRESS(INDEX($Q$2:$Q$1001,MATCH(ROWS($O$2:O105),$O$2:$O$1001,0),0), INDEX($V$1004:$AE$1004,1,MATCH(COLUMNS($V$1006:AC1006),$V$1006:$AE$1006,0)))),"Fix")))</f>
        <v>0</v>
      </c>
      <c r="J105" s="3">
        <f>IF(OR(INDEX($P$2:$P$1001,MATCH(ROWS($O$2:O105),$O$2:$O$1001,0),1)&gt;=100000,INDEX($V$1005:$AE$1005,1,MATCH(COLUMNS($V$1006:AD1006),$V$1006:$AE$1006,0))&gt;=100000), " ",IF(INDEX($V$2:$AE$1001,MATCH(ROWS($O$2:O105),$O$2:$O$1001,0),MATCH(COLUMNS($V$1006:AD1006),$V$1006:$AE$1006,0)), HYPERLINK("#",""), HYPERLINK(CONCATENATE("#Metadata!", ADDRESS(INDEX($Q$2:$Q$1001,MATCH(ROWS($O$2:O105),$O$2:$O$1001,0),0), INDEX($V$1004:$AE$1004,1,MATCH(COLUMNS($V$1006:AD1006),$V$1006:$AE$1006,0)))),"Fix")))</f>
        <v>0</v>
      </c>
      <c r="K105" s="3">
        <f>IF(OR(INDEX($P$2:$P$1001,MATCH(ROWS($O$2:O105),$O$2:$O$1001,0),1)&gt;=100000,INDEX($V$1005:$AE$1005,1,MATCH(COLUMNS($V$1006:AE1006),$V$1006:$AE$1006,0))&gt;=100000), " ",IF(INDEX($V$2:$AE$1001,MATCH(ROWS($O$2:O105),$O$2:$O$1001,0),MATCH(COLUMNS($V$1006:AE1006),$V$1006:$AE$1006,0)), HYPERLINK("#",""), HYPERLINK(CONCATENATE("#Metadata!", ADDRESS(INDEX($Q$2:$Q$1001,MATCH(ROWS($O$2:O105),$O$2:$O$1001,0),0), INDEX($V$1004:$AE$1004,1,MATCH(COLUMNS($V$1006:AE1006),$V$1006:$AE$1006,0)))),"Fix")))</f>
        <v>0</v>
      </c>
      <c r="O105">
        <v>0</v>
      </c>
      <c r="P105">
        <v>0</v>
      </c>
      <c r="Q105">
        <v>0</v>
      </c>
      <c r="R105">
        <f>IF(S105,TRUE,AND(V105:AE105))</f>
        <v>0</v>
      </c>
      <c r="S105">
        <f>COUNTBLANK(Metadata!B105:K105)=COLUMNS(Metadata!B105:K105)</f>
        <v>0</v>
      </c>
      <c r="T105">
        <v>0</v>
      </c>
      <c r="V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W105">
        <f>AND(IF(Metadata!C105="",FALSE,TRUE),exact(Metadata!C105,"animal secretion"))</f>
        <v>0</v>
      </c>
      <c r="X105">
        <f>AND(IF(Metadata!D105="",FALSE,TRUE),exact(Metadata!D105,"saliva"))</f>
        <v>0</v>
      </c>
      <c r="Y105">
        <f>AND(IF(Metadata!E105="",FALSE,TRUE),exact(Metadata!E105,"human-oral"))</f>
        <v>0</v>
      </c>
      <c r="Z105">
        <f>AND(IF(Metadata!F105="",FALSE,TRUE),exact(Metadata!F105,"UBERON:oral cavity"))</f>
        <v>0</v>
      </c>
      <c r="AA105">
        <f>AND(IF(Metadata!G105="",FALSE,TRUE),exact(Metadata!G105,"UBERON:saliva"))</f>
        <v>0</v>
      </c>
      <c r="AB105">
        <f>AND(IF(Metadata!H105="",FALSE,TRUE),exact(Metadata!H105,"UBERON:tongue"))</f>
        <v>0</v>
      </c>
      <c r="AC105">
        <f>AND(IF(Metadata!I105="",FALSE,TRUE),exact(Metadata!I105,"tongue"))</f>
        <v>0</v>
      </c>
      <c r="AD105">
        <f>AND(IF(Metadata!J105="",FALSE,TRUE),exact(Metadata!J105,"human oral metagenome"))</f>
        <v>0</v>
      </c>
      <c r="AE105">
        <f>AND(IF(Metadata!K105="",FALSE,TRUE),exact(Metadata!K105,"447426"))</f>
        <v>0</v>
      </c>
    </row>
    <row r="106" spans="1:31">
      <c r="A106" s="4">
        <f>IF(B106=" "," ",HYPERLINK(CONCATENATE("#metadata!",ADDRESS(INDEX($Q$2:$Q$1001,MATCH(ROWS($O$2:O106),$O$2:$O$1001,0),0),1)),INDEX($T$2:$T$1001,MATCH(ROWS($O$2:O106),$O$2:$O$1001,0),0)))</f>
        <v>0</v>
      </c>
      <c r="B106" s="3">
        <f>IF(OR(INDEX($P$2:$P$1001,MATCH(ROWS($O$2:O106),$O$2:$O$1001,0),1)&gt;=100000,INDEX($V$1005:$AE$1005,1,MATCH(COLUMNS($V$1006:V1006),$V$1006:$AE$1006,0))&gt;=100000), " ",IF(INDEX($V$2:$AE$1001,MATCH(ROWS($O$2:O106),$O$2:$O$1001,0),MATCH(COLUMNS($V$1006:V1006),$V$1006:$AE$1006,0)), HYPERLINK("#",""), HYPERLINK(CONCATENATE("#Metadata!", ADDRESS(INDEX($Q$2:$Q$1001,MATCH(ROWS($O$2:O106),$O$2:$O$1001,0),0), INDEX($V$1004:$AE$1004,1,MATCH(COLUMNS($V$1006:V1006),$V$1006:$AE$1006,0)))),"Fix")))</f>
        <v>0</v>
      </c>
      <c r="C106" s="3">
        <f>IF(OR(INDEX($P$2:$P$1001,MATCH(ROWS($O$2:O106),$O$2:$O$1001,0),1)&gt;=100000,INDEX($V$1005:$AE$1005,1,MATCH(COLUMNS($V$1006:W1006),$V$1006:$AE$1006,0))&gt;=100000), " ",IF(INDEX($V$2:$AE$1001,MATCH(ROWS($O$2:O106),$O$2:$O$1001,0),MATCH(COLUMNS($V$1006:W1006),$V$1006:$AE$1006,0)), HYPERLINK("#",""), HYPERLINK(CONCATENATE("#Metadata!", ADDRESS(INDEX($Q$2:$Q$1001,MATCH(ROWS($O$2:O106),$O$2:$O$1001,0),0), INDEX($V$1004:$AE$1004,1,MATCH(COLUMNS($V$1006:W1006),$V$1006:$AE$1006,0)))),"Fix")))</f>
        <v>0</v>
      </c>
      <c r="D106" s="3">
        <f>IF(OR(INDEX($P$2:$P$1001,MATCH(ROWS($O$2:O106),$O$2:$O$1001,0),1)&gt;=100000,INDEX($V$1005:$AE$1005,1,MATCH(COLUMNS($V$1006:X1006),$V$1006:$AE$1006,0))&gt;=100000), " ",IF(INDEX($V$2:$AE$1001,MATCH(ROWS($O$2:O106),$O$2:$O$1001,0),MATCH(COLUMNS($V$1006:X1006),$V$1006:$AE$1006,0)), HYPERLINK("#",""), HYPERLINK(CONCATENATE("#Metadata!", ADDRESS(INDEX($Q$2:$Q$1001,MATCH(ROWS($O$2:O106),$O$2:$O$1001,0),0), INDEX($V$1004:$AE$1004,1,MATCH(COLUMNS($V$1006:X1006),$V$1006:$AE$1006,0)))),"Fix")))</f>
        <v>0</v>
      </c>
      <c r="E106" s="3">
        <f>IF(OR(INDEX($P$2:$P$1001,MATCH(ROWS($O$2:O106),$O$2:$O$1001,0),1)&gt;=100000,INDEX($V$1005:$AE$1005,1,MATCH(COLUMNS($V$1006:Y1006),$V$1006:$AE$1006,0))&gt;=100000), " ",IF(INDEX($V$2:$AE$1001,MATCH(ROWS($O$2:O106),$O$2:$O$1001,0),MATCH(COLUMNS($V$1006:Y1006),$V$1006:$AE$1006,0)), HYPERLINK("#",""), HYPERLINK(CONCATENATE("#Metadata!", ADDRESS(INDEX($Q$2:$Q$1001,MATCH(ROWS($O$2:O106),$O$2:$O$1001,0),0), INDEX($V$1004:$AE$1004,1,MATCH(COLUMNS($V$1006:Y1006),$V$1006:$AE$1006,0)))),"Fix")))</f>
        <v>0</v>
      </c>
      <c r="F106" s="3">
        <f>IF(OR(INDEX($P$2:$P$1001,MATCH(ROWS($O$2:O106),$O$2:$O$1001,0),1)&gt;=100000,INDEX($V$1005:$AE$1005,1,MATCH(COLUMNS($V$1006:Z1006),$V$1006:$AE$1006,0))&gt;=100000), " ",IF(INDEX($V$2:$AE$1001,MATCH(ROWS($O$2:O106),$O$2:$O$1001,0),MATCH(COLUMNS($V$1006:Z1006),$V$1006:$AE$1006,0)), HYPERLINK("#",""), HYPERLINK(CONCATENATE("#Metadata!", ADDRESS(INDEX($Q$2:$Q$1001,MATCH(ROWS($O$2:O106),$O$2:$O$1001,0),0), INDEX($V$1004:$AE$1004,1,MATCH(COLUMNS($V$1006:Z1006),$V$1006:$AE$1006,0)))),"Fix")))</f>
        <v>0</v>
      </c>
      <c r="G106" s="3">
        <f>IF(OR(INDEX($P$2:$P$1001,MATCH(ROWS($O$2:O106),$O$2:$O$1001,0),1)&gt;=100000,INDEX($V$1005:$AE$1005,1,MATCH(COLUMNS($V$1006:AA1006),$V$1006:$AE$1006,0))&gt;=100000), " ",IF(INDEX($V$2:$AE$1001,MATCH(ROWS($O$2:O106),$O$2:$O$1001,0),MATCH(COLUMNS($V$1006:AA1006),$V$1006:$AE$1006,0)), HYPERLINK("#",""), HYPERLINK(CONCATENATE("#Metadata!", ADDRESS(INDEX($Q$2:$Q$1001,MATCH(ROWS($O$2:O106),$O$2:$O$1001,0),0), INDEX($V$1004:$AE$1004,1,MATCH(COLUMNS($V$1006:AA1006),$V$1006:$AE$1006,0)))),"Fix")))</f>
        <v>0</v>
      </c>
      <c r="H106" s="3">
        <f>IF(OR(INDEX($P$2:$P$1001,MATCH(ROWS($O$2:O106),$O$2:$O$1001,0),1)&gt;=100000,INDEX($V$1005:$AE$1005,1,MATCH(COLUMNS($V$1006:AB1006),$V$1006:$AE$1006,0))&gt;=100000), " ",IF(INDEX($V$2:$AE$1001,MATCH(ROWS($O$2:O106),$O$2:$O$1001,0),MATCH(COLUMNS($V$1006:AB1006),$V$1006:$AE$1006,0)), HYPERLINK("#",""), HYPERLINK(CONCATENATE("#Metadata!", ADDRESS(INDEX($Q$2:$Q$1001,MATCH(ROWS($O$2:O106),$O$2:$O$1001,0),0), INDEX($V$1004:$AE$1004,1,MATCH(COLUMNS($V$1006:AB1006),$V$1006:$AE$1006,0)))),"Fix")))</f>
        <v>0</v>
      </c>
      <c r="I106" s="3">
        <f>IF(OR(INDEX($P$2:$P$1001,MATCH(ROWS($O$2:O106),$O$2:$O$1001,0),1)&gt;=100000,INDEX($V$1005:$AE$1005,1,MATCH(COLUMNS($V$1006:AC1006),$V$1006:$AE$1006,0))&gt;=100000), " ",IF(INDEX($V$2:$AE$1001,MATCH(ROWS($O$2:O106),$O$2:$O$1001,0),MATCH(COLUMNS($V$1006:AC1006),$V$1006:$AE$1006,0)), HYPERLINK("#",""), HYPERLINK(CONCATENATE("#Metadata!", ADDRESS(INDEX($Q$2:$Q$1001,MATCH(ROWS($O$2:O106),$O$2:$O$1001,0),0), INDEX($V$1004:$AE$1004,1,MATCH(COLUMNS($V$1006:AC1006),$V$1006:$AE$1006,0)))),"Fix")))</f>
        <v>0</v>
      </c>
      <c r="J106" s="3">
        <f>IF(OR(INDEX($P$2:$P$1001,MATCH(ROWS($O$2:O106),$O$2:$O$1001,0),1)&gt;=100000,INDEX($V$1005:$AE$1005,1,MATCH(COLUMNS($V$1006:AD1006),$V$1006:$AE$1006,0))&gt;=100000), " ",IF(INDEX($V$2:$AE$1001,MATCH(ROWS($O$2:O106),$O$2:$O$1001,0),MATCH(COLUMNS($V$1006:AD1006),$V$1006:$AE$1006,0)), HYPERLINK("#",""), HYPERLINK(CONCATENATE("#Metadata!", ADDRESS(INDEX($Q$2:$Q$1001,MATCH(ROWS($O$2:O106),$O$2:$O$1001,0),0), INDEX($V$1004:$AE$1004,1,MATCH(COLUMNS($V$1006:AD1006),$V$1006:$AE$1006,0)))),"Fix")))</f>
        <v>0</v>
      </c>
      <c r="K106" s="3">
        <f>IF(OR(INDEX($P$2:$P$1001,MATCH(ROWS($O$2:O106),$O$2:$O$1001,0),1)&gt;=100000,INDEX($V$1005:$AE$1005,1,MATCH(COLUMNS($V$1006:AE1006),$V$1006:$AE$1006,0))&gt;=100000), " ",IF(INDEX($V$2:$AE$1001,MATCH(ROWS($O$2:O106),$O$2:$O$1001,0),MATCH(COLUMNS($V$1006:AE1006),$V$1006:$AE$1006,0)), HYPERLINK("#",""), HYPERLINK(CONCATENATE("#Metadata!", ADDRESS(INDEX($Q$2:$Q$1001,MATCH(ROWS($O$2:O106),$O$2:$O$1001,0),0), INDEX($V$1004:$AE$1004,1,MATCH(COLUMNS($V$1006:AE1006),$V$1006:$AE$1006,0)))),"Fix")))</f>
        <v>0</v>
      </c>
      <c r="O106">
        <v>0</v>
      </c>
      <c r="P106">
        <v>0</v>
      </c>
      <c r="Q106">
        <v>0</v>
      </c>
      <c r="R106">
        <f>IF(S106,TRUE,AND(V106:AE106))</f>
        <v>0</v>
      </c>
      <c r="S106">
        <f>COUNTBLANK(Metadata!B106:K106)=COLUMNS(Metadata!B106:K106)</f>
        <v>0</v>
      </c>
      <c r="T106">
        <v>0</v>
      </c>
      <c r="V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W106">
        <f>AND(IF(Metadata!C106="",FALSE,TRUE),exact(Metadata!C106,"animal secretion"))</f>
        <v>0</v>
      </c>
      <c r="X106">
        <f>AND(IF(Metadata!D106="",FALSE,TRUE),exact(Metadata!D106,"saliva"))</f>
        <v>0</v>
      </c>
      <c r="Y106">
        <f>AND(IF(Metadata!E106="",FALSE,TRUE),exact(Metadata!E106,"human-oral"))</f>
        <v>0</v>
      </c>
      <c r="Z106">
        <f>AND(IF(Metadata!F106="",FALSE,TRUE),exact(Metadata!F106,"UBERON:oral cavity"))</f>
        <v>0</v>
      </c>
      <c r="AA106">
        <f>AND(IF(Metadata!G106="",FALSE,TRUE),exact(Metadata!G106,"UBERON:saliva"))</f>
        <v>0</v>
      </c>
      <c r="AB106">
        <f>AND(IF(Metadata!H106="",FALSE,TRUE),exact(Metadata!H106,"UBERON:tongue"))</f>
        <v>0</v>
      </c>
      <c r="AC106">
        <f>AND(IF(Metadata!I106="",FALSE,TRUE),exact(Metadata!I106,"tongue"))</f>
        <v>0</v>
      </c>
      <c r="AD106">
        <f>AND(IF(Metadata!J106="",FALSE,TRUE),exact(Metadata!J106,"human oral metagenome"))</f>
        <v>0</v>
      </c>
      <c r="AE106">
        <f>AND(IF(Metadata!K106="",FALSE,TRUE),exact(Metadata!K106,"447426"))</f>
        <v>0</v>
      </c>
    </row>
    <row r="107" spans="1:31">
      <c r="A107" s="4">
        <f>IF(B107=" "," ",HYPERLINK(CONCATENATE("#metadata!",ADDRESS(INDEX($Q$2:$Q$1001,MATCH(ROWS($O$2:O107),$O$2:$O$1001,0),0),1)),INDEX($T$2:$T$1001,MATCH(ROWS($O$2:O107),$O$2:$O$1001,0),0)))</f>
        <v>0</v>
      </c>
      <c r="B107" s="3">
        <f>IF(OR(INDEX($P$2:$P$1001,MATCH(ROWS($O$2:O107),$O$2:$O$1001,0),1)&gt;=100000,INDEX($V$1005:$AE$1005,1,MATCH(COLUMNS($V$1006:V1006),$V$1006:$AE$1006,0))&gt;=100000), " ",IF(INDEX($V$2:$AE$1001,MATCH(ROWS($O$2:O107),$O$2:$O$1001,0),MATCH(COLUMNS($V$1006:V1006),$V$1006:$AE$1006,0)), HYPERLINK("#",""), HYPERLINK(CONCATENATE("#Metadata!", ADDRESS(INDEX($Q$2:$Q$1001,MATCH(ROWS($O$2:O107),$O$2:$O$1001,0),0), INDEX($V$1004:$AE$1004,1,MATCH(COLUMNS($V$1006:V1006),$V$1006:$AE$1006,0)))),"Fix")))</f>
        <v>0</v>
      </c>
      <c r="C107" s="3">
        <f>IF(OR(INDEX($P$2:$P$1001,MATCH(ROWS($O$2:O107),$O$2:$O$1001,0),1)&gt;=100000,INDEX($V$1005:$AE$1005,1,MATCH(COLUMNS($V$1006:W1006),$V$1006:$AE$1006,0))&gt;=100000), " ",IF(INDEX($V$2:$AE$1001,MATCH(ROWS($O$2:O107),$O$2:$O$1001,0),MATCH(COLUMNS($V$1006:W1006),$V$1006:$AE$1006,0)), HYPERLINK("#",""), HYPERLINK(CONCATENATE("#Metadata!", ADDRESS(INDEX($Q$2:$Q$1001,MATCH(ROWS($O$2:O107),$O$2:$O$1001,0),0), INDEX($V$1004:$AE$1004,1,MATCH(COLUMNS($V$1006:W1006),$V$1006:$AE$1006,0)))),"Fix")))</f>
        <v>0</v>
      </c>
      <c r="D107" s="3">
        <f>IF(OR(INDEX($P$2:$P$1001,MATCH(ROWS($O$2:O107),$O$2:$O$1001,0),1)&gt;=100000,INDEX($V$1005:$AE$1005,1,MATCH(COLUMNS($V$1006:X1006),$V$1006:$AE$1006,0))&gt;=100000), " ",IF(INDEX($V$2:$AE$1001,MATCH(ROWS($O$2:O107),$O$2:$O$1001,0),MATCH(COLUMNS($V$1006:X1006),$V$1006:$AE$1006,0)), HYPERLINK("#",""), HYPERLINK(CONCATENATE("#Metadata!", ADDRESS(INDEX($Q$2:$Q$1001,MATCH(ROWS($O$2:O107),$O$2:$O$1001,0),0), INDEX($V$1004:$AE$1004,1,MATCH(COLUMNS($V$1006:X1006),$V$1006:$AE$1006,0)))),"Fix")))</f>
        <v>0</v>
      </c>
      <c r="E107" s="3">
        <f>IF(OR(INDEX($P$2:$P$1001,MATCH(ROWS($O$2:O107),$O$2:$O$1001,0),1)&gt;=100000,INDEX($V$1005:$AE$1005,1,MATCH(COLUMNS($V$1006:Y1006),$V$1006:$AE$1006,0))&gt;=100000), " ",IF(INDEX($V$2:$AE$1001,MATCH(ROWS($O$2:O107),$O$2:$O$1001,0),MATCH(COLUMNS($V$1006:Y1006),$V$1006:$AE$1006,0)), HYPERLINK("#",""), HYPERLINK(CONCATENATE("#Metadata!", ADDRESS(INDEX($Q$2:$Q$1001,MATCH(ROWS($O$2:O107),$O$2:$O$1001,0),0), INDEX($V$1004:$AE$1004,1,MATCH(COLUMNS($V$1006:Y1006),$V$1006:$AE$1006,0)))),"Fix")))</f>
        <v>0</v>
      </c>
      <c r="F107" s="3">
        <f>IF(OR(INDEX($P$2:$P$1001,MATCH(ROWS($O$2:O107),$O$2:$O$1001,0),1)&gt;=100000,INDEX($V$1005:$AE$1005,1,MATCH(COLUMNS($V$1006:Z1006),$V$1006:$AE$1006,0))&gt;=100000), " ",IF(INDEX($V$2:$AE$1001,MATCH(ROWS($O$2:O107),$O$2:$O$1001,0),MATCH(COLUMNS($V$1006:Z1006),$V$1006:$AE$1006,0)), HYPERLINK("#",""), HYPERLINK(CONCATENATE("#Metadata!", ADDRESS(INDEX($Q$2:$Q$1001,MATCH(ROWS($O$2:O107),$O$2:$O$1001,0),0), INDEX($V$1004:$AE$1004,1,MATCH(COLUMNS($V$1006:Z1006),$V$1006:$AE$1006,0)))),"Fix")))</f>
        <v>0</v>
      </c>
      <c r="G107" s="3">
        <f>IF(OR(INDEX($P$2:$P$1001,MATCH(ROWS($O$2:O107),$O$2:$O$1001,0),1)&gt;=100000,INDEX($V$1005:$AE$1005,1,MATCH(COLUMNS($V$1006:AA1006),$V$1006:$AE$1006,0))&gt;=100000), " ",IF(INDEX($V$2:$AE$1001,MATCH(ROWS($O$2:O107),$O$2:$O$1001,0),MATCH(COLUMNS($V$1006:AA1006),$V$1006:$AE$1006,0)), HYPERLINK("#",""), HYPERLINK(CONCATENATE("#Metadata!", ADDRESS(INDEX($Q$2:$Q$1001,MATCH(ROWS($O$2:O107),$O$2:$O$1001,0),0), INDEX($V$1004:$AE$1004,1,MATCH(COLUMNS($V$1006:AA1006),$V$1006:$AE$1006,0)))),"Fix")))</f>
        <v>0</v>
      </c>
      <c r="H107" s="3">
        <f>IF(OR(INDEX($P$2:$P$1001,MATCH(ROWS($O$2:O107),$O$2:$O$1001,0),1)&gt;=100000,INDEX($V$1005:$AE$1005,1,MATCH(COLUMNS($V$1006:AB1006),$V$1006:$AE$1006,0))&gt;=100000), " ",IF(INDEX($V$2:$AE$1001,MATCH(ROWS($O$2:O107),$O$2:$O$1001,0),MATCH(COLUMNS($V$1006:AB1006),$V$1006:$AE$1006,0)), HYPERLINK("#",""), HYPERLINK(CONCATENATE("#Metadata!", ADDRESS(INDEX($Q$2:$Q$1001,MATCH(ROWS($O$2:O107),$O$2:$O$1001,0),0), INDEX($V$1004:$AE$1004,1,MATCH(COLUMNS($V$1006:AB1006),$V$1006:$AE$1006,0)))),"Fix")))</f>
        <v>0</v>
      </c>
      <c r="I107" s="3">
        <f>IF(OR(INDEX($P$2:$P$1001,MATCH(ROWS($O$2:O107),$O$2:$O$1001,0),1)&gt;=100000,INDEX($V$1005:$AE$1005,1,MATCH(COLUMNS($V$1006:AC1006),$V$1006:$AE$1006,0))&gt;=100000), " ",IF(INDEX($V$2:$AE$1001,MATCH(ROWS($O$2:O107),$O$2:$O$1001,0),MATCH(COLUMNS($V$1006:AC1006),$V$1006:$AE$1006,0)), HYPERLINK("#",""), HYPERLINK(CONCATENATE("#Metadata!", ADDRESS(INDEX($Q$2:$Q$1001,MATCH(ROWS($O$2:O107),$O$2:$O$1001,0),0), INDEX($V$1004:$AE$1004,1,MATCH(COLUMNS($V$1006:AC1006),$V$1006:$AE$1006,0)))),"Fix")))</f>
        <v>0</v>
      </c>
      <c r="J107" s="3">
        <f>IF(OR(INDEX($P$2:$P$1001,MATCH(ROWS($O$2:O107),$O$2:$O$1001,0),1)&gt;=100000,INDEX($V$1005:$AE$1005,1,MATCH(COLUMNS($V$1006:AD1006),$V$1006:$AE$1006,0))&gt;=100000), " ",IF(INDEX($V$2:$AE$1001,MATCH(ROWS($O$2:O107),$O$2:$O$1001,0),MATCH(COLUMNS($V$1006:AD1006),$V$1006:$AE$1006,0)), HYPERLINK("#",""), HYPERLINK(CONCATENATE("#Metadata!", ADDRESS(INDEX($Q$2:$Q$1001,MATCH(ROWS($O$2:O107),$O$2:$O$1001,0),0), INDEX($V$1004:$AE$1004,1,MATCH(COLUMNS($V$1006:AD1006),$V$1006:$AE$1006,0)))),"Fix")))</f>
        <v>0</v>
      </c>
      <c r="K107" s="3">
        <f>IF(OR(INDEX($P$2:$P$1001,MATCH(ROWS($O$2:O107),$O$2:$O$1001,0),1)&gt;=100000,INDEX($V$1005:$AE$1005,1,MATCH(COLUMNS($V$1006:AE1006),$V$1006:$AE$1006,0))&gt;=100000), " ",IF(INDEX($V$2:$AE$1001,MATCH(ROWS($O$2:O107),$O$2:$O$1001,0),MATCH(COLUMNS($V$1006:AE1006),$V$1006:$AE$1006,0)), HYPERLINK("#",""), HYPERLINK(CONCATENATE("#Metadata!", ADDRESS(INDEX($Q$2:$Q$1001,MATCH(ROWS($O$2:O107),$O$2:$O$1001,0),0), INDEX($V$1004:$AE$1004,1,MATCH(COLUMNS($V$1006:AE1006),$V$1006:$AE$1006,0)))),"Fix")))</f>
        <v>0</v>
      </c>
      <c r="O107">
        <v>0</v>
      </c>
      <c r="P107">
        <v>0</v>
      </c>
      <c r="Q107">
        <v>0</v>
      </c>
      <c r="R107">
        <f>IF(S107,TRUE,AND(V107:AE107))</f>
        <v>0</v>
      </c>
      <c r="S107">
        <f>COUNTBLANK(Metadata!B107:K107)=COLUMNS(Metadata!B107:K107)</f>
        <v>0</v>
      </c>
      <c r="T107">
        <v>0</v>
      </c>
      <c r="V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W107">
        <f>AND(IF(Metadata!C107="",FALSE,TRUE),exact(Metadata!C107,"animal secretion"))</f>
        <v>0</v>
      </c>
      <c r="X107">
        <f>AND(IF(Metadata!D107="",FALSE,TRUE),exact(Metadata!D107,"saliva"))</f>
        <v>0</v>
      </c>
      <c r="Y107">
        <f>AND(IF(Metadata!E107="",FALSE,TRUE),exact(Metadata!E107,"human-oral"))</f>
        <v>0</v>
      </c>
      <c r="Z107">
        <f>AND(IF(Metadata!F107="",FALSE,TRUE),exact(Metadata!F107,"UBERON:oral cavity"))</f>
        <v>0</v>
      </c>
      <c r="AA107">
        <f>AND(IF(Metadata!G107="",FALSE,TRUE),exact(Metadata!G107,"UBERON:saliva"))</f>
        <v>0</v>
      </c>
      <c r="AB107">
        <f>AND(IF(Metadata!H107="",FALSE,TRUE),exact(Metadata!H107,"UBERON:tongue"))</f>
        <v>0</v>
      </c>
      <c r="AC107">
        <f>AND(IF(Metadata!I107="",FALSE,TRUE),exact(Metadata!I107,"tongue"))</f>
        <v>0</v>
      </c>
      <c r="AD107">
        <f>AND(IF(Metadata!J107="",FALSE,TRUE),exact(Metadata!J107,"human oral metagenome"))</f>
        <v>0</v>
      </c>
      <c r="AE107">
        <f>AND(IF(Metadata!K107="",FALSE,TRUE),exact(Metadata!K107,"447426"))</f>
        <v>0</v>
      </c>
    </row>
    <row r="108" spans="1:31">
      <c r="A108" s="4">
        <f>IF(B108=" "," ",HYPERLINK(CONCATENATE("#metadata!",ADDRESS(INDEX($Q$2:$Q$1001,MATCH(ROWS($O$2:O108),$O$2:$O$1001,0),0),1)),INDEX($T$2:$T$1001,MATCH(ROWS($O$2:O108),$O$2:$O$1001,0),0)))</f>
        <v>0</v>
      </c>
      <c r="B108" s="3">
        <f>IF(OR(INDEX($P$2:$P$1001,MATCH(ROWS($O$2:O108),$O$2:$O$1001,0),1)&gt;=100000,INDEX($V$1005:$AE$1005,1,MATCH(COLUMNS($V$1006:V1006),$V$1006:$AE$1006,0))&gt;=100000), " ",IF(INDEX($V$2:$AE$1001,MATCH(ROWS($O$2:O108),$O$2:$O$1001,0),MATCH(COLUMNS($V$1006:V1006),$V$1006:$AE$1006,0)), HYPERLINK("#",""), HYPERLINK(CONCATENATE("#Metadata!", ADDRESS(INDEX($Q$2:$Q$1001,MATCH(ROWS($O$2:O108),$O$2:$O$1001,0),0), INDEX($V$1004:$AE$1004,1,MATCH(COLUMNS($V$1006:V1006),$V$1006:$AE$1006,0)))),"Fix")))</f>
        <v>0</v>
      </c>
      <c r="C108" s="3">
        <f>IF(OR(INDEX($P$2:$P$1001,MATCH(ROWS($O$2:O108),$O$2:$O$1001,0),1)&gt;=100000,INDEX($V$1005:$AE$1005,1,MATCH(COLUMNS($V$1006:W1006),$V$1006:$AE$1006,0))&gt;=100000), " ",IF(INDEX($V$2:$AE$1001,MATCH(ROWS($O$2:O108),$O$2:$O$1001,0),MATCH(COLUMNS($V$1006:W1006),$V$1006:$AE$1006,0)), HYPERLINK("#",""), HYPERLINK(CONCATENATE("#Metadata!", ADDRESS(INDEX($Q$2:$Q$1001,MATCH(ROWS($O$2:O108),$O$2:$O$1001,0),0), INDEX($V$1004:$AE$1004,1,MATCH(COLUMNS($V$1006:W1006),$V$1006:$AE$1006,0)))),"Fix")))</f>
        <v>0</v>
      </c>
      <c r="D108" s="3">
        <f>IF(OR(INDEX($P$2:$P$1001,MATCH(ROWS($O$2:O108),$O$2:$O$1001,0),1)&gt;=100000,INDEX($V$1005:$AE$1005,1,MATCH(COLUMNS($V$1006:X1006),$V$1006:$AE$1006,0))&gt;=100000), " ",IF(INDEX($V$2:$AE$1001,MATCH(ROWS($O$2:O108),$O$2:$O$1001,0),MATCH(COLUMNS($V$1006:X1006),$V$1006:$AE$1006,0)), HYPERLINK("#",""), HYPERLINK(CONCATENATE("#Metadata!", ADDRESS(INDEX($Q$2:$Q$1001,MATCH(ROWS($O$2:O108),$O$2:$O$1001,0),0), INDEX($V$1004:$AE$1004,1,MATCH(COLUMNS($V$1006:X1006),$V$1006:$AE$1006,0)))),"Fix")))</f>
        <v>0</v>
      </c>
      <c r="E108" s="3">
        <f>IF(OR(INDEX($P$2:$P$1001,MATCH(ROWS($O$2:O108),$O$2:$O$1001,0),1)&gt;=100000,INDEX($V$1005:$AE$1005,1,MATCH(COLUMNS($V$1006:Y1006),$V$1006:$AE$1006,0))&gt;=100000), " ",IF(INDEX($V$2:$AE$1001,MATCH(ROWS($O$2:O108),$O$2:$O$1001,0),MATCH(COLUMNS($V$1006:Y1006),$V$1006:$AE$1006,0)), HYPERLINK("#",""), HYPERLINK(CONCATENATE("#Metadata!", ADDRESS(INDEX($Q$2:$Q$1001,MATCH(ROWS($O$2:O108),$O$2:$O$1001,0),0), INDEX($V$1004:$AE$1004,1,MATCH(COLUMNS($V$1006:Y1006),$V$1006:$AE$1006,0)))),"Fix")))</f>
        <v>0</v>
      </c>
      <c r="F108" s="3">
        <f>IF(OR(INDEX($P$2:$P$1001,MATCH(ROWS($O$2:O108),$O$2:$O$1001,0),1)&gt;=100000,INDEX($V$1005:$AE$1005,1,MATCH(COLUMNS($V$1006:Z1006),$V$1006:$AE$1006,0))&gt;=100000), " ",IF(INDEX($V$2:$AE$1001,MATCH(ROWS($O$2:O108),$O$2:$O$1001,0),MATCH(COLUMNS($V$1006:Z1006),$V$1006:$AE$1006,0)), HYPERLINK("#",""), HYPERLINK(CONCATENATE("#Metadata!", ADDRESS(INDEX($Q$2:$Q$1001,MATCH(ROWS($O$2:O108),$O$2:$O$1001,0),0), INDEX($V$1004:$AE$1004,1,MATCH(COLUMNS($V$1006:Z1006),$V$1006:$AE$1006,0)))),"Fix")))</f>
        <v>0</v>
      </c>
      <c r="G108" s="3">
        <f>IF(OR(INDEX($P$2:$P$1001,MATCH(ROWS($O$2:O108),$O$2:$O$1001,0),1)&gt;=100000,INDEX($V$1005:$AE$1005,1,MATCH(COLUMNS($V$1006:AA1006),$V$1006:$AE$1006,0))&gt;=100000), " ",IF(INDEX($V$2:$AE$1001,MATCH(ROWS($O$2:O108),$O$2:$O$1001,0),MATCH(COLUMNS($V$1006:AA1006),$V$1006:$AE$1006,0)), HYPERLINK("#",""), HYPERLINK(CONCATENATE("#Metadata!", ADDRESS(INDEX($Q$2:$Q$1001,MATCH(ROWS($O$2:O108),$O$2:$O$1001,0),0), INDEX($V$1004:$AE$1004,1,MATCH(COLUMNS($V$1006:AA1006),$V$1006:$AE$1006,0)))),"Fix")))</f>
        <v>0</v>
      </c>
      <c r="H108" s="3">
        <f>IF(OR(INDEX($P$2:$P$1001,MATCH(ROWS($O$2:O108),$O$2:$O$1001,0),1)&gt;=100000,INDEX($V$1005:$AE$1005,1,MATCH(COLUMNS($V$1006:AB1006),$V$1006:$AE$1006,0))&gt;=100000), " ",IF(INDEX($V$2:$AE$1001,MATCH(ROWS($O$2:O108),$O$2:$O$1001,0),MATCH(COLUMNS($V$1006:AB1006),$V$1006:$AE$1006,0)), HYPERLINK("#",""), HYPERLINK(CONCATENATE("#Metadata!", ADDRESS(INDEX($Q$2:$Q$1001,MATCH(ROWS($O$2:O108),$O$2:$O$1001,0),0), INDEX($V$1004:$AE$1004,1,MATCH(COLUMNS($V$1006:AB1006),$V$1006:$AE$1006,0)))),"Fix")))</f>
        <v>0</v>
      </c>
      <c r="I108" s="3">
        <f>IF(OR(INDEX($P$2:$P$1001,MATCH(ROWS($O$2:O108),$O$2:$O$1001,0),1)&gt;=100000,INDEX($V$1005:$AE$1005,1,MATCH(COLUMNS($V$1006:AC1006),$V$1006:$AE$1006,0))&gt;=100000), " ",IF(INDEX($V$2:$AE$1001,MATCH(ROWS($O$2:O108),$O$2:$O$1001,0),MATCH(COLUMNS($V$1006:AC1006),$V$1006:$AE$1006,0)), HYPERLINK("#",""), HYPERLINK(CONCATENATE("#Metadata!", ADDRESS(INDEX($Q$2:$Q$1001,MATCH(ROWS($O$2:O108),$O$2:$O$1001,0),0), INDEX($V$1004:$AE$1004,1,MATCH(COLUMNS($V$1006:AC1006),$V$1006:$AE$1006,0)))),"Fix")))</f>
        <v>0</v>
      </c>
      <c r="J108" s="3">
        <f>IF(OR(INDEX($P$2:$P$1001,MATCH(ROWS($O$2:O108),$O$2:$O$1001,0),1)&gt;=100000,INDEX($V$1005:$AE$1005,1,MATCH(COLUMNS($V$1006:AD1006),$V$1006:$AE$1006,0))&gt;=100000), " ",IF(INDEX($V$2:$AE$1001,MATCH(ROWS($O$2:O108),$O$2:$O$1001,0),MATCH(COLUMNS($V$1006:AD1006),$V$1006:$AE$1006,0)), HYPERLINK("#",""), HYPERLINK(CONCATENATE("#Metadata!", ADDRESS(INDEX($Q$2:$Q$1001,MATCH(ROWS($O$2:O108),$O$2:$O$1001,0),0), INDEX($V$1004:$AE$1004,1,MATCH(COLUMNS($V$1006:AD1006),$V$1006:$AE$1006,0)))),"Fix")))</f>
        <v>0</v>
      </c>
      <c r="K108" s="3">
        <f>IF(OR(INDEX($P$2:$P$1001,MATCH(ROWS($O$2:O108),$O$2:$O$1001,0),1)&gt;=100000,INDEX($V$1005:$AE$1005,1,MATCH(COLUMNS($V$1006:AE1006),$V$1006:$AE$1006,0))&gt;=100000), " ",IF(INDEX($V$2:$AE$1001,MATCH(ROWS($O$2:O108),$O$2:$O$1001,0),MATCH(COLUMNS($V$1006:AE1006),$V$1006:$AE$1006,0)), HYPERLINK("#",""), HYPERLINK(CONCATENATE("#Metadata!", ADDRESS(INDEX($Q$2:$Q$1001,MATCH(ROWS($O$2:O108),$O$2:$O$1001,0),0), INDEX($V$1004:$AE$1004,1,MATCH(COLUMNS($V$1006:AE1006),$V$1006:$AE$1006,0)))),"Fix")))</f>
        <v>0</v>
      </c>
      <c r="O108">
        <v>0</v>
      </c>
      <c r="P108">
        <v>0</v>
      </c>
      <c r="Q108">
        <v>0</v>
      </c>
      <c r="R108">
        <f>IF(S108,TRUE,AND(V108:AE108))</f>
        <v>0</v>
      </c>
      <c r="S108">
        <f>COUNTBLANK(Metadata!B108:K108)=COLUMNS(Metadata!B108:K108)</f>
        <v>0</v>
      </c>
      <c r="T108">
        <v>0</v>
      </c>
      <c r="V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W108">
        <f>AND(IF(Metadata!C108="",FALSE,TRUE),exact(Metadata!C108,"animal secretion"))</f>
        <v>0</v>
      </c>
      <c r="X108">
        <f>AND(IF(Metadata!D108="",FALSE,TRUE),exact(Metadata!D108,"saliva"))</f>
        <v>0</v>
      </c>
      <c r="Y108">
        <f>AND(IF(Metadata!E108="",FALSE,TRUE),exact(Metadata!E108,"human-oral"))</f>
        <v>0</v>
      </c>
      <c r="Z108">
        <f>AND(IF(Metadata!F108="",FALSE,TRUE),exact(Metadata!F108,"UBERON:oral cavity"))</f>
        <v>0</v>
      </c>
      <c r="AA108">
        <f>AND(IF(Metadata!G108="",FALSE,TRUE),exact(Metadata!G108,"UBERON:saliva"))</f>
        <v>0</v>
      </c>
      <c r="AB108">
        <f>AND(IF(Metadata!H108="",FALSE,TRUE),exact(Metadata!H108,"UBERON:tongue"))</f>
        <v>0</v>
      </c>
      <c r="AC108">
        <f>AND(IF(Metadata!I108="",FALSE,TRUE),exact(Metadata!I108,"tongue"))</f>
        <v>0</v>
      </c>
      <c r="AD108">
        <f>AND(IF(Metadata!J108="",FALSE,TRUE),exact(Metadata!J108,"human oral metagenome"))</f>
        <v>0</v>
      </c>
      <c r="AE108">
        <f>AND(IF(Metadata!K108="",FALSE,TRUE),exact(Metadata!K108,"447426"))</f>
        <v>0</v>
      </c>
    </row>
    <row r="109" spans="1:31">
      <c r="A109" s="4">
        <f>IF(B109=" "," ",HYPERLINK(CONCATENATE("#metadata!",ADDRESS(INDEX($Q$2:$Q$1001,MATCH(ROWS($O$2:O109),$O$2:$O$1001,0),0),1)),INDEX($T$2:$T$1001,MATCH(ROWS($O$2:O109),$O$2:$O$1001,0),0)))</f>
        <v>0</v>
      </c>
      <c r="B109" s="3">
        <f>IF(OR(INDEX($P$2:$P$1001,MATCH(ROWS($O$2:O109),$O$2:$O$1001,0),1)&gt;=100000,INDEX($V$1005:$AE$1005,1,MATCH(COLUMNS($V$1006:V1006),$V$1006:$AE$1006,0))&gt;=100000), " ",IF(INDEX($V$2:$AE$1001,MATCH(ROWS($O$2:O109),$O$2:$O$1001,0),MATCH(COLUMNS($V$1006:V1006),$V$1006:$AE$1006,0)), HYPERLINK("#",""), HYPERLINK(CONCATENATE("#Metadata!", ADDRESS(INDEX($Q$2:$Q$1001,MATCH(ROWS($O$2:O109),$O$2:$O$1001,0),0), INDEX($V$1004:$AE$1004,1,MATCH(COLUMNS($V$1006:V1006),$V$1006:$AE$1006,0)))),"Fix")))</f>
        <v>0</v>
      </c>
      <c r="C109" s="3">
        <f>IF(OR(INDEX($P$2:$P$1001,MATCH(ROWS($O$2:O109),$O$2:$O$1001,0),1)&gt;=100000,INDEX($V$1005:$AE$1005,1,MATCH(COLUMNS($V$1006:W1006),$V$1006:$AE$1006,0))&gt;=100000), " ",IF(INDEX($V$2:$AE$1001,MATCH(ROWS($O$2:O109),$O$2:$O$1001,0),MATCH(COLUMNS($V$1006:W1006),$V$1006:$AE$1006,0)), HYPERLINK("#",""), HYPERLINK(CONCATENATE("#Metadata!", ADDRESS(INDEX($Q$2:$Q$1001,MATCH(ROWS($O$2:O109),$O$2:$O$1001,0),0), INDEX($V$1004:$AE$1004,1,MATCH(COLUMNS($V$1006:W1006),$V$1006:$AE$1006,0)))),"Fix")))</f>
        <v>0</v>
      </c>
      <c r="D109" s="3">
        <f>IF(OR(INDEX($P$2:$P$1001,MATCH(ROWS($O$2:O109),$O$2:$O$1001,0),1)&gt;=100000,INDEX($V$1005:$AE$1005,1,MATCH(COLUMNS($V$1006:X1006),$V$1006:$AE$1006,0))&gt;=100000), " ",IF(INDEX($V$2:$AE$1001,MATCH(ROWS($O$2:O109),$O$2:$O$1001,0),MATCH(COLUMNS($V$1006:X1006),$V$1006:$AE$1006,0)), HYPERLINK("#",""), HYPERLINK(CONCATENATE("#Metadata!", ADDRESS(INDEX($Q$2:$Q$1001,MATCH(ROWS($O$2:O109),$O$2:$O$1001,0),0), INDEX($V$1004:$AE$1004,1,MATCH(COLUMNS($V$1006:X1006),$V$1006:$AE$1006,0)))),"Fix")))</f>
        <v>0</v>
      </c>
      <c r="E109" s="3">
        <f>IF(OR(INDEX($P$2:$P$1001,MATCH(ROWS($O$2:O109),$O$2:$O$1001,0),1)&gt;=100000,INDEX($V$1005:$AE$1005,1,MATCH(COLUMNS($V$1006:Y1006),$V$1006:$AE$1006,0))&gt;=100000), " ",IF(INDEX($V$2:$AE$1001,MATCH(ROWS($O$2:O109),$O$2:$O$1001,0),MATCH(COLUMNS($V$1006:Y1006),$V$1006:$AE$1006,0)), HYPERLINK("#",""), HYPERLINK(CONCATENATE("#Metadata!", ADDRESS(INDEX($Q$2:$Q$1001,MATCH(ROWS($O$2:O109),$O$2:$O$1001,0),0), INDEX($V$1004:$AE$1004,1,MATCH(COLUMNS($V$1006:Y1006),$V$1006:$AE$1006,0)))),"Fix")))</f>
        <v>0</v>
      </c>
      <c r="F109" s="3">
        <f>IF(OR(INDEX($P$2:$P$1001,MATCH(ROWS($O$2:O109),$O$2:$O$1001,0),1)&gt;=100000,INDEX($V$1005:$AE$1005,1,MATCH(COLUMNS($V$1006:Z1006),$V$1006:$AE$1006,0))&gt;=100000), " ",IF(INDEX($V$2:$AE$1001,MATCH(ROWS($O$2:O109),$O$2:$O$1001,0),MATCH(COLUMNS($V$1006:Z1006),$V$1006:$AE$1006,0)), HYPERLINK("#",""), HYPERLINK(CONCATENATE("#Metadata!", ADDRESS(INDEX($Q$2:$Q$1001,MATCH(ROWS($O$2:O109),$O$2:$O$1001,0),0), INDEX($V$1004:$AE$1004,1,MATCH(COLUMNS($V$1006:Z1006),$V$1006:$AE$1006,0)))),"Fix")))</f>
        <v>0</v>
      </c>
      <c r="G109" s="3">
        <f>IF(OR(INDEX($P$2:$P$1001,MATCH(ROWS($O$2:O109),$O$2:$O$1001,0),1)&gt;=100000,INDEX($V$1005:$AE$1005,1,MATCH(COLUMNS($V$1006:AA1006),$V$1006:$AE$1006,0))&gt;=100000), " ",IF(INDEX($V$2:$AE$1001,MATCH(ROWS($O$2:O109),$O$2:$O$1001,0),MATCH(COLUMNS($V$1006:AA1006),$V$1006:$AE$1006,0)), HYPERLINK("#",""), HYPERLINK(CONCATENATE("#Metadata!", ADDRESS(INDEX($Q$2:$Q$1001,MATCH(ROWS($O$2:O109),$O$2:$O$1001,0),0), INDEX($V$1004:$AE$1004,1,MATCH(COLUMNS($V$1006:AA1006),$V$1006:$AE$1006,0)))),"Fix")))</f>
        <v>0</v>
      </c>
      <c r="H109" s="3">
        <f>IF(OR(INDEX($P$2:$P$1001,MATCH(ROWS($O$2:O109),$O$2:$O$1001,0),1)&gt;=100000,INDEX($V$1005:$AE$1005,1,MATCH(COLUMNS($V$1006:AB1006),$V$1006:$AE$1006,0))&gt;=100000), " ",IF(INDEX($V$2:$AE$1001,MATCH(ROWS($O$2:O109),$O$2:$O$1001,0),MATCH(COLUMNS($V$1006:AB1006),$V$1006:$AE$1006,0)), HYPERLINK("#",""), HYPERLINK(CONCATENATE("#Metadata!", ADDRESS(INDEX($Q$2:$Q$1001,MATCH(ROWS($O$2:O109),$O$2:$O$1001,0),0), INDEX($V$1004:$AE$1004,1,MATCH(COLUMNS($V$1006:AB1006),$V$1006:$AE$1006,0)))),"Fix")))</f>
        <v>0</v>
      </c>
      <c r="I109" s="3">
        <f>IF(OR(INDEX($P$2:$P$1001,MATCH(ROWS($O$2:O109),$O$2:$O$1001,0),1)&gt;=100000,INDEX($V$1005:$AE$1005,1,MATCH(COLUMNS($V$1006:AC1006),$V$1006:$AE$1006,0))&gt;=100000), " ",IF(INDEX($V$2:$AE$1001,MATCH(ROWS($O$2:O109),$O$2:$O$1001,0),MATCH(COLUMNS($V$1006:AC1006),$V$1006:$AE$1006,0)), HYPERLINK("#",""), HYPERLINK(CONCATENATE("#Metadata!", ADDRESS(INDEX($Q$2:$Q$1001,MATCH(ROWS($O$2:O109),$O$2:$O$1001,0),0), INDEX($V$1004:$AE$1004,1,MATCH(COLUMNS($V$1006:AC1006),$V$1006:$AE$1006,0)))),"Fix")))</f>
        <v>0</v>
      </c>
      <c r="J109" s="3">
        <f>IF(OR(INDEX($P$2:$P$1001,MATCH(ROWS($O$2:O109),$O$2:$O$1001,0),1)&gt;=100000,INDEX($V$1005:$AE$1005,1,MATCH(COLUMNS($V$1006:AD1006),$V$1006:$AE$1006,0))&gt;=100000), " ",IF(INDEX($V$2:$AE$1001,MATCH(ROWS($O$2:O109),$O$2:$O$1001,0),MATCH(COLUMNS($V$1006:AD1006),$V$1006:$AE$1006,0)), HYPERLINK("#",""), HYPERLINK(CONCATENATE("#Metadata!", ADDRESS(INDEX($Q$2:$Q$1001,MATCH(ROWS($O$2:O109),$O$2:$O$1001,0),0), INDEX($V$1004:$AE$1004,1,MATCH(COLUMNS($V$1006:AD1006),$V$1006:$AE$1006,0)))),"Fix")))</f>
        <v>0</v>
      </c>
      <c r="K109" s="3">
        <f>IF(OR(INDEX($P$2:$P$1001,MATCH(ROWS($O$2:O109),$O$2:$O$1001,0),1)&gt;=100000,INDEX($V$1005:$AE$1005,1,MATCH(COLUMNS($V$1006:AE1006),$V$1006:$AE$1006,0))&gt;=100000), " ",IF(INDEX($V$2:$AE$1001,MATCH(ROWS($O$2:O109),$O$2:$O$1001,0),MATCH(COLUMNS($V$1006:AE1006),$V$1006:$AE$1006,0)), HYPERLINK("#",""), HYPERLINK(CONCATENATE("#Metadata!", ADDRESS(INDEX($Q$2:$Q$1001,MATCH(ROWS($O$2:O109),$O$2:$O$1001,0),0), INDEX($V$1004:$AE$1004,1,MATCH(COLUMNS($V$1006:AE1006),$V$1006:$AE$1006,0)))),"Fix")))</f>
        <v>0</v>
      </c>
      <c r="O109">
        <v>0</v>
      </c>
      <c r="P109">
        <v>0</v>
      </c>
      <c r="Q109">
        <v>0</v>
      </c>
      <c r="R109">
        <f>IF(S109,TRUE,AND(V109:AE109))</f>
        <v>0</v>
      </c>
      <c r="S109">
        <f>COUNTBLANK(Metadata!B109:K109)=COLUMNS(Metadata!B109:K109)</f>
        <v>0</v>
      </c>
      <c r="T109">
        <v>0</v>
      </c>
      <c r="V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W109">
        <f>AND(IF(Metadata!C109="",FALSE,TRUE),exact(Metadata!C109,"animal secretion"))</f>
        <v>0</v>
      </c>
      <c r="X109">
        <f>AND(IF(Metadata!D109="",FALSE,TRUE),exact(Metadata!D109,"saliva"))</f>
        <v>0</v>
      </c>
      <c r="Y109">
        <f>AND(IF(Metadata!E109="",FALSE,TRUE),exact(Metadata!E109,"human-oral"))</f>
        <v>0</v>
      </c>
      <c r="Z109">
        <f>AND(IF(Metadata!F109="",FALSE,TRUE),exact(Metadata!F109,"UBERON:oral cavity"))</f>
        <v>0</v>
      </c>
      <c r="AA109">
        <f>AND(IF(Metadata!G109="",FALSE,TRUE),exact(Metadata!G109,"UBERON:saliva"))</f>
        <v>0</v>
      </c>
      <c r="AB109">
        <f>AND(IF(Metadata!H109="",FALSE,TRUE),exact(Metadata!H109,"UBERON:tongue"))</f>
        <v>0</v>
      </c>
      <c r="AC109">
        <f>AND(IF(Metadata!I109="",FALSE,TRUE),exact(Metadata!I109,"tongue"))</f>
        <v>0</v>
      </c>
      <c r="AD109">
        <f>AND(IF(Metadata!J109="",FALSE,TRUE),exact(Metadata!J109,"human oral metagenome"))</f>
        <v>0</v>
      </c>
      <c r="AE109">
        <f>AND(IF(Metadata!K109="",FALSE,TRUE),exact(Metadata!K109,"447426"))</f>
        <v>0</v>
      </c>
    </row>
    <row r="110" spans="1:31">
      <c r="A110" s="4">
        <f>IF(B110=" "," ",HYPERLINK(CONCATENATE("#metadata!",ADDRESS(INDEX($Q$2:$Q$1001,MATCH(ROWS($O$2:O110),$O$2:$O$1001,0),0),1)),INDEX($T$2:$T$1001,MATCH(ROWS($O$2:O110),$O$2:$O$1001,0),0)))</f>
        <v>0</v>
      </c>
      <c r="B110" s="3">
        <f>IF(OR(INDEX($P$2:$P$1001,MATCH(ROWS($O$2:O110),$O$2:$O$1001,0),1)&gt;=100000,INDEX($V$1005:$AE$1005,1,MATCH(COLUMNS($V$1006:V1006),$V$1006:$AE$1006,0))&gt;=100000), " ",IF(INDEX($V$2:$AE$1001,MATCH(ROWS($O$2:O110),$O$2:$O$1001,0),MATCH(COLUMNS($V$1006:V1006),$V$1006:$AE$1006,0)), HYPERLINK("#",""), HYPERLINK(CONCATENATE("#Metadata!", ADDRESS(INDEX($Q$2:$Q$1001,MATCH(ROWS($O$2:O110),$O$2:$O$1001,0),0), INDEX($V$1004:$AE$1004,1,MATCH(COLUMNS($V$1006:V1006),$V$1006:$AE$1006,0)))),"Fix")))</f>
        <v>0</v>
      </c>
      <c r="C110" s="3">
        <f>IF(OR(INDEX($P$2:$P$1001,MATCH(ROWS($O$2:O110),$O$2:$O$1001,0),1)&gt;=100000,INDEX($V$1005:$AE$1005,1,MATCH(COLUMNS($V$1006:W1006),$V$1006:$AE$1006,0))&gt;=100000), " ",IF(INDEX($V$2:$AE$1001,MATCH(ROWS($O$2:O110),$O$2:$O$1001,0),MATCH(COLUMNS($V$1006:W1006),$V$1006:$AE$1006,0)), HYPERLINK("#",""), HYPERLINK(CONCATENATE("#Metadata!", ADDRESS(INDEX($Q$2:$Q$1001,MATCH(ROWS($O$2:O110),$O$2:$O$1001,0),0), INDEX($V$1004:$AE$1004,1,MATCH(COLUMNS($V$1006:W1006),$V$1006:$AE$1006,0)))),"Fix")))</f>
        <v>0</v>
      </c>
      <c r="D110" s="3">
        <f>IF(OR(INDEX($P$2:$P$1001,MATCH(ROWS($O$2:O110),$O$2:$O$1001,0),1)&gt;=100000,INDEX($V$1005:$AE$1005,1,MATCH(COLUMNS($V$1006:X1006),$V$1006:$AE$1006,0))&gt;=100000), " ",IF(INDEX($V$2:$AE$1001,MATCH(ROWS($O$2:O110),$O$2:$O$1001,0),MATCH(COLUMNS($V$1006:X1006),$V$1006:$AE$1006,0)), HYPERLINK("#",""), HYPERLINK(CONCATENATE("#Metadata!", ADDRESS(INDEX($Q$2:$Q$1001,MATCH(ROWS($O$2:O110),$O$2:$O$1001,0),0), INDEX($V$1004:$AE$1004,1,MATCH(COLUMNS($V$1006:X1006),$V$1006:$AE$1006,0)))),"Fix")))</f>
        <v>0</v>
      </c>
      <c r="E110" s="3">
        <f>IF(OR(INDEX($P$2:$P$1001,MATCH(ROWS($O$2:O110),$O$2:$O$1001,0),1)&gt;=100000,INDEX($V$1005:$AE$1005,1,MATCH(COLUMNS($V$1006:Y1006),$V$1006:$AE$1006,0))&gt;=100000), " ",IF(INDEX($V$2:$AE$1001,MATCH(ROWS($O$2:O110),$O$2:$O$1001,0),MATCH(COLUMNS($V$1006:Y1006),$V$1006:$AE$1006,0)), HYPERLINK("#",""), HYPERLINK(CONCATENATE("#Metadata!", ADDRESS(INDEX($Q$2:$Q$1001,MATCH(ROWS($O$2:O110),$O$2:$O$1001,0),0), INDEX($V$1004:$AE$1004,1,MATCH(COLUMNS($V$1006:Y1006),$V$1006:$AE$1006,0)))),"Fix")))</f>
        <v>0</v>
      </c>
      <c r="F110" s="3">
        <f>IF(OR(INDEX($P$2:$P$1001,MATCH(ROWS($O$2:O110),$O$2:$O$1001,0),1)&gt;=100000,INDEX($V$1005:$AE$1005,1,MATCH(COLUMNS($V$1006:Z1006),$V$1006:$AE$1006,0))&gt;=100000), " ",IF(INDEX($V$2:$AE$1001,MATCH(ROWS($O$2:O110),$O$2:$O$1001,0),MATCH(COLUMNS($V$1006:Z1006),$V$1006:$AE$1006,0)), HYPERLINK("#",""), HYPERLINK(CONCATENATE("#Metadata!", ADDRESS(INDEX($Q$2:$Q$1001,MATCH(ROWS($O$2:O110),$O$2:$O$1001,0),0), INDEX($V$1004:$AE$1004,1,MATCH(COLUMNS($V$1006:Z1006),$V$1006:$AE$1006,0)))),"Fix")))</f>
        <v>0</v>
      </c>
      <c r="G110" s="3">
        <f>IF(OR(INDEX($P$2:$P$1001,MATCH(ROWS($O$2:O110),$O$2:$O$1001,0),1)&gt;=100000,INDEX($V$1005:$AE$1005,1,MATCH(COLUMNS($V$1006:AA1006),$V$1006:$AE$1006,0))&gt;=100000), " ",IF(INDEX($V$2:$AE$1001,MATCH(ROWS($O$2:O110),$O$2:$O$1001,0),MATCH(COLUMNS($V$1006:AA1006),$V$1006:$AE$1006,0)), HYPERLINK("#",""), HYPERLINK(CONCATENATE("#Metadata!", ADDRESS(INDEX($Q$2:$Q$1001,MATCH(ROWS($O$2:O110),$O$2:$O$1001,0),0), INDEX($V$1004:$AE$1004,1,MATCH(COLUMNS($V$1006:AA1006),$V$1006:$AE$1006,0)))),"Fix")))</f>
        <v>0</v>
      </c>
      <c r="H110" s="3">
        <f>IF(OR(INDEX($P$2:$P$1001,MATCH(ROWS($O$2:O110),$O$2:$O$1001,0),1)&gt;=100000,INDEX($V$1005:$AE$1005,1,MATCH(COLUMNS($V$1006:AB1006),$V$1006:$AE$1006,0))&gt;=100000), " ",IF(INDEX($V$2:$AE$1001,MATCH(ROWS($O$2:O110),$O$2:$O$1001,0),MATCH(COLUMNS($V$1006:AB1006),$V$1006:$AE$1006,0)), HYPERLINK("#",""), HYPERLINK(CONCATENATE("#Metadata!", ADDRESS(INDEX($Q$2:$Q$1001,MATCH(ROWS($O$2:O110),$O$2:$O$1001,0),0), INDEX($V$1004:$AE$1004,1,MATCH(COLUMNS($V$1006:AB1006),$V$1006:$AE$1006,0)))),"Fix")))</f>
        <v>0</v>
      </c>
      <c r="I110" s="3">
        <f>IF(OR(INDEX($P$2:$P$1001,MATCH(ROWS($O$2:O110),$O$2:$O$1001,0),1)&gt;=100000,INDEX($V$1005:$AE$1005,1,MATCH(COLUMNS($V$1006:AC1006),$V$1006:$AE$1006,0))&gt;=100000), " ",IF(INDEX($V$2:$AE$1001,MATCH(ROWS($O$2:O110),$O$2:$O$1001,0),MATCH(COLUMNS($V$1006:AC1006),$V$1006:$AE$1006,0)), HYPERLINK("#",""), HYPERLINK(CONCATENATE("#Metadata!", ADDRESS(INDEX($Q$2:$Q$1001,MATCH(ROWS($O$2:O110),$O$2:$O$1001,0),0), INDEX($V$1004:$AE$1004,1,MATCH(COLUMNS($V$1006:AC1006),$V$1006:$AE$1006,0)))),"Fix")))</f>
        <v>0</v>
      </c>
      <c r="J110" s="3">
        <f>IF(OR(INDEX($P$2:$P$1001,MATCH(ROWS($O$2:O110),$O$2:$O$1001,0),1)&gt;=100000,INDEX($V$1005:$AE$1005,1,MATCH(COLUMNS($V$1006:AD1006),$V$1006:$AE$1006,0))&gt;=100000), " ",IF(INDEX($V$2:$AE$1001,MATCH(ROWS($O$2:O110),$O$2:$O$1001,0),MATCH(COLUMNS($V$1006:AD1006),$V$1006:$AE$1006,0)), HYPERLINK("#",""), HYPERLINK(CONCATENATE("#Metadata!", ADDRESS(INDEX($Q$2:$Q$1001,MATCH(ROWS($O$2:O110),$O$2:$O$1001,0),0), INDEX($V$1004:$AE$1004,1,MATCH(COLUMNS($V$1006:AD1006),$V$1006:$AE$1006,0)))),"Fix")))</f>
        <v>0</v>
      </c>
      <c r="K110" s="3">
        <f>IF(OR(INDEX($P$2:$P$1001,MATCH(ROWS($O$2:O110),$O$2:$O$1001,0),1)&gt;=100000,INDEX($V$1005:$AE$1005,1,MATCH(COLUMNS($V$1006:AE1006),$V$1006:$AE$1006,0))&gt;=100000), " ",IF(INDEX($V$2:$AE$1001,MATCH(ROWS($O$2:O110),$O$2:$O$1001,0),MATCH(COLUMNS($V$1006:AE1006),$V$1006:$AE$1006,0)), HYPERLINK("#",""), HYPERLINK(CONCATENATE("#Metadata!", ADDRESS(INDEX($Q$2:$Q$1001,MATCH(ROWS($O$2:O110),$O$2:$O$1001,0),0), INDEX($V$1004:$AE$1004,1,MATCH(COLUMNS($V$1006:AE1006),$V$1006:$AE$1006,0)))),"Fix")))</f>
        <v>0</v>
      </c>
      <c r="O110">
        <v>0</v>
      </c>
      <c r="P110">
        <v>0</v>
      </c>
      <c r="Q110">
        <v>0</v>
      </c>
      <c r="R110">
        <f>IF(S110,TRUE,AND(V110:AE110))</f>
        <v>0</v>
      </c>
      <c r="S110">
        <f>COUNTBLANK(Metadata!B110:K110)=COLUMNS(Metadata!B110:K110)</f>
        <v>0</v>
      </c>
      <c r="T110">
        <v>0</v>
      </c>
      <c r="V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W110">
        <f>AND(IF(Metadata!C110="",FALSE,TRUE),exact(Metadata!C110,"animal secretion"))</f>
        <v>0</v>
      </c>
      <c r="X110">
        <f>AND(IF(Metadata!D110="",FALSE,TRUE),exact(Metadata!D110,"saliva"))</f>
        <v>0</v>
      </c>
      <c r="Y110">
        <f>AND(IF(Metadata!E110="",FALSE,TRUE),exact(Metadata!E110,"human-oral"))</f>
        <v>0</v>
      </c>
      <c r="Z110">
        <f>AND(IF(Metadata!F110="",FALSE,TRUE),exact(Metadata!F110,"UBERON:oral cavity"))</f>
        <v>0</v>
      </c>
      <c r="AA110">
        <f>AND(IF(Metadata!G110="",FALSE,TRUE),exact(Metadata!G110,"UBERON:saliva"))</f>
        <v>0</v>
      </c>
      <c r="AB110">
        <f>AND(IF(Metadata!H110="",FALSE,TRUE),exact(Metadata!H110,"UBERON:tongue"))</f>
        <v>0</v>
      </c>
      <c r="AC110">
        <f>AND(IF(Metadata!I110="",FALSE,TRUE),exact(Metadata!I110,"tongue"))</f>
        <v>0</v>
      </c>
      <c r="AD110">
        <f>AND(IF(Metadata!J110="",FALSE,TRUE),exact(Metadata!J110,"human oral metagenome"))</f>
        <v>0</v>
      </c>
      <c r="AE110">
        <f>AND(IF(Metadata!K110="",FALSE,TRUE),exact(Metadata!K110,"447426"))</f>
        <v>0</v>
      </c>
    </row>
    <row r="111" spans="1:31">
      <c r="A111" s="4">
        <f>IF(B111=" "," ",HYPERLINK(CONCATENATE("#metadata!",ADDRESS(INDEX($Q$2:$Q$1001,MATCH(ROWS($O$2:O111),$O$2:$O$1001,0),0),1)),INDEX($T$2:$T$1001,MATCH(ROWS($O$2:O111),$O$2:$O$1001,0),0)))</f>
        <v>0</v>
      </c>
      <c r="B111" s="3">
        <f>IF(OR(INDEX($P$2:$P$1001,MATCH(ROWS($O$2:O111),$O$2:$O$1001,0),1)&gt;=100000,INDEX($V$1005:$AE$1005,1,MATCH(COLUMNS($V$1006:V1006),$V$1006:$AE$1006,0))&gt;=100000), " ",IF(INDEX($V$2:$AE$1001,MATCH(ROWS($O$2:O111),$O$2:$O$1001,0),MATCH(COLUMNS($V$1006:V1006),$V$1006:$AE$1006,0)), HYPERLINK("#",""), HYPERLINK(CONCATENATE("#Metadata!", ADDRESS(INDEX($Q$2:$Q$1001,MATCH(ROWS($O$2:O111),$O$2:$O$1001,0),0), INDEX($V$1004:$AE$1004,1,MATCH(COLUMNS($V$1006:V1006),$V$1006:$AE$1006,0)))),"Fix")))</f>
        <v>0</v>
      </c>
      <c r="C111" s="3">
        <f>IF(OR(INDEX($P$2:$P$1001,MATCH(ROWS($O$2:O111),$O$2:$O$1001,0),1)&gt;=100000,INDEX($V$1005:$AE$1005,1,MATCH(COLUMNS($V$1006:W1006),$V$1006:$AE$1006,0))&gt;=100000), " ",IF(INDEX($V$2:$AE$1001,MATCH(ROWS($O$2:O111),$O$2:$O$1001,0),MATCH(COLUMNS($V$1006:W1006),$V$1006:$AE$1006,0)), HYPERLINK("#",""), HYPERLINK(CONCATENATE("#Metadata!", ADDRESS(INDEX($Q$2:$Q$1001,MATCH(ROWS($O$2:O111),$O$2:$O$1001,0),0), INDEX($V$1004:$AE$1004,1,MATCH(COLUMNS($V$1006:W1006),$V$1006:$AE$1006,0)))),"Fix")))</f>
        <v>0</v>
      </c>
      <c r="D111" s="3">
        <f>IF(OR(INDEX($P$2:$P$1001,MATCH(ROWS($O$2:O111),$O$2:$O$1001,0),1)&gt;=100000,INDEX($V$1005:$AE$1005,1,MATCH(COLUMNS($V$1006:X1006),$V$1006:$AE$1006,0))&gt;=100000), " ",IF(INDEX($V$2:$AE$1001,MATCH(ROWS($O$2:O111),$O$2:$O$1001,0),MATCH(COLUMNS($V$1006:X1006),$V$1006:$AE$1006,0)), HYPERLINK("#",""), HYPERLINK(CONCATENATE("#Metadata!", ADDRESS(INDEX($Q$2:$Q$1001,MATCH(ROWS($O$2:O111),$O$2:$O$1001,0),0), INDEX($V$1004:$AE$1004,1,MATCH(COLUMNS($V$1006:X1006),$V$1006:$AE$1006,0)))),"Fix")))</f>
        <v>0</v>
      </c>
      <c r="E111" s="3">
        <f>IF(OR(INDEX($P$2:$P$1001,MATCH(ROWS($O$2:O111),$O$2:$O$1001,0),1)&gt;=100000,INDEX($V$1005:$AE$1005,1,MATCH(COLUMNS($V$1006:Y1006),$V$1006:$AE$1006,0))&gt;=100000), " ",IF(INDEX($V$2:$AE$1001,MATCH(ROWS($O$2:O111),$O$2:$O$1001,0),MATCH(COLUMNS($V$1006:Y1006),$V$1006:$AE$1006,0)), HYPERLINK("#",""), HYPERLINK(CONCATENATE("#Metadata!", ADDRESS(INDEX($Q$2:$Q$1001,MATCH(ROWS($O$2:O111),$O$2:$O$1001,0),0), INDEX($V$1004:$AE$1004,1,MATCH(COLUMNS($V$1006:Y1006),$V$1006:$AE$1006,0)))),"Fix")))</f>
        <v>0</v>
      </c>
      <c r="F111" s="3">
        <f>IF(OR(INDEX($P$2:$P$1001,MATCH(ROWS($O$2:O111),$O$2:$O$1001,0),1)&gt;=100000,INDEX($V$1005:$AE$1005,1,MATCH(COLUMNS($V$1006:Z1006),$V$1006:$AE$1006,0))&gt;=100000), " ",IF(INDEX($V$2:$AE$1001,MATCH(ROWS($O$2:O111),$O$2:$O$1001,0),MATCH(COLUMNS($V$1006:Z1006),$V$1006:$AE$1006,0)), HYPERLINK("#",""), HYPERLINK(CONCATENATE("#Metadata!", ADDRESS(INDEX($Q$2:$Q$1001,MATCH(ROWS($O$2:O111),$O$2:$O$1001,0),0), INDEX($V$1004:$AE$1004,1,MATCH(COLUMNS($V$1006:Z1006),$V$1006:$AE$1006,0)))),"Fix")))</f>
        <v>0</v>
      </c>
      <c r="G111" s="3">
        <f>IF(OR(INDEX($P$2:$P$1001,MATCH(ROWS($O$2:O111),$O$2:$O$1001,0),1)&gt;=100000,INDEX($V$1005:$AE$1005,1,MATCH(COLUMNS($V$1006:AA1006),$V$1006:$AE$1006,0))&gt;=100000), " ",IF(INDEX($V$2:$AE$1001,MATCH(ROWS($O$2:O111),$O$2:$O$1001,0),MATCH(COLUMNS($V$1006:AA1006),$V$1006:$AE$1006,0)), HYPERLINK("#",""), HYPERLINK(CONCATENATE("#Metadata!", ADDRESS(INDEX($Q$2:$Q$1001,MATCH(ROWS($O$2:O111),$O$2:$O$1001,0),0), INDEX($V$1004:$AE$1004,1,MATCH(COLUMNS($V$1006:AA1006),$V$1006:$AE$1006,0)))),"Fix")))</f>
        <v>0</v>
      </c>
      <c r="H111" s="3">
        <f>IF(OR(INDEX($P$2:$P$1001,MATCH(ROWS($O$2:O111),$O$2:$O$1001,0),1)&gt;=100000,INDEX($V$1005:$AE$1005,1,MATCH(COLUMNS($V$1006:AB1006),$V$1006:$AE$1006,0))&gt;=100000), " ",IF(INDEX($V$2:$AE$1001,MATCH(ROWS($O$2:O111),$O$2:$O$1001,0),MATCH(COLUMNS($V$1006:AB1006),$V$1006:$AE$1006,0)), HYPERLINK("#",""), HYPERLINK(CONCATENATE("#Metadata!", ADDRESS(INDEX($Q$2:$Q$1001,MATCH(ROWS($O$2:O111),$O$2:$O$1001,0),0), INDEX($V$1004:$AE$1004,1,MATCH(COLUMNS($V$1006:AB1006),$V$1006:$AE$1006,0)))),"Fix")))</f>
        <v>0</v>
      </c>
      <c r="I111" s="3">
        <f>IF(OR(INDEX($P$2:$P$1001,MATCH(ROWS($O$2:O111),$O$2:$O$1001,0),1)&gt;=100000,INDEX($V$1005:$AE$1005,1,MATCH(COLUMNS($V$1006:AC1006),$V$1006:$AE$1006,0))&gt;=100000), " ",IF(INDEX($V$2:$AE$1001,MATCH(ROWS($O$2:O111),$O$2:$O$1001,0),MATCH(COLUMNS($V$1006:AC1006),$V$1006:$AE$1006,0)), HYPERLINK("#",""), HYPERLINK(CONCATENATE("#Metadata!", ADDRESS(INDEX($Q$2:$Q$1001,MATCH(ROWS($O$2:O111),$O$2:$O$1001,0),0), INDEX($V$1004:$AE$1004,1,MATCH(COLUMNS($V$1006:AC1006),$V$1006:$AE$1006,0)))),"Fix")))</f>
        <v>0</v>
      </c>
      <c r="J111" s="3">
        <f>IF(OR(INDEX($P$2:$P$1001,MATCH(ROWS($O$2:O111),$O$2:$O$1001,0),1)&gt;=100000,INDEX($V$1005:$AE$1005,1,MATCH(COLUMNS($V$1006:AD1006),$V$1006:$AE$1006,0))&gt;=100000), " ",IF(INDEX($V$2:$AE$1001,MATCH(ROWS($O$2:O111),$O$2:$O$1001,0),MATCH(COLUMNS($V$1006:AD1006),$V$1006:$AE$1006,0)), HYPERLINK("#",""), HYPERLINK(CONCATENATE("#Metadata!", ADDRESS(INDEX($Q$2:$Q$1001,MATCH(ROWS($O$2:O111),$O$2:$O$1001,0),0), INDEX($V$1004:$AE$1004,1,MATCH(COLUMNS($V$1006:AD1006),$V$1006:$AE$1006,0)))),"Fix")))</f>
        <v>0</v>
      </c>
      <c r="K111" s="3">
        <f>IF(OR(INDEX($P$2:$P$1001,MATCH(ROWS($O$2:O111),$O$2:$O$1001,0),1)&gt;=100000,INDEX($V$1005:$AE$1005,1,MATCH(COLUMNS($V$1006:AE1006),$V$1006:$AE$1006,0))&gt;=100000), " ",IF(INDEX($V$2:$AE$1001,MATCH(ROWS($O$2:O111),$O$2:$O$1001,0),MATCH(COLUMNS($V$1006:AE1006),$V$1006:$AE$1006,0)), HYPERLINK("#",""), HYPERLINK(CONCATENATE("#Metadata!", ADDRESS(INDEX($Q$2:$Q$1001,MATCH(ROWS($O$2:O111),$O$2:$O$1001,0),0), INDEX($V$1004:$AE$1004,1,MATCH(COLUMNS($V$1006:AE1006),$V$1006:$AE$1006,0)))),"Fix")))</f>
        <v>0</v>
      </c>
      <c r="O111">
        <v>0</v>
      </c>
      <c r="P111">
        <v>0</v>
      </c>
      <c r="Q111">
        <v>0</v>
      </c>
      <c r="R111">
        <f>IF(S111,TRUE,AND(V111:AE111))</f>
        <v>0</v>
      </c>
      <c r="S111">
        <f>COUNTBLANK(Metadata!B111:K111)=COLUMNS(Metadata!B111:K111)</f>
        <v>0</v>
      </c>
      <c r="T111">
        <v>0</v>
      </c>
      <c r="V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W111">
        <f>AND(IF(Metadata!C111="",FALSE,TRUE),exact(Metadata!C111,"animal secretion"))</f>
        <v>0</v>
      </c>
      <c r="X111">
        <f>AND(IF(Metadata!D111="",FALSE,TRUE),exact(Metadata!D111,"saliva"))</f>
        <v>0</v>
      </c>
      <c r="Y111">
        <f>AND(IF(Metadata!E111="",FALSE,TRUE),exact(Metadata!E111,"human-oral"))</f>
        <v>0</v>
      </c>
      <c r="Z111">
        <f>AND(IF(Metadata!F111="",FALSE,TRUE),exact(Metadata!F111,"UBERON:oral cavity"))</f>
        <v>0</v>
      </c>
      <c r="AA111">
        <f>AND(IF(Metadata!G111="",FALSE,TRUE),exact(Metadata!G111,"UBERON:saliva"))</f>
        <v>0</v>
      </c>
      <c r="AB111">
        <f>AND(IF(Metadata!H111="",FALSE,TRUE),exact(Metadata!H111,"UBERON:tongue"))</f>
        <v>0</v>
      </c>
      <c r="AC111">
        <f>AND(IF(Metadata!I111="",FALSE,TRUE),exact(Metadata!I111,"tongue"))</f>
        <v>0</v>
      </c>
      <c r="AD111">
        <f>AND(IF(Metadata!J111="",FALSE,TRUE),exact(Metadata!J111,"human oral metagenome"))</f>
        <v>0</v>
      </c>
      <c r="AE111">
        <f>AND(IF(Metadata!K111="",FALSE,TRUE),exact(Metadata!K111,"447426"))</f>
        <v>0</v>
      </c>
    </row>
    <row r="112" spans="1:31">
      <c r="A112" s="4">
        <f>IF(B112=" "," ",HYPERLINK(CONCATENATE("#metadata!",ADDRESS(INDEX($Q$2:$Q$1001,MATCH(ROWS($O$2:O112),$O$2:$O$1001,0),0),1)),INDEX($T$2:$T$1001,MATCH(ROWS($O$2:O112),$O$2:$O$1001,0),0)))</f>
        <v>0</v>
      </c>
      <c r="B112" s="3">
        <f>IF(OR(INDEX($P$2:$P$1001,MATCH(ROWS($O$2:O112),$O$2:$O$1001,0),1)&gt;=100000,INDEX($V$1005:$AE$1005,1,MATCH(COLUMNS($V$1006:V1006),$V$1006:$AE$1006,0))&gt;=100000), " ",IF(INDEX($V$2:$AE$1001,MATCH(ROWS($O$2:O112),$O$2:$O$1001,0),MATCH(COLUMNS($V$1006:V1006),$V$1006:$AE$1006,0)), HYPERLINK("#",""), HYPERLINK(CONCATENATE("#Metadata!", ADDRESS(INDEX($Q$2:$Q$1001,MATCH(ROWS($O$2:O112),$O$2:$O$1001,0),0), INDEX($V$1004:$AE$1004,1,MATCH(COLUMNS($V$1006:V1006),$V$1006:$AE$1006,0)))),"Fix")))</f>
        <v>0</v>
      </c>
      <c r="C112" s="3">
        <f>IF(OR(INDEX($P$2:$P$1001,MATCH(ROWS($O$2:O112),$O$2:$O$1001,0),1)&gt;=100000,INDEX($V$1005:$AE$1005,1,MATCH(COLUMNS($V$1006:W1006),$V$1006:$AE$1006,0))&gt;=100000), " ",IF(INDEX($V$2:$AE$1001,MATCH(ROWS($O$2:O112),$O$2:$O$1001,0),MATCH(COLUMNS($V$1006:W1006),$V$1006:$AE$1006,0)), HYPERLINK("#",""), HYPERLINK(CONCATENATE("#Metadata!", ADDRESS(INDEX($Q$2:$Q$1001,MATCH(ROWS($O$2:O112),$O$2:$O$1001,0),0), INDEX($V$1004:$AE$1004,1,MATCH(COLUMNS($V$1006:W1006),$V$1006:$AE$1006,0)))),"Fix")))</f>
        <v>0</v>
      </c>
      <c r="D112" s="3">
        <f>IF(OR(INDEX($P$2:$P$1001,MATCH(ROWS($O$2:O112),$O$2:$O$1001,0),1)&gt;=100000,INDEX($V$1005:$AE$1005,1,MATCH(COLUMNS($V$1006:X1006),$V$1006:$AE$1006,0))&gt;=100000), " ",IF(INDEX($V$2:$AE$1001,MATCH(ROWS($O$2:O112),$O$2:$O$1001,0),MATCH(COLUMNS($V$1006:X1006),$V$1006:$AE$1006,0)), HYPERLINK("#",""), HYPERLINK(CONCATENATE("#Metadata!", ADDRESS(INDEX($Q$2:$Q$1001,MATCH(ROWS($O$2:O112),$O$2:$O$1001,0),0), INDEX($V$1004:$AE$1004,1,MATCH(COLUMNS($V$1006:X1006),$V$1006:$AE$1006,0)))),"Fix")))</f>
        <v>0</v>
      </c>
      <c r="E112" s="3">
        <f>IF(OR(INDEX($P$2:$P$1001,MATCH(ROWS($O$2:O112),$O$2:$O$1001,0),1)&gt;=100000,INDEX($V$1005:$AE$1005,1,MATCH(COLUMNS($V$1006:Y1006),$V$1006:$AE$1006,0))&gt;=100000), " ",IF(INDEX($V$2:$AE$1001,MATCH(ROWS($O$2:O112),$O$2:$O$1001,0),MATCH(COLUMNS($V$1006:Y1006),$V$1006:$AE$1006,0)), HYPERLINK("#",""), HYPERLINK(CONCATENATE("#Metadata!", ADDRESS(INDEX($Q$2:$Q$1001,MATCH(ROWS($O$2:O112),$O$2:$O$1001,0),0), INDEX($V$1004:$AE$1004,1,MATCH(COLUMNS($V$1006:Y1006),$V$1006:$AE$1006,0)))),"Fix")))</f>
        <v>0</v>
      </c>
      <c r="F112" s="3">
        <f>IF(OR(INDEX($P$2:$P$1001,MATCH(ROWS($O$2:O112),$O$2:$O$1001,0),1)&gt;=100000,INDEX($V$1005:$AE$1005,1,MATCH(COLUMNS($V$1006:Z1006),$V$1006:$AE$1006,0))&gt;=100000), " ",IF(INDEX($V$2:$AE$1001,MATCH(ROWS($O$2:O112),$O$2:$O$1001,0),MATCH(COLUMNS($V$1006:Z1006),$V$1006:$AE$1006,0)), HYPERLINK("#",""), HYPERLINK(CONCATENATE("#Metadata!", ADDRESS(INDEX($Q$2:$Q$1001,MATCH(ROWS($O$2:O112),$O$2:$O$1001,0),0), INDEX($V$1004:$AE$1004,1,MATCH(COLUMNS($V$1006:Z1006),$V$1006:$AE$1006,0)))),"Fix")))</f>
        <v>0</v>
      </c>
      <c r="G112" s="3">
        <f>IF(OR(INDEX($P$2:$P$1001,MATCH(ROWS($O$2:O112),$O$2:$O$1001,0),1)&gt;=100000,INDEX($V$1005:$AE$1005,1,MATCH(COLUMNS($V$1006:AA1006),$V$1006:$AE$1006,0))&gt;=100000), " ",IF(INDEX($V$2:$AE$1001,MATCH(ROWS($O$2:O112),$O$2:$O$1001,0),MATCH(COLUMNS($V$1006:AA1006),$V$1006:$AE$1006,0)), HYPERLINK("#",""), HYPERLINK(CONCATENATE("#Metadata!", ADDRESS(INDEX($Q$2:$Q$1001,MATCH(ROWS($O$2:O112),$O$2:$O$1001,0),0), INDEX($V$1004:$AE$1004,1,MATCH(COLUMNS($V$1006:AA1006),$V$1006:$AE$1006,0)))),"Fix")))</f>
        <v>0</v>
      </c>
      <c r="H112" s="3">
        <f>IF(OR(INDEX($P$2:$P$1001,MATCH(ROWS($O$2:O112),$O$2:$O$1001,0),1)&gt;=100000,INDEX($V$1005:$AE$1005,1,MATCH(COLUMNS($V$1006:AB1006),$V$1006:$AE$1006,0))&gt;=100000), " ",IF(INDEX($V$2:$AE$1001,MATCH(ROWS($O$2:O112),$O$2:$O$1001,0),MATCH(COLUMNS($V$1006:AB1006),$V$1006:$AE$1006,0)), HYPERLINK("#",""), HYPERLINK(CONCATENATE("#Metadata!", ADDRESS(INDEX($Q$2:$Q$1001,MATCH(ROWS($O$2:O112),$O$2:$O$1001,0),0), INDEX($V$1004:$AE$1004,1,MATCH(COLUMNS($V$1006:AB1006),$V$1006:$AE$1006,0)))),"Fix")))</f>
        <v>0</v>
      </c>
      <c r="I112" s="3">
        <f>IF(OR(INDEX($P$2:$P$1001,MATCH(ROWS($O$2:O112),$O$2:$O$1001,0),1)&gt;=100000,INDEX($V$1005:$AE$1005,1,MATCH(COLUMNS($V$1006:AC1006),$V$1006:$AE$1006,0))&gt;=100000), " ",IF(INDEX($V$2:$AE$1001,MATCH(ROWS($O$2:O112),$O$2:$O$1001,0),MATCH(COLUMNS($V$1006:AC1006),$V$1006:$AE$1006,0)), HYPERLINK("#",""), HYPERLINK(CONCATENATE("#Metadata!", ADDRESS(INDEX($Q$2:$Q$1001,MATCH(ROWS($O$2:O112),$O$2:$O$1001,0),0), INDEX($V$1004:$AE$1004,1,MATCH(COLUMNS($V$1006:AC1006),$V$1006:$AE$1006,0)))),"Fix")))</f>
        <v>0</v>
      </c>
      <c r="J112" s="3">
        <f>IF(OR(INDEX($P$2:$P$1001,MATCH(ROWS($O$2:O112),$O$2:$O$1001,0),1)&gt;=100000,INDEX($V$1005:$AE$1005,1,MATCH(COLUMNS($V$1006:AD1006),$V$1006:$AE$1006,0))&gt;=100000), " ",IF(INDEX($V$2:$AE$1001,MATCH(ROWS($O$2:O112),$O$2:$O$1001,0),MATCH(COLUMNS($V$1006:AD1006),$V$1006:$AE$1006,0)), HYPERLINK("#",""), HYPERLINK(CONCATENATE("#Metadata!", ADDRESS(INDEX($Q$2:$Q$1001,MATCH(ROWS($O$2:O112),$O$2:$O$1001,0),0), INDEX($V$1004:$AE$1004,1,MATCH(COLUMNS($V$1006:AD1006),$V$1006:$AE$1006,0)))),"Fix")))</f>
        <v>0</v>
      </c>
      <c r="K112" s="3">
        <f>IF(OR(INDEX($P$2:$P$1001,MATCH(ROWS($O$2:O112),$O$2:$O$1001,0),1)&gt;=100000,INDEX($V$1005:$AE$1005,1,MATCH(COLUMNS($V$1006:AE1006),$V$1006:$AE$1006,0))&gt;=100000), " ",IF(INDEX($V$2:$AE$1001,MATCH(ROWS($O$2:O112),$O$2:$O$1001,0),MATCH(COLUMNS($V$1006:AE1006),$V$1006:$AE$1006,0)), HYPERLINK("#",""), HYPERLINK(CONCATENATE("#Metadata!", ADDRESS(INDEX($Q$2:$Q$1001,MATCH(ROWS($O$2:O112),$O$2:$O$1001,0),0), INDEX($V$1004:$AE$1004,1,MATCH(COLUMNS($V$1006:AE1006),$V$1006:$AE$1006,0)))),"Fix")))</f>
        <v>0</v>
      </c>
      <c r="O112">
        <v>0</v>
      </c>
      <c r="P112">
        <v>0</v>
      </c>
      <c r="Q112">
        <v>0</v>
      </c>
      <c r="R112">
        <f>IF(S112,TRUE,AND(V112:AE112))</f>
        <v>0</v>
      </c>
      <c r="S112">
        <f>COUNTBLANK(Metadata!B112:K112)=COLUMNS(Metadata!B112:K112)</f>
        <v>0</v>
      </c>
      <c r="T112">
        <v>0</v>
      </c>
      <c r="V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W112">
        <f>AND(IF(Metadata!C112="",FALSE,TRUE),exact(Metadata!C112,"animal secretion"))</f>
        <v>0</v>
      </c>
      <c r="X112">
        <f>AND(IF(Metadata!D112="",FALSE,TRUE),exact(Metadata!D112,"saliva"))</f>
        <v>0</v>
      </c>
      <c r="Y112">
        <f>AND(IF(Metadata!E112="",FALSE,TRUE),exact(Metadata!E112,"human-oral"))</f>
        <v>0</v>
      </c>
      <c r="Z112">
        <f>AND(IF(Metadata!F112="",FALSE,TRUE),exact(Metadata!F112,"UBERON:oral cavity"))</f>
        <v>0</v>
      </c>
      <c r="AA112">
        <f>AND(IF(Metadata!G112="",FALSE,TRUE),exact(Metadata!G112,"UBERON:saliva"))</f>
        <v>0</v>
      </c>
      <c r="AB112">
        <f>AND(IF(Metadata!H112="",FALSE,TRUE),exact(Metadata!H112,"UBERON:tongue"))</f>
        <v>0</v>
      </c>
      <c r="AC112">
        <f>AND(IF(Metadata!I112="",FALSE,TRUE),exact(Metadata!I112,"tongue"))</f>
        <v>0</v>
      </c>
      <c r="AD112">
        <f>AND(IF(Metadata!J112="",FALSE,TRUE),exact(Metadata!J112,"human oral metagenome"))</f>
        <v>0</v>
      </c>
      <c r="AE112">
        <f>AND(IF(Metadata!K112="",FALSE,TRUE),exact(Metadata!K112,"447426"))</f>
        <v>0</v>
      </c>
    </row>
    <row r="113" spans="1:31">
      <c r="A113" s="4">
        <f>IF(B113=" "," ",HYPERLINK(CONCATENATE("#metadata!",ADDRESS(INDEX($Q$2:$Q$1001,MATCH(ROWS($O$2:O113),$O$2:$O$1001,0),0),1)),INDEX($T$2:$T$1001,MATCH(ROWS($O$2:O113),$O$2:$O$1001,0),0)))</f>
        <v>0</v>
      </c>
      <c r="B113" s="3">
        <f>IF(OR(INDEX($P$2:$P$1001,MATCH(ROWS($O$2:O113),$O$2:$O$1001,0),1)&gt;=100000,INDEX($V$1005:$AE$1005,1,MATCH(COLUMNS($V$1006:V1006),$V$1006:$AE$1006,0))&gt;=100000), " ",IF(INDEX($V$2:$AE$1001,MATCH(ROWS($O$2:O113),$O$2:$O$1001,0),MATCH(COLUMNS($V$1006:V1006),$V$1006:$AE$1006,0)), HYPERLINK("#",""), HYPERLINK(CONCATENATE("#Metadata!", ADDRESS(INDEX($Q$2:$Q$1001,MATCH(ROWS($O$2:O113),$O$2:$O$1001,0),0), INDEX($V$1004:$AE$1004,1,MATCH(COLUMNS($V$1006:V1006),$V$1006:$AE$1006,0)))),"Fix")))</f>
        <v>0</v>
      </c>
      <c r="C113" s="3">
        <f>IF(OR(INDEX($P$2:$P$1001,MATCH(ROWS($O$2:O113),$O$2:$O$1001,0),1)&gt;=100000,INDEX($V$1005:$AE$1005,1,MATCH(COLUMNS($V$1006:W1006),$V$1006:$AE$1006,0))&gt;=100000), " ",IF(INDEX($V$2:$AE$1001,MATCH(ROWS($O$2:O113),$O$2:$O$1001,0),MATCH(COLUMNS($V$1006:W1006),$V$1006:$AE$1006,0)), HYPERLINK("#",""), HYPERLINK(CONCATENATE("#Metadata!", ADDRESS(INDEX($Q$2:$Q$1001,MATCH(ROWS($O$2:O113),$O$2:$O$1001,0),0), INDEX($V$1004:$AE$1004,1,MATCH(COLUMNS($V$1006:W1006),$V$1006:$AE$1006,0)))),"Fix")))</f>
        <v>0</v>
      </c>
      <c r="D113" s="3">
        <f>IF(OR(INDEX($P$2:$P$1001,MATCH(ROWS($O$2:O113),$O$2:$O$1001,0),1)&gt;=100000,INDEX($V$1005:$AE$1005,1,MATCH(COLUMNS($V$1006:X1006),$V$1006:$AE$1006,0))&gt;=100000), " ",IF(INDEX($V$2:$AE$1001,MATCH(ROWS($O$2:O113),$O$2:$O$1001,0),MATCH(COLUMNS($V$1006:X1006),$V$1006:$AE$1006,0)), HYPERLINK("#",""), HYPERLINK(CONCATENATE("#Metadata!", ADDRESS(INDEX($Q$2:$Q$1001,MATCH(ROWS($O$2:O113),$O$2:$O$1001,0),0), INDEX($V$1004:$AE$1004,1,MATCH(COLUMNS($V$1006:X1006),$V$1006:$AE$1006,0)))),"Fix")))</f>
        <v>0</v>
      </c>
      <c r="E113" s="3">
        <f>IF(OR(INDEX($P$2:$P$1001,MATCH(ROWS($O$2:O113),$O$2:$O$1001,0),1)&gt;=100000,INDEX($V$1005:$AE$1005,1,MATCH(COLUMNS($V$1006:Y1006),$V$1006:$AE$1006,0))&gt;=100000), " ",IF(INDEX($V$2:$AE$1001,MATCH(ROWS($O$2:O113),$O$2:$O$1001,0),MATCH(COLUMNS($V$1006:Y1006),$V$1006:$AE$1006,0)), HYPERLINK("#",""), HYPERLINK(CONCATENATE("#Metadata!", ADDRESS(INDEX($Q$2:$Q$1001,MATCH(ROWS($O$2:O113),$O$2:$O$1001,0),0), INDEX($V$1004:$AE$1004,1,MATCH(COLUMNS($V$1006:Y1006),$V$1006:$AE$1006,0)))),"Fix")))</f>
        <v>0</v>
      </c>
      <c r="F113" s="3">
        <f>IF(OR(INDEX($P$2:$P$1001,MATCH(ROWS($O$2:O113),$O$2:$O$1001,0),1)&gt;=100000,INDEX($V$1005:$AE$1005,1,MATCH(COLUMNS($V$1006:Z1006),$V$1006:$AE$1006,0))&gt;=100000), " ",IF(INDEX($V$2:$AE$1001,MATCH(ROWS($O$2:O113),$O$2:$O$1001,0),MATCH(COLUMNS($V$1006:Z1006),$V$1006:$AE$1006,0)), HYPERLINK("#",""), HYPERLINK(CONCATENATE("#Metadata!", ADDRESS(INDEX($Q$2:$Q$1001,MATCH(ROWS($O$2:O113),$O$2:$O$1001,0),0), INDEX($V$1004:$AE$1004,1,MATCH(COLUMNS($V$1006:Z1006),$V$1006:$AE$1006,0)))),"Fix")))</f>
        <v>0</v>
      </c>
      <c r="G113" s="3">
        <f>IF(OR(INDEX($P$2:$P$1001,MATCH(ROWS($O$2:O113),$O$2:$O$1001,0),1)&gt;=100000,INDEX($V$1005:$AE$1005,1,MATCH(COLUMNS($V$1006:AA1006),$V$1006:$AE$1006,0))&gt;=100000), " ",IF(INDEX($V$2:$AE$1001,MATCH(ROWS($O$2:O113),$O$2:$O$1001,0),MATCH(COLUMNS($V$1006:AA1006),$V$1006:$AE$1006,0)), HYPERLINK("#",""), HYPERLINK(CONCATENATE("#Metadata!", ADDRESS(INDEX($Q$2:$Q$1001,MATCH(ROWS($O$2:O113),$O$2:$O$1001,0),0), INDEX($V$1004:$AE$1004,1,MATCH(COLUMNS($V$1006:AA1006),$V$1006:$AE$1006,0)))),"Fix")))</f>
        <v>0</v>
      </c>
      <c r="H113" s="3">
        <f>IF(OR(INDEX($P$2:$P$1001,MATCH(ROWS($O$2:O113),$O$2:$O$1001,0),1)&gt;=100000,INDEX($V$1005:$AE$1005,1,MATCH(COLUMNS($V$1006:AB1006),$V$1006:$AE$1006,0))&gt;=100000), " ",IF(INDEX($V$2:$AE$1001,MATCH(ROWS($O$2:O113),$O$2:$O$1001,0),MATCH(COLUMNS($V$1006:AB1006),$V$1006:$AE$1006,0)), HYPERLINK("#",""), HYPERLINK(CONCATENATE("#Metadata!", ADDRESS(INDEX($Q$2:$Q$1001,MATCH(ROWS($O$2:O113),$O$2:$O$1001,0),0), INDEX($V$1004:$AE$1004,1,MATCH(COLUMNS($V$1006:AB1006),$V$1006:$AE$1006,0)))),"Fix")))</f>
        <v>0</v>
      </c>
      <c r="I113" s="3">
        <f>IF(OR(INDEX($P$2:$P$1001,MATCH(ROWS($O$2:O113),$O$2:$O$1001,0),1)&gt;=100000,INDEX($V$1005:$AE$1005,1,MATCH(COLUMNS($V$1006:AC1006),$V$1006:$AE$1006,0))&gt;=100000), " ",IF(INDEX($V$2:$AE$1001,MATCH(ROWS($O$2:O113),$O$2:$O$1001,0),MATCH(COLUMNS($V$1006:AC1006),$V$1006:$AE$1006,0)), HYPERLINK("#",""), HYPERLINK(CONCATENATE("#Metadata!", ADDRESS(INDEX($Q$2:$Q$1001,MATCH(ROWS($O$2:O113),$O$2:$O$1001,0),0), INDEX($V$1004:$AE$1004,1,MATCH(COLUMNS($V$1006:AC1006),$V$1006:$AE$1006,0)))),"Fix")))</f>
        <v>0</v>
      </c>
      <c r="J113" s="3">
        <f>IF(OR(INDEX($P$2:$P$1001,MATCH(ROWS($O$2:O113),$O$2:$O$1001,0),1)&gt;=100000,INDEX($V$1005:$AE$1005,1,MATCH(COLUMNS($V$1006:AD1006),$V$1006:$AE$1006,0))&gt;=100000), " ",IF(INDEX($V$2:$AE$1001,MATCH(ROWS($O$2:O113),$O$2:$O$1001,0),MATCH(COLUMNS($V$1006:AD1006),$V$1006:$AE$1006,0)), HYPERLINK("#",""), HYPERLINK(CONCATENATE("#Metadata!", ADDRESS(INDEX($Q$2:$Q$1001,MATCH(ROWS($O$2:O113),$O$2:$O$1001,0),0), INDEX($V$1004:$AE$1004,1,MATCH(COLUMNS($V$1006:AD1006),$V$1006:$AE$1006,0)))),"Fix")))</f>
        <v>0</v>
      </c>
      <c r="K113" s="3">
        <f>IF(OR(INDEX($P$2:$P$1001,MATCH(ROWS($O$2:O113),$O$2:$O$1001,0),1)&gt;=100000,INDEX($V$1005:$AE$1005,1,MATCH(COLUMNS($V$1006:AE1006),$V$1006:$AE$1006,0))&gt;=100000), " ",IF(INDEX($V$2:$AE$1001,MATCH(ROWS($O$2:O113),$O$2:$O$1001,0),MATCH(COLUMNS($V$1006:AE1006),$V$1006:$AE$1006,0)), HYPERLINK("#",""), HYPERLINK(CONCATENATE("#Metadata!", ADDRESS(INDEX($Q$2:$Q$1001,MATCH(ROWS($O$2:O113),$O$2:$O$1001,0),0), INDEX($V$1004:$AE$1004,1,MATCH(COLUMNS($V$1006:AE1006),$V$1006:$AE$1006,0)))),"Fix")))</f>
        <v>0</v>
      </c>
      <c r="O113">
        <v>0</v>
      </c>
      <c r="P113">
        <v>0</v>
      </c>
      <c r="Q113">
        <v>0</v>
      </c>
      <c r="R113">
        <f>IF(S113,TRUE,AND(V113:AE113))</f>
        <v>0</v>
      </c>
      <c r="S113">
        <f>COUNTBLANK(Metadata!B113:K113)=COLUMNS(Metadata!B113:K113)</f>
        <v>0</v>
      </c>
      <c r="T113">
        <v>0</v>
      </c>
      <c r="V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W113">
        <f>AND(IF(Metadata!C113="",FALSE,TRUE),exact(Metadata!C113,"animal secretion"))</f>
        <v>0</v>
      </c>
      <c r="X113">
        <f>AND(IF(Metadata!D113="",FALSE,TRUE),exact(Metadata!D113,"saliva"))</f>
        <v>0</v>
      </c>
      <c r="Y113">
        <f>AND(IF(Metadata!E113="",FALSE,TRUE),exact(Metadata!E113,"human-oral"))</f>
        <v>0</v>
      </c>
      <c r="Z113">
        <f>AND(IF(Metadata!F113="",FALSE,TRUE),exact(Metadata!F113,"UBERON:oral cavity"))</f>
        <v>0</v>
      </c>
      <c r="AA113">
        <f>AND(IF(Metadata!G113="",FALSE,TRUE),exact(Metadata!G113,"UBERON:saliva"))</f>
        <v>0</v>
      </c>
      <c r="AB113">
        <f>AND(IF(Metadata!H113="",FALSE,TRUE),exact(Metadata!H113,"UBERON:tongue"))</f>
        <v>0</v>
      </c>
      <c r="AC113">
        <f>AND(IF(Metadata!I113="",FALSE,TRUE),exact(Metadata!I113,"tongue"))</f>
        <v>0</v>
      </c>
      <c r="AD113">
        <f>AND(IF(Metadata!J113="",FALSE,TRUE),exact(Metadata!J113,"human oral metagenome"))</f>
        <v>0</v>
      </c>
      <c r="AE113">
        <f>AND(IF(Metadata!K113="",FALSE,TRUE),exact(Metadata!K113,"447426"))</f>
        <v>0</v>
      </c>
    </row>
    <row r="114" spans="1:31">
      <c r="A114" s="4">
        <f>IF(B114=" "," ",HYPERLINK(CONCATENATE("#metadata!",ADDRESS(INDEX($Q$2:$Q$1001,MATCH(ROWS($O$2:O114),$O$2:$O$1001,0),0),1)),INDEX($T$2:$T$1001,MATCH(ROWS($O$2:O114),$O$2:$O$1001,0),0)))</f>
        <v>0</v>
      </c>
      <c r="B114" s="3">
        <f>IF(OR(INDEX($P$2:$P$1001,MATCH(ROWS($O$2:O114),$O$2:$O$1001,0),1)&gt;=100000,INDEX($V$1005:$AE$1005,1,MATCH(COLUMNS($V$1006:V1006),$V$1006:$AE$1006,0))&gt;=100000), " ",IF(INDEX($V$2:$AE$1001,MATCH(ROWS($O$2:O114),$O$2:$O$1001,0),MATCH(COLUMNS($V$1006:V1006),$V$1006:$AE$1006,0)), HYPERLINK("#",""), HYPERLINK(CONCATENATE("#Metadata!", ADDRESS(INDEX($Q$2:$Q$1001,MATCH(ROWS($O$2:O114),$O$2:$O$1001,0),0), INDEX($V$1004:$AE$1004,1,MATCH(COLUMNS($V$1006:V1006),$V$1006:$AE$1006,0)))),"Fix")))</f>
        <v>0</v>
      </c>
      <c r="C114" s="3">
        <f>IF(OR(INDEX($P$2:$P$1001,MATCH(ROWS($O$2:O114),$O$2:$O$1001,0),1)&gt;=100000,INDEX($V$1005:$AE$1005,1,MATCH(COLUMNS($V$1006:W1006),$V$1006:$AE$1006,0))&gt;=100000), " ",IF(INDEX($V$2:$AE$1001,MATCH(ROWS($O$2:O114),$O$2:$O$1001,0),MATCH(COLUMNS($V$1006:W1006),$V$1006:$AE$1006,0)), HYPERLINK("#",""), HYPERLINK(CONCATENATE("#Metadata!", ADDRESS(INDEX($Q$2:$Q$1001,MATCH(ROWS($O$2:O114),$O$2:$O$1001,0),0), INDEX($V$1004:$AE$1004,1,MATCH(COLUMNS($V$1006:W1006),$V$1006:$AE$1006,0)))),"Fix")))</f>
        <v>0</v>
      </c>
      <c r="D114" s="3">
        <f>IF(OR(INDEX($P$2:$P$1001,MATCH(ROWS($O$2:O114),$O$2:$O$1001,0),1)&gt;=100000,INDEX($V$1005:$AE$1005,1,MATCH(COLUMNS($V$1006:X1006),$V$1006:$AE$1006,0))&gt;=100000), " ",IF(INDEX($V$2:$AE$1001,MATCH(ROWS($O$2:O114),$O$2:$O$1001,0),MATCH(COLUMNS($V$1006:X1006),$V$1006:$AE$1006,0)), HYPERLINK("#",""), HYPERLINK(CONCATENATE("#Metadata!", ADDRESS(INDEX($Q$2:$Q$1001,MATCH(ROWS($O$2:O114),$O$2:$O$1001,0),0), INDEX($V$1004:$AE$1004,1,MATCH(COLUMNS($V$1006:X1006),$V$1006:$AE$1006,0)))),"Fix")))</f>
        <v>0</v>
      </c>
      <c r="E114" s="3">
        <f>IF(OR(INDEX($P$2:$P$1001,MATCH(ROWS($O$2:O114),$O$2:$O$1001,0),1)&gt;=100000,INDEX($V$1005:$AE$1005,1,MATCH(COLUMNS($V$1006:Y1006),$V$1006:$AE$1006,0))&gt;=100000), " ",IF(INDEX($V$2:$AE$1001,MATCH(ROWS($O$2:O114),$O$2:$O$1001,0),MATCH(COLUMNS($V$1006:Y1006),$V$1006:$AE$1006,0)), HYPERLINK("#",""), HYPERLINK(CONCATENATE("#Metadata!", ADDRESS(INDEX($Q$2:$Q$1001,MATCH(ROWS($O$2:O114),$O$2:$O$1001,0),0), INDEX($V$1004:$AE$1004,1,MATCH(COLUMNS($V$1006:Y1006),$V$1006:$AE$1006,0)))),"Fix")))</f>
        <v>0</v>
      </c>
      <c r="F114" s="3">
        <f>IF(OR(INDEX($P$2:$P$1001,MATCH(ROWS($O$2:O114),$O$2:$O$1001,0),1)&gt;=100000,INDEX($V$1005:$AE$1005,1,MATCH(COLUMNS($V$1006:Z1006),$V$1006:$AE$1006,0))&gt;=100000), " ",IF(INDEX($V$2:$AE$1001,MATCH(ROWS($O$2:O114),$O$2:$O$1001,0),MATCH(COLUMNS($V$1006:Z1006),$V$1006:$AE$1006,0)), HYPERLINK("#",""), HYPERLINK(CONCATENATE("#Metadata!", ADDRESS(INDEX($Q$2:$Q$1001,MATCH(ROWS($O$2:O114),$O$2:$O$1001,0),0), INDEX($V$1004:$AE$1004,1,MATCH(COLUMNS($V$1006:Z1006),$V$1006:$AE$1006,0)))),"Fix")))</f>
        <v>0</v>
      </c>
      <c r="G114" s="3">
        <f>IF(OR(INDEX($P$2:$P$1001,MATCH(ROWS($O$2:O114),$O$2:$O$1001,0),1)&gt;=100000,INDEX($V$1005:$AE$1005,1,MATCH(COLUMNS($V$1006:AA1006),$V$1006:$AE$1006,0))&gt;=100000), " ",IF(INDEX($V$2:$AE$1001,MATCH(ROWS($O$2:O114),$O$2:$O$1001,0),MATCH(COLUMNS($V$1006:AA1006),$V$1006:$AE$1006,0)), HYPERLINK("#",""), HYPERLINK(CONCATENATE("#Metadata!", ADDRESS(INDEX($Q$2:$Q$1001,MATCH(ROWS($O$2:O114),$O$2:$O$1001,0),0), INDEX($V$1004:$AE$1004,1,MATCH(COLUMNS($V$1006:AA1006),$V$1006:$AE$1006,0)))),"Fix")))</f>
        <v>0</v>
      </c>
      <c r="H114" s="3">
        <f>IF(OR(INDEX($P$2:$P$1001,MATCH(ROWS($O$2:O114),$O$2:$O$1001,0),1)&gt;=100000,INDEX($V$1005:$AE$1005,1,MATCH(COLUMNS($V$1006:AB1006),$V$1006:$AE$1006,0))&gt;=100000), " ",IF(INDEX($V$2:$AE$1001,MATCH(ROWS($O$2:O114),$O$2:$O$1001,0),MATCH(COLUMNS($V$1006:AB1006),$V$1006:$AE$1006,0)), HYPERLINK("#",""), HYPERLINK(CONCATENATE("#Metadata!", ADDRESS(INDEX($Q$2:$Q$1001,MATCH(ROWS($O$2:O114),$O$2:$O$1001,0),0), INDEX($V$1004:$AE$1004,1,MATCH(COLUMNS($V$1006:AB1006),$V$1006:$AE$1006,0)))),"Fix")))</f>
        <v>0</v>
      </c>
      <c r="I114" s="3">
        <f>IF(OR(INDEX($P$2:$P$1001,MATCH(ROWS($O$2:O114),$O$2:$O$1001,0),1)&gt;=100000,INDEX($V$1005:$AE$1005,1,MATCH(COLUMNS($V$1006:AC1006),$V$1006:$AE$1006,0))&gt;=100000), " ",IF(INDEX($V$2:$AE$1001,MATCH(ROWS($O$2:O114),$O$2:$O$1001,0),MATCH(COLUMNS($V$1006:AC1006),$V$1006:$AE$1006,0)), HYPERLINK("#",""), HYPERLINK(CONCATENATE("#Metadata!", ADDRESS(INDEX($Q$2:$Q$1001,MATCH(ROWS($O$2:O114),$O$2:$O$1001,0),0), INDEX($V$1004:$AE$1004,1,MATCH(COLUMNS($V$1006:AC1006),$V$1006:$AE$1006,0)))),"Fix")))</f>
        <v>0</v>
      </c>
      <c r="J114" s="3">
        <f>IF(OR(INDEX($P$2:$P$1001,MATCH(ROWS($O$2:O114),$O$2:$O$1001,0),1)&gt;=100000,INDEX($V$1005:$AE$1005,1,MATCH(COLUMNS($V$1006:AD1006),$V$1006:$AE$1006,0))&gt;=100000), " ",IF(INDEX($V$2:$AE$1001,MATCH(ROWS($O$2:O114),$O$2:$O$1001,0),MATCH(COLUMNS($V$1006:AD1006),$V$1006:$AE$1006,0)), HYPERLINK("#",""), HYPERLINK(CONCATENATE("#Metadata!", ADDRESS(INDEX($Q$2:$Q$1001,MATCH(ROWS($O$2:O114),$O$2:$O$1001,0),0), INDEX($V$1004:$AE$1004,1,MATCH(COLUMNS($V$1006:AD1006),$V$1006:$AE$1006,0)))),"Fix")))</f>
        <v>0</v>
      </c>
      <c r="K114" s="3">
        <f>IF(OR(INDEX($P$2:$P$1001,MATCH(ROWS($O$2:O114),$O$2:$O$1001,0),1)&gt;=100000,INDEX($V$1005:$AE$1005,1,MATCH(COLUMNS($V$1006:AE1006),$V$1006:$AE$1006,0))&gt;=100000), " ",IF(INDEX($V$2:$AE$1001,MATCH(ROWS($O$2:O114),$O$2:$O$1001,0),MATCH(COLUMNS($V$1006:AE1006),$V$1006:$AE$1006,0)), HYPERLINK("#",""), HYPERLINK(CONCATENATE("#Metadata!", ADDRESS(INDEX($Q$2:$Q$1001,MATCH(ROWS($O$2:O114),$O$2:$O$1001,0),0), INDEX($V$1004:$AE$1004,1,MATCH(COLUMNS($V$1006:AE1006),$V$1006:$AE$1006,0)))),"Fix")))</f>
        <v>0</v>
      </c>
      <c r="O114">
        <v>0</v>
      </c>
      <c r="P114">
        <v>0</v>
      </c>
      <c r="Q114">
        <v>0</v>
      </c>
      <c r="R114">
        <f>IF(S114,TRUE,AND(V114:AE114))</f>
        <v>0</v>
      </c>
      <c r="S114">
        <f>COUNTBLANK(Metadata!B114:K114)=COLUMNS(Metadata!B114:K114)</f>
        <v>0</v>
      </c>
      <c r="T114">
        <v>0</v>
      </c>
      <c r="V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W114">
        <f>AND(IF(Metadata!C114="",FALSE,TRUE),exact(Metadata!C114,"animal secretion"))</f>
        <v>0</v>
      </c>
      <c r="X114">
        <f>AND(IF(Metadata!D114="",FALSE,TRUE),exact(Metadata!D114,"saliva"))</f>
        <v>0</v>
      </c>
      <c r="Y114">
        <f>AND(IF(Metadata!E114="",FALSE,TRUE),exact(Metadata!E114,"human-oral"))</f>
        <v>0</v>
      </c>
      <c r="Z114">
        <f>AND(IF(Metadata!F114="",FALSE,TRUE),exact(Metadata!F114,"UBERON:oral cavity"))</f>
        <v>0</v>
      </c>
      <c r="AA114">
        <f>AND(IF(Metadata!G114="",FALSE,TRUE),exact(Metadata!G114,"UBERON:saliva"))</f>
        <v>0</v>
      </c>
      <c r="AB114">
        <f>AND(IF(Metadata!H114="",FALSE,TRUE),exact(Metadata!H114,"UBERON:tongue"))</f>
        <v>0</v>
      </c>
      <c r="AC114">
        <f>AND(IF(Metadata!I114="",FALSE,TRUE),exact(Metadata!I114,"tongue"))</f>
        <v>0</v>
      </c>
      <c r="AD114">
        <f>AND(IF(Metadata!J114="",FALSE,TRUE),exact(Metadata!J114,"human oral metagenome"))</f>
        <v>0</v>
      </c>
      <c r="AE114">
        <f>AND(IF(Metadata!K114="",FALSE,TRUE),exact(Metadata!K114,"447426"))</f>
        <v>0</v>
      </c>
    </row>
    <row r="115" spans="1:31">
      <c r="A115" s="4">
        <f>IF(B115=" "," ",HYPERLINK(CONCATENATE("#metadata!",ADDRESS(INDEX($Q$2:$Q$1001,MATCH(ROWS($O$2:O115),$O$2:$O$1001,0),0),1)),INDEX($T$2:$T$1001,MATCH(ROWS($O$2:O115),$O$2:$O$1001,0),0)))</f>
        <v>0</v>
      </c>
      <c r="B115" s="3">
        <f>IF(OR(INDEX($P$2:$P$1001,MATCH(ROWS($O$2:O115),$O$2:$O$1001,0),1)&gt;=100000,INDEX($V$1005:$AE$1005,1,MATCH(COLUMNS($V$1006:V1006),$V$1006:$AE$1006,0))&gt;=100000), " ",IF(INDEX($V$2:$AE$1001,MATCH(ROWS($O$2:O115),$O$2:$O$1001,0),MATCH(COLUMNS($V$1006:V1006),$V$1006:$AE$1006,0)), HYPERLINK("#",""), HYPERLINK(CONCATENATE("#Metadata!", ADDRESS(INDEX($Q$2:$Q$1001,MATCH(ROWS($O$2:O115),$O$2:$O$1001,0),0), INDEX($V$1004:$AE$1004,1,MATCH(COLUMNS($V$1006:V1006),$V$1006:$AE$1006,0)))),"Fix")))</f>
        <v>0</v>
      </c>
      <c r="C115" s="3">
        <f>IF(OR(INDEX($P$2:$P$1001,MATCH(ROWS($O$2:O115),$O$2:$O$1001,0),1)&gt;=100000,INDEX($V$1005:$AE$1005,1,MATCH(COLUMNS($V$1006:W1006),$V$1006:$AE$1006,0))&gt;=100000), " ",IF(INDEX($V$2:$AE$1001,MATCH(ROWS($O$2:O115),$O$2:$O$1001,0),MATCH(COLUMNS($V$1006:W1006),$V$1006:$AE$1006,0)), HYPERLINK("#",""), HYPERLINK(CONCATENATE("#Metadata!", ADDRESS(INDEX($Q$2:$Q$1001,MATCH(ROWS($O$2:O115),$O$2:$O$1001,0),0), INDEX($V$1004:$AE$1004,1,MATCH(COLUMNS($V$1006:W1006),$V$1006:$AE$1006,0)))),"Fix")))</f>
        <v>0</v>
      </c>
      <c r="D115" s="3">
        <f>IF(OR(INDEX($P$2:$P$1001,MATCH(ROWS($O$2:O115),$O$2:$O$1001,0),1)&gt;=100000,INDEX($V$1005:$AE$1005,1,MATCH(COLUMNS($V$1006:X1006),$V$1006:$AE$1006,0))&gt;=100000), " ",IF(INDEX($V$2:$AE$1001,MATCH(ROWS($O$2:O115),$O$2:$O$1001,0),MATCH(COLUMNS($V$1006:X1006),$V$1006:$AE$1006,0)), HYPERLINK("#",""), HYPERLINK(CONCATENATE("#Metadata!", ADDRESS(INDEX($Q$2:$Q$1001,MATCH(ROWS($O$2:O115),$O$2:$O$1001,0),0), INDEX($V$1004:$AE$1004,1,MATCH(COLUMNS($V$1006:X1006),$V$1006:$AE$1006,0)))),"Fix")))</f>
        <v>0</v>
      </c>
      <c r="E115" s="3">
        <f>IF(OR(INDEX($P$2:$P$1001,MATCH(ROWS($O$2:O115),$O$2:$O$1001,0),1)&gt;=100000,INDEX($V$1005:$AE$1005,1,MATCH(COLUMNS($V$1006:Y1006),$V$1006:$AE$1006,0))&gt;=100000), " ",IF(INDEX($V$2:$AE$1001,MATCH(ROWS($O$2:O115),$O$2:$O$1001,0),MATCH(COLUMNS($V$1006:Y1006),$V$1006:$AE$1006,0)), HYPERLINK("#",""), HYPERLINK(CONCATENATE("#Metadata!", ADDRESS(INDEX($Q$2:$Q$1001,MATCH(ROWS($O$2:O115),$O$2:$O$1001,0),0), INDEX($V$1004:$AE$1004,1,MATCH(COLUMNS($V$1006:Y1006),$V$1006:$AE$1006,0)))),"Fix")))</f>
        <v>0</v>
      </c>
      <c r="F115" s="3">
        <f>IF(OR(INDEX($P$2:$P$1001,MATCH(ROWS($O$2:O115),$O$2:$O$1001,0),1)&gt;=100000,INDEX($V$1005:$AE$1005,1,MATCH(COLUMNS($V$1006:Z1006),$V$1006:$AE$1006,0))&gt;=100000), " ",IF(INDEX($V$2:$AE$1001,MATCH(ROWS($O$2:O115),$O$2:$O$1001,0),MATCH(COLUMNS($V$1006:Z1006),$V$1006:$AE$1006,0)), HYPERLINK("#",""), HYPERLINK(CONCATENATE("#Metadata!", ADDRESS(INDEX($Q$2:$Q$1001,MATCH(ROWS($O$2:O115),$O$2:$O$1001,0),0), INDEX($V$1004:$AE$1004,1,MATCH(COLUMNS($V$1006:Z1006),$V$1006:$AE$1006,0)))),"Fix")))</f>
        <v>0</v>
      </c>
      <c r="G115" s="3">
        <f>IF(OR(INDEX($P$2:$P$1001,MATCH(ROWS($O$2:O115),$O$2:$O$1001,0),1)&gt;=100000,INDEX($V$1005:$AE$1005,1,MATCH(COLUMNS($V$1006:AA1006),$V$1006:$AE$1006,0))&gt;=100000), " ",IF(INDEX($V$2:$AE$1001,MATCH(ROWS($O$2:O115),$O$2:$O$1001,0),MATCH(COLUMNS($V$1006:AA1006),$V$1006:$AE$1006,0)), HYPERLINK("#",""), HYPERLINK(CONCATENATE("#Metadata!", ADDRESS(INDEX($Q$2:$Q$1001,MATCH(ROWS($O$2:O115),$O$2:$O$1001,0),0), INDEX($V$1004:$AE$1004,1,MATCH(COLUMNS($V$1006:AA1006),$V$1006:$AE$1006,0)))),"Fix")))</f>
        <v>0</v>
      </c>
      <c r="H115" s="3">
        <f>IF(OR(INDEX($P$2:$P$1001,MATCH(ROWS($O$2:O115),$O$2:$O$1001,0),1)&gt;=100000,INDEX($V$1005:$AE$1005,1,MATCH(COLUMNS($V$1006:AB1006),$V$1006:$AE$1006,0))&gt;=100000), " ",IF(INDEX($V$2:$AE$1001,MATCH(ROWS($O$2:O115),$O$2:$O$1001,0),MATCH(COLUMNS($V$1006:AB1006),$V$1006:$AE$1006,0)), HYPERLINK("#",""), HYPERLINK(CONCATENATE("#Metadata!", ADDRESS(INDEX($Q$2:$Q$1001,MATCH(ROWS($O$2:O115),$O$2:$O$1001,0),0), INDEX($V$1004:$AE$1004,1,MATCH(COLUMNS($V$1006:AB1006),$V$1006:$AE$1006,0)))),"Fix")))</f>
        <v>0</v>
      </c>
      <c r="I115" s="3">
        <f>IF(OR(INDEX($P$2:$P$1001,MATCH(ROWS($O$2:O115),$O$2:$O$1001,0),1)&gt;=100000,INDEX($V$1005:$AE$1005,1,MATCH(COLUMNS($V$1006:AC1006),$V$1006:$AE$1006,0))&gt;=100000), " ",IF(INDEX($V$2:$AE$1001,MATCH(ROWS($O$2:O115),$O$2:$O$1001,0),MATCH(COLUMNS($V$1006:AC1006),$V$1006:$AE$1006,0)), HYPERLINK("#",""), HYPERLINK(CONCATENATE("#Metadata!", ADDRESS(INDEX($Q$2:$Q$1001,MATCH(ROWS($O$2:O115),$O$2:$O$1001,0),0), INDEX($V$1004:$AE$1004,1,MATCH(COLUMNS($V$1006:AC1006),$V$1006:$AE$1006,0)))),"Fix")))</f>
        <v>0</v>
      </c>
      <c r="J115" s="3">
        <f>IF(OR(INDEX($P$2:$P$1001,MATCH(ROWS($O$2:O115),$O$2:$O$1001,0),1)&gt;=100000,INDEX($V$1005:$AE$1005,1,MATCH(COLUMNS($V$1006:AD1006),$V$1006:$AE$1006,0))&gt;=100000), " ",IF(INDEX($V$2:$AE$1001,MATCH(ROWS($O$2:O115),$O$2:$O$1001,0),MATCH(COLUMNS($V$1006:AD1006),$V$1006:$AE$1006,0)), HYPERLINK("#",""), HYPERLINK(CONCATENATE("#Metadata!", ADDRESS(INDEX($Q$2:$Q$1001,MATCH(ROWS($O$2:O115),$O$2:$O$1001,0),0), INDEX($V$1004:$AE$1004,1,MATCH(COLUMNS($V$1006:AD1006),$V$1006:$AE$1006,0)))),"Fix")))</f>
        <v>0</v>
      </c>
      <c r="K115" s="3">
        <f>IF(OR(INDEX($P$2:$P$1001,MATCH(ROWS($O$2:O115),$O$2:$O$1001,0),1)&gt;=100000,INDEX($V$1005:$AE$1005,1,MATCH(COLUMNS($V$1006:AE1006),$V$1006:$AE$1006,0))&gt;=100000), " ",IF(INDEX($V$2:$AE$1001,MATCH(ROWS($O$2:O115),$O$2:$O$1001,0),MATCH(COLUMNS($V$1006:AE1006),$V$1006:$AE$1006,0)), HYPERLINK("#",""), HYPERLINK(CONCATENATE("#Metadata!", ADDRESS(INDEX($Q$2:$Q$1001,MATCH(ROWS($O$2:O115),$O$2:$O$1001,0),0), INDEX($V$1004:$AE$1004,1,MATCH(COLUMNS($V$1006:AE1006),$V$1006:$AE$1006,0)))),"Fix")))</f>
        <v>0</v>
      </c>
      <c r="O115">
        <v>0</v>
      </c>
      <c r="P115">
        <v>0</v>
      </c>
      <c r="Q115">
        <v>0</v>
      </c>
      <c r="R115">
        <f>IF(S115,TRUE,AND(V115:AE115))</f>
        <v>0</v>
      </c>
      <c r="S115">
        <f>COUNTBLANK(Metadata!B115:K115)=COLUMNS(Metadata!B115:K115)</f>
        <v>0</v>
      </c>
      <c r="T115">
        <v>0</v>
      </c>
      <c r="V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W115">
        <f>AND(IF(Metadata!C115="",FALSE,TRUE),exact(Metadata!C115,"animal secretion"))</f>
        <v>0</v>
      </c>
      <c r="X115">
        <f>AND(IF(Metadata!D115="",FALSE,TRUE),exact(Metadata!D115,"saliva"))</f>
        <v>0</v>
      </c>
      <c r="Y115">
        <f>AND(IF(Metadata!E115="",FALSE,TRUE),exact(Metadata!E115,"human-oral"))</f>
        <v>0</v>
      </c>
      <c r="Z115">
        <f>AND(IF(Metadata!F115="",FALSE,TRUE),exact(Metadata!F115,"UBERON:oral cavity"))</f>
        <v>0</v>
      </c>
      <c r="AA115">
        <f>AND(IF(Metadata!G115="",FALSE,TRUE),exact(Metadata!G115,"UBERON:saliva"))</f>
        <v>0</v>
      </c>
      <c r="AB115">
        <f>AND(IF(Metadata!H115="",FALSE,TRUE),exact(Metadata!H115,"UBERON:tongue"))</f>
        <v>0</v>
      </c>
      <c r="AC115">
        <f>AND(IF(Metadata!I115="",FALSE,TRUE),exact(Metadata!I115,"tongue"))</f>
        <v>0</v>
      </c>
      <c r="AD115">
        <f>AND(IF(Metadata!J115="",FALSE,TRUE),exact(Metadata!J115,"human oral metagenome"))</f>
        <v>0</v>
      </c>
      <c r="AE115">
        <f>AND(IF(Metadata!K115="",FALSE,TRUE),exact(Metadata!K115,"447426"))</f>
        <v>0</v>
      </c>
    </row>
    <row r="116" spans="1:31">
      <c r="A116" s="4">
        <f>IF(B116=" "," ",HYPERLINK(CONCATENATE("#metadata!",ADDRESS(INDEX($Q$2:$Q$1001,MATCH(ROWS($O$2:O116),$O$2:$O$1001,0),0),1)),INDEX($T$2:$T$1001,MATCH(ROWS($O$2:O116),$O$2:$O$1001,0),0)))</f>
        <v>0</v>
      </c>
      <c r="B116" s="3">
        <f>IF(OR(INDEX($P$2:$P$1001,MATCH(ROWS($O$2:O116),$O$2:$O$1001,0),1)&gt;=100000,INDEX($V$1005:$AE$1005,1,MATCH(COLUMNS($V$1006:V1006),$V$1006:$AE$1006,0))&gt;=100000), " ",IF(INDEX($V$2:$AE$1001,MATCH(ROWS($O$2:O116),$O$2:$O$1001,0),MATCH(COLUMNS($V$1006:V1006),$V$1006:$AE$1006,0)), HYPERLINK("#",""), HYPERLINK(CONCATENATE("#Metadata!", ADDRESS(INDEX($Q$2:$Q$1001,MATCH(ROWS($O$2:O116),$O$2:$O$1001,0),0), INDEX($V$1004:$AE$1004,1,MATCH(COLUMNS($V$1006:V1006),$V$1006:$AE$1006,0)))),"Fix")))</f>
        <v>0</v>
      </c>
      <c r="C116" s="3">
        <f>IF(OR(INDEX($P$2:$P$1001,MATCH(ROWS($O$2:O116),$O$2:$O$1001,0),1)&gt;=100000,INDEX($V$1005:$AE$1005,1,MATCH(COLUMNS($V$1006:W1006),$V$1006:$AE$1006,0))&gt;=100000), " ",IF(INDEX($V$2:$AE$1001,MATCH(ROWS($O$2:O116),$O$2:$O$1001,0),MATCH(COLUMNS($V$1006:W1006),$V$1006:$AE$1006,0)), HYPERLINK("#",""), HYPERLINK(CONCATENATE("#Metadata!", ADDRESS(INDEX($Q$2:$Q$1001,MATCH(ROWS($O$2:O116),$O$2:$O$1001,0),0), INDEX($V$1004:$AE$1004,1,MATCH(COLUMNS($V$1006:W1006),$V$1006:$AE$1006,0)))),"Fix")))</f>
        <v>0</v>
      </c>
      <c r="D116" s="3">
        <f>IF(OR(INDEX($P$2:$P$1001,MATCH(ROWS($O$2:O116),$O$2:$O$1001,0),1)&gt;=100000,INDEX($V$1005:$AE$1005,1,MATCH(COLUMNS($V$1006:X1006),$V$1006:$AE$1006,0))&gt;=100000), " ",IF(INDEX($V$2:$AE$1001,MATCH(ROWS($O$2:O116),$O$2:$O$1001,0),MATCH(COLUMNS($V$1006:X1006),$V$1006:$AE$1006,0)), HYPERLINK("#",""), HYPERLINK(CONCATENATE("#Metadata!", ADDRESS(INDEX($Q$2:$Q$1001,MATCH(ROWS($O$2:O116),$O$2:$O$1001,0),0), INDEX($V$1004:$AE$1004,1,MATCH(COLUMNS($V$1006:X1006),$V$1006:$AE$1006,0)))),"Fix")))</f>
        <v>0</v>
      </c>
      <c r="E116" s="3">
        <f>IF(OR(INDEX($P$2:$P$1001,MATCH(ROWS($O$2:O116),$O$2:$O$1001,0),1)&gt;=100000,INDEX($V$1005:$AE$1005,1,MATCH(COLUMNS($V$1006:Y1006),$V$1006:$AE$1006,0))&gt;=100000), " ",IF(INDEX($V$2:$AE$1001,MATCH(ROWS($O$2:O116),$O$2:$O$1001,0),MATCH(COLUMNS($V$1006:Y1006),$V$1006:$AE$1006,0)), HYPERLINK("#",""), HYPERLINK(CONCATENATE("#Metadata!", ADDRESS(INDEX($Q$2:$Q$1001,MATCH(ROWS($O$2:O116),$O$2:$O$1001,0),0), INDEX($V$1004:$AE$1004,1,MATCH(COLUMNS($V$1006:Y1006),$V$1006:$AE$1006,0)))),"Fix")))</f>
        <v>0</v>
      </c>
      <c r="F116" s="3">
        <f>IF(OR(INDEX($P$2:$P$1001,MATCH(ROWS($O$2:O116),$O$2:$O$1001,0),1)&gt;=100000,INDEX($V$1005:$AE$1005,1,MATCH(COLUMNS($V$1006:Z1006),$V$1006:$AE$1006,0))&gt;=100000), " ",IF(INDEX($V$2:$AE$1001,MATCH(ROWS($O$2:O116),$O$2:$O$1001,0),MATCH(COLUMNS($V$1006:Z1006),$V$1006:$AE$1006,0)), HYPERLINK("#",""), HYPERLINK(CONCATENATE("#Metadata!", ADDRESS(INDEX($Q$2:$Q$1001,MATCH(ROWS($O$2:O116),$O$2:$O$1001,0),0), INDEX($V$1004:$AE$1004,1,MATCH(COLUMNS($V$1006:Z1006),$V$1006:$AE$1006,0)))),"Fix")))</f>
        <v>0</v>
      </c>
      <c r="G116" s="3">
        <f>IF(OR(INDEX($P$2:$P$1001,MATCH(ROWS($O$2:O116),$O$2:$O$1001,0),1)&gt;=100000,INDEX($V$1005:$AE$1005,1,MATCH(COLUMNS($V$1006:AA1006),$V$1006:$AE$1006,0))&gt;=100000), " ",IF(INDEX($V$2:$AE$1001,MATCH(ROWS($O$2:O116),$O$2:$O$1001,0),MATCH(COLUMNS($V$1006:AA1006),$V$1006:$AE$1006,0)), HYPERLINK("#",""), HYPERLINK(CONCATENATE("#Metadata!", ADDRESS(INDEX($Q$2:$Q$1001,MATCH(ROWS($O$2:O116),$O$2:$O$1001,0),0), INDEX($V$1004:$AE$1004,1,MATCH(COLUMNS($V$1006:AA1006),$V$1006:$AE$1006,0)))),"Fix")))</f>
        <v>0</v>
      </c>
      <c r="H116" s="3">
        <f>IF(OR(INDEX($P$2:$P$1001,MATCH(ROWS($O$2:O116),$O$2:$O$1001,0),1)&gt;=100000,INDEX($V$1005:$AE$1005,1,MATCH(COLUMNS($V$1006:AB1006),$V$1006:$AE$1006,0))&gt;=100000), " ",IF(INDEX($V$2:$AE$1001,MATCH(ROWS($O$2:O116),$O$2:$O$1001,0),MATCH(COLUMNS($V$1006:AB1006),$V$1006:$AE$1006,0)), HYPERLINK("#",""), HYPERLINK(CONCATENATE("#Metadata!", ADDRESS(INDEX($Q$2:$Q$1001,MATCH(ROWS($O$2:O116),$O$2:$O$1001,0),0), INDEX($V$1004:$AE$1004,1,MATCH(COLUMNS($V$1006:AB1006),$V$1006:$AE$1006,0)))),"Fix")))</f>
        <v>0</v>
      </c>
      <c r="I116" s="3">
        <f>IF(OR(INDEX($P$2:$P$1001,MATCH(ROWS($O$2:O116),$O$2:$O$1001,0),1)&gt;=100000,INDEX($V$1005:$AE$1005,1,MATCH(COLUMNS($V$1006:AC1006),$V$1006:$AE$1006,0))&gt;=100000), " ",IF(INDEX($V$2:$AE$1001,MATCH(ROWS($O$2:O116),$O$2:$O$1001,0),MATCH(COLUMNS($V$1006:AC1006),$V$1006:$AE$1006,0)), HYPERLINK("#",""), HYPERLINK(CONCATENATE("#Metadata!", ADDRESS(INDEX($Q$2:$Q$1001,MATCH(ROWS($O$2:O116),$O$2:$O$1001,0),0), INDEX($V$1004:$AE$1004,1,MATCH(COLUMNS($V$1006:AC1006),$V$1006:$AE$1006,0)))),"Fix")))</f>
        <v>0</v>
      </c>
      <c r="J116" s="3">
        <f>IF(OR(INDEX($P$2:$P$1001,MATCH(ROWS($O$2:O116),$O$2:$O$1001,0),1)&gt;=100000,INDEX($V$1005:$AE$1005,1,MATCH(COLUMNS($V$1006:AD1006),$V$1006:$AE$1006,0))&gt;=100000), " ",IF(INDEX($V$2:$AE$1001,MATCH(ROWS($O$2:O116),$O$2:$O$1001,0),MATCH(COLUMNS($V$1006:AD1006),$V$1006:$AE$1006,0)), HYPERLINK("#",""), HYPERLINK(CONCATENATE("#Metadata!", ADDRESS(INDEX($Q$2:$Q$1001,MATCH(ROWS($O$2:O116),$O$2:$O$1001,0),0), INDEX($V$1004:$AE$1004,1,MATCH(COLUMNS($V$1006:AD1006),$V$1006:$AE$1006,0)))),"Fix")))</f>
        <v>0</v>
      </c>
      <c r="K116" s="3">
        <f>IF(OR(INDEX($P$2:$P$1001,MATCH(ROWS($O$2:O116),$O$2:$O$1001,0),1)&gt;=100000,INDEX($V$1005:$AE$1005,1,MATCH(COLUMNS($V$1006:AE1006),$V$1006:$AE$1006,0))&gt;=100000), " ",IF(INDEX($V$2:$AE$1001,MATCH(ROWS($O$2:O116),$O$2:$O$1001,0),MATCH(COLUMNS($V$1006:AE1006),$V$1006:$AE$1006,0)), HYPERLINK("#",""), HYPERLINK(CONCATENATE("#Metadata!", ADDRESS(INDEX($Q$2:$Q$1001,MATCH(ROWS($O$2:O116),$O$2:$O$1001,0),0), INDEX($V$1004:$AE$1004,1,MATCH(COLUMNS($V$1006:AE1006),$V$1006:$AE$1006,0)))),"Fix")))</f>
        <v>0</v>
      </c>
      <c r="O116">
        <v>0</v>
      </c>
      <c r="P116">
        <v>0</v>
      </c>
      <c r="Q116">
        <v>0</v>
      </c>
      <c r="R116">
        <f>IF(S116,TRUE,AND(V116:AE116))</f>
        <v>0</v>
      </c>
      <c r="S116">
        <f>COUNTBLANK(Metadata!B116:K116)=COLUMNS(Metadata!B116:K116)</f>
        <v>0</v>
      </c>
      <c r="T116">
        <v>0</v>
      </c>
      <c r="V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W116">
        <f>AND(IF(Metadata!C116="",FALSE,TRUE),exact(Metadata!C116,"animal secretion"))</f>
        <v>0</v>
      </c>
      <c r="X116">
        <f>AND(IF(Metadata!D116="",FALSE,TRUE),exact(Metadata!D116,"saliva"))</f>
        <v>0</v>
      </c>
      <c r="Y116">
        <f>AND(IF(Metadata!E116="",FALSE,TRUE),exact(Metadata!E116,"human-oral"))</f>
        <v>0</v>
      </c>
      <c r="Z116">
        <f>AND(IF(Metadata!F116="",FALSE,TRUE),exact(Metadata!F116,"UBERON:oral cavity"))</f>
        <v>0</v>
      </c>
      <c r="AA116">
        <f>AND(IF(Metadata!G116="",FALSE,TRUE),exact(Metadata!G116,"UBERON:saliva"))</f>
        <v>0</v>
      </c>
      <c r="AB116">
        <f>AND(IF(Metadata!H116="",FALSE,TRUE),exact(Metadata!H116,"UBERON:tongue"))</f>
        <v>0</v>
      </c>
      <c r="AC116">
        <f>AND(IF(Metadata!I116="",FALSE,TRUE),exact(Metadata!I116,"tongue"))</f>
        <v>0</v>
      </c>
      <c r="AD116">
        <f>AND(IF(Metadata!J116="",FALSE,TRUE),exact(Metadata!J116,"human oral metagenome"))</f>
        <v>0</v>
      </c>
      <c r="AE116">
        <f>AND(IF(Metadata!K116="",FALSE,TRUE),exact(Metadata!K116,"447426"))</f>
        <v>0</v>
      </c>
    </row>
    <row r="117" spans="1:31">
      <c r="A117" s="4">
        <f>IF(B117=" "," ",HYPERLINK(CONCATENATE("#metadata!",ADDRESS(INDEX($Q$2:$Q$1001,MATCH(ROWS($O$2:O117),$O$2:$O$1001,0),0),1)),INDEX($T$2:$T$1001,MATCH(ROWS($O$2:O117),$O$2:$O$1001,0),0)))</f>
        <v>0</v>
      </c>
      <c r="B117" s="3">
        <f>IF(OR(INDEX($P$2:$P$1001,MATCH(ROWS($O$2:O117),$O$2:$O$1001,0),1)&gt;=100000,INDEX($V$1005:$AE$1005,1,MATCH(COLUMNS($V$1006:V1006),$V$1006:$AE$1006,0))&gt;=100000), " ",IF(INDEX($V$2:$AE$1001,MATCH(ROWS($O$2:O117),$O$2:$O$1001,0),MATCH(COLUMNS($V$1006:V1006),$V$1006:$AE$1006,0)), HYPERLINK("#",""), HYPERLINK(CONCATENATE("#Metadata!", ADDRESS(INDEX($Q$2:$Q$1001,MATCH(ROWS($O$2:O117),$O$2:$O$1001,0),0), INDEX($V$1004:$AE$1004,1,MATCH(COLUMNS($V$1006:V1006),$V$1006:$AE$1006,0)))),"Fix")))</f>
        <v>0</v>
      </c>
      <c r="C117" s="3">
        <f>IF(OR(INDEX($P$2:$P$1001,MATCH(ROWS($O$2:O117),$O$2:$O$1001,0),1)&gt;=100000,INDEX($V$1005:$AE$1005,1,MATCH(COLUMNS($V$1006:W1006),$V$1006:$AE$1006,0))&gt;=100000), " ",IF(INDEX($V$2:$AE$1001,MATCH(ROWS($O$2:O117),$O$2:$O$1001,0),MATCH(COLUMNS($V$1006:W1006),$V$1006:$AE$1006,0)), HYPERLINK("#",""), HYPERLINK(CONCATENATE("#Metadata!", ADDRESS(INDEX($Q$2:$Q$1001,MATCH(ROWS($O$2:O117),$O$2:$O$1001,0),0), INDEX($V$1004:$AE$1004,1,MATCH(COLUMNS($V$1006:W1006),$V$1006:$AE$1006,0)))),"Fix")))</f>
        <v>0</v>
      </c>
      <c r="D117" s="3">
        <f>IF(OR(INDEX($P$2:$P$1001,MATCH(ROWS($O$2:O117),$O$2:$O$1001,0),1)&gt;=100000,INDEX($V$1005:$AE$1005,1,MATCH(COLUMNS($V$1006:X1006),$V$1006:$AE$1006,0))&gt;=100000), " ",IF(INDEX($V$2:$AE$1001,MATCH(ROWS($O$2:O117),$O$2:$O$1001,0),MATCH(COLUMNS($V$1006:X1006),$V$1006:$AE$1006,0)), HYPERLINK("#",""), HYPERLINK(CONCATENATE("#Metadata!", ADDRESS(INDEX($Q$2:$Q$1001,MATCH(ROWS($O$2:O117),$O$2:$O$1001,0),0), INDEX($V$1004:$AE$1004,1,MATCH(COLUMNS($V$1006:X1006),$V$1006:$AE$1006,0)))),"Fix")))</f>
        <v>0</v>
      </c>
      <c r="E117" s="3">
        <f>IF(OR(INDEX($P$2:$P$1001,MATCH(ROWS($O$2:O117),$O$2:$O$1001,0),1)&gt;=100000,INDEX($V$1005:$AE$1005,1,MATCH(COLUMNS($V$1006:Y1006),$V$1006:$AE$1006,0))&gt;=100000), " ",IF(INDEX($V$2:$AE$1001,MATCH(ROWS($O$2:O117),$O$2:$O$1001,0),MATCH(COLUMNS($V$1006:Y1006),$V$1006:$AE$1006,0)), HYPERLINK("#",""), HYPERLINK(CONCATENATE("#Metadata!", ADDRESS(INDEX($Q$2:$Q$1001,MATCH(ROWS($O$2:O117),$O$2:$O$1001,0),0), INDEX($V$1004:$AE$1004,1,MATCH(COLUMNS($V$1006:Y1006),$V$1006:$AE$1006,0)))),"Fix")))</f>
        <v>0</v>
      </c>
      <c r="F117" s="3">
        <f>IF(OR(INDEX($P$2:$P$1001,MATCH(ROWS($O$2:O117),$O$2:$O$1001,0),1)&gt;=100000,INDEX($V$1005:$AE$1005,1,MATCH(COLUMNS($V$1006:Z1006),$V$1006:$AE$1006,0))&gt;=100000), " ",IF(INDEX($V$2:$AE$1001,MATCH(ROWS($O$2:O117),$O$2:$O$1001,0),MATCH(COLUMNS($V$1006:Z1006),$V$1006:$AE$1006,0)), HYPERLINK("#",""), HYPERLINK(CONCATENATE("#Metadata!", ADDRESS(INDEX($Q$2:$Q$1001,MATCH(ROWS($O$2:O117),$O$2:$O$1001,0),0), INDEX($V$1004:$AE$1004,1,MATCH(COLUMNS($V$1006:Z1006),$V$1006:$AE$1006,0)))),"Fix")))</f>
        <v>0</v>
      </c>
      <c r="G117" s="3">
        <f>IF(OR(INDEX($P$2:$P$1001,MATCH(ROWS($O$2:O117),$O$2:$O$1001,0),1)&gt;=100000,INDEX($V$1005:$AE$1005,1,MATCH(COLUMNS($V$1006:AA1006),$V$1006:$AE$1006,0))&gt;=100000), " ",IF(INDEX($V$2:$AE$1001,MATCH(ROWS($O$2:O117),$O$2:$O$1001,0),MATCH(COLUMNS($V$1006:AA1006),$V$1006:$AE$1006,0)), HYPERLINK("#",""), HYPERLINK(CONCATENATE("#Metadata!", ADDRESS(INDEX($Q$2:$Q$1001,MATCH(ROWS($O$2:O117),$O$2:$O$1001,0),0), INDEX($V$1004:$AE$1004,1,MATCH(COLUMNS($V$1006:AA1006),$V$1006:$AE$1006,0)))),"Fix")))</f>
        <v>0</v>
      </c>
      <c r="H117" s="3">
        <f>IF(OR(INDEX($P$2:$P$1001,MATCH(ROWS($O$2:O117),$O$2:$O$1001,0),1)&gt;=100000,INDEX($V$1005:$AE$1005,1,MATCH(COLUMNS($V$1006:AB1006),$V$1006:$AE$1006,0))&gt;=100000), " ",IF(INDEX($V$2:$AE$1001,MATCH(ROWS($O$2:O117),$O$2:$O$1001,0),MATCH(COLUMNS($V$1006:AB1006),$V$1006:$AE$1006,0)), HYPERLINK("#",""), HYPERLINK(CONCATENATE("#Metadata!", ADDRESS(INDEX($Q$2:$Q$1001,MATCH(ROWS($O$2:O117),$O$2:$O$1001,0),0), INDEX($V$1004:$AE$1004,1,MATCH(COLUMNS($V$1006:AB1006),$V$1006:$AE$1006,0)))),"Fix")))</f>
        <v>0</v>
      </c>
      <c r="I117" s="3">
        <f>IF(OR(INDEX($P$2:$P$1001,MATCH(ROWS($O$2:O117),$O$2:$O$1001,0),1)&gt;=100000,INDEX($V$1005:$AE$1005,1,MATCH(COLUMNS($V$1006:AC1006),$V$1006:$AE$1006,0))&gt;=100000), " ",IF(INDEX($V$2:$AE$1001,MATCH(ROWS($O$2:O117),$O$2:$O$1001,0),MATCH(COLUMNS($V$1006:AC1006),$V$1006:$AE$1006,0)), HYPERLINK("#",""), HYPERLINK(CONCATENATE("#Metadata!", ADDRESS(INDEX($Q$2:$Q$1001,MATCH(ROWS($O$2:O117),$O$2:$O$1001,0),0), INDEX($V$1004:$AE$1004,1,MATCH(COLUMNS($V$1006:AC1006),$V$1006:$AE$1006,0)))),"Fix")))</f>
        <v>0</v>
      </c>
      <c r="J117" s="3">
        <f>IF(OR(INDEX($P$2:$P$1001,MATCH(ROWS($O$2:O117),$O$2:$O$1001,0),1)&gt;=100000,INDEX($V$1005:$AE$1005,1,MATCH(COLUMNS($V$1006:AD1006),$V$1006:$AE$1006,0))&gt;=100000), " ",IF(INDEX($V$2:$AE$1001,MATCH(ROWS($O$2:O117),$O$2:$O$1001,0),MATCH(COLUMNS($V$1006:AD1006),$V$1006:$AE$1006,0)), HYPERLINK("#",""), HYPERLINK(CONCATENATE("#Metadata!", ADDRESS(INDEX($Q$2:$Q$1001,MATCH(ROWS($O$2:O117),$O$2:$O$1001,0),0), INDEX($V$1004:$AE$1004,1,MATCH(COLUMNS($V$1006:AD1006),$V$1006:$AE$1006,0)))),"Fix")))</f>
        <v>0</v>
      </c>
      <c r="K117" s="3">
        <f>IF(OR(INDEX($P$2:$P$1001,MATCH(ROWS($O$2:O117),$O$2:$O$1001,0),1)&gt;=100000,INDEX($V$1005:$AE$1005,1,MATCH(COLUMNS($V$1006:AE1006),$V$1006:$AE$1006,0))&gt;=100000), " ",IF(INDEX($V$2:$AE$1001,MATCH(ROWS($O$2:O117),$O$2:$O$1001,0),MATCH(COLUMNS($V$1006:AE1006),$V$1006:$AE$1006,0)), HYPERLINK("#",""), HYPERLINK(CONCATENATE("#Metadata!", ADDRESS(INDEX($Q$2:$Q$1001,MATCH(ROWS($O$2:O117),$O$2:$O$1001,0),0), INDEX($V$1004:$AE$1004,1,MATCH(COLUMNS($V$1006:AE1006),$V$1006:$AE$1006,0)))),"Fix")))</f>
        <v>0</v>
      </c>
      <c r="O117">
        <v>0</v>
      </c>
      <c r="P117">
        <v>0</v>
      </c>
      <c r="Q117">
        <v>0</v>
      </c>
      <c r="R117">
        <f>IF(S117,TRUE,AND(V117:AE117))</f>
        <v>0</v>
      </c>
      <c r="S117">
        <f>COUNTBLANK(Metadata!B117:K117)=COLUMNS(Metadata!B117:K117)</f>
        <v>0</v>
      </c>
      <c r="T117">
        <v>0</v>
      </c>
      <c r="V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W117">
        <f>AND(IF(Metadata!C117="",FALSE,TRUE),exact(Metadata!C117,"animal secretion"))</f>
        <v>0</v>
      </c>
      <c r="X117">
        <f>AND(IF(Metadata!D117="",FALSE,TRUE),exact(Metadata!D117,"saliva"))</f>
        <v>0</v>
      </c>
      <c r="Y117">
        <f>AND(IF(Metadata!E117="",FALSE,TRUE),exact(Metadata!E117,"human-oral"))</f>
        <v>0</v>
      </c>
      <c r="Z117">
        <f>AND(IF(Metadata!F117="",FALSE,TRUE),exact(Metadata!F117,"UBERON:oral cavity"))</f>
        <v>0</v>
      </c>
      <c r="AA117">
        <f>AND(IF(Metadata!G117="",FALSE,TRUE),exact(Metadata!G117,"UBERON:saliva"))</f>
        <v>0</v>
      </c>
      <c r="AB117">
        <f>AND(IF(Metadata!H117="",FALSE,TRUE),exact(Metadata!H117,"UBERON:tongue"))</f>
        <v>0</v>
      </c>
      <c r="AC117">
        <f>AND(IF(Metadata!I117="",FALSE,TRUE),exact(Metadata!I117,"tongue"))</f>
        <v>0</v>
      </c>
      <c r="AD117">
        <f>AND(IF(Metadata!J117="",FALSE,TRUE),exact(Metadata!J117,"human oral metagenome"))</f>
        <v>0</v>
      </c>
      <c r="AE117">
        <f>AND(IF(Metadata!K117="",FALSE,TRUE),exact(Metadata!K117,"447426"))</f>
        <v>0</v>
      </c>
    </row>
    <row r="118" spans="1:31">
      <c r="A118" s="4">
        <f>IF(B118=" "," ",HYPERLINK(CONCATENATE("#metadata!",ADDRESS(INDEX($Q$2:$Q$1001,MATCH(ROWS($O$2:O118),$O$2:$O$1001,0),0),1)),INDEX($T$2:$T$1001,MATCH(ROWS($O$2:O118),$O$2:$O$1001,0),0)))</f>
        <v>0</v>
      </c>
      <c r="B118" s="3">
        <f>IF(OR(INDEX($P$2:$P$1001,MATCH(ROWS($O$2:O118),$O$2:$O$1001,0),1)&gt;=100000,INDEX($V$1005:$AE$1005,1,MATCH(COLUMNS($V$1006:V1006),$V$1006:$AE$1006,0))&gt;=100000), " ",IF(INDEX($V$2:$AE$1001,MATCH(ROWS($O$2:O118),$O$2:$O$1001,0),MATCH(COLUMNS($V$1006:V1006),$V$1006:$AE$1006,0)), HYPERLINK("#",""), HYPERLINK(CONCATENATE("#Metadata!", ADDRESS(INDEX($Q$2:$Q$1001,MATCH(ROWS($O$2:O118),$O$2:$O$1001,0),0), INDEX($V$1004:$AE$1004,1,MATCH(COLUMNS($V$1006:V1006),$V$1006:$AE$1006,0)))),"Fix")))</f>
        <v>0</v>
      </c>
      <c r="C118" s="3">
        <f>IF(OR(INDEX($P$2:$P$1001,MATCH(ROWS($O$2:O118),$O$2:$O$1001,0),1)&gt;=100000,INDEX($V$1005:$AE$1005,1,MATCH(COLUMNS($V$1006:W1006),$V$1006:$AE$1006,0))&gt;=100000), " ",IF(INDEX($V$2:$AE$1001,MATCH(ROWS($O$2:O118),$O$2:$O$1001,0),MATCH(COLUMNS($V$1006:W1006),$V$1006:$AE$1006,0)), HYPERLINK("#",""), HYPERLINK(CONCATENATE("#Metadata!", ADDRESS(INDEX($Q$2:$Q$1001,MATCH(ROWS($O$2:O118),$O$2:$O$1001,0),0), INDEX($V$1004:$AE$1004,1,MATCH(COLUMNS($V$1006:W1006),$V$1006:$AE$1006,0)))),"Fix")))</f>
        <v>0</v>
      </c>
      <c r="D118" s="3">
        <f>IF(OR(INDEX($P$2:$P$1001,MATCH(ROWS($O$2:O118),$O$2:$O$1001,0),1)&gt;=100000,INDEX($V$1005:$AE$1005,1,MATCH(COLUMNS($V$1006:X1006),$V$1006:$AE$1006,0))&gt;=100000), " ",IF(INDEX($V$2:$AE$1001,MATCH(ROWS($O$2:O118),$O$2:$O$1001,0),MATCH(COLUMNS($V$1006:X1006),$V$1006:$AE$1006,0)), HYPERLINK("#",""), HYPERLINK(CONCATENATE("#Metadata!", ADDRESS(INDEX($Q$2:$Q$1001,MATCH(ROWS($O$2:O118),$O$2:$O$1001,0),0), INDEX($V$1004:$AE$1004,1,MATCH(COLUMNS($V$1006:X1006),$V$1006:$AE$1006,0)))),"Fix")))</f>
        <v>0</v>
      </c>
      <c r="E118" s="3">
        <f>IF(OR(INDEX($P$2:$P$1001,MATCH(ROWS($O$2:O118),$O$2:$O$1001,0),1)&gt;=100000,INDEX($V$1005:$AE$1005,1,MATCH(COLUMNS($V$1006:Y1006),$V$1006:$AE$1006,0))&gt;=100000), " ",IF(INDEX($V$2:$AE$1001,MATCH(ROWS($O$2:O118),$O$2:$O$1001,0),MATCH(COLUMNS($V$1006:Y1006),$V$1006:$AE$1006,0)), HYPERLINK("#",""), HYPERLINK(CONCATENATE("#Metadata!", ADDRESS(INDEX($Q$2:$Q$1001,MATCH(ROWS($O$2:O118),$O$2:$O$1001,0),0), INDEX($V$1004:$AE$1004,1,MATCH(COLUMNS($V$1006:Y1006),$V$1006:$AE$1006,0)))),"Fix")))</f>
        <v>0</v>
      </c>
      <c r="F118" s="3">
        <f>IF(OR(INDEX($P$2:$P$1001,MATCH(ROWS($O$2:O118),$O$2:$O$1001,0),1)&gt;=100000,INDEX($V$1005:$AE$1005,1,MATCH(COLUMNS($V$1006:Z1006),$V$1006:$AE$1006,0))&gt;=100000), " ",IF(INDEX($V$2:$AE$1001,MATCH(ROWS($O$2:O118),$O$2:$O$1001,0),MATCH(COLUMNS($V$1006:Z1006),$V$1006:$AE$1006,0)), HYPERLINK("#",""), HYPERLINK(CONCATENATE("#Metadata!", ADDRESS(INDEX($Q$2:$Q$1001,MATCH(ROWS($O$2:O118),$O$2:$O$1001,0),0), INDEX($V$1004:$AE$1004,1,MATCH(COLUMNS($V$1006:Z1006),$V$1006:$AE$1006,0)))),"Fix")))</f>
        <v>0</v>
      </c>
      <c r="G118" s="3">
        <f>IF(OR(INDEX($P$2:$P$1001,MATCH(ROWS($O$2:O118),$O$2:$O$1001,0),1)&gt;=100000,INDEX($V$1005:$AE$1005,1,MATCH(COLUMNS($V$1006:AA1006),$V$1006:$AE$1006,0))&gt;=100000), " ",IF(INDEX($V$2:$AE$1001,MATCH(ROWS($O$2:O118),$O$2:$O$1001,0),MATCH(COLUMNS($V$1006:AA1006),$V$1006:$AE$1006,0)), HYPERLINK("#",""), HYPERLINK(CONCATENATE("#Metadata!", ADDRESS(INDEX($Q$2:$Q$1001,MATCH(ROWS($O$2:O118),$O$2:$O$1001,0),0), INDEX($V$1004:$AE$1004,1,MATCH(COLUMNS($V$1006:AA1006),$V$1006:$AE$1006,0)))),"Fix")))</f>
        <v>0</v>
      </c>
      <c r="H118" s="3">
        <f>IF(OR(INDEX($P$2:$P$1001,MATCH(ROWS($O$2:O118),$O$2:$O$1001,0),1)&gt;=100000,INDEX($V$1005:$AE$1005,1,MATCH(COLUMNS($V$1006:AB1006),$V$1006:$AE$1006,0))&gt;=100000), " ",IF(INDEX($V$2:$AE$1001,MATCH(ROWS($O$2:O118),$O$2:$O$1001,0),MATCH(COLUMNS($V$1006:AB1006),$V$1006:$AE$1006,0)), HYPERLINK("#",""), HYPERLINK(CONCATENATE("#Metadata!", ADDRESS(INDEX($Q$2:$Q$1001,MATCH(ROWS($O$2:O118),$O$2:$O$1001,0),0), INDEX($V$1004:$AE$1004,1,MATCH(COLUMNS($V$1006:AB1006),$V$1006:$AE$1006,0)))),"Fix")))</f>
        <v>0</v>
      </c>
      <c r="I118" s="3">
        <f>IF(OR(INDEX($P$2:$P$1001,MATCH(ROWS($O$2:O118),$O$2:$O$1001,0),1)&gt;=100000,INDEX($V$1005:$AE$1005,1,MATCH(COLUMNS($V$1006:AC1006),$V$1006:$AE$1006,0))&gt;=100000), " ",IF(INDEX($V$2:$AE$1001,MATCH(ROWS($O$2:O118),$O$2:$O$1001,0),MATCH(COLUMNS($V$1006:AC1006),$V$1006:$AE$1006,0)), HYPERLINK("#",""), HYPERLINK(CONCATENATE("#Metadata!", ADDRESS(INDEX($Q$2:$Q$1001,MATCH(ROWS($O$2:O118),$O$2:$O$1001,0),0), INDEX($V$1004:$AE$1004,1,MATCH(COLUMNS($V$1006:AC1006),$V$1006:$AE$1006,0)))),"Fix")))</f>
        <v>0</v>
      </c>
      <c r="J118" s="3">
        <f>IF(OR(INDEX($P$2:$P$1001,MATCH(ROWS($O$2:O118),$O$2:$O$1001,0),1)&gt;=100000,INDEX($V$1005:$AE$1005,1,MATCH(COLUMNS($V$1006:AD1006),$V$1006:$AE$1006,0))&gt;=100000), " ",IF(INDEX($V$2:$AE$1001,MATCH(ROWS($O$2:O118),$O$2:$O$1001,0),MATCH(COLUMNS($V$1006:AD1006),$V$1006:$AE$1006,0)), HYPERLINK("#",""), HYPERLINK(CONCATENATE("#Metadata!", ADDRESS(INDEX($Q$2:$Q$1001,MATCH(ROWS($O$2:O118),$O$2:$O$1001,0),0), INDEX($V$1004:$AE$1004,1,MATCH(COLUMNS($V$1006:AD1006),$V$1006:$AE$1006,0)))),"Fix")))</f>
        <v>0</v>
      </c>
      <c r="K118" s="3">
        <f>IF(OR(INDEX($P$2:$P$1001,MATCH(ROWS($O$2:O118),$O$2:$O$1001,0),1)&gt;=100000,INDEX($V$1005:$AE$1005,1,MATCH(COLUMNS($V$1006:AE1006),$V$1006:$AE$1006,0))&gt;=100000), " ",IF(INDEX($V$2:$AE$1001,MATCH(ROWS($O$2:O118),$O$2:$O$1001,0),MATCH(COLUMNS($V$1006:AE1006),$V$1006:$AE$1006,0)), HYPERLINK("#",""), HYPERLINK(CONCATENATE("#Metadata!", ADDRESS(INDEX($Q$2:$Q$1001,MATCH(ROWS($O$2:O118),$O$2:$O$1001,0),0), INDEX($V$1004:$AE$1004,1,MATCH(COLUMNS($V$1006:AE1006),$V$1006:$AE$1006,0)))),"Fix")))</f>
        <v>0</v>
      </c>
      <c r="O118">
        <v>0</v>
      </c>
      <c r="P118">
        <v>0</v>
      </c>
      <c r="Q118">
        <v>0</v>
      </c>
      <c r="R118">
        <f>IF(S118,TRUE,AND(V118:AE118))</f>
        <v>0</v>
      </c>
      <c r="S118">
        <f>COUNTBLANK(Metadata!B118:K118)=COLUMNS(Metadata!B118:K118)</f>
        <v>0</v>
      </c>
      <c r="T118">
        <v>0</v>
      </c>
      <c r="V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W118">
        <f>AND(IF(Metadata!C118="",FALSE,TRUE),exact(Metadata!C118,"animal secretion"))</f>
        <v>0</v>
      </c>
      <c r="X118">
        <f>AND(IF(Metadata!D118="",FALSE,TRUE),exact(Metadata!D118,"saliva"))</f>
        <v>0</v>
      </c>
      <c r="Y118">
        <f>AND(IF(Metadata!E118="",FALSE,TRUE),exact(Metadata!E118,"human-oral"))</f>
        <v>0</v>
      </c>
      <c r="Z118">
        <f>AND(IF(Metadata!F118="",FALSE,TRUE),exact(Metadata!F118,"UBERON:oral cavity"))</f>
        <v>0</v>
      </c>
      <c r="AA118">
        <f>AND(IF(Metadata!G118="",FALSE,TRUE),exact(Metadata!G118,"UBERON:saliva"))</f>
        <v>0</v>
      </c>
      <c r="AB118">
        <f>AND(IF(Metadata!H118="",FALSE,TRUE),exact(Metadata!H118,"UBERON:tongue"))</f>
        <v>0</v>
      </c>
      <c r="AC118">
        <f>AND(IF(Metadata!I118="",FALSE,TRUE),exact(Metadata!I118,"tongue"))</f>
        <v>0</v>
      </c>
      <c r="AD118">
        <f>AND(IF(Metadata!J118="",FALSE,TRUE),exact(Metadata!J118,"human oral metagenome"))</f>
        <v>0</v>
      </c>
      <c r="AE118">
        <f>AND(IF(Metadata!K118="",FALSE,TRUE),exact(Metadata!K118,"447426"))</f>
        <v>0</v>
      </c>
    </row>
    <row r="119" spans="1:31">
      <c r="A119" s="4">
        <f>IF(B119=" "," ",HYPERLINK(CONCATENATE("#metadata!",ADDRESS(INDEX($Q$2:$Q$1001,MATCH(ROWS($O$2:O119),$O$2:$O$1001,0),0),1)),INDEX($T$2:$T$1001,MATCH(ROWS($O$2:O119),$O$2:$O$1001,0),0)))</f>
        <v>0</v>
      </c>
      <c r="B119" s="3">
        <f>IF(OR(INDEX($P$2:$P$1001,MATCH(ROWS($O$2:O119),$O$2:$O$1001,0),1)&gt;=100000,INDEX($V$1005:$AE$1005,1,MATCH(COLUMNS($V$1006:V1006),$V$1006:$AE$1006,0))&gt;=100000), " ",IF(INDEX($V$2:$AE$1001,MATCH(ROWS($O$2:O119),$O$2:$O$1001,0),MATCH(COLUMNS($V$1006:V1006),$V$1006:$AE$1006,0)), HYPERLINK("#",""), HYPERLINK(CONCATENATE("#Metadata!", ADDRESS(INDEX($Q$2:$Q$1001,MATCH(ROWS($O$2:O119),$O$2:$O$1001,0),0), INDEX($V$1004:$AE$1004,1,MATCH(COLUMNS($V$1006:V1006),$V$1006:$AE$1006,0)))),"Fix")))</f>
        <v>0</v>
      </c>
      <c r="C119" s="3">
        <f>IF(OR(INDEX($P$2:$P$1001,MATCH(ROWS($O$2:O119),$O$2:$O$1001,0),1)&gt;=100000,INDEX($V$1005:$AE$1005,1,MATCH(COLUMNS($V$1006:W1006),$V$1006:$AE$1006,0))&gt;=100000), " ",IF(INDEX($V$2:$AE$1001,MATCH(ROWS($O$2:O119),$O$2:$O$1001,0),MATCH(COLUMNS($V$1006:W1006),$V$1006:$AE$1006,0)), HYPERLINK("#",""), HYPERLINK(CONCATENATE("#Metadata!", ADDRESS(INDEX($Q$2:$Q$1001,MATCH(ROWS($O$2:O119),$O$2:$O$1001,0),0), INDEX($V$1004:$AE$1004,1,MATCH(COLUMNS($V$1006:W1006),$V$1006:$AE$1006,0)))),"Fix")))</f>
        <v>0</v>
      </c>
      <c r="D119" s="3">
        <f>IF(OR(INDEX($P$2:$P$1001,MATCH(ROWS($O$2:O119),$O$2:$O$1001,0),1)&gt;=100000,INDEX($V$1005:$AE$1005,1,MATCH(COLUMNS($V$1006:X1006),$V$1006:$AE$1006,0))&gt;=100000), " ",IF(INDEX($V$2:$AE$1001,MATCH(ROWS($O$2:O119),$O$2:$O$1001,0),MATCH(COLUMNS($V$1006:X1006),$V$1006:$AE$1006,0)), HYPERLINK("#",""), HYPERLINK(CONCATENATE("#Metadata!", ADDRESS(INDEX($Q$2:$Q$1001,MATCH(ROWS($O$2:O119),$O$2:$O$1001,0),0), INDEX($V$1004:$AE$1004,1,MATCH(COLUMNS($V$1006:X1006),$V$1006:$AE$1006,0)))),"Fix")))</f>
        <v>0</v>
      </c>
      <c r="E119" s="3">
        <f>IF(OR(INDEX($P$2:$P$1001,MATCH(ROWS($O$2:O119),$O$2:$O$1001,0),1)&gt;=100000,INDEX($V$1005:$AE$1005,1,MATCH(COLUMNS($V$1006:Y1006),$V$1006:$AE$1006,0))&gt;=100000), " ",IF(INDEX($V$2:$AE$1001,MATCH(ROWS($O$2:O119),$O$2:$O$1001,0),MATCH(COLUMNS($V$1006:Y1006),$V$1006:$AE$1006,0)), HYPERLINK("#",""), HYPERLINK(CONCATENATE("#Metadata!", ADDRESS(INDEX($Q$2:$Q$1001,MATCH(ROWS($O$2:O119),$O$2:$O$1001,0),0), INDEX($V$1004:$AE$1004,1,MATCH(COLUMNS($V$1006:Y1006),$V$1006:$AE$1006,0)))),"Fix")))</f>
        <v>0</v>
      </c>
      <c r="F119" s="3">
        <f>IF(OR(INDEX($P$2:$P$1001,MATCH(ROWS($O$2:O119),$O$2:$O$1001,0),1)&gt;=100000,INDEX($V$1005:$AE$1005,1,MATCH(COLUMNS($V$1006:Z1006),$V$1006:$AE$1006,0))&gt;=100000), " ",IF(INDEX($V$2:$AE$1001,MATCH(ROWS($O$2:O119),$O$2:$O$1001,0),MATCH(COLUMNS($V$1006:Z1006),$V$1006:$AE$1006,0)), HYPERLINK("#",""), HYPERLINK(CONCATENATE("#Metadata!", ADDRESS(INDEX($Q$2:$Q$1001,MATCH(ROWS($O$2:O119),$O$2:$O$1001,0),0), INDEX($V$1004:$AE$1004,1,MATCH(COLUMNS($V$1006:Z1006),$V$1006:$AE$1006,0)))),"Fix")))</f>
        <v>0</v>
      </c>
      <c r="G119" s="3">
        <f>IF(OR(INDEX($P$2:$P$1001,MATCH(ROWS($O$2:O119),$O$2:$O$1001,0),1)&gt;=100000,INDEX($V$1005:$AE$1005,1,MATCH(COLUMNS($V$1006:AA1006),$V$1006:$AE$1006,0))&gt;=100000), " ",IF(INDEX($V$2:$AE$1001,MATCH(ROWS($O$2:O119),$O$2:$O$1001,0),MATCH(COLUMNS($V$1006:AA1006),$V$1006:$AE$1006,0)), HYPERLINK("#",""), HYPERLINK(CONCATENATE("#Metadata!", ADDRESS(INDEX($Q$2:$Q$1001,MATCH(ROWS($O$2:O119),$O$2:$O$1001,0),0), INDEX($V$1004:$AE$1004,1,MATCH(COLUMNS($V$1006:AA1006),$V$1006:$AE$1006,0)))),"Fix")))</f>
        <v>0</v>
      </c>
      <c r="H119" s="3">
        <f>IF(OR(INDEX($P$2:$P$1001,MATCH(ROWS($O$2:O119),$O$2:$O$1001,0),1)&gt;=100000,INDEX($V$1005:$AE$1005,1,MATCH(COLUMNS($V$1006:AB1006),$V$1006:$AE$1006,0))&gt;=100000), " ",IF(INDEX($V$2:$AE$1001,MATCH(ROWS($O$2:O119),$O$2:$O$1001,0),MATCH(COLUMNS($V$1006:AB1006),$V$1006:$AE$1006,0)), HYPERLINK("#",""), HYPERLINK(CONCATENATE("#Metadata!", ADDRESS(INDEX($Q$2:$Q$1001,MATCH(ROWS($O$2:O119),$O$2:$O$1001,0),0), INDEX($V$1004:$AE$1004,1,MATCH(COLUMNS($V$1006:AB1006),$V$1006:$AE$1006,0)))),"Fix")))</f>
        <v>0</v>
      </c>
      <c r="I119" s="3">
        <f>IF(OR(INDEX($P$2:$P$1001,MATCH(ROWS($O$2:O119),$O$2:$O$1001,0),1)&gt;=100000,INDEX($V$1005:$AE$1005,1,MATCH(COLUMNS($V$1006:AC1006),$V$1006:$AE$1006,0))&gt;=100000), " ",IF(INDEX($V$2:$AE$1001,MATCH(ROWS($O$2:O119),$O$2:$O$1001,0),MATCH(COLUMNS($V$1006:AC1006),$V$1006:$AE$1006,0)), HYPERLINK("#",""), HYPERLINK(CONCATENATE("#Metadata!", ADDRESS(INDEX($Q$2:$Q$1001,MATCH(ROWS($O$2:O119),$O$2:$O$1001,0),0), INDEX($V$1004:$AE$1004,1,MATCH(COLUMNS($V$1006:AC1006),$V$1006:$AE$1006,0)))),"Fix")))</f>
        <v>0</v>
      </c>
      <c r="J119" s="3">
        <f>IF(OR(INDEX($P$2:$P$1001,MATCH(ROWS($O$2:O119),$O$2:$O$1001,0),1)&gt;=100000,INDEX($V$1005:$AE$1005,1,MATCH(COLUMNS($V$1006:AD1006),$V$1006:$AE$1006,0))&gt;=100000), " ",IF(INDEX($V$2:$AE$1001,MATCH(ROWS($O$2:O119),$O$2:$O$1001,0),MATCH(COLUMNS($V$1006:AD1006),$V$1006:$AE$1006,0)), HYPERLINK("#",""), HYPERLINK(CONCATENATE("#Metadata!", ADDRESS(INDEX($Q$2:$Q$1001,MATCH(ROWS($O$2:O119),$O$2:$O$1001,0),0), INDEX($V$1004:$AE$1004,1,MATCH(COLUMNS($V$1006:AD1006),$V$1006:$AE$1006,0)))),"Fix")))</f>
        <v>0</v>
      </c>
      <c r="K119" s="3">
        <f>IF(OR(INDEX($P$2:$P$1001,MATCH(ROWS($O$2:O119),$O$2:$O$1001,0),1)&gt;=100000,INDEX($V$1005:$AE$1005,1,MATCH(COLUMNS($V$1006:AE1006),$V$1006:$AE$1006,0))&gt;=100000), " ",IF(INDEX($V$2:$AE$1001,MATCH(ROWS($O$2:O119),$O$2:$O$1001,0),MATCH(COLUMNS($V$1006:AE1006),$V$1006:$AE$1006,0)), HYPERLINK("#",""), HYPERLINK(CONCATENATE("#Metadata!", ADDRESS(INDEX($Q$2:$Q$1001,MATCH(ROWS($O$2:O119),$O$2:$O$1001,0),0), INDEX($V$1004:$AE$1004,1,MATCH(COLUMNS($V$1006:AE1006),$V$1006:$AE$1006,0)))),"Fix")))</f>
        <v>0</v>
      </c>
      <c r="O119">
        <v>0</v>
      </c>
      <c r="P119">
        <v>0</v>
      </c>
      <c r="Q119">
        <v>0</v>
      </c>
      <c r="R119">
        <f>IF(S119,TRUE,AND(V119:AE119))</f>
        <v>0</v>
      </c>
      <c r="S119">
        <f>COUNTBLANK(Metadata!B119:K119)=COLUMNS(Metadata!B119:K119)</f>
        <v>0</v>
      </c>
      <c r="T119">
        <v>0</v>
      </c>
      <c r="V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W119">
        <f>AND(IF(Metadata!C119="",FALSE,TRUE),exact(Metadata!C119,"animal secretion"))</f>
        <v>0</v>
      </c>
      <c r="X119">
        <f>AND(IF(Metadata!D119="",FALSE,TRUE),exact(Metadata!D119,"saliva"))</f>
        <v>0</v>
      </c>
      <c r="Y119">
        <f>AND(IF(Metadata!E119="",FALSE,TRUE),exact(Metadata!E119,"human-oral"))</f>
        <v>0</v>
      </c>
      <c r="Z119">
        <f>AND(IF(Metadata!F119="",FALSE,TRUE),exact(Metadata!F119,"UBERON:oral cavity"))</f>
        <v>0</v>
      </c>
      <c r="AA119">
        <f>AND(IF(Metadata!G119="",FALSE,TRUE),exact(Metadata!G119,"UBERON:saliva"))</f>
        <v>0</v>
      </c>
      <c r="AB119">
        <f>AND(IF(Metadata!H119="",FALSE,TRUE),exact(Metadata!H119,"UBERON:tongue"))</f>
        <v>0</v>
      </c>
      <c r="AC119">
        <f>AND(IF(Metadata!I119="",FALSE,TRUE),exact(Metadata!I119,"tongue"))</f>
        <v>0</v>
      </c>
      <c r="AD119">
        <f>AND(IF(Metadata!J119="",FALSE,TRUE),exact(Metadata!J119,"human oral metagenome"))</f>
        <v>0</v>
      </c>
      <c r="AE119">
        <f>AND(IF(Metadata!K119="",FALSE,TRUE),exact(Metadata!K119,"447426"))</f>
        <v>0</v>
      </c>
    </row>
    <row r="120" spans="1:31">
      <c r="A120" s="4">
        <f>IF(B120=" "," ",HYPERLINK(CONCATENATE("#metadata!",ADDRESS(INDEX($Q$2:$Q$1001,MATCH(ROWS($O$2:O120),$O$2:$O$1001,0),0),1)),INDEX($T$2:$T$1001,MATCH(ROWS($O$2:O120),$O$2:$O$1001,0),0)))</f>
        <v>0</v>
      </c>
      <c r="B120" s="3">
        <f>IF(OR(INDEX($P$2:$P$1001,MATCH(ROWS($O$2:O120),$O$2:$O$1001,0),1)&gt;=100000,INDEX($V$1005:$AE$1005,1,MATCH(COLUMNS($V$1006:V1006),$V$1006:$AE$1006,0))&gt;=100000), " ",IF(INDEX($V$2:$AE$1001,MATCH(ROWS($O$2:O120),$O$2:$O$1001,0),MATCH(COLUMNS($V$1006:V1006),$V$1006:$AE$1006,0)), HYPERLINK("#",""), HYPERLINK(CONCATENATE("#Metadata!", ADDRESS(INDEX($Q$2:$Q$1001,MATCH(ROWS($O$2:O120),$O$2:$O$1001,0),0), INDEX($V$1004:$AE$1004,1,MATCH(COLUMNS($V$1006:V1006),$V$1006:$AE$1006,0)))),"Fix")))</f>
        <v>0</v>
      </c>
      <c r="C120" s="3">
        <f>IF(OR(INDEX($P$2:$P$1001,MATCH(ROWS($O$2:O120),$O$2:$O$1001,0),1)&gt;=100000,INDEX($V$1005:$AE$1005,1,MATCH(COLUMNS($V$1006:W1006),$V$1006:$AE$1006,0))&gt;=100000), " ",IF(INDEX($V$2:$AE$1001,MATCH(ROWS($O$2:O120),$O$2:$O$1001,0),MATCH(COLUMNS($V$1006:W1006),$V$1006:$AE$1006,0)), HYPERLINK("#",""), HYPERLINK(CONCATENATE("#Metadata!", ADDRESS(INDEX($Q$2:$Q$1001,MATCH(ROWS($O$2:O120),$O$2:$O$1001,0),0), INDEX($V$1004:$AE$1004,1,MATCH(COLUMNS($V$1006:W1006),$V$1006:$AE$1006,0)))),"Fix")))</f>
        <v>0</v>
      </c>
      <c r="D120" s="3">
        <f>IF(OR(INDEX($P$2:$P$1001,MATCH(ROWS($O$2:O120),$O$2:$O$1001,0),1)&gt;=100000,INDEX($V$1005:$AE$1005,1,MATCH(COLUMNS($V$1006:X1006),$V$1006:$AE$1006,0))&gt;=100000), " ",IF(INDEX($V$2:$AE$1001,MATCH(ROWS($O$2:O120),$O$2:$O$1001,0),MATCH(COLUMNS($V$1006:X1006),$V$1006:$AE$1006,0)), HYPERLINK("#",""), HYPERLINK(CONCATENATE("#Metadata!", ADDRESS(INDEX($Q$2:$Q$1001,MATCH(ROWS($O$2:O120),$O$2:$O$1001,0),0), INDEX($V$1004:$AE$1004,1,MATCH(COLUMNS($V$1006:X1006),$V$1006:$AE$1006,0)))),"Fix")))</f>
        <v>0</v>
      </c>
      <c r="E120" s="3">
        <f>IF(OR(INDEX($P$2:$P$1001,MATCH(ROWS($O$2:O120),$O$2:$O$1001,0),1)&gt;=100000,INDEX($V$1005:$AE$1005,1,MATCH(COLUMNS($V$1006:Y1006),$V$1006:$AE$1006,0))&gt;=100000), " ",IF(INDEX($V$2:$AE$1001,MATCH(ROWS($O$2:O120),$O$2:$O$1001,0),MATCH(COLUMNS($V$1006:Y1006),$V$1006:$AE$1006,0)), HYPERLINK("#",""), HYPERLINK(CONCATENATE("#Metadata!", ADDRESS(INDEX($Q$2:$Q$1001,MATCH(ROWS($O$2:O120),$O$2:$O$1001,0),0), INDEX($V$1004:$AE$1004,1,MATCH(COLUMNS($V$1006:Y1006),$V$1006:$AE$1006,0)))),"Fix")))</f>
        <v>0</v>
      </c>
      <c r="F120" s="3">
        <f>IF(OR(INDEX($P$2:$P$1001,MATCH(ROWS($O$2:O120),$O$2:$O$1001,0),1)&gt;=100000,INDEX($V$1005:$AE$1005,1,MATCH(COLUMNS($V$1006:Z1006),$V$1006:$AE$1006,0))&gt;=100000), " ",IF(INDEX($V$2:$AE$1001,MATCH(ROWS($O$2:O120),$O$2:$O$1001,0),MATCH(COLUMNS($V$1006:Z1006),$V$1006:$AE$1006,0)), HYPERLINK("#",""), HYPERLINK(CONCATENATE("#Metadata!", ADDRESS(INDEX($Q$2:$Q$1001,MATCH(ROWS($O$2:O120),$O$2:$O$1001,0),0), INDEX($V$1004:$AE$1004,1,MATCH(COLUMNS($V$1006:Z1006),$V$1006:$AE$1006,0)))),"Fix")))</f>
        <v>0</v>
      </c>
      <c r="G120" s="3">
        <f>IF(OR(INDEX($P$2:$P$1001,MATCH(ROWS($O$2:O120),$O$2:$O$1001,0),1)&gt;=100000,INDEX($V$1005:$AE$1005,1,MATCH(COLUMNS($V$1006:AA1006),$V$1006:$AE$1006,0))&gt;=100000), " ",IF(INDEX($V$2:$AE$1001,MATCH(ROWS($O$2:O120),$O$2:$O$1001,0),MATCH(COLUMNS($V$1006:AA1006),$V$1006:$AE$1006,0)), HYPERLINK("#",""), HYPERLINK(CONCATENATE("#Metadata!", ADDRESS(INDEX($Q$2:$Q$1001,MATCH(ROWS($O$2:O120),$O$2:$O$1001,0),0), INDEX($V$1004:$AE$1004,1,MATCH(COLUMNS($V$1006:AA1006),$V$1006:$AE$1006,0)))),"Fix")))</f>
        <v>0</v>
      </c>
      <c r="H120" s="3">
        <f>IF(OR(INDEX($P$2:$P$1001,MATCH(ROWS($O$2:O120),$O$2:$O$1001,0),1)&gt;=100000,INDEX($V$1005:$AE$1005,1,MATCH(COLUMNS($V$1006:AB1006),$V$1006:$AE$1006,0))&gt;=100000), " ",IF(INDEX($V$2:$AE$1001,MATCH(ROWS($O$2:O120),$O$2:$O$1001,0),MATCH(COLUMNS($V$1006:AB1006),$V$1006:$AE$1006,0)), HYPERLINK("#",""), HYPERLINK(CONCATENATE("#Metadata!", ADDRESS(INDEX($Q$2:$Q$1001,MATCH(ROWS($O$2:O120),$O$2:$O$1001,0),0), INDEX($V$1004:$AE$1004,1,MATCH(COLUMNS($V$1006:AB1006),$V$1006:$AE$1006,0)))),"Fix")))</f>
        <v>0</v>
      </c>
      <c r="I120" s="3">
        <f>IF(OR(INDEX($P$2:$P$1001,MATCH(ROWS($O$2:O120),$O$2:$O$1001,0),1)&gt;=100000,INDEX($V$1005:$AE$1005,1,MATCH(COLUMNS($V$1006:AC1006),$V$1006:$AE$1006,0))&gt;=100000), " ",IF(INDEX($V$2:$AE$1001,MATCH(ROWS($O$2:O120),$O$2:$O$1001,0),MATCH(COLUMNS($V$1006:AC1006),$V$1006:$AE$1006,0)), HYPERLINK("#",""), HYPERLINK(CONCATENATE("#Metadata!", ADDRESS(INDEX($Q$2:$Q$1001,MATCH(ROWS($O$2:O120),$O$2:$O$1001,0),0), INDEX($V$1004:$AE$1004,1,MATCH(COLUMNS($V$1006:AC1006),$V$1006:$AE$1006,0)))),"Fix")))</f>
        <v>0</v>
      </c>
      <c r="J120" s="3">
        <f>IF(OR(INDEX($P$2:$P$1001,MATCH(ROWS($O$2:O120),$O$2:$O$1001,0),1)&gt;=100000,INDEX($V$1005:$AE$1005,1,MATCH(COLUMNS($V$1006:AD1006),$V$1006:$AE$1006,0))&gt;=100000), " ",IF(INDEX($V$2:$AE$1001,MATCH(ROWS($O$2:O120),$O$2:$O$1001,0),MATCH(COLUMNS($V$1006:AD1006),$V$1006:$AE$1006,0)), HYPERLINK("#",""), HYPERLINK(CONCATENATE("#Metadata!", ADDRESS(INDEX($Q$2:$Q$1001,MATCH(ROWS($O$2:O120),$O$2:$O$1001,0),0), INDEX($V$1004:$AE$1004,1,MATCH(COLUMNS($V$1006:AD1006),$V$1006:$AE$1006,0)))),"Fix")))</f>
        <v>0</v>
      </c>
      <c r="K120" s="3">
        <f>IF(OR(INDEX($P$2:$P$1001,MATCH(ROWS($O$2:O120),$O$2:$O$1001,0),1)&gt;=100000,INDEX($V$1005:$AE$1005,1,MATCH(COLUMNS($V$1006:AE1006),$V$1006:$AE$1006,0))&gt;=100000), " ",IF(INDEX($V$2:$AE$1001,MATCH(ROWS($O$2:O120),$O$2:$O$1001,0),MATCH(COLUMNS($V$1006:AE1006),$V$1006:$AE$1006,0)), HYPERLINK("#",""), HYPERLINK(CONCATENATE("#Metadata!", ADDRESS(INDEX($Q$2:$Q$1001,MATCH(ROWS($O$2:O120),$O$2:$O$1001,0),0), INDEX($V$1004:$AE$1004,1,MATCH(COLUMNS($V$1006:AE1006),$V$1006:$AE$1006,0)))),"Fix")))</f>
        <v>0</v>
      </c>
      <c r="O120">
        <v>0</v>
      </c>
      <c r="P120">
        <v>0</v>
      </c>
      <c r="Q120">
        <v>0</v>
      </c>
      <c r="R120">
        <f>IF(S120,TRUE,AND(V120:AE120))</f>
        <v>0</v>
      </c>
      <c r="S120">
        <f>COUNTBLANK(Metadata!B120:K120)=COLUMNS(Metadata!B120:K120)</f>
        <v>0</v>
      </c>
      <c r="T120">
        <v>0</v>
      </c>
      <c r="V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W120">
        <f>AND(IF(Metadata!C120="",FALSE,TRUE),exact(Metadata!C120,"animal secretion"))</f>
        <v>0</v>
      </c>
      <c r="X120">
        <f>AND(IF(Metadata!D120="",FALSE,TRUE),exact(Metadata!D120,"saliva"))</f>
        <v>0</v>
      </c>
      <c r="Y120">
        <f>AND(IF(Metadata!E120="",FALSE,TRUE),exact(Metadata!E120,"human-oral"))</f>
        <v>0</v>
      </c>
      <c r="Z120">
        <f>AND(IF(Metadata!F120="",FALSE,TRUE),exact(Metadata!F120,"UBERON:oral cavity"))</f>
        <v>0</v>
      </c>
      <c r="AA120">
        <f>AND(IF(Metadata!G120="",FALSE,TRUE),exact(Metadata!G120,"UBERON:saliva"))</f>
        <v>0</v>
      </c>
      <c r="AB120">
        <f>AND(IF(Metadata!H120="",FALSE,TRUE),exact(Metadata!H120,"UBERON:tongue"))</f>
        <v>0</v>
      </c>
      <c r="AC120">
        <f>AND(IF(Metadata!I120="",FALSE,TRUE),exact(Metadata!I120,"tongue"))</f>
        <v>0</v>
      </c>
      <c r="AD120">
        <f>AND(IF(Metadata!J120="",FALSE,TRUE),exact(Metadata!J120,"human oral metagenome"))</f>
        <v>0</v>
      </c>
      <c r="AE120">
        <f>AND(IF(Metadata!K120="",FALSE,TRUE),exact(Metadata!K120,"447426"))</f>
        <v>0</v>
      </c>
    </row>
    <row r="121" spans="1:31">
      <c r="A121" s="4">
        <f>IF(B121=" "," ",HYPERLINK(CONCATENATE("#metadata!",ADDRESS(INDEX($Q$2:$Q$1001,MATCH(ROWS($O$2:O121),$O$2:$O$1001,0),0),1)),INDEX($T$2:$T$1001,MATCH(ROWS($O$2:O121),$O$2:$O$1001,0),0)))</f>
        <v>0</v>
      </c>
      <c r="B121" s="3">
        <f>IF(OR(INDEX($P$2:$P$1001,MATCH(ROWS($O$2:O121),$O$2:$O$1001,0),1)&gt;=100000,INDEX($V$1005:$AE$1005,1,MATCH(COLUMNS($V$1006:V1006),$V$1006:$AE$1006,0))&gt;=100000), " ",IF(INDEX($V$2:$AE$1001,MATCH(ROWS($O$2:O121),$O$2:$O$1001,0),MATCH(COLUMNS($V$1006:V1006),$V$1006:$AE$1006,0)), HYPERLINK("#",""), HYPERLINK(CONCATENATE("#Metadata!", ADDRESS(INDEX($Q$2:$Q$1001,MATCH(ROWS($O$2:O121),$O$2:$O$1001,0),0), INDEX($V$1004:$AE$1004,1,MATCH(COLUMNS($V$1006:V1006),$V$1006:$AE$1006,0)))),"Fix")))</f>
        <v>0</v>
      </c>
      <c r="C121" s="3">
        <f>IF(OR(INDEX($P$2:$P$1001,MATCH(ROWS($O$2:O121),$O$2:$O$1001,0),1)&gt;=100000,INDEX($V$1005:$AE$1005,1,MATCH(COLUMNS($V$1006:W1006),$V$1006:$AE$1006,0))&gt;=100000), " ",IF(INDEX($V$2:$AE$1001,MATCH(ROWS($O$2:O121),$O$2:$O$1001,0),MATCH(COLUMNS($V$1006:W1006),$V$1006:$AE$1006,0)), HYPERLINK("#",""), HYPERLINK(CONCATENATE("#Metadata!", ADDRESS(INDEX($Q$2:$Q$1001,MATCH(ROWS($O$2:O121),$O$2:$O$1001,0),0), INDEX($V$1004:$AE$1004,1,MATCH(COLUMNS($V$1006:W1006),$V$1006:$AE$1006,0)))),"Fix")))</f>
        <v>0</v>
      </c>
      <c r="D121" s="3">
        <f>IF(OR(INDEX($P$2:$P$1001,MATCH(ROWS($O$2:O121),$O$2:$O$1001,0),1)&gt;=100000,INDEX($V$1005:$AE$1005,1,MATCH(COLUMNS($V$1006:X1006),$V$1006:$AE$1006,0))&gt;=100000), " ",IF(INDEX($V$2:$AE$1001,MATCH(ROWS($O$2:O121),$O$2:$O$1001,0),MATCH(COLUMNS($V$1006:X1006),$V$1006:$AE$1006,0)), HYPERLINK("#",""), HYPERLINK(CONCATENATE("#Metadata!", ADDRESS(INDEX($Q$2:$Q$1001,MATCH(ROWS($O$2:O121),$O$2:$O$1001,0),0), INDEX($V$1004:$AE$1004,1,MATCH(COLUMNS($V$1006:X1006),$V$1006:$AE$1006,0)))),"Fix")))</f>
        <v>0</v>
      </c>
      <c r="E121" s="3">
        <f>IF(OR(INDEX($P$2:$P$1001,MATCH(ROWS($O$2:O121),$O$2:$O$1001,0),1)&gt;=100000,INDEX($V$1005:$AE$1005,1,MATCH(COLUMNS($V$1006:Y1006),$V$1006:$AE$1006,0))&gt;=100000), " ",IF(INDEX($V$2:$AE$1001,MATCH(ROWS($O$2:O121),$O$2:$O$1001,0),MATCH(COLUMNS($V$1006:Y1006),$V$1006:$AE$1006,0)), HYPERLINK("#",""), HYPERLINK(CONCATENATE("#Metadata!", ADDRESS(INDEX($Q$2:$Q$1001,MATCH(ROWS($O$2:O121),$O$2:$O$1001,0),0), INDEX($V$1004:$AE$1004,1,MATCH(COLUMNS($V$1006:Y1006),$V$1006:$AE$1006,0)))),"Fix")))</f>
        <v>0</v>
      </c>
      <c r="F121" s="3">
        <f>IF(OR(INDEX($P$2:$P$1001,MATCH(ROWS($O$2:O121),$O$2:$O$1001,0),1)&gt;=100000,INDEX($V$1005:$AE$1005,1,MATCH(COLUMNS($V$1006:Z1006),$V$1006:$AE$1006,0))&gt;=100000), " ",IF(INDEX($V$2:$AE$1001,MATCH(ROWS($O$2:O121),$O$2:$O$1001,0),MATCH(COLUMNS($V$1006:Z1006),$V$1006:$AE$1006,0)), HYPERLINK("#",""), HYPERLINK(CONCATENATE("#Metadata!", ADDRESS(INDEX($Q$2:$Q$1001,MATCH(ROWS($O$2:O121),$O$2:$O$1001,0),0), INDEX($V$1004:$AE$1004,1,MATCH(COLUMNS($V$1006:Z1006),$V$1006:$AE$1006,0)))),"Fix")))</f>
        <v>0</v>
      </c>
      <c r="G121" s="3">
        <f>IF(OR(INDEX($P$2:$P$1001,MATCH(ROWS($O$2:O121),$O$2:$O$1001,0),1)&gt;=100000,INDEX($V$1005:$AE$1005,1,MATCH(COLUMNS($V$1006:AA1006),$V$1006:$AE$1006,0))&gt;=100000), " ",IF(INDEX($V$2:$AE$1001,MATCH(ROWS($O$2:O121),$O$2:$O$1001,0),MATCH(COLUMNS($V$1006:AA1006),$V$1006:$AE$1006,0)), HYPERLINK("#",""), HYPERLINK(CONCATENATE("#Metadata!", ADDRESS(INDEX($Q$2:$Q$1001,MATCH(ROWS($O$2:O121),$O$2:$O$1001,0),0), INDEX($V$1004:$AE$1004,1,MATCH(COLUMNS($V$1006:AA1006),$V$1006:$AE$1006,0)))),"Fix")))</f>
        <v>0</v>
      </c>
      <c r="H121" s="3">
        <f>IF(OR(INDEX($P$2:$P$1001,MATCH(ROWS($O$2:O121),$O$2:$O$1001,0),1)&gt;=100000,INDEX($V$1005:$AE$1005,1,MATCH(COLUMNS($V$1006:AB1006),$V$1006:$AE$1006,0))&gt;=100000), " ",IF(INDEX($V$2:$AE$1001,MATCH(ROWS($O$2:O121),$O$2:$O$1001,0),MATCH(COLUMNS($V$1006:AB1006),$V$1006:$AE$1006,0)), HYPERLINK("#",""), HYPERLINK(CONCATENATE("#Metadata!", ADDRESS(INDEX($Q$2:$Q$1001,MATCH(ROWS($O$2:O121),$O$2:$O$1001,0),0), INDEX($V$1004:$AE$1004,1,MATCH(COLUMNS($V$1006:AB1006),$V$1006:$AE$1006,0)))),"Fix")))</f>
        <v>0</v>
      </c>
      <c r="I121" s="3">
        <f>IF(OR(INDEX($P$2:$P$1001,MATCH(ROWS($O$2:O121),$O$2:$O$1001,0),1)&gt;=100000,INDEX($V$1005:$AE$1005,1,MATCH(COLUMNS($V$1006:AC1006),$V$1006:$AE$1006,0))&gt;=100000), " ",IF(INDEX($V$2:$AE$1001,MATCH(ROWS($O$2:O121),$O$2:$O$1001,0),MATCH(COLUMNS($V$1006:AC1006),$V$1006:$AE$1006,0)), HYPERLINK("#",""), HYPERLINK(CONCATENATE("#Metadata!", ADDRESS(INDEX($Q$2:$Q$1001,MATCH(ROWS($O$2:O121),$O$2:$O$1001,0),0), INDEX($V$1004:$AE$1004,1,MATCH(COLUMNS($V$1006:AC1006),$V$1006:$AE$1006,0)))),"Fix")))</f>
        <v>0</v>
      </c>
      <c r="J121" s="3">
        <f>IF(OR(INDEX($P$2:$P$1001,MATCH(ROWS($O$2:O121),$O$2:$O$1001,0),1)&gt;=100000,INDEX($V$1005:$AE$1005,1,MATCH(COLUMNS($V$1006:AD1006),$V$1006:$AE$1006,0))&gt;=100000), " ",IF(INDEX($V$2:$AE$1001,MATCH(ROWS($O$2:O121),$O$2:$O$1001,0),MATCH(COLUMNS($V$1006:AD1006),$V$1006:$AE$1006,0)), HYPERLINK("#",""), HYPERLINK(CONCATENATE("#Metadata!", ADDRESS(INDEX($Q$2:$Q$1001,MATCH(ROWS($O$2:O121),$O$2:$O$1001,0),0), INDEX($V$1004:$AE$1004,1,MATCH(COLUMNS($V$1006:AD1006),$V$1006:$AE$1006,0)))),"Fix")))</f>
        <v>0</v>
      </c>
      <c r="K121" s="3">
        <f>IF(OR(INDEX($P$2:$P$1001,MATCH(ROWS($O$2:O121),$O$2:$O$1001,0),1)&gt;=100000,INDEX($V$1005:$AE$1005,1,MATCH(COLUMNS($V$1006:AE1006),$V$1006:$AE$1006,0))&gt;=100000), " ",IF(INDEX($V$2:$AE$1001,MATCH(ROWS($O$2:O121),$O$2:$O$1001,0),MATCH(COLUMNS($V$1006:AE1006),$V$1006:$AE$1006,0)), HYPERLINK("#",""), HYPERLINK(CONCATENATE("#Metadata!", ADDRESS(INDEX($Q$2:$Q$1001,MATCH(ROWS($O$2:O121),$O$2:$O$1001,0),0), INDEX($V$1004:$AE$1004,1,MATCH(COLUMNS($V$1006:AE1006),$V$1006:$AE$1006,0)))),"Fix")))</f>
        <v>0</v>
      </c>
      <c r="O121">
        <v>0</v>
      </c>
      <c r="P121">
        <v>0</v>
      </c>
      <c r="Q121">
        <v>0</v>
      </c>
      <c r="R121">
        <f>IF(S121,TRUE,AND(V121:AE121))</f>
        <v>0</v>
      </c>
      <c r="S121">
        <f>COUNTBLANK(Metadata!B121:K121)=COLUMNS(Metadata!B121:K121)</f>
        <v>0</v>
      </c>
      <c r="T121">
        <v>0</v>
      </c>
      <c r="V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W121">
        <f>AND(IF(Metadata!C121="",FALSE,TRUE),exact(Metadata!C121,"animal secretion"))</f>
        <v>0</v>
      </c>
      <c r="X121">
        <f>AND(IF(Metadata!D121="",FALSE,TRUE),exact(Metadata!D121,"saliva"))</f>
        <v>0</v>
      </c>
      <c r="Y121">
        <f>AND(IF(Metadata!E121="",FALSE,TRUE),exact(Metadata!E121,"human-oral"))</f>
        <v>0</v>
      </c>
      <c r="Z121">
        <f>AND(IF(Metadata!F121="",FALSE,TRUE),exact(Metadata!F121,"UBERON:oral cavity"))</f>
        <v>0</v>
      </c>
      <c r="AA121">
        <f>AND(IF(Metadata!G121="",FALSE,TRUE),exact(Metadata!G121,"UBERON:saliva"))</f>
        <v>0</v>
      </c>
      <c r="AB121">
        <f>AND(IF(Metadata!H121="",FALSE,TRUE),exact(Metadata!H121,"UBERON:tongue"))</f>
        <v>0</v>
      </c>
      <c r="AC121">
        <f>AND(IF(Metadata!I121="",FALSE,TRUE),exact(Metadata!I121,"tongue"))</f>
        <v>0</v>
      </c>
      <c r="AD121">
        <f>AND(IF(Metadata!J121="",FALSE,TRUE),exact(Metadata!J121,"human oral metagenome"))</f>
        <v>0</v>
      </c>
      <c r="AE121">
        <f>AND(IF(Metadata!K121="",FALSE,TRUE),exact(Metadata!K121,"447426"))</f>
        <v>0</v>
      </c>
    </row>
    <row r="122" spans="1:31">
      <c r="A122" s="4">
        <f>IF(B122=" "," ",HYPERLINK(CONCATENATE("#metadata!",ADDRESS(INDEX($Q$2:$Q$1001,MATCH(ROWS($O$2:O122),$O$2:$O$1001,0),0),1)),INDEX($T$2:$T$1001,MATCH(ROWS($O$2:O122),$O$2:$O$1001,0),0)))</f>
        <v>0</v>
      </c>
      <c r="B122" s="3">
        <f>IF(OR(INDEX($P$2:$P$1001,MATCH(ROWS($O$2:O122),$O$2:$O$1001,0),1)&gt;=100000,INDEX($V$1005:$AE$1005,1,MATCH(COLUMNS($V$1006:V1006),$V$1006:$AE$1006,0))&gt;=100000), " ",IF(INDEX($V$2:$AE$1001,MATCH(ROWS($O$2:O122),$O$2:$O$1001,0),MATCH(COLUMNS($V$1006:V1006),$V$1006:$AE$1006,0)), HYPERLINK("#",""), HYPERLINK(CONCATENATE("#Metadata!", ADDRESS(INDEX($Q$2:$Q$1001,MATCH(ROWS($O$2:O122),$O$2:$O$1001,0),0), INDEX($V$1004:$AE$1004,1,MATCH(COLUMNS($V$1006:V1006),$V$1006:$AE$1006,0)))),"Fix")))</f>
        <v>0</v>
      </c>
      <c r="C122" s="3">
        <f>IF(OR(INDEX($P$2:$P$1001,MATCH(ROWS($O$2:O122),$O$2:$O$1001,0),1)&gt;=100000,INDEX($V$1005:$AE$1005,1,MATCH(COLUMNS($V$1006:W1006),$V$1006:$AE$1006,0))&gt;=100000), " ",IF(INDEX($V$2:$AE$1001,MATCH(ROWS($O$2:O122),$O$2:$O$1001,0),MATCH(COLUMNS($V$1006:W1006),$V$1006:$AE$1006,0)), HYPERLINK("#",""), HYPERLINK(CONCATENATE("#Metadata!", ADDRESS(INDEX($Q$2:$Q$1001,MATCH(ROWS($O$2:O122),$O$2:$O$1001,0),0), INDEX($V$1004:$AE$1004,1,MATCH(COLUMNS($V$1006:W1006),$V$1006:$AE$1006,0)))),"Fix")))</f>
        <v>0</v>
      </c>
      <c r="D122" s="3">
        <f>IF(OR(INDEX($P$2:$P$1001,MATCH(ROWS($O$2:O122),$O$2:$O$1001,0),1)&gt;=100000,INDEX($V$1005:$AE$1005,1,MATCH(COLUMNS($V$1006:X1006),$V$1006:$AE$1006,0))&gt;=100000), " ",IF(INDEX($V$2:$AE$1001,MATCH(ROWS($O$2:O122),$O$2:$O$1001,0),MATCH(COLUMNS($V$1006:X1006),$V$1006:$AE$1006,0)), HYPERLINK("#",""), HYPERLINK(CONCATENATE("#Metadata!", ADDRESS(INDEX($Q$2:$Q$1001,MATCH(ROWS($O$2:O122),$O$2:$O$1001,0),0), INDEX($V$1004:$AE$1004,1,MATCH(COLUMNS($V$1006:X1006),$V$1006:$AE$1006,0)))),"Fix")))</f>
        <v>0</v>
      </c>
      <c r="E122" s="3">
        <f>IF(OR(INDEX($P$2:$P$1001,MATCH(ROWS($O$2:O122),$O$2:$O$1001,0),1)&gt;=100000,INDEX($V$1005:$AE$1005,1,MATCH(COLUMNS($V$1006:Y1006),$V$1006:$AE$1006,0))&gt;=100000), " ",IF(INDEX($V$2:$AE$1001,MATCH(ROWS($O$2:O122),$O$2:$O$1001,0),MATCH(COLUMNS($V$1006:Y1006),$V$1006:$AE$1006,0)), HYPERLINK("#",""), HYPERLINK(CONCATENATE("#Metadata!", ADDRESS(INDEX($Q$2:$Q$1001,MATCH(ROWS($O$2:O122),$O$2:$O$1001,0),0), INDEX($V$1004:$AE$1004,1,MATCH(COLUMNS($V$1006:Y1006),$V$1006:$AE$1006,0)))),"Fix")))</f>
        <v>0</v>
      </c>
      <c r="F122" s="3">
        <f>IF(OR(INDEX($P$2:$P$1001,MATCH(ROWS($O$2:O122),$O$2:$O$1001,0),1)&gt;=100000,INDEX($V$1005:$AE$1005,1,MATCH(COLUMNS($V$1006:Z1006),$V$1006:$AE$1006,0))&gt;=100000), " ",IF(INDEX($V$2:$AE$1001,MATCH(ROWS($O$2:O122),$O$2:$O$1001,0),MATCH(COLUMNS($V$1006:Z1006),$V$1006:$AE$1006,0)), HYPERLINK("#",""), HYPERLINK(CONCATENATE("#Metadata!", ADDRESS(INDEX($Q$2:$Q$1001,MATCH(ROWS($O$2:O122),$O$2:$O$1001,0),0), INDEX($V$1004:$AE$1004,1,MATCH(COLUMNS($V$1006:Z1006),$V$1006:$AE$1006,0)))),"Fix")))</f>
        <v>0</v>
      </c>
      <c r="G122" s="3">
        <f>IF(OR(INDEX($P$2:$P$1001,MATCH(ROWS($O$2:O122),$O$2:$O$1001,0),1)&gt;=100000,INDEX($V$1005:$AE$1005,1,MATCH(COLUMNS($V$1006:AA1006),$V$1006:$AE$1006,0))&gt;=100000), " ",IF(INDEX($V$2:$AE$1001,MATCH(ROWS($O$2:O122),$O$2:$O$1001,0),MATCH(COLUMNS($V$1006:AA1006),$V$1006:$AE$1006,0)), HYPERLINK("#",""), HYPERLINK(CONCATENATE("#Metadata!", ADDRESS(INDEX($Q$2:$Q$1001,MATCH(ROWS($O$2:O122),$O$2:$O$1001,0),0), INDEX($V$1004:$AE$1004,1,MATCH(COLUMNS($V$1006:AA1006),$V$1006:$AE$1006,0)))),"Fix")))</f>
        <v>0</v>
      </c>
      <c r="H122" s="3">
        <f>IF(OR(INDEX($P$2:$P$1001,MATCH(ROWS($O$2:O122),$O$2:$O$1001,0),1)&gt;=100000,INDEX($V$1005:$AE$1005,1,MATCH(COLUMNS($V$1006:AB1006),$V$1006:$AE$1006,0))&gt;=100000), " ",IF(INDEX($V$2:$AE$1001,MATCH(ROWS($O$2:O122),$O$2:$O$1001,0),MATCH(COLUMNS($V$1006:AB1006),$V$1006:$AE$1006,0)), HYPERLINK("#",""), HYPERLINK(CONCATENATE("#Metadata!", ADDRESS(INDEX($Q$2:$Q$1001,MATCH(ROWS($O$2:O122),$O$2:$O$1001,0),0), INDEX($V$1004:$AE$1004,1,MATCH(COLUMNS($V$1006:AB1006),$V$1006:$AE$1006,0)))),"Fix")))</f>
        <v>0</v>
      </c>
      <c r="I122" s="3">
        <f>IF(OR(INDEX($P$2:$P$1001,MATCH(ROWS($O$2:O122),$O$2:$O$1001,0),1)&gt;=100000,INDEX($V$1005:$AE$1005,1,MATCH(COLUMNS($V$1006:AC1006),$V$1006:$AE$1006,0))&gt;=100000), " ",IF(INDEX($V$2:$AE$1001,MATCH(ROWS($O$2:O122),$O$2:$O$1001,0),MATCH(COLUMNS($V$1006:AC1006),$V$1006:$AE$1006,0)), HYPERLINK("#",""), HYPERLINK(CONCATENATE("#Metadata!", ADDRESS(INDEX($Q$2:$Q$1001,MATCH(ROWS($O$2:O122),$O$2:$O$1001,0),0), INDEX($V$1004:$AE$1004,1,MATCH(COLUMNS($V$1006:AC1006),$V$1006:$AE$1006,0)))),"Fix")))</f>
        <v>0</v>
      </c>
      <c r="J122" s="3">
        <f>IF(OR(INDEX($P$2:$P$1001,MATCH(ROWS($O$2:O122),$O$2:$O$1001,0),1)&gt;=100000,INDEX($V$1005:$AE$1005,1,MATCH(COLUMNS($V$1006:AD1006),$V$1006:$AE$1006,0))&gt;=100000), " ",IF(INDEX($V$2:$AE$1001,MATCH(ROWS($O$2:O122),$O$2:$O$1001,0),MATCH(COLUMNS($V$1006:AD1006),$V$1006:$AE$1006,0)), HYPERLINK("#",""), HYPERLINK(CONCATENATE("#Metadata!", ADDRESS(INDEX($Q$2:$Q$1001,MATCH(ROWS($O$2:O122),$O$2:$O$1001,0),0), INDEX($V$1004:$AE$1004,1,MATCH(COLUMNS($V$1006:AD1006),$V$1006:$AE$1006,0)))),"Fix")))</f>
        <v>0</v>
      </c>
      <c r="K122" s="3">
        <f>IF(OR(INDEX($P$2:$P$1001,MATCH(ROWS($O$2:O122),$O$2:$O$1001,0),1)&gt;=100000,INDEX($V$1005:$AE$1005,1,MATCH(COLUMNS($V$1006:AE1006),$V$1006:$AE$1006,0))&gt;=100000), " ",IF(INDEX($V$2:$AE$1001,MATCH(ROWS($O$2:O122),$O$2:$O$1001,0),MATCH(COLUMNS($V$1006:AE1006),$V$1006:$AE$1006,0)), HYPERLINK("#",""), HYPERLINK(CONCATENATE("#Metadata!", ADDRESS(INDEX($Q$2:$Q$1001,MATCH(ROWS($O$2:O122),$O$2:$O$1001,0),0), INDEX($V$1004:$AE$1004,1,MATCH(COLUMNS($V$1006:AE1006),$V$1006:$AE$1006,0)))),"Fix")))</f>
        <v>0</v>
      </c>
      <c r="O122">
        <v>0</v>
      </c>
      <c r="P122">
        <v>0</v>
      </c>
      <c r="Q122">
        <v>0</v>
      </c>
      <c r="R122">
        <f>IF(S122,TRUE,AND(V122:AE122))</f>
        <v>0</v>
      </c>
      <c r="S122">
        <f>COUNTBLANK(Metadata!B122:K122)=COLUMNS(Metadata!B122:K122)</f>
        <v>0</v>
      </c>
      <c r="T122">
        <v>0</v>
      </c>
      <c r="V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W122">
        <f>AND(IF(Metadata!C122="",FALSE,TRUE),exact(Metadata!C122,"animal secretion"))</f>
        <v>0</v>
      </c>
      <c r="X122">
        <f>AND(IF(Metadata!D122="",FALSE,TRUE),exact(Metadata!D122,"saliva"))</f>
        <v>0</v>
      </c>
      <c r="Y122">
        <f>AND(IF(Metadata!E122="",FALSE,TRUE),exact(Metadata!E122,"human-oral"))</f>
        <v>0</v>
      </c>
      <c r="Z122">
        <f>AND(IF(Metadata!F122="",FALSE,TRUE),exact(Metadata!F122,"UBERON:oral cavity"))</f>
        <v>0</v>
      </c>
      <c r="AA122">
        <f>AND(IF(Metadata!G122="",FALSE,TRUE),exact(Metadata!G122,"UBERON:saliva"))</f>
        <v>0</v>
      </c>
      <c r="AB122">
        <f>AND(IF(Metadata!H122="",FALSE,TRUE),exact(Metadata!H122,"UBERON:tongue"))</f>
        <v>0</v>
      </c>
      <c r="AC122">
        <f>AND(IF(Metadata!I122="",FALSE,TRUE),exact(Metadata!I122,"tongue"))</f>
        <v>0</v>
      </c>
      <c r="AD122">
        <f>AND(IF(Metadata!J122="",FALSE,TRUE),exact(Metadata!J122,"human oral metagenome"))</f>
        <v>0</v>
      </c>
      <c r="AE122">
        <f>AND(IF(Metadata!K122="",FALSE,TRUE),exact(Metadata!K122,"447426"))</f>
        <v>0</v>
      </c>
    </row>
    <row r="123" spans="1:31">
      <c r="A123" s="4">
        <f>IF(B123=" "," ",HYPERLINK(CONCATENATE("#metadata!",ADDRESS(INDEX($Q$2:$Q$1001,MATCH(ROWS($O$2:O123),$O$2:$O$1001,0),0),1)),INDEX($T$2:$T$1001,MATCH(ROWS($O$2:O123),$O$2:$O$1001,0),0)))</f>
        <v>0</v>
      </c>
      <c r="B123" s="3">
        <f>IF(OR(INDEX($P$2:$P$1001,MATCH(ROWS($O$2:O123),$O$2:$O$1001,0),1)&gt;=100000,INDEX($V$1005:$AE$1005,1,MATCH(COLUMNS($V$1006:V1006),$V$1006:$AE$1006,0))&gt;=100000), " ",IF(INDEX($V$2:$AE$1001,MATCH(ROWS($O$2:O123),$O$2:$O$1001,0),MATCH(COLUMNS($V$1006:V1006),$V$1006:$AE$1006,0)), HYPERLINK("#",""), HYPERLINK(CONCATENATE("#Metadata!", ADDRESS(INDEX($Q$2:$Q$1001,MATCH(ROWS($O$2:O123),$O$2:$O$1001,0),0), INDEX($V$1004:$AE$1004,1,MATCH(COLUMNS($V$1006:V1006),$V$1006:$AE$1006,0)))),"Fix")))</f>
        <v>0</v>
      </c>
      <c r="C123" s="3">
        <f>IF(OR(INDEX($P$2:$P$1001,MATCH(ROWS($O$2:O123),$O$2:$O$1001,0),1)&gt;=100000,INDEX($V$1005:$AE$1005,1,MATCH(COLUMNS($V$1006:W1006),$V$1006:$AE$1006,0))&gt;=100000), " ",IF(INDEX($V$2:$AE$1001,MATCH(ROWS($O$2:O123),$O$2:$O$1001,0),MATCH(COLUMNS($V$1006:W1006),$V$1006:$AE$1006,0)), HYPERLINK("#",""), HYPERLINK(CONCATENATE("#Metadata!", ADDRESS(INDEX($Q$2:$Q$1001,MATCH(ROWS($O$2:O123),$O$2:$O$1001,0),0), INDEX($V$1004:$AE$1004,1,MATCH(COLUMNS($V$1006:W1006),$V$1006:$AE$1006,0)))),"Fix")))</f>
        <v>0</v>
      </c>
      <c r="D123" s="3">
        <f>IF(OR(INDEX($P$2:$P$1001,MATCH(ROWS($O$2:O123),$O$2:$O$1001,0),1)&gt;=100000,INDEX($V$1005:$AE$1005,1,MATCH(COLUMNS($V$1006:X1006),$V$1006:$AE$1006,0))&gt;=100000), " ",IF(INDEX($V$2:$AE$1001,MATCH(ROWS($O$2:O123),$O$2:$O$1001,0),MATCH(COLUMNS($V$1006:X1006),$V$1006:$AE$1006,0)), HYPERLINK("#",""), HYPERLINK(CONCATENATE("#Metadata!", ADDRESS(INDEX($Q$2:$Q$1001,MATCH(ROWS($O$2:O123),$O$2:$O$1001,0),0), INDEX($V$1004:$AE$1004,1,MATCH(COLUMNS($V$1006:X1006),$V$1006:$AE$1006,0)))),"Fix")))</f>
        <v>0</v>
      </c>
      <c r="E123" s="3">
        <f>IF(OR(INDEX($P$2:$P$1001,MATCH(ROWS($O$2:O123),$O$2:$O$1001,0),1)&gt;=100000,INDEX($V$1005:$AE$1005,1,MATCH(COLUMNS($V$1006:Y1006),$V$1006:$AE$1006,0))&gt;=100000), " ",IF(INDEX($V$2:$AE$1001,MATCH(ROWS($O$2:O123),$O$2:$O$1001,0),MATCH(COLUMNS($V$1006:Y1006),$V$1006:$AE$1006,0)), HYPERLINK("#",""), HYPERLINK(CONCATENATE("#Metadata!", ADDRESS(INDEX($Q$2:$Q$1001,MATCH(ROWS($O$2:O123),$O$2:$O$1001,0),0), INDEX($V$1004:$AE$1004,1,MATCH(COLUMNS($V$1006:Y1006),$V$1006:$AE$1006,0)))),"Fix")))</f>
        <v>0</v>
      </c>
      <c r="F123" s="3">
        <f>IF(OR(INDEX($P$2:$P$1001,MATCH(ROWS($O$2:O123),$O$2:$O$1001,0),1)&gt;=100000,INDEX($V$1005:$AE$1005,1,MATCH(COLUMNS($V$1006:Z1006),$V$1006:$AE$1006,0))&gt;=100000), " ",IF(INDEX($V$2:$AE$1001,MATCH(ROWS($O$2:O123),$O$2:$O$1001,0),MATCH(COLUMNS($V$1006:Z1006),$V$1006:$AE$1006,0)), HYPERLINK("#",""), HYPERLINK(CONCATENATE("#Metadata!", ADDRESS(INDEX($Q$2:$Q$1001,MATCH(ROWS($O$2:O123),$O$2:$O$1001,0),0), INDEX($V$1004:$AE$1004,1,MATCH(COLUMNS($V$1006:Z1006),$V$1006:$AE$1006,0)))),"Fix")))</f>
        <v>0</v>
      </c>
      <c r="G123" s="3">
        <f>IF(OR(INDEX($P$2:$P$1001,MATCH(ROWS($O$2:O123),$O$2:$O$1001,0),1)&gt;=100000,INDEX($V$1005:$AE$1005,1,MATCH(COLUMNS($V$1006:AA1006),$V$1006:$AE$1006,0))&gt;=100000), " ",IF(INDEX($V$2:$AE$1001,MATCH(ROWS($O$2:O123),$O$2:$O$1001,0),MATCH(COLUMNS($V$1006:AA1006),$V$1006:$AE$1006,0)), HYPERLINK("#",""), HYPERLINK(CONCATENATE("#Metadata!", ADDRESS(INDEX($Q$2:$Q$1001,MATCH(ROWS($O$2:O123),$O$2:$O$1001,0),0), INDEX($V$1004:$AE$1004,1,MATCH(COLUMNS($V$1006:AA1006),$V$1006:$AE$1006,0)))),"Fix")))</f>
        <v>0</v>
      </c>
      <c r="H123" s="3">
        <f>IF(OR(INDEX($P$2:$P$1001,MATCH(ROWS($O$2:O123),$O$2:$O$1001,0),1)&gt;=100000,INDEX($V$1005:$AE$1005,1,MATCH(COLUMNS($V$1006:AB1006),$V$1006:$AE$1006,0))&gt;=100000), " ",IF(INDEX($V$2:$AE$1001,MATCH(ROWS($O$2:O123),$O$2:$O$1001,0),MATCH(COLUMNS($V$1006:AB1006),$V$1006:$AE$1006,0)), HYPERLINK("#",""), HYPERLINK(CONCATENATE("#Metadata!", ADDRESS(INDEX($Q$2:$Q$1001,MATCH(ROWS($O$2:O123),$O$2:$O$1001,0),0), INDEX($V$1004:$AE$1004,1,MATCH(COLUMNS($V$1006:AB1006),$V$1006:$AE$1006,0)))),"Fix")))</f>
        <v>0</v>
      </c>
      <c r="I123" s="3">
        <f>IF(OR(INDEX($P$2:$P$1001,MATCH(ROWS($O$2:O123),$O$2:$O$1001,0),1)&gt;=100000,INDEX($V$1005:$AE$1005,1,MATCH(COLUMNS($V$1006:AC1006),$V$1006:$AE$1006,0))&gt;=100000), " ",IF(INDEX($V$2:$AE$1001,MATCH(ROWS($O$2:O123),$O$2:$O$1001,0),MATCH(COLUMNS($V$1006:AC1006),$V$1006:$AE$1006,0)), HYPERLINK("#",""), HYPERLINK(CONCATENATE("#Metadata!", ADDRESS(INDEX($Q$2:$Q$1001,MATCH(ROWS($O$2:O123),$O$2:$O$1001,0),0), INDEX($V$1004:$AE$1004,1,MATCH(COLUMNS($V$1006:AC1006),$V$1006:$AE$1006,0)))),"Fix")))</f>
        <v>0</v>
      </c>
      <c r="J123" s="3">
        <f>IF(OR(INDEX($P$2:$P$1001,MATCH(ROWS($O$2:O123),$O$2:$O$1001,0),1)&gt;=100000,INDEX($V$1005:$AE$1005,1,MATCH(COLUMNS($V$1006:AD1006),$V$1006:$AE$1006,0))&gt;=100000), " ",IF(INDEX($V$2:$AE$1001,MATCH(ROWS($O$2:O123),$O$2:$O$1001,0),MATCH(COLUMNS($V$1006:AD1006),$V$1006:$AE$1006,0)), HYPERLINK("#",""), HYPERLINK(CONCATENATE("#Metadata!", ADDRESS(INDEX($Q$2:$Q$1001,MATCH(ROWS($O$2:O123),$O$2:$O$1001,0),0), INDEX($V$1004:$AE$1004,1,MATCH(COLUMNS($V$1006:AD1006),$V$1006:$AE$1006,0)))),"Fix")))</f>
        <v>0</v>
      </c>
      <c r="K123" s="3">
        <f>IF(OR(INDEX($P$2:$P$1001,MATCH(ROWS($O$2:O123),$O$2:$O$1001,0),1)&gt;=100000,INDEX($V$1005:$AE$1005,1,MATCH(COLUMNS($V$1006:AE1006),$V$1006:$AE$1006,0))&gt;=100000), " ",IF(INDEX($V$2:$AE$1001,MATCH(ROWS($O$2:O123),$O$2:$O$1001,0),MATCH(COLUMNS($V$1006:AE1006),$V$1006:$AE$1006,0)), HYPERLINK("#",""), HYPERLINK(CONCATENATE("#Metadata!", ADDRESS(INDEX($Q$2:$Q$1001,MATCH(ROWS($O$2:O123),$O$2:$O$1001,0),0), INDEX($V$1004:$AE$1004,1,MATCH(COLUMNS($V$1006:AE1006),$V$1006:$AE$1006,0)))),"Fix")))</f>
        <v>0</v>
      </c>
      <c r="O123">
        <v>0</v>
      </c>
      <c r="P123">
        <v>0</v>
      </c>
      <c r="Q123">
        <v>0</v>
      </c>
      <c r="R123">
        <f>IF(S123,TRUE,AND(V123:AE123))</f>
        <v>0</v>
      </c>
      <c r="S123">
        <f>COUNTBLANK(Metadata!B123:K123)=COLUMNS(Metadata!B123:K123)</f>
        <v>0</v>
      </c>
      <c r="T123">
        <v>0</v>
      </c>
      <c r="V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W123">
        <f>AND(IF(Metadata!C123="",FALSE,TRUE),exact(Metadata!C123,"animal secretion"))</f>
        <v>0</v>
      </c>
      <c r="X123">
        <f>AND(IF(Metadata!D123="",FALSE,TRUE),exact(Metadata!D123,"saliva"))</f>
        <v>0</v>
      </c>
      <c r="Y123">
        <f>AND(IF(Metadata!E123="",FALSE,TRUE),exact(Metadata!E123,"human-oral"))</f>
        <v>0</v>
      </c>
      <c r="Z123">
        <f>AND(IF(Metadata!F123="",FALSE,TRUE),exact(Metadata!F123,"UBERON:oral cavity"))</f>
        <v>0</v>
      </c>
      <c r="AA123">
        <f>AND(IF(Metadata!G123="",FALSE,TRUE),exact(Metadata!G123,"UBERON:saliva"))</f>
        <v>0</v>
      </c>
      <c r="AB123">
        <f>AND(IF(Metadata!H123="",FALSE,TRUE),exact(Metadata!H123,"UBERON:tongue"))</f>
        <v>0</v>
      </c>
      <c r="AC123">
        <f>AND(IF(Metadata!I123="",FALSE,TRUE),exact(Metadata!I123,"tongue"))</f>
        <v>0</v>
      </c>
      <c r="AD123">
        <f>AND(IF(Metadata!J123="",FALSE,TRUE),exact(Metadata!J123,"human oral metagenome"))</f>
        <v>0</v>
      </c>
      <c r="AE123">
        <f>AND(IF(Metadata!K123="",FALSE,TRUE),exact(Metadata!K123,"447426"))</f>
        <v>0</v>
      </c>
    </row>
    <row r="124" spans="1:31">
      <c r="A124" s="4">
        <f>IF(B124=" "," ",HYPERLINK(CONCATENATE("#metadata!",ADDRESS(INDEX($Q$2:$Q$1001,MATCH(ROWS($O$2:O124),$O$2:$O$1001,0),0),1)),INDEX($T$2:$T$1001,MATCH(ROWS($O$2:O124),$O$2:$O$1001,0),0)))</f>
        <v>0</v>
      </c>
      <c r="B124" s="3">
        <f>IF(OR(INDEX($P$2:$P$1001,MATCH(ROWS($O$2:O124),$O$2:$O$1001,0),1)&gt;=100000,INDEX($V$1005:$AE$1005,1,MATCH(COLUMNS($V$1006:V1006),$V$1006:$AE$1006,0))&gt;=100000), " ",IF(INDEX($V$2:$AE$1001,MATCH(ROWS($O$2:O124),$O$2:$O$1001,0),MATCH(COLUMNS($V$1006:V1006),$V$1006:$AE$1006,0)), HYPERLINK("#",""), HYPERLINK(CONCATENATE("#Metadata!", ADDRESS(INDEX($Q$2:$Q$1001,MATCH(ROWS($O$2:O124),$O$2:$O$1001,0),0), INDEX($V$1004:$AE$1004,1,MATCH(COLUMNS($V$1006:V1006),$V$1006:$AE$1006,0)))),"Fix")))</f>
        <v>0</v>
      </c>
      <c r="C124" s="3">
        <f>IF(OR(INDEX($P$2:$P$1001,MATCH(ROWS($O$2:O124),$O$2:$O$1001,0),1)&gt;=100000,INDEX($V$1005:$AE$1005,1,MATCH(COLUMNS($V$1006:W1006),$V$1006:$AE$1006,0))&gt;=100000), " ",IF(INDEX($V$2:$AE$1001,MATCH(ROWS($O$2:O124),$O$2:$O$1001,0),MATCH(COLUMNS($V$1006:W1006),$V$1006:$AE$1006,0)), HYPERLINK("#",""), HYPERLINK(CONCATENATE("#Metadata!", ADDRESS(INDEX($Q$2:$Q$1001,MATCH(ROWS($O$2:O124),$O$2:$O$1001,0),0), INDEX($V$1004:$AE$1004,1,MATCH(COLUMNS($V$1006:W1006),$V$1006:$AE$1006,0)))),"Fix")))</f>
        <v>0</v>
      </c>
      <c r="D124" s="3">
        <f>IF(OR(INDEX($P$2:$P$1001,MATCH(ROWS($O$2:O124),$O$2:$O$1001,0),1)&gt;=100000,INDEX($V$1005:$AE$1005,1,MATCH(COLUMNS($V$1006:X1006),$V$1006:$AE$1006,0))&gt;=100000), " ",IF(INDEX($V$2:$AE$1001,MATCH(ROWS($O$2:O124),$O$2:$O$1001,0),MATCH(COLUMNS($V$1006:X1006),$V$1006:$AE$1006,0)), HYPERLINK("#",""), HYPERLINK(CONCATENATE("#Metadata!", ADDRESS(INDEX($Q$2:$Q$1001,MATCH(ROWS($O$2:O124),$O$2:$O$1001,0),0), INDEX($V$1004:$AE$1004,1,MATCH(COLUMNS($V$1006:X1006),$V$1006:$AE$1006,0)))),"Fix")))</f>
        <v>0</v>
      </c>
      <c r="E124" s="3">
        <f>IF(OR(INDEX($P$2:$P$1001,MATCH(ROWS($O$2:O124),$O$2:$O$1001,0),1)&gt;=100000,INDEX($V$1005:$AE$1005,1,MATCH(COLUMNS($V$1006:Y1006),$V$1006:$AE$1006,0))&gt;=100000), " ",IF(INDEX($V$2:$AE$1001,MATCH(ROWS($O$2:O124),$O$2:$O$1001,0),MATCH(COLUMNS($V$1006:Y1006),$V$1006:$AE$1006,0)), HYPERLINK("#",""), HYPERLINK(CONCATENATE("#Metadata!", ADDRESS(INDEX($Q$2:$Q$1001,MATCH(ROWS($O$2:O124),$O$2:$O$1001,0),0), INDEX($V$1004:$AE$1004,1,MATCH(COLUMNS($V$1006:Y1006),$V$1006:$AE$1006,0)))),"Fix")))</f>
        <v>0</v>
      </c>
      <c r="F124" s="3">
        <f>IF(OR(INDEX($P$2:$P$1001,MATCH(ROWS($O$2:O124),$O$2:$O$1001,0),1)&gt;=100000,INDEX($V$1005:$AE$1005,1,MATCH(COLUMNS($V$1006:Z1006),$V$1006:$AE$1006,0))&gt;=100000), " ",IF(INDEX($V$2:$AE$1001,MATCH(ROWS($O$2:O124),$O$2:$O$1001,0),MATCH(COLUMNS($V$1006:Z1006),$V$1006:$AE$1006,0)), HYPERLINK("#",""), HYPERLINK(CONCATENATE("#Metadata!", ADDRESS(INDEX($Q$2:$Q$1001,MATCH(ROWS($O$2:O124),$O$2:$O$1001,0),0), INDEX($V$1004:$AE$1004,1,MATCH(COLUMNS($V$1006:Z1006),$V$1006:$AE$1006,0)))),"Fix")))</f>
        <v>0</v>
      </c>
      <c r="G124" s="3">
        <f>IF(OR(INDEX($P$2:$P$1001,MATCH(ROWS($O$2:O124),$O$2:$O$1001,0),1)&gt;=100000,INDEX($V$1005:$AE$1005,1,MATCH(COLUMNS($V$1006:AA1006),$V$1006:$AE$1006,0))&gt;=100000), " ",IF(INDEX($V$2:$AE$1001,MATCH(ROWS($O$2:O124),$O$2:$O$1001,0),MATCH(COLUMNS($V$1006:AA1006),$V$1006:$AE$1006,0)), HYPERLINK("#",""), HYPERLINK(CONCATENATE("#Metadata!", ADDRESS(INDEX($Q$2:$Q$1001,MATCH(ROWS($O$2:O124),$O$2:$O$1001,0),0), INDEX($V$1004:$AE$1004,1,MATCH(COLUMNS($V$1006:AA1006),$V$1006:$AE$1006,0)))),"Fix")))</f>
        <v>0</v>
      </c>
      <c r="H124" s="3">
        <f>IF(OR(INDEX($P$2:$P$1001,MATCH(ROWS($O$2:O124),$O$2:$O$1001,0),1)&gt;=100000,INDEX($V$1005:$AE$1005,1,MATCH(COLUMNS($V$1006:AB1006),$V$1006:$AE$1006,0))&gt;=100000), " ",IF(INDEX($V$2:$AE$1001,MATCH(ROWS($O$2:O124),$O$2:$O$1001,0),MATCH(COLUMNS($V$1006:AB1006),$V$1006:$AE$1006,0)), HYPERLINK("#",""), HYPERLINK(CONCATENATE("#Metadata!", ADDRESS(INDEX($Q$2:$Q$1001,MATCH(ROWS($O$2:O124),$O$2:$O$1001,0),0), INDEX($V$1004:$AE$1004,1,MATCH(COLUMNS($V$1006:AB1006),$V$1006:$AE$1006,0)))),"Fix")))</f>
        <v>0</v>
      </c>
      <c r="I124" s="3">
        <f>IF(OR(INDEX($P$2:$P$1001,MATCH(ROWS($O$2:O124),$O$2:$O$1001,0),1)&gt;=100000,INDEX($V$1005:$AE$1005,1,MATCH(COLUMNS($V$1006:AC1006),$V$1006:$AE$1006,0))&gt;=100000), " ",IF(INDEX($V$2:$AE$1001,MATCH(ROWS($O$2:O124),$O$2:$O$1001,0),MATCH(COLUMNS($V$1006:AC1006),$V$1006:$AE$1006,0)), HYPERLINK("#",""), HYPERLINK(CONCATENATE("#Metadata!", ADDRESS(INDEX($Q$2:$Q$1001,MATCH(ROWS($O$2:O124),$O$2:$O$1001,0),0), INDEX($V$1004:$AE$1004,1,MATCH(COLUMNS($V$1006:AC1006),$V$1006:$AE$1006,0)))),"Fix")))</f>
        <v>0</v>
      </c>
      <c r="J124" s="3">
        <f>IF(OR(INDEX($P$2:$P$1001,MATCH(ROWS($O$2:O124),$O$2:$O$1001,0),1)&gt;=100000,INDEX($V$1005:$AE$1005,1,MATCH(COLUMNS($V$1006:AD1006),$V$1006:$AE$1006,0))&gt;=100000), " ",IF(INDEX($V$2:$AE$1001,MATCH(ROWS($O$2:O124),$O$2:$O$1001,0),MATCH(COLUMNS($V$1006:AD1006),$V$1006:$AE$1006,0)), HYPERLINK("#",""), HYPERLINK(CONCATENATE("#Metadata!", ADDRESS(INDEX($Q$2:$Q$1001,MATCH(ROWS($O$2:O124),$O$2:$O$1001,0),0), INDEX($V$1004:$AE$1004,1,MATCH(COLUMNS($V$1006:AD1006),$V$1006:$AE$1006,0)))),"Fix")))</f>
        <v>0</v>
      </c>
      <c r="K124" s="3">
        <f>IF(OR(INDEX($P$2:$P$1001,MATCH(ROWS($O$2:O124),$O$2:$O$1001,0),1)&gt;=100000,INDEX($V$1005:$AE$1005,1,MATCH(COLUMNS($V$1006:AE1006),$V$1006:$AE$1006,0))&gt;=100000), " ",IF(INDEX($V$2:$AE$1001,MATCH(ROWS($O$2:O124),$O$2:$O$1001,0),MATCH(COLUMNS($V$1006:AE1006),$V$1006:$AE$1006,0)), HYPERLINK("#",""), HYPERLINK(CONCATENATE("#Metadata!", ADDRESS(INDEX($Q$2:$Q$1001,MATCH(ROWS($O$2:O124),$O$2:$O$1001,0),0), INDEX($V$1004:$AE$1004,1,MATCH(COLUMNS($V$1006:AE1006),$V$1006:$AE$1006,0)))),"Fix")))</f>
        <v>0</v>
      </c>
      <c r="O124">
        <v>0</v>
      </c>
      <c r="P124">
        <v>0</v>
      </c>
      <c r="Q124">
        <v>0</v>
      </c>
      <c r="R124">
        <f>IF(S124,TRUE,AND(V124:AE124))</f>
        <v>0</v>
      </c>
      <c r="S124">
        <f>COUNTBLANK(Metadata!B124:K124)=COLUMNS(Metadata!B124:K124)</f>
        <v>0</v>
      </c>
      <c r="T124">
        <v>0</v>
      </c>
      <c r="V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W124">
        <f>AND(IF(Metadata!C124="",FALSE,TRUE),exact(Metadata!C124,"animal secretion"))</f>
        <v>0</v>
      </c>
      <c r="X124">
        <f>AND(IF(Metadata!D124="",FALSE,TRUE),exact(Metadata!D124,"saliva"))</f>
        <v>0</v>
      </c>
      <c r="Y124">
        <f>AND(IF(Metadata!E124="",FALSE,TRUE),exact(Metadata!E124,"human-oral"))</f>
        <v>0</v>
      </c>
      <c r="Z124">
        <f>AND(IF(Metadata!F124="",FALSE,TRUE),exact(Metadata!F124,"UBERON:oral cavity"))</f>
        <v>0</v>
      </c>
      <c r="AA124">
        <f>AND(IF(Metadata!G124="",FALSE,TRUE),exact(Metadata!G124,"UBERON:saliva"))</f>
        <v>0</v>
      </c>
      <c r="AB124">
        <f>AND(IF(Metadata!H124="",FALSE,TRUE),exact(Metadata!H124,"UBERON:tongue"))</f>
        <v>0</v>
      </c>
      <c r="AC124">
        <f>AND(IF(Metadata!I124="",FALSE,TRUE),exact(Metadata!I124,"tongue"))</f>
        <v>0</v>
      </c>
      <c r="AD124">
        <f>AND(IF(Metadata!J124="",FALSE,TRUE),exact(Metadata!J124,"human oral metagenome"))</f>
        <v>0</v>
      </c>
      <c r="AE124">
        <f>AND(IF(Metadata!K124="",FALSE,TRUE),exact(Metadata!K124,"447426"))</f>
        <v>0</v>
      </c>
    </row>
    <row r="125" spans="1:31">
      <c r="A125" s="4">
        <f>IF(B125=" "," ",HYPERLINK(CONCATENATE("#metadata!",ADDRESS(INDEX($Q$2:$Q$1001,MATCH(ROWS($O$2:O125),$O$2:$O$1001,0),0),1)),INDEX($T$2:$T$1001,MATCH(ROWS($O$2:O125),$O$2:$O$1001,0),0)))</f>
        <v>0</v>
      </c>
      <c r="B125" s="3">
        <f>IF(OR(INDEX($P$2:$P$1001,MATCH(ROWS($O$2:O125),$O$2:$O$1001,0),1)&gt;=100000,INDEX($V$1005:$AE$1005,1,MATCH(COLUMNS($V$1006:V1006),$V$1006:$AE$1006,0))&gt;=100000), " ",IF(INDEX($V$2:$AE$1001,MATCH(ROWS($O$2:O125),$O$2:$O$1001,0),MATCH(COLUMNS($V$1006:V1006),$V$1006:$AE$1006,0)), HYPERLINK("#",""), HYPERLINK(CONCATENATE("#Metadata!", ADDRESS(INDEX($Q$2:$Q$1001,MATCH(ROWS($O$2:O125),$O$2:$O$1001,0),0), INDEX($V$1004:$AE$1004,1,MATCH(COLUMNS($V$1006:V1006),$V$1006:$AE$1006,0)))),"Fix")))</f>
        <v>0</v>
      </c>
      <c r="C125" s="3">
        <f>IF(OR(INDEX($P$2:$P$1001,MATCH(ROWS($O$2:O125),$O$2:$O$1001,0),1)&gt;=100000,INDEX($V$1005:$AE$1005,1,MATCH(COLUMNS($V$1006:W1006),$V$1006:$AE$1006,0))&gt;=100000), " ",IF(INDEX($V$2:$AE$1001,MATCH(ROWS($O$2:O125),$O$2:$O$1001,0),MATCH(COLUMNS($V$1006:W1006),$V$1006:$AE$1006,0)), HYPERLINK("#",""), HYPERLINK(CONCATENATE("#Metadata!", ADDRESS(INDEX($Q$2:$Q$1001,MATCH(ROWS($O$2:O125),$O$2:$O$1001,0),0), INDEX($V$1004:$AE$1004,1,MATCH(COLUMNS($V$1006:W1006),$V$1006:$AE$1006,0)))),"Fix")))</f>
        <v>0</v>
      </c>
      <c r="D125" s="3">
        <f>IF(OR(INDEX($P$2:$P$1001,MATCH(ROWS($O$2:O125),$O$2:$O$1001,0),1)&gt;=100000,INDEX($V$1005:$AE$1005,1,MATCH(COLUMNS($V$1006:X1006),$V$1006:$AE$1006,0))&gt;=100000), " ",IF(INDEX($V$2:$AE$1001,MATCH(ROWS($O$2:O125),$O$2:$O$1001,0),MATCH(COLUMNS($V$1006:X1006),$V$1006:$AE$1006,0)), HYPERLINK("#",""), HYPERLINK(CONCATENATE("#Metadata!", ADDRESS(INDEX($Q$2:$Q$1001,MATCH(ROWS($O$2:O125),$O$2:$O$1001,0),0), INDEX($V$1004:$AE$1004,1,MATCH(COLUMNS($V$1006:X1006),$V$1006:$AE$1006,0)))),"Fix")))</f>
        <v>0</v>
      </c>
      <c r="E125" s="3">
        <f>IF(OR(INDEX($P$2:$P$1001,MATCH(ROWS($O$2:O125),$O$2:$O$1001,0),1)&gt;=100000,INDEX($V$1005:$AE$1005,1,MATCH(COLUMNS($V$1006:Y1006),$V$1006:$AE$1006,0))&gt;=100000), " ",IF(INDEX($V$2:$AE$1001,MATCH(ROWS($O$2:O125),$O$2:$O$1001,0),MATCH(COLUMNS($V$1006:Y1006),$V$1006:$AE$1006,0)), HYPERLINK("#",""), HYPERLINK(CONCATENATE("#Metadata!", ADDRESS(INDEX($Q$2:$Q$1001,MATCH(ROWS($O$2:O125),$O$2:$O$1001,0),0), INDEX($V$1004:$AE$1004,1,MATCH(COLUMNS($V$1006:Y1006),$V$1006:$AE$1006,0)))),"Fix")))</f>
        <v>0</v>
      </c>
      <c r="F125" s="3">
        <f>IF(OR(INDEX($P$2:$P$1001,MATCH(ROWS($O$2:O125),$O$2:$O$1001,0),1)&gt;=100000,INDEX($V$1005:$AE$1005,1,MATCH(COLUMNS($V$1006:Z1006),$V$1006:$AE$1006,0))&gt;=100000), " ",IF(INDEX($V$2:$AE$1001,MATCH(ROWS($O$2:O125),$O$2:$O$1001,0),MATCH(COLUMNS($V$1006:Z1006),$V$1006:$AE$1006,0)), HYPERLINK("#",""), HYPERLINK(CONCATENATE("#Metadata!", ADDRESS(INDEX($Q$2:$Q$1001,MATCH(ROWS($O$2:O125),$O$2:$O$1001,0),0), INDEX($V$1004:$AE$1004,1,MATCH(COLUMNS($V$1006:Z1006),$V$1006:$AE$1006,0)))),"Fix")))</f>
        <v>0</v>
      </c>
      <c r="G125" s="3">
        <f>IF(OR(INDEX($P$2:$P$1001,MATCH(ROWS($O$2:O125),$O$2:$O$1001,0),1)&gt;=100000,INDEX($V$1005:$AE$1005,1,MATCH(COLUMNS($V$1006:AA1006),$V$1006:$AE$1006,0))&gt;=100000), " ",IF(INDEX($V$2:$AE$1001,MATCH(ROWS($O$2:O125),$O$2:$O$1001,0),MATCH(COLUMNS($V$1006:AA1006),$V$1006:$AE$1006,0)), HYPERLINK("#",""), HYPERLINK(CONCATENATE("#Metadata!", ADDRESS(INDEX($Q$2:$Q$1001,MATCH(ROWS($O$2:O125),$O$2:$O$1001,0),0), INDEX($V$1004:$AE$1004,1,MATCH(COLUMNS($V$1006:AA1006),$V$1006:$AE$1006,0)))),"Fix")))</f>
        <v>0</v>
      </c>
      <c r="H125" s="3">
        <f>IF(OR(INDEX($P$2:$P$1001,MATCH(ROWS($O$2:O125),$O$2:$O$1001,0),1)&gt;=100000,INDEX($V$1005:$AE$1005,1,MATCH(COLUMNS($V$1006:AB1006),$V$1006:$AE$1006,0))&gt;=100000), " ",IF(INDEX($V$2:$AE$1001,MATCH(ROWS($O$2:O125),$O$2:$O$1001,0),MATCH(COLUMNS($V$1006:AB1006),$V$1006:$AE$1006,0)), HYPERLINK("#",""), HYPERLINK(CONCATENATE("#Metadata!", ADDRESS(INDEX($Q$2:$Q$1001,MATCH(ROWS($O$2:O125),$O$2:$O$1001,0),0), INDEX($V$1004:$AE$1004,1,MATCH(COLUMNS($V$1006:AB1006),$V$1006:$AE$1006,0)))),"Fix")))</f>
        <v>0</v>
      </c>
      <c r="I125" s="3">
        <f>IF(OR(INDEX($P$2:$P$1001,MATCH(ROWS($O$2:O125),$O$2:$O$1001,0),1)&gt;=100000,INDEX($V$1005:$AE$1005,1,MATCH(COLUMNS($V$1006:AC1006),$V$1006:$AE$1006,0))&gt;=100000), " ",IF(INDEX($V$2:$AE$1001,MATCH(ROWS($O$2:O125),$O$2:$O$1001,0),MATCH(COLUMNS($V$1006:AC1006),$V$1006:$AE$1006,0)), HYPERLINK("#",""), HYPERLINK(CONCATENATE("#Metadata!", ADDRESS(INDEX($Q$2:$Q$1001,MATCH(ROWS($O$2:O125),$O$2:$O$1001,0),0), INDEX($V$1004:$AE$1004,1,MATCH(COLUMNS($V$1006:AC1006),$V$1006:$AE$1006,0)))),"Fix")))</f>
        <v>0</v>
      </c>
      <c r="J125" s="3">
        <f>IF(OR(INDEX($P$2:$P$1001,MATCH(ROWS($O$2:O125),$O$2:$O$1001,0),1)&gt;=100000,INDEX($V$1005:$AE$1005,1,MATCH(COLUMNS($V$1006:AD1006),$V$1006:$AE$1006,0))&gt;=100000), " ",IF(INDEX($V$2:$AE$1001,MATCH(ROWS($O$2:O125),$O$2:$O$1001,0),MATCH(COLUMNS($V$1006:AD1006),$V$1006:$AE$1006,0)), HYPERLINK("#",""), HYPERLINK(CONCATENATE("#Metadata!", ADDRESS(INDEX($Q$2:$Q$1001,MATCH(ROWS($O$2:O125),$O$2:$O$1001,0),0), INDEX($V$1004:$AE$1004,1,MATCH(COLUMNS($V$1006:AD1006),$V$1006:$AE$1006,0)))),"Fix")))</f>
        <v>0</v>
      </c>
      <c r="K125" s="3">
        <f>IF(OR(INDEX($P$2:$P$1001,MATCH(ROWS($O$2:O125),$O$2:$O$1001,0),1)&gt;=100000,INDEX($V$1005:$AE$1005,1,MATCH(COLUMNS($V$1006:AE1006),$V$1006:$AE$1006,0))&gt;=100000), " ",IF(INDEX($V$2:$AE$1001,MATCH(ROWS($O$2:O125),$O$2:$O$1001,0),MATCH(COLUMNS($V$1006:AE1006),$V$1006:$AE$1006,0)), HYPERLINK("#",""), HYPERLINK(CONCATENATE("#Metadata!", ADDRESS(INDEX($Q$2:$Q$1001,MATCH(ROWS($O$2:O125),$O$2:$O$1001,0),0), INDEX($V$1004:$AE$1004,1,MATCH(COLUMNS($V$1006:AE1006),$V$1006:$AE$1006,0)))),"Fix")))</f>
        <v>0</v>
      </c>
      <c r="O125">
        <v>0</v>
      </c>
      <c r="P125">
        <v>0</v>
      </c>
      <c r="Q125">
        <v>0</v>
      </c>
      <c r="R125">
        <f>IF(S125,TRUE,AND(V125:AE125))</f>
        <v>0</v>
      </c>
      <c r="S125">
        <f>COUNTBLANK(Metadata!B125:K125)=COLUMNS(Metadata!B125:K125)</f>
        <v>0</v>
      </c>
      <c r="T125">
        <v>0</v>
      </c>
      <c r="V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W125">
        <f>AND(IF(Metadata!C125="",FALSE,TRUE),exact(Metadata!C125,"animal secretion"))</f>
        <v>0</v>
      </c>
      <c r="X125">
        <f>AND(IF(Metadata!D125="",FALSE,TRUE),exact(Metadata!D125,"saliva"))</f>
        <v>0</v>
      </c>
      <c r="Y125">
        <f>AND(IF(Metadata!E125="",FALSE,TRUE),exact(Metadata!E125,"human-oral"))</f>
        <v>0</v>
      </c>
      <c r="Z125">
        <f>AND(IF(Metadata!F125="",FALSE,TRUE),exact(Metadata!F125,"UBERON:oral cavity"))</f>
        <v>0</v>
      </c>
      <c r="AA125">
        <f>AND(IF(Metadata!G125="",FALSE,TRUE),exact(Metadata!G125,"UBERON:saliva"))</f>
        <v>0</v>
      </c>
      <c r="AB125">
        <f>AND(IF(Metadata!H125="",FALSE,TRUE),exact(Metadata!H125,"UBERON:tongue"))</f>
        <v>0</v>
      </c>
      <c r="AC125">
        <f>AND(IF(Metadata!I125="",FALSE,TRUE),exact(Metadata!I125,"tongue"))</f>
        <v>0</v>
      </c>
      <c r="AD125">
        <f>AND(IF(Metadata!J125="",FALSE,TRUE),exact(Metadata!J125,"human oral metagenome"))</f>
        <v>0</v>
      </c>
      <c r="AE125">
        <f>AND(IF(Metadata!K125="",FALSE,TRUE),exact(Metadata!K125,"447426"))</f>
        <v>0</v>
      </c>
    </row>
    <row r="126" spans="1:31">
      <c r="A126" s="4">
        <f>IF(B126=" "," ",HYPERLINK(CONCATENATE("#metadata!",ADDRESS(INDEX($Q$2:$Q$1001,MATCH(ROWS($O$2:O126),$O$2:$O$1001,0),0),1)),INDEX($T$2:$T$1001,MATCH(ROWS($O$2:O126),$O$2:$O$1001,0),0)))</f>
        <v>0</v>
      </c>
      <c r="B126" s="3">
        <f>IF(OR(INDEX($P$2:$P$1001,MATCH(ROWS($O$2:O126),$O$2:$O$1001,0),1)&gt;=100000,INDEX($V$1005:$AE$1005,1,MATCH(COLUMNS($V$1006:V1006),$V$1006:$AE$1006,0))&gt;=100000), " ",IF(INDEX($V$2:$AE$1001,MATCH(ROWS($O$2:O126),$O$2:$O$1001,0),MATCH(COLUMNS($V$1006:V1006),$V$1006:$AE$1006,0)), HYPERLINK("#",""), HYPERLINK(CONCATENATE("#Metadata!", ADDRESS(INDEX($Q$2:$Q$1001,MATCH(ROWS($O$2:O126),$O$2:$O$1001,0),0), INDEX($V$1004:$AE$1004,1,MATCH(COLUMNS($V$1006:V1006),$V$1006:$AE$1006,0)))),"Fix")))</f>
        <v>0</v>
      </c>
      <c r="C126" s="3">
        <f>IF(OR(INDEX($P$2:$P$1001,MATCH(ROWS($O$2:O126),$O$2:$O$1001,0),1)&gt;=100000,INDEX($V$1005:$AE$1005,1,MATCH(COLUMNS($V$1006:W1006),$V$1006:$AE$1006,0))&gt;=100000), " ",IF(INDEX($V$2:$AE$1001,MATCH(ROWS($O$2:O126),$O$2:$O$1001,0),MATCH(COLUMNS($V$1006:W1006),$V$1006:$AE$1006,0)), HYPERLINK("#",""), HYPERLINK(CONCATENATE("#Metadata!", ADDRESS(INDEX($Q$2:$Q$1001,MATCH(ROWS($O$2:O126),$O$2:$O$1001,0),0), INDEX($V$1004:$AE$1004,1,MATCH(COLUMNS($V$1006:W1006),$V$1006:$AE$1006,0)))),"Fix")))</f>
        <v>0</v>
      </c>
      <c r="D126" s="3">
        <f>IF(OR(INDEX($P$2:$P$1001,MATCH(ROWS($O$2:O126),$O$2:$O$1001,0),1)&gt;=100000,INDEX($V$1005:$AE$1005,1,MATCH(COLUMNS($V$1006:X1006),$V$1006:$AE$1006,0))&gt;=100000), " ",IF(INDEX($V$2:$AE$1001,MATCH(ROWS($O$2:O126),$O$2:$O$1001,0),MATCH(COLUMNS($V$1006:X1006),$V$1006:$AE$1006,0)), HYPERLINK("#",""), HYPERLINK(CONCATENATE("#Metadata!", ADDRESS(INDEX($Q$2:$Q$1001,MATCH(ROWS($O$2:O126),$O$2:$O$1001,0),0), INDEX($V$1004:$AE$1004,1,MATCH(COLUMNS($V$1006:X1006),$V$1006:$AE$1006,0)))),"Fix")))</f>
        <v>0</v>
      </c>
      <c r="E126" s="3">
        <f>IF(OR(INDEX($P$2:$P$1001,MATCH(ROWS($O$2:O126),$O$2:$O$1001,0),1)&gt;=100000,INDEX($V$1005:$AE$1005,1,MATCH(COLUMNS($V$1006:Y1006),$V$1006:$AE$1006,0))&gt;=100000), " ",IF(INDEX($V$2:$AE$1001,MATCH(ROWS($O$2:O126),$O$2:$O$1001,0),MATCH(COLUMNS($V$1006:Y1006),$V$1006:$AE$1006,0)), HYPERLINK("#",""), HYPERLINK(CONCATENATE("#Metadata!", ADDRESS(INDEX($Q$2:$Q$1001,MATCH(ROWS($O$2:O126),$O$2:$O$1001,0),0), INDEX($V$1004:$AE$1004,1,MATCH(COLUMNS($V$1006:Y1006),$V$1006:$AE$1006,0)))),"Fix")))</f>
        <v>0</v>
      </c>
      <c r="F126" s="3">
        <f>IF(OR(INDEX($P$2:$P$1001,MATCH(ROWS($O$2:O126),$O$2:$O$1001,0),1)&gt;=100000,INDEX($V$1005:$AE$1005,1,MATCH(COLUMNS($V$1006:Z1006),$V$1006:$AE$1006,0))&gt;=100000), " ",IF(INDEX($V$2:$AE$1001,MATCH(ROWS($O$2:O126),$O$2:$O$1001,0),MATCH(COLUMNS($V$1006:Z1006),$V$1006:$AE$1006,0)), HYPERLINK("#",""), HYPERLINK(CONCATENATE("#Metadata!", ADDRESS(INDEX($Q$2:$Q$1001,MATCH(ROWS($O$2:O126),$O$2:$O$1001,0),0), INDEX($V$1004:$AE$1004,1,MATCH(COLUMNS($V$1006:Z1006),$V$1006:$AE$1006,0)))),"Fix")))</f>
        <v>0</v>
      </c>
      <c r="G126" s="3">
        <f>IF(OR(INDEX($P$2:$P$1001,MATCH(ROWS($O$2:O126),$O$2:$O$1001,0),1)&gt;=100000,INDEX($V$1005:$AE$1005,1,MATCH(COLUMNS($V$1006:AA1006),$V$1006:$AE$1006,0))&gt;=100000), " ",IF(INDEX($V$2:$AE$1001,MATCH(ROWS($O$2:O126),$O$2:$O$1001,0),MATCH(COLUMNS($V$1006:AA1006),$V$1006:$AE$1006,0)), HYPERLINK("#",""), HYPERLINK(CONCATENATE("#Metadata!", ADDRESS(INDEX($Q$2:$Q$1001,MATCH(ROWS($O$2:O126),$O$2:$O$1001,0),0), INDEX($V$1004:$AE$1004,1,MATCH(COLUMNS($V$1006:AA1006),$V$1006:$AE$1006,0)))),"Fix")))</f>
        <v>0</v>
      </c>
      <c r="H126" s="3">
        <f>IF(OR(INDEX($P$2:$P$1001,MATCH(ROWS($O$2:O126),$O$2:$O$1001,0),1)&gt;=100000,INDEX($V$1005:$AE$1005,1,MATCH(COLUMNS($V$1006:AB1006),$V$1006:$AE$1006,0))&gt;=100000), " ",IF(INDEX($V$2:$AE$1001,MATCH(ROWS($O$2:O126),$O$2:$O$1001,0),MATCH(COLUMNS($V$1006:AB1006),$V$1006:$AE$1006,0)), HYPERLINK("#",""), HYPERLINK(CONCATENATE("#Metadata!", ADDRESS(INDEX($Q$2:$Q$1001,MATCH(ROWS($O$2:O126),$O$2:$O$1001,0),0), INDEX($V$1004:$AE$1004,1,MATCH(COLUMNS($V$1006:AB1006),$V$1006:$AE$1006,0)))),"Fix")))</f>
        <v>0</v>
      </c>
      <c r="I126" s="3">
        <f>IF(OR(INDEX($P$2:$P$1001,MATCH(ROWS($O$2:O126),$O$2:$O$1001,0),1)&gt;=100000,INDEX($V$1005:$AE$1005,1,MATCH(COLUMNS($V$1006:AC1006),$V$1006:$AE$1006,0))&gt;=100000), " ",IF(INDEX($V$2:$AE$1001,MATCH(ROWS($O$2:O126),$O$2:$O$1001,0),MATCH(COLUMNS($V$1006:AC1006),$V$1006:$AE$1006,0)), HYPERLINK("#",""), HYPERLINK(CONCATENATE("#Metadata!", ADDRESS(INDEX($Q$2:$Q$1001,MATCH(ROWS($O$2:O126),$O$2:$O$1001,0),0), INDEX($V$1004:$AE$1004,1,MATCH(COLUMNS($V$1006:AC1006),$V$1006:$AE$1006,0)))),"Fix")))</f>
        <v>0</v>
      </c>
      <c r="J126" s="3">
        <f>IF(OR(INDEX($P$2:$P$1001,MATCH(ROWS($O$2:O126),$O$2:$O$1001,0),1)&gt;=100000,INDEX($V$1005:$AE$1005,1,MATCH(COLUMNS($V$1006:AD1006),$V$1006:$AE$1006,0))&gt;=100000), " ",IF(INDEX($V$2:$AE$1001,MATCH(ROWS($O$2:O126),$O$2:$O$1001,0),MATCH(COLUMNS($V$1006:AD1006),$V$1006:$AE$1006,0)), HYPERLINK("#",""), HYPERLINK(CONCATENATE("#Metadata!", ADDRESS(INDEX($Q$2:$Q$1001,MATCH(ROWS($O$2:O126),$O$2:$O$1001,0),0), INDEX($V$1004:$AE$1004,1,MATCH(COLUMNS($V$1006:AD1006),$V$1006:$AE$1006,0)))),"Fix")))</f>
        <v>0</v>
      </c>
      <c r="K126" s="3">
        <f>IF(OR(INDEX($P$2:$P$1001,MATCH(ROWS($O$2:O126),$O$2:$O$1001,0),1)&gt;=100000,INDEX($V$1005:$AE$1005,1,MATCH(COLUMNS($V$1006:AE1006),$V$1006:$AE$1006,0))&gt;=100000), " ",IF(INDEX($V$2:$AE$1001,MATCH(ROWS($O$2:O126),$O$2:$O$1001,0),MATCH(COLUMNS($V$1006:AE1006),$V$1006:$AE$1006,0)), HYPERLINK("#",""), HYPERLINK(CONCATENATE("#Metadata!", ADDRESS(INDEX($Q$2:$Q$1001,MATCH(ROWS($O$2:O126),$O$2:$O$1001,0),0), INDEX($V$1004:$AE$1004,1,MATCH(COLUMNS($V$1006:AE1006),$V$1006:$AE$1006,0)))),"Fix")))</f>
        <v>0</v>
      </c>
      <c r="O126">
        <v>0</v>
      </c>
      <c r="P126">
        <v>0</v>
      </c>
      <c r="Q126">
        <v>0</v>
      </c>
      <c r="R126">
        <f>IF(S126,TRUE,AND(V126:AE126))</f>
        <v>0</v>
      </c>
      <c r="S126">
        <f>COUNTBLANK(Metadata!B126:K126)=COLUMNS(Metadata!B126:K126)</f>
        <v>0</v>
      </c>
      <c r="T126">
        <v>0</v>
      </c>
      <c r="V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W126">
        <f>AND(IF(Metadata!C126="",FALSE,TRUE),exact(Metadata!C126,"animal secretion"))</f>
        <v>0</v>
      </c>
      <c r="X126">
        <f>AND(IF(Metadata!D126="",FALSE,TRUE),exact(Metadata!D126,"saliva"))</f>
        <v>0</v>
      </c>
      <c r="Y126">
        <f>AND(IF(Metadata!E126="",FALSE,TRUE),exact(Metadata!E126,"human-oral"))</f>
        <v>0</v>
      </c>
      <c r="Z126">
        <f>AND(IF(Metadata!F126="",FALSE,TRUE),exact(Metadata!F126,"UBERON:oral cavity"))</f>
        <v>0</v>
      </c>
      <c r="AA126">
        <f>AND(IF(Metadata!G126="",FALSE,TRUE),exact(Metadata!G126,"UBERON:saliva"))</f>
        <v>0</v>
      </c>
      <c r="AB126">
        <f>AND(IF(Metadata!H126="",FALSE,TRUE),exact(Metadata!H126,"UBERON:tongue"))</f>
        <v>0</v>
      </c>
      <c r="AC126">
        <f>AND(IF(Metadata!I126="",FALSE,TRUE),exact(Metadata!I126,"tongue"))</f>
        <v>0</v>
      </c>
      <c r="AD126">
        <f>AND(IF(Metadata!J126="",FALSE,TRUE),exact(Metadata!J126,"human oral metagenome"))</f>
        <v>0</v>
      </c>
      <c r="AE126">
        <f>AND(IF(Metadata!K126="",FALSE,TRUE),exact(Metadata!K126,"447426"))</f>
        <v>0</v>
      </c>
    </row>
    <row r="127" spans="1:31">
      <c r="A127" s="4">
        <f>IF(B127=" "," ",HYPERLINK(CONCATENATE("#metadata!",ADDRESS(INDEX($Q$2:$Q$1001,MATCH(ROWS($O$2:O127),$O$2:$O$1001,0),0),1)),INDEX($T$2:$T$1001,MATCH(ROWS($O$2:O127),$O$2:$O$1001,0),0)))</f>
        <v>0</v>
      </c>
      <c r="B127" s="3">
        <f>IF(OR(INDEX($P$2:$P$1001,MATCH(ROWS($O$2:O127),$O$2:$O$1001,0),1)&gt;=100000,INDEX($V$1005:$AE$1005,1,MATCH(COLUMNS($V$1006:V1006),$V$1006:$AE$1006,0))&gt;=100000), " ",IF(INDEX($V$2:$AE$1001,MATCH(ROWS($O$2:O127),$O$2:$O$1001,0),MATCH(COLUMNS($V$1006:V1006),$V$1006:$AE$1006,0)), HYPERLINK("#",""), HYPERLINK(CONCATENATE("#Metadata!", ADDRESS(INDEX($Q$2:$Q$1001,MATCH(ROWS($O$2:O127),$O$2:$O$1001,0),0), INDEX($V$1004:$AE$1004,1,MATCH(COLUMNS($V$1006:V1006),$V$1006:$AE$1006,0)))),"Fix")))</f>
        <v>0</v>
      </c>
      <c r="C127" s="3">
        <f>IF(OR(INDEX($P$2:$P$1001,MATCH(ROWS($O$2:O127),$O$2:$O$1001,0),1)&gt;=100000,INDEX($V$1005:$AE$1005,1,MATCH(COLUMNS($V$1006:W1006),$V$1006:$AE$1006,0))&gt;=100000), " ",IF(INDEX($V$2:$AE$1001,MATCH(ROWS($O$2:O127),$O$2:$O$1001,0),MATCH(COLUMNS($V$1006:W1006),$V$1006:$AE$1006,0)), HYPERLINK("#",""), HYPERLINK(CONCATENATE("#Metadata!", ADDRESS(INDEX($Q$2:$Q$1001,MATCH(ROWS($O$2:O127),$O$2:$O$1001,0),0), INDEX($V$1004:$AE$1004,1,MATCH(COLUMNS($V$1006:W1006),$V$1006:$AE$1006,0)))),"Fix")))</f>
        <v>0</v>
      </c>
      <c r="D127" s="3">
        <f>IF(OR(INDEX($P$2:$P$1001,MATCH(ROWS($O$2:O127),$O$2:$O$1001,0),1)&gt;=100000,INDEX($V$1005:$AE$1005,1,MATCH(COLUMNS($V$1006:X1006),$V$1006:$AE$1006,0))&gt;=100000), " ",IF(INDEX($V$2:$AE$1001,MATCH(ROWS($O$2:O127),$O$2:$O$1001,0),MATCH(COLUMNS($V$1006:X1006),$V$1006:$AE$1006,0)), HYPERLINK("#",""), HYPERLINK(CONCATENATE("#Metadata!", ADDRESS(INDEX($Q$2:$Q$1001,MATCH(ROWS($O$2:O127),$O$2:$O$1001,0),0), INDEX($V$1004:$AE$1004,1,MATCH(COLUMNS($V$1006:X1006),$V$1006:$AE$1006,0)))),"Fix")))</f>
        <v>0</v>
      </c>
      <c r="E127" s="3">
        <f>IF(OR(INDEX($P$2:$P$1001,MATCH(ROWS($O$2:O127),$O$2:$O$1001,0),1)&gt;=100000,INDEX($V$1005:$AE$1005,1,MATCH(COLUMNS($V$1006:Y1006),$V$1006:$AE$1006,0))&gt;=100000), " ",IF(INDEX($V$2:$AE$1001,MATCH(ROWS($O$2:O127),$O$2:$O$1001,0),MATCH(COLUMNS($V$1006:Y1006),$V$1006:$AE$1006,0)), HYPERLINK("#",""), HYPERLINK(CONCATENATE("#Metadata!", ADDRESS(INDEX($Q$2:$Q$1001,MATCH(ROWS($O$2:O127),$O$2:$O$1001,0),0), INDEX($V$1004:$AE$1004,1,MATCH(COLUMNS($V$1006:Y1006),$V$1006:$AE$1006,0)))),"Fix")))</f>
        <v>0</v>
      </c>
      <c r="F127" s="3">
        <f>IF(OR(INDEX($P$2:$P$1001,MATCH(ROWS($O$2:O127),$O$2:$O$1001,0),1)&gt;=100000,INDEX($V$1005:$AE$1005,1,MATCH(COLUMNS($V$1006:Z1006),$V$1006:$AE$1006,0))&gt;=100000), " ",IF(INDEX($V$2:$AE$1001,MATCH(ROWS($O$2:O127),$O$2:$O$1001,0),MATCH(COLUMNS($V$1006:Z1006),$V$1006:$AE$1006,0)), HYPERLINK("#",""), HYPERLINK(CONCATENATE("#Metadata!", ADDRESS(INDEX($Q$2:$Q$1001,MATCH(ROWS($O$2:O127),$O$2:$O$1001,0),0), INDEX($V$1004:$AE$1004,1,MATCH(COLUMNS($V$1006:Z1006),$V$1006:$AE$1006,0)))),"Fix")))</f>
        <v>0</v>
      </c>
      <c r="G127" s="3">
        <f>IF(OR(INDEX($P$2:$P$1001,MATCH(ROWS($O$2:O127),$O$2:$O$1001,0),1)&gt;=100000,INDEX($V$1005:$AE$1005,1,MATCH(COLUMNS($V$1006:AA1006),$V$1006:$AE$1006,0))&gt;=100000), " ",IF(INDEX($V$2:$AE$1001,MATCH(ROWS($O$2:O127),$O$2:$O$1001,0),MATCH(COLUMNS($V$1006:AA1006),$V$1006:$AE$1006,0)), HYPERLINK("#",""), HYPERLINK(CONCATENATE("#Metadata!", ADDRESS(INDEX($Q$2:$Q$1001,MATCH(ROWS($O$2:O127),$O$2:$O$1001,0),0), INDEX($V$1004:$AE$1004,1,MATCH(COLUMNS($V$1006:AA1006),$V$1006:$AE$1006,0)))),"Fix")))</f>
        <v>0</v>
      </c>
      <c r="H127" s="3">
        <f>IF(OR(INDEX($P$2:$P$1001,MATCH(ROWS($O$2:O127),$O$2:$O$1001,0),1)&gt;=100000,INDEX($V$1005:$AE$1005,1,MATCH(COLUMNS($V$1006:AB1006),$V$1006:$AE$1006,0))&gt;=100000), " ",IF(INDEX($V$2:$AE$1001,MATCH(ROWS($O$2:O127),$O$2:$O$1001,0),MATCH(COLUMNS($V$1006:AB1006),$V$1006:$AE$1006,0)), HYPERLINK("#",""), HYPERLINK(CONCATENATE("#Metadata!", ADDRESS(INDEX($Q$2:$Q$1001,MATCH(ROWS($O$2:O127),$O$2:$O$1001,0),0), INDEX($V$1004:$AE$1004,1,MATCH(COLUMNS($V$1006:AB1006),$V$1006:$AE$1006,0)))),"Fix")))</f>
        <v>0</v>
      </c>
      <c r="I127" s="3">
        <f>IF(OR(INDEX($P$2:$P$1001,MATCH(ROWS($O$2:O127),$O$2:$O$1001,0),1)&gt;=100000,INDEX($V$1005:$AE$1005,1,MATCH(COLUMNS($V$1006:AC1006),$V$1006:$AE$1006,0))&gt;=100000), " ",IF(INDEX($V$2:$AE$1001,MATCH(ROWS($O$2:O127),$O$2:$O$1001,0),MATCH(COLUMNS($V$1006:AC1006),$V$1006:$AE$1006,0)), HYPERLINK("#",""), HYPERLINK(CONCATENATE("#Metadata!", ADDRESS(INDEX($Q$2:$Q$1001,MATCH(ROWS($O$2:O127),$O$2:$O$1001,0),0), INDEX($V$1004:$AE$1004,1,MATCH(COLUMNS($V$1006:AC1006),$V$1006:$AE$1006,0)))),"Fix")))</f>
        <v>0</v>
      </c>
      <c r="J127" s="3">
        <f>IF(OR(INDEX($P$2:$P$1001,MATCH(ROWS($O$2:O127),$O$2:$O$1001,0),1)&gt;=100000,INDEX($V$1005:$AE$1005,1,MATCH(COLUMNS($V$1006:AD1006),$V$1006:$AE$1006,0))&gt;=100000), " ",IF(INDEX($V$2:$AE$1001,MATCH(ROWS($O$2:O127),$O$2:$O$1001,0),MATCH(COLUMNS($V$1006:AD1006),$V$1006:$AE$1006,0)), HYPERLINK("#",""), HYPERLINK(CONCATENATE("#Metadata!", ADDRESS(INDEX($Q$2:$Q$1001,MATCH(ROWS($O$2:O127),$O$2:$O$1001,0),0), INDEX($V$1004:$AE$1004,1,MATCH(COLUMNS($V$1006:AD1006),$V$1006:$AE$1006,0)))),"Fix")))</f>
        <v>0</v>
      </c>
      <c r="K127" s="3">
        <f>IF(OR(INDEX($P$2:$P$1001,MATCH(ROWS($O$2:O127),$O$2:$O$1001,0),1)&gt;=100000,INDEX($V$1005:$AE$1005,1,MATCH(COLUMNS($V$1006:AE1006),$V$1006:$AE$1006,0))&gt;=100000), " ",IF(INDEX($V$2:$AE$1001,MATCH(ROWS($O$2:O127),$O$2:$O$1001,0),MATCH(COLUMNS($V$1006:AE1006),$V$1006:$AE$1006,0)), HYPERLINK("#",""), HYPERLINK(CONCATENATE("#Metadata!", ADDRESS(INDEX($Q$2:$Q$1001,MATCH(ROWS($O$2:O127),$O$2:$O$1001,0),0), INDEX($V$1004:$AE$1004,1,MATCH(COLUMNS($V$1006:AE1006),$V$1006:$AE$1006,0)))),"Fix")))</f>
        <v>0</v>
      </c>
      <c r="O127">
        <v>0</v>
      </c>
      <c r="P127">
        <v>0</v>
      </c>
      <c r="Q127">
        <v>0</v>
      </c>
      <c r="R127">
        <f>IF(S127,TRUE,AND(V127:AE127))</f>
        <v>0</v>
      </c>
      <c r="S127">
        <f>COUNTBLANK(Metadata!B127:K127)=COLUMNS(Metadata!B127:K127)</f>
        <v>0</v>
      </c>
      <c r="T127">
        <v>0</v>
      </c>
      <c r="V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W127">
        <f>AND(IF(Metadata!C127="",FALSE,TRUE),exact(Metadata!C127,"animal secretion"))</f>
        <v>0</v>
      </c>
      <c r="X127">
        <f>AND(IF(Metadata!D127="",FALSE,TRUE),exact(Metadata!D127,"saliva"))</f>
        <v>0</v>
      </c>
      <c r="Y127">
        <f>AND(IF(Metadata!E127="",FALSE,TRUE),exact(Metadata!E127,"human-oral"))</f>
        <v>0</v>
      </c>
      <c r="Z127">
        <f>AND(IF(Metadata!F127="",FALSE,TRUE),exact(Metadata!F127,"UBERON:oral cavity"))</f>
        <v>0</v>
      </c>
      <c r="AA127">
        <f>AND(IF(Metadata!G127="",FALSE,TRUE),exact(Metadata!G127,"UBERON:saliva"))</f>
        <v>0</v>
      </c>
      <c r="AB127">
        <f>AND(IF(Metadata!H127="",FALSE,TRUE),exact(Metadata!H127,"UBERON:tongue"))</f>
        <v>0</v>
      </c>
      <c r="AC127">
        <f>AND(IF(Metadata!I127="",FALSE,TRUE),exact(Metadata!I127,"tongue"))</f>
        <v>0</v>
      </c>
      <c r="AD127">
        <f>AND(IF(Metadata!J127="",FALSE,TRUE),exact(Metadata!J127,"human oral metagenome"))</f>
        <v>0</v>
      </c>
      <c r="AE127">
        <f>AND(IF(Metadata!K127="",FALSE,TRUE),exact(Metadata!K127,"447426"))</f>
        <v>0</v>
      </c>
    </row>
    <row r="128" spans="1:31">
      <c r="A128" s="4">
        <f>IF(B128=" "," ",HYPERLINK(CONCATENATE("#metadata!",ADDRESS(INDEX($Q$2:$Q$1001,MATCH(ROWS($O$2:O128),$O$2:$O$1001,0),0),1)),INDEX($T$2:$T$1001,MATCH(ROWS($O$2:O128),$O$2:$O$1001,0),0)))</f>
        <v>0</v>
      </c>
      <c r="B128" s="3">
        <f>IF(OR(INDEX($P$2:$P$1001,MATCH(ROWS($O$2:O128),$O$2:$O$1001,0),1)&gt;=100000,INDEX($V$1005:$AE$1005,1,MATCH(COLUMNS($V$1006:V1006),$V$1006:$AE$1006,0))&gt;=100000), " ",IF(INDEX($V$2:$AE$1001,MATCH(ROWS($O$2:O128),$O$2:$O$1001,0),MATCH(COLUMNS($V$1006:V1006),$V$1006:$AE$1006,0)), HYPERLINK("#",""), HYPERLINK(CONCATENATE("#Metadata!", ADDRESS(INDEX($Q$2:$Q$1001,MATCH(ROWS($O$2:O128),$O$2:$O$1001,0),0), INDEX($V$1004:$AE$1004,1,MATCH(COLUMNS($V$1006:V1006),$V$1006:$AE$1006,0)))),"Fix")))</f>
        <v>0</v>
      </c>
      <c r="C128" s="3">
        <f>IF(OR(INDEX($P$2:$P$1001,MATCH(ROWS($O$2:O128),$O$2:$O$1001,0),1)&gt;=100000,INDEX($V$1005:$AE$1005,1,MATCH(COLUMNS($V$1006:W1006),$V$1006:$AE$1006,0))&gt;=100000), " ",IF(INDEX($V$2:$AE$1001,MATCH(ROWS($O$2:O128),$O$2:$O$1001,0),MATCH(COLUMNS($V$1006:W1006),$V$1006:$AE$1006,0)), HYPERLINK("#",""), HYPERLINK(CONCATENATE("#Metadata!", ADDRESS(INDEX($Q$2:$Q$1001,MATCH(ROWS($O$2:O128),$O$2:$O$1001,0),0), INDEX($V$1004:$AE$1004,1,MATCH(COLUMNS($V$1006:W1006),$V$1006:$AE$1006,0)))),"Fix")))</f>
        <v>0</v>
      </c>
      <c r="D128" s="3">
        <f>IF(OR(INDEX($P$2:$P$1001,MATCH(ROWS($O$2:O128),$O$2:$O$1001,0),1)&gt;=100000,INDEX($V$1005:$AE$1005,1,MATCH(COLUMNS($V$1006:X1006),$V$1006:$AE$1006,0))&gt;=100000), " ",IF(INDEX($V$2:$AE$1001,MATCH(ROWS($O$2:O128),$O$2:$O$1001,0),MATCH(COLUMNS($V$1006:X1006),$V$1006:$AE$1006,0)), HYPERLINK("#",""), HYPERLINK(CONCATENATE("#Metadata!", ADDRESS(INDEX($Q$2:$Q$1001,MATCH(ROWS($O$2:O128),$O$2:$O$1001,0),0), INDEX($V$1004:$AE$1004,1,MATCH(COLUMNS($V$1006:X1006),$V$1006:$AE$1006,0)))),"Fix")))</f>
        <v>0</v>
      </c>
      <c r="E128" s="3">
        <f>IF(OR(INDEX($P$2:$P$1001,MATCH(ROWS($O$2:O128),$O$2:$O$1001,0),1)&gt;=100000,INDEX($V$1005:$AE$1005,1,MATCH(COLUMNS($V$1006:Y1006),$V$1006:$AE$1006,0))&gt;=100000), " ",IF(INDEX($V$2:$AE$1001,MATCH(ROWS($O$2:O128),$O$2:$O$1001,0),MATCH(COLUMNS($V$1006:Y1006),$V$1006:$AE$1006,0)), HYPERLINK("#",""), HYPERLINK(CONCATENATE("#Metadata!", ADDRESS(INDEX($Q$2:$Q$1001,MATCH(ROWS($O$2:O128),$O$2:$O$1001,0),0), INDEX($V$1004:$AE$1004,1,MATCH(COLUMNS($V$1006:Y1006),$V$1006:$AE$1006,0)))),"Fix")))</f>
        <v>0</v>
      </c>
      <c r="F128" s="3">
        <f>IF(OR(INDEX($P$2:$P$1001,MATCH(ROWS($O$2:O128),$O$2:$O$1001,0),1)&gt;=100000,INDEX($V$1005:$AE$1005,1,MATCH(COLUMNS($V$1006:Z1006),$V$1006:$AE$1006,0))&gt;=100000), " ",IF(INDEX($V$2:$AE$1001,MATCH(ROWS($O$2:O128),$O$2:$O$1001,0),MATCH(COLUMNS($V$1006:Z1006),$V$1006:$AE$1006,0)), HYPERLINK("#",""), HYPERLINK(CONCATENATE("#Metadata!", ADDRESS(INDEX($Q$2:$Q$1001,MATCH(ROWS($O$2:O128),$O$2:$O$1001,0),0), INDEX($V$1004:$AE$1004,1,MATCH(COLUMNS($V$1006:Z1006),$V$1006:$AE$1006,0)))),"Fix")))</f>
        <v>0</v>
      </c>
      <c r="G128" s="3">
        <f>IF(OR(INDEX($P$2:$P$1001,MATCH(ROWS($O$2:O128),$O$2:$O$1001,0),1)&gt;=100000,INDEX($V$1005:$AE$1005,1,MATCH(COLUMNS($V$1006:AA1006),$V$1006:$AE$1006,0))&gt;=100000), " ",IF(INDEX($V$2:$AE$1001,MATCH(ROWS($O$2:O128),$O$2:$O$1001,0),MATCH(COLUMNS($V$1006:AA1006),$V$1006:$AE$1006,0)), HYPERLINK("#",""), HYPERLINK(CONCATENATE("#Metadata!", ADDRESS(INDEX($Q$2:$Q$1001,MATCH(ROWS($O$2:O128),$O$2:$O$1001,0),0), INDEX($V$1004:$AE$1004,1,MATCH(COLUMNS($V$1006:AA1006),$V$1006:$AE$1006,0)))),"Fix")))</f>
        <v>0</v>
      </c>
      <c r="H128" s="3">
        <f>IF(OR(INDEX($P$2:$P$1001,MATCH(ROWS($O$2:O128),$O$2:$O$1001,0),1)&gt;=100000,INDEX($V$1005:$AE$1005,1,MATCH(COLUMNS($V$1006:AB1006),$V$1006:$AE$1006,0))&gt;=100000), " ",IF(INDEX($V$2:$AE$1001,MATCH(ROWS($O$2:O128),$O$2:$O$1001,0),MATCH(COLUMNS($V$1006:AB1006),$V$1006:$AE$1006,0)), HYPERLINK("#",""), HYPERLINK(CONCATENATE("#Metadata!", ADDRESS(INDEX($Q$2:$Q$1001,MATCH(ROWS($O$2:O128),$O$2:$O$1001,0),0), INDEX($V$1004:$AE$1004,1,MATCH(COLUMNS($V$1006:AB1006),$V$1006:$AE$1006,0)))),"Fix")))</f>
        <v>0</v>
      </c>
      <c r="I128" s="3">
        <f>IF(OR(INDEX($P$2:$P$1001,MATCH(ROWS($O$2:O128),$O$2:$O$1001,0),1)&gt;=100000,INDEX($V$1005:$AE$1005,1,MATCH(COLUMNS($V$1006:AC1006),$V$1006:$AE$1006,0))&gt;=100000), " ",IF(INDEX($V$2:$AE$1001,MATCH(ROWS($O$2:O128),$O$2:$O$1001,0),MATCH(COLUMNS($V$1006:AC1006),$V$1006:$AE$1006,0)), HYPERLINK("#",""), HYPERLINK(CONCATENATE("#Metadata!", ADDRESS(INDEX($Q$2:$Q$1001,MATCH(ROWS($O$2:O128),$O$2:$O$1001,0),0), INDEX($V$1004:$AE$1004,1,MATCH(COLUMNS($V$1006:AC1006),$V$1006:$AE$1006,0)))),"Fix")))</f>
        <v>0</v>
      </c>
      <c r="J128" s="3">
        <f>IF(OR(INDEX($P$2:$P$1001,MATCH(ROWS($O$2:O128),$O$2:$O$1001,0),1)&gt;=100000,INDEX($V$1005:$AE$1005,1,MATCH(COLUMNS($V$1006:AD1006),$V$1006:$AE$1006,0))&gt;=100000), " ",IF(INDEX($V$2:$AE$1001,MATCH(ROWS($O$2:O128),$O$2:$O$1001,0),MATCH(COLUMNS($V$1006:AD1006),$V$1006:$AE$1006,0)), HYPERLINK("#",""), HYPERLINK(CONCATENATE("#Metadata!", ADDRESS(INDEX($Q$2:$Q$1001,MATCH(ROWS($O$2:O128),$O$2:$O$1001,0),0), INDEX($V$1004:$AE$1004,1,MATCH(COLUMNS($V$1006:AD1006),$V$1006:$AE$1006,0)))),"Fix")))</f>
        <v>0</v>
      </c>
      <c r="K128" s="3">
        <f>IF(OR(INDEX($P$2:$P$1001,MATCH(ROWS($O$2:O128),$O$2:$O$1001,0),1)&gt;=100000,INDEX($V$1005:$AE$1005,1,MATCH(COLUMNS($V$1006:AE1006),$V$1006:$AE$1006,0))&gt;=100000), " ",IF(INDEX($V$2:$AE$1001,MATCH(ROWS($O$2:O128),$O$2:$O$1001,0),MATCH(COLUMNS($V$1006:AE1006),$V$1006:$AE$1006,0)), HYPERLINK("#",""), HYPERLINK(CONCATENATE("#Metadata!", ADDRESS(INDEX($Q$2:$Q$1001,MATCH(ROWS($O$2:O128),$O$2:$O$1001,0),0), INDEX($V$1004:$AE$1004,1,MATCH(COLUMNS($V$1006:AE1006),$V$1006:$AE$1006,0)))),"Fix")))</f>
        <v>0</v>
      </c>
      <c r="O128">
        <v>0</v>
      </c>
      <c r="P128">
        <v>0</v>
      </c>
      <c r="Q128">
        <v>0</v>
      </c>
      <c r="R128">
        <f>IF(S128,TRUE,AND(V128:AE128))</f>
        <v>0</v>
      </c>
      <c r="S128">
        <f>COUNTBLANK(Metadata!B128:K128)=COLUMNS(Metadata!B128:K128)</f>
        <v>0</v>
      </c>
      <c r="T128">
        <v>0</v>
      </c>
      <c r="V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W128">
        <f>AND(IF(Metadata!C128="",FALSE,TRUE),exact(Metadata!C128,"animal secretion"))</f>
        <v>0</v>
      </c>
      <c r="X128">
        <f>AND(IF(Metadata!D128="",FALSE,TRUE),exact(Metadata!D128,"saliva"))</f>
        <v>0</v>
      </c>
      <c r="Y128">
        <f>AND(IF(Metadata!E128="",FALSE,TRUE),exact(Metadata!E128,"human-oral"))</f>
        <v>0</v>
      </c>
      <c r="Z128">
        <f>AND(IF(Metadata!F128="",FALSE,TRUE),exact(Metadata!F128,"UBERON:oral cavity"))</f>
        <v>0</v>
      </c>
      <c r="AA128">
        <f>AND(IF(Metadata!G128="",FALSE,TRUE),exact(Metadata!G128,"UBERON:saliva"))</f>
        <v>0</v>
      </c>
      <c r="AB128">
        <f>AND(IF(Metadata!H128="",FALSE,TRUE),exact(Metadata!H128,"UBERON:tongue"))</f>
        <v>0</v>
      </c>
      <c r="AC128">
        <f>AND(IF(Metadata!I128="",FALSE,TRUE),exact(Metadata!I128,"tongue"))</f>
        <v>0</v>
      </c>
      <c r="AD128">
        <f>AND(IF(Metadata!J128="",FALSE,TRUE),exact(Metadata!J128,"human oral metagenome"))</f>
        <v>0</v>
      </c>
      <c r="AE128">
        <f>AND(IF(Metadata!K128="",FALSE,TRUE),exact(Metadata!K128,"447426"))</f>
        <v>0</v>
      </c>
    </row>
    <row r="129" spans="1:31">
      <c r="A129" s="4">
        <f>IF(B129=" "," ",HYPERLINK(CONCATENATE("#metadata!",ADDRESS(INDEX($Q$2:$Q$1001,MATCH(ROWS($O$2:O129),$O$2:$O$1001,0),0),1)),INDEX($T$2:$T$1001,MATCH(ROWS($O$2:O129),$O$2:$O$1001,0),0)))</f>
        <v>0</v>
      </c>
      <c r="B129" s="3">
        <f>IF(OR(INDEX($P$2:$P$1001,MATCH(ROWS($O$2:O129),$O$2:$O$1001,0),1)&gt;=100000,INDEX($V$1005:$AE$1005,1,MATCH(COLUMNS($V$1006:V1006),$V$1006:$AE$1006,0))&gt;=100000), " ",IF(INDEX($V$2:$AE$1001,MATCH(ROWS($O$2:O129),$O$2:$O$1001,0),MATCH(COLUMNS($V$1006:V1006),$V$1006:$AE$1006,0)), HYPERLINK("#",""), HYPERLINK(CONCATENATE("#Metadata!", ADDRESS(INDEX($Q$2:$Q$1001,MATCH(ROWS($O$2:O129),$O$2:$O$1001,0),0), INDEX($V$1004:$AE$1004,1,MATCH(COLUMNS($V$1006:V1006),$V$1006:$AE$1006,0)))),"Fix")))</f>
        <v>0</v>
      </c>
      <c r="C129" s="3">
        <f>IF(OR(INDEX($P$2:$P$1001,MATCH(ROWS($O$2:O129),$O$2:$O$1001,0),1)&gt;=100000,INDEX($V$1005:$AE$1005,1,MATCH(COLUMNS($V$1006:W1006),$V$1006:$AE$1006,0))&gt;=100000), " ",IF(INDEX($V$2:$AE$1001,MATCH(ROWS($O$2:O129),$O$2:$O$1001,0),MATCH(COLUMNS($V$1006:W1006),$V$1006:$AE$1006,0)), HYPERLINK("#",""), HYPERLINK(CONCATENATE("#Metadata!", ADDRESS(INDEX($Q$2:$Q$1001,MATCH(ROWS($O$2:O129),$O$2:$O$1001,0),0), INDEX($V$1004:$AE$1004,1,MATCH(COLUMNS($V$1006:W1006),$V$1006:$AE$1006,0)))),"Fix")))</f>
        <v>0</v>
      </c>
      <c r="D129" s="3">
        <f>IF(OR(INDEX($P$2:$P$1001,MATCH(ROWS($O$2:O129),$O$2:$O$1001,0),1)&gt;=100000,INDEX($V$1005:$AE$1005,1,MATCH(COLUMNS($V$1006:X1006),$V$1006:$AE$1006,0))&gt;=100000), " ",IF(INDEX($V$2:$AE$1001,MATCH(ROWS($O$2:O129),$O$2:$O$1001,0),MATCH(COLUMNS($V$1006:X1006),$V$1006:$AE$1006,0)), HYPERLINK("#",""), HYPERLINK(CONCATENATE("#Metadata!", ADDRESS(INDEX($Q$2:$Q$1001,MATCH(ROWS($O$2:O129),$O$2:$O$1001,0),0), INDEX($V$1004:$AE$1004,1,MATCH(COLUMNS($V$1006:X1006),$V$1006:$AE$1006,0)))),"Fix")))</f>
        <v>0</v>
      </c>
      <c r="E129" s="3">
        <f>IF(OR(INDEX($P$2:$P$1001,MATCH(ROWS($O$2:O129),$O$2:$O$1001,0),1)&gt;=100000,INDEX($V$1005:$AE$1005,1,MATCH(COLUMNS($V$1006:Y1006),$V$1006:$AE$1006,0))&gt;=100000), " ",IF(INDEX($V$2:$AE$1001,MATCH(ROWS($O$2:O129),$O$2:$O$1001,0),MATCH(COLUMNS($V$1006:Y1006),$V$1006:$AE$1006,0)), HYPERLINK("#",""), HYPERLINK(CONCATENATE("#Metadata!", ADDRESS(INDEX($Q$2:$Q$1001,MATCH(ROWS($O$2:O129),$O$2:$O$1001,0),0), INDEX($V$1004:$AE$1004,1,MATCH(COLUMNS($V$1006:Y1006),$V$1006:$AE$1006,0)))),"Fix")))</f>
        <v>0</v>
      </c>
      <c r="F129" s="3">
        <f>IF(OR(INDEX($P$2:$P$1001,MATCH(ROWS($O$2:O129),$O$2:$O$1001,0),1)&gt;=100000,INDEX($V$1005:$AE$1005,1,MATCH(COLUMNS($V$1006:Z1006),$V$1006:$AE$1006,0))&gt;=100000), " ",IF(INDEX($V$2:$AE$1001,MATCH(ROWS($O$2:O129),$O$2:$O$1001,0),MATCH(COLUMNS($V$1006:Z1006),$V$1006:$AE$1006,0)), HYPERLINK("#",""), HYPERLINK(CONCATENATE("#Metadata!", ADDRESS(INDEX($Q$2:$Q$1001,MATCH(ROWS($O$2:O129),$O$2:$O$1001,0),0), INDEX($V$1004:$AE$1004,1,MATCH(COLUMNS($V$1006:Z1006),$V$1006:$AE$1006,0)))),"Fix")))</f>
        <v>0</v>
      </c>
      <c r="G129" s="3">
        <f>IF(OR(INDEX($P$2:$P$1001,MATCH(ROWS($O$2:O129),$O$2:$O$1001,0),1)&gt;=100000,INDEX($V$1005:$AE$1005,1,MATCH(COLUMNS($V$1006:AA1006),$V$1006:$AE$1006,0))&gt;=100000), " ",IF(INDEX($V$2:$AE$1001,MATCH(ROWS($O$2:O129),$O$2:$O$1001,0),MATCH(COLUMNS($V$1006:AA1006),$V$1006:$AE$1006,0)), HYPERLINK("#",""), HYPERLINK(CONCATENATE("#Metadata!", ADDRESS(INDEX($Q$2:$Q$1001,MATCH(ROWS($O$2:O129),$O$2:$O$1001,0),0), INDEX($V$1004:$AE$1004,1,MATCH(COLUMNS($V$1006:AA1006),$V$1006:$AE$1006,0)))),"Fix")))</f>
        <v>0</v>
      </c>
      <c r="H129" s="3">
        <f>IF(OR(INDEX($P$2:$P$1001,MATCH(ROWS($O$2:O129),$O$2:$O$1001,0),1)&gt;=100000,INDEX($V$1005:$AE$1005,1,MATCH(COLUMNS($V$1006:AB1006),$V$1006:$AE$1006,0))&gt;=100000), " ",IF(INDEX($V$2:$AE$1001,MATCH(ROWS($O$2:O129),$O$2:$O$1001,0),MATCH(COLUMNS($V$1006:AB1006),$V$1006:$AE$1006,0)), HYPERLINK("#",""), HYPERLINK(CONCATENATE("#Metadata!", ADDRESS(INDEX($Q$2:$Q$1001,MATCH(ROWS($O$2:O129),$O$2:$O$1001,0),0), INDEX($V$1004:$AE$1004,1,MATCH(COLUMNS($V$1006:AB1006),$V$1006:$AE$1006,0)))),"Fix")))</f>
        <v>0</v>
      </c>
      <c r="I129" s="3">
        <f>IF(OR(INDEX($P$2:$P$1001,MATCH(ROWS($O$2:O129),$O$2:$O$1001,0),1)&gt;=100000,INDEX($V$1005:$AE$1005,1,MATCH(COLUMNS($V$1006:AC1006),$V$1006:$AE$1006,0))&gt;=100000), " ",IF(INDEX($V$2:$AE$1001,MATCH(ROWS($O$2:O129),$O$2:$O$1001,0),MATCH(COLUMNS($V$1006:AC1006),$V$1006:$AE$1006,0)), HYPERLINK("#",""), HYPERLINK(CONCATENATE("#Metadata!", ADDRESS(INDEX($Q$2:$Q$1001,MATCH(ROWS($O$2:O129),$O$2:$O$1001,0),0), INDEX($V$1004:$AE$1004,1,MATCH(COLUMNS($V$1006:AC1006),$V$1006:$AE$1006,0)))),"Fix")))</f>
        <v>0</v>
      </c>
      <c r="J129" s="3">
        <f>IF(OR(INDEX($P$2:$P$1001,MATCH(ROWS($O$2:O129),$O$2:$O$1001,0),1)&gt;=100000,INDEX($V$1005:$AE$1005,1,MATCH(COLUMNS($V$1006:AD1006),$V$1006:$AE$1006,0))&gt;=100000), " ",IF(INDEX($V$2:$AE$1001,MATCH(ROWS($O$2:O129),$O$2:$O$1001,0),MATCH(COLUMNS($V$1006:AD1006),$V$1006:$AE$1006,0)), HYPERLINK("#",""), HYPERLINK(CONCATENATE("#Metadata!", ADDRESS(INDEX($Q$2:$Q$1001,MATCH(ROWS($O$2:O129),$O$2:$O$1001,0),0), INDEX($V$1004:$AE$1004,1,MATCH(COLUMNS($V$1006:AD1006),$V$1006:$AE$1006,0)))),"Fix")))</f>
        <v>0</v>
      </c>
      <c r="K129" s="3">
        <f>IF(OR(INDEX($P$2:$P$1001,MATCH(ROWS($O$2:O129),$O$2:$O$1001,0),1)&gt;=100000,INDEX($V$1005:$AE$1005,1,MATCH(COLUMNS($V$1006:AE1006),$V$1006:$AE$1006,0))&gt;=100000), " ",IF(INDEX($V$2:$AE$1001,MATCH(ROWS($O$2:O129),$O$2:$O$1001,0),MATCH(COLUMNS($V$1006:AE1006),$V$1006:$AE$1006,0)), HYPERLINK("#",""), HYPERLINK(CONCATENATE("#Metadata!", ADDRESS(INDEX($Q$2:$Q$1001,MATCH(ROWS($O$2:O129),$O$2:$O$1001,0),0), INDEX($V$1004:$AE$1004,1,MATCH(COLUMNS($V$1006:AE1006),$V$1006:$AE$1006,0)))),"Fix")))</f>
        <v>0</v>
      </c>
      <c r="O129">
        <v>0</v>
      </c>
      <c r="P129">
        <v>0</v>
      </c>
      <c r="Q129">
        <v>0</v>
      </c>
      <c r="R129">
        <f>IF(S129,TRUE,AND(V129:AE129))</f>
        <v>0</v>
      </c>
      <c r="S129">
        <f>COUNTBLANK(Metadata!B129:K129)=COLUMNS(Metadata!B129:K129)</f>
        <v>0</v>
      </c>
      <c r="T129">
        <v>0</v>
      </c>
      <c r="V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W129">
        <f>AND(IF(Metadata!C129="",FALSE,TRUE),exact(Metadata!C129,"animal secretion"))</f>
        <v>0</v>
      </c>
      <c r="X129">
        <f>AND(IF(Metadata!D129="",FALSE,TRUE),exact(Metadata!D129,"saliva"))</f>
        <v>0</v>
      </c>
      <c r="Y129">
        <f>AND(IF(Metadata!E129="",FALSE,TRUE),exact(Metadata!E129,"human-oral"))</f>
        <v>0</v>
      </c>
      <c r="Z129">
        <f>AND(IF(Metadata!F129="",FALSE,TRUE),exact(Metadata!F129,"UBERON:oral cavity"))</f>
        <v>0</v>
      </c>
      <c r="AA129">
        <f>AND(IF(Metadata!G129="",FALSE,TRUE),exact(Metadata!G129,"UBERON:saliva"))</f>
        <v>0</v>
      </c>
      <c r="AB129">
        <f>AND(IF(Metadata!H129="",FALSE,TRUE),exact(Metadata!H129,"UBERON:tongue"))</f>
        <v>0</v>
      </c>
      <c r="AC129">
        <f>AND(IF(Metadata!I129="",FALSE,TRUE),exact(Metadata!I129,"tongue"))</f>
        <v>0</v>
      </c>
      <c r="AD129">
        <f>AND(IF(Metadata!J129="",FALSE,TRUE),exact(Metadata!J129,"human oral metagenome"))</f>
        <v>0</v>
      </c>
      <c r="AE129">
        <f>AND(IF(Metadata!K129="",FALSE,TRUE),exact(Metadata!K129,"447426"))</f>
        <v>0</v>
      </c>
    </row>
    <row r="130" spans="1:31">
      <c r="A130" s="4">
        <f>IF(B130=" "," ",HYPERLINK(CONCATENATE("#metadata!",ADDRESS(INDEX($Q$2:$Q$1001,MATCH(ROWS($O$2:O130),$O$2:$O$1001,0),0),1)),INDEX($T$2:$T$1001,MATCH(ROWS($O$2:O130),$O$2:$O$1001,0),0)))</f>
        <v>0</v>
      </c>
      <c r="B130" s="3">
        <f>IF(OR(INDEX($P$2:$P$1001,MATCH(ROWS($O$2:O130),$O$2:$O$1001,0),1)&gt;=100000,INDEX($V$1005:$AE$1005,1,MATCH(COLUMNS($V$1006:V1006),$V$1006:$AE$1006,0))&gt;=100000), " ",IF(INDEX($V$2:$AE$1001,MATCH(ROWS($O$2:O130),$O$2:$O$1001,0),MATCH(COLUMNS($V$1006:V1006),$V$1006:$AE$1006,0)), HYPERLINK("#",""), HYPERLINK(CONCATENATE("#Metadata!", ADDRESS(INDEX($Q$2:$Q$1001,MATCH(ROWS($O$2:O130),$O$2:$O$1001,0),0), INDEX($V$1004:$AE$1004,1,MATCH(COLUMNS($V$1006:V1006),$V$1006:$AE$1006,0)))),"Fix")))</f>
        <v>0</v>
      </c>
      <c r="C130" s="3">
        <f>IF(OR(INDEX($P$2:$P$1001,MATCH(ROWS($O$2:O130),$O$2:$O$1001,0),1)&gt;=100000,INDEX($V$1005:$AE$1005,1,MATCH(COLUMNS($V$1006:W1006),$V$1006:$AE$1006,0))&gt;=100000), " ",IF(INDEX($V$2:$AE$1001,MATCH(ROWS($O$2:O130),$O$2:$O$1001,0),MATCH(COLUMNS($V$1006:W1006),$V$1006:$AE$1006,0)), HYPERLINK("#",""), HYPERLINK(CONCATENATE("#Metadata!", ADDRESS(INDEX($Q$2:$Q$1001,MATCH(ROWS($O$2:O130),$O$2:$O$1001,0),0), INDEX($V$1004:$AE$1004,1,MATCH(COLUMNS($V$1006:W1006),$V$1006:$AE$1006,0)))),"Fix")))</f>
        <v>0</v>
      </c>
      <c r="D130" s="3">
        <f>IF(OR(INDEX($P$2:$P$1001,MATCH(ROWS($O$2:O130),$O$2:$O$1001,0),1)&gt;=100000,INDEX($V$1005:$AE$1005,1,MATCH(COLUMNS($V$1006:X1006),$V$1006:$AE$1006,0))&gt;=100000), " ",IF(INDEX($V$2:$AE$1001,MATCH(ROWS($O$2:O130),$O$2:$O$1001,0),MATCH(COLUMNS($V$1006:X1006),$V$1006:$AE$1006,0)), HYPERLINK("#",""), HYPERLINK(CONCATENATE("#Metadata!", ADDRESS(INDEX($Q$2:$Q$1001,MATCH(ROWS($O$2:O130),$O$2:$O$1001,0),0), INDEX($V$1004:$AE$1004,1,MATCH(COLUMNS($V$1006:X1006),$V$1006:$AE$1006,0)))),"Fix")))</f>
        <v>0</v>
      </c>
      <c r="E130" s="3">
        <f>IF(OR(INDEX($P$2:$P$1001,MATCH(ROWS($O$2:O130),$O$2:$O$1001,0),1)&gt;=100000,INDEX($V$1005:$AE$1005,1,MATCH(COLUMNS($V$1006:Y1006),$V$1006:$AE$1006,0))&gt;=100000), " ",IF(INDEX($V$2:$AE$1001,MATCH(ROWS($O$2:O130),$O$2:$O$1001,0),MATCH(COLUMNS($V$1006:Y1006),$V$1006:$AE$1006,0)), HYPERLINK("#",""), HYPERLINK(CONCATENATE("#Metadata!", ADDRESS(INDEX($Q$2:$Q$1001,MATCH(ROWS($O$2:O130),$O$2:$O$1001,0),0), INDEX($V$1004:$AE$1004,1,MATCH(COLUMNS($V$1006:Y1006),$V$1006:$AE$1006,0)))),"Fix")))</f>
        <v>0</v>
      </c>
      <c r="F130" s="3">
        <f>IF(OR(INDEX($P$2:$P$1001,MATCH(ROWS($O$2:O130),$O$2:$O$1001,0),1)&gt;=100000,INDEX($V$1005:$AE$1005,1,MATCH(COLUMNS($V$1006:Z1006),$V$1006:$AE$1006,0))&gt;=100000), " ",IF(INDEX($V$2:$AE$1001,MATCH(ROWS($O$2:O130),$O$2:$O$1001,0),MATCH(COLUMNS($V$1006:Z1006),$V$1006:$AE$1006,0)), HYPERLINK("#",""), HYPERLINK(CONCATENATE("#Metadata!", ADDRESS(INDEX($Q$2:$Q$1001,MATCH(ROWS($O$2:O130),$O$2:$O$1001,0),0), INDEX($V$1004:$AE$1004,1,MATCH(COLUMNS($V$1006:Z1006),$V$1006:$AE$1006,0)))),"Fix")))</f>
        <v>0</v>
      </c>
      <c r="G130" s="3">
        <f>IF(OR(INDEX($P$2:$P$1001,MATCH(ROWS($O$2:O130),$O$2:$O$1001,0),1)&gt;=100000,INDEX($V$1005:$AE$1005,1,MATCH(COLUMNS($V$1006:AA1006),$V$1006:$AE$1006,0))&gt;=100000), " ",IF(INDEX($V$2:$AE$1001,MATCH(ROWS($O$2:O130),$O$2:$O$1001,0),MATCH(COLUMNS($V$1006:AA1006),$V$1006:$AE$1006,0)), HYPERLINK("#",""), HYPERLINK(CONCATENATE("#Metadata!", ADDRESS(INDEX($Q$2:$Q$1001,MATCH(ROWS($O$2:O130),$O$2:$O$1001,0),0), INDEX($V$1004:$AE$1004,1,MATCH(COLUMNS($V$1006:AA1006),$V$1006:$AE$1006,0)))),"Fix")))</f>
        <v>0</v>
      </c>
      <c r="H130" s="3">
        <f>IF(OR(INDEX($P$2:$P$1001,MATCH(ROWS($O$2:O130),$O$2:$O$1001,0),1)&gt;=100000,INDEX($V$1005:$AE$1005,1,MATCH(COLUMNS($V$1006:AB1006),$V$1006:$AE$1006,0))&gt;=100000), " ",IF(INDEX($V$2:$AE$1001,MATCH(ROWS($O$2:O130),$O$2:$O$1001,0),MATCH(COLUMNS($V$1006:AB1006),$V$1006:$AE$1006,0)), HYPERLINK("#",""), HYPERLINK(CONCATENATE("#Metadata!", ADDRESS(INDEX($Q$2:$Q$1001,MATCH(ROWS($O$2:O130),$O$2:$O$1001,0),0), INDEX($V$1004:$AE$1004,1,MATCH(COLUMNS($V$1006:AB1006),$V$1006:$AE$1006,0)))),"Fix")))</f>
        <v>0</v>
      </c>
      <c r="I130" s="3">
        <f>IF(OR(INDEX($P$2:$P$1001,MATCH(ROWS($O$2:O130),$O$2:$O$1001,0),1)&gt;=100000,INDEX($V$1005:$AE$1005,1,MATCH(COLUMNS($V$1006:AC1006),$V$1006:$AE$1006,0))&gt;=100000), " ",IF(INDEX($V$2:$AE$1001,MATCH(ROWS($O$2:O130),$O$2:$O$1001,0),MATCH(COLUMNS($V$1006:AC1006),$V$1006:$AE$1006,0)), HYPERLINK("#",""), HYPERLINK(CONCATENATE("#Metadata!", ADDRESS(INDEX($Q$2:$Q$1001,MATCH(ROWS($O$2:O130),$O$2:$O$1001,0),0), INDEX($V$1004:$AE$1004,1,MATCH(COLUMNS($V$1006:AC1006),$V$1006:$AE$1006,0)))),"Fix")))</f>
        <v>0</v>
      </c>
      <c r="J130" s="3">
        <f>IF(OR(INDEX($P$2:$P$1001,MATCH(ROWS($O$2:O130),$O$2:$O$1001,0),1)&gt;=100000,INDEX($V$1005:$AE$1005,1,MATCH(COLUMNS($V$1006:AD1006),$V$1006:$AE$1006,0))&gt;=100000), " ",IF(INDEX($V$2:$AE$1001,MATCH(ROWS($O$2:O130),$O$2:$O$1001,0),MATCH(COLUMNS($V$1006:AD1006),$V$1006:$AE$1006,0)), HYPERLINK("#",""), HYPERLINK(CONCATENATE("#Metadata!", ADDRESS(INDEX($Q$2:$Q$1001,MATCH(ROWS($O$2:O130),$O$2:$O$1001,0),0), INDEX($V$1004:$AE$1004,1,MATCH(COLUMNS($V$1006:AD1006),$V$1006:$AE$1006,0)))),"Fix")))</f>
        <v>0</v>
      </c>
      <c r="K130" s="3">
        <f>IF(OR(INDEX($P$2:$P$1001,MATCH(ROWS($O$2:O130),$O$2:$O$1001,0),1)&gt;=100000,INDEX($V$1005:$AE$1005,1,MATCH(COLUMNS($V$1006:AE1006),$V$1006:$AE$1006,0))&gt;=100000), " ",IF(INDEX($V$2:$AE$1001,MATCH(ROWS($O$2:O130),$O$2:$O$1001,0),MATCH(COLUMNS($V$1006:AE1006),$V$1006:$AE$1006,0)), HYPERLINK("#",""), HYPERLINK(CONCATENATE("#Metadata!", ADDRESS(INDEX($Q$2:$Q$1001,MATCH(ROWS($O$2:O130),$O$2:$O$1001,0),0), INDEX($V$1004:$AE$1004,1,MATCH(COLUMNS($V$1006:AE1006),$V$1006:$AE$1006,0)))),"Fix")))</f>
        <v>0</v>
      </c>
      <c r="O130">
        <v>0</v>
      </c>
      <c r="P130">
        <v>0</v>
      </c>
      <c r="Q130">
        <v>0</v>
      </c>
      <c r="R130">
        <f>IF(S130,TRUE,AND(V130:AE130))</f>
        <v>0</v>
      </c>
      <c r="S130">
        <f>COUNTBLANK(Metadata!B130:K130)=COLUMNS(Metadata!B130:K130)</f>
        <v>0</v>
      </c>
      <c r="T130">
        <v>0</v>
      </c>
      <c r="V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W130">
        <f>AND(IF(Metadata!C130="",FALSE,TRUE),exact(Metadata!C130,"animal secretion"))</f>
        <v>0</v>
      </c>
      <c r="X130">
        <f>AND(IF(Metadata!D130="",FALSE,TRUE),exact(Metadata!D130,"saliva"))</f>
        <v>0</v>
      </c>
      <c r="Y130">
        <f>AND(IF(Metadata!E130="",FALSE,TRUE),exact(Metadata!E130,"human-oral"))</f>
        <v>0</v>
      </c>
      <c r="Z130">
        <f>AND(IF(Metadata!F130="",FALSE,TRUE),exact(Metadata!F130,"UBERON:oral cavity"))</f>
        <v>0</v>
      </c>
      <c r="AA130">
        <f>AND(IF(Metadata!G130="",FALSE,TRUE),exact(Metadata!G130,"UBERON:saliva"))</f>
        <v>0</v>
      </c>
      <c r="AB130">
        <f>AND(IF(Metadata!H130="",FALSE,TRUE),exact(Metadata!H130,"UBERON:tongue"))</f>
        <v>0</v>
      </c>
      <c r="AC130">
        <f>AND(IF(Metadata!I130="",FALSE,TRUE),exact(Metadata!I130,"tongue"))</f>
        <v>0</v>
      </c>
      <c r="AD130">
        <f>AND(IF(Metadata!J130="",FALSE,TRUE),exact(Metadata!J130,"human oral metagenome"))</f>
        <v>0</v>
      </c>
      <c r="AE130">
        <f>AND(IF(Metadata!K130="",FALSE,TRUE),exact(Metadata!K130,"447426"))</f>
        <v>0</v>
      </c>
    </row>
    <row r="131" spans="1:31">
      <c r="A131" s="4">
        <f>IF(B131=" "," ",HYPERLINK(CONCATENATE("#metadata!",ADDRESS(INDEX($Q$2:$Q$1001,MATCH(ROWS($O$2:O131),$O$2:$O$1001,0),0),1)),INDEX($T$2:$T$1001,MATCH(ROWS($O$2:O131),$O$2:$O$1001,0),0)))</f>
        <v>0</v>
      </c>
      <c r="B131" s="3">
        <f>IF(OR(INDEX($P$2:$P$1001,MATCH(ROWS($O$2:O131),$O$2:$O$1001,0),1)&gt;=100000,INDEX($V$1005:$AE$1005,1,MATCH(COLUMNS($V$1006:V1006),$V$1006:$AE$1006,0))&gt;=100000), " ",IF(INDEX($V$2:$AE$1001,MATCH(ROWS($O$2:O131),$O$2:$O$1001,0),MATCH(COLUMNS($V$1006:V1006),$V$1006:$AE$1006,0)), HYPERLINK("#",""), HYPERLINK(CONCATENATE("#Metadata!", ADDRESS(INDEX($Q$2:$Q$1001,MATCH(ROWS($O$2:O131),$O$2:$O$1001,0),0), INDEX($V$1004:$AE$1004,1,MATCH(COLUMNS($V$1006:V1006),$V$1006:$AE$1006,0)))),"Fix")))</f>
        <v>0</v>
      </c>
      <c r="C131" s="3">
        <f>IF(OR(INDEX($P$2:$P$1001,MATCH(ROWS($O$2:O131),$O$2:$O$1001,0),1)&gt;=100000,INDEX($V$1005:$AE$1005,1,MATCH(COLUMNS($V$1006:W1006),$V$1006:$AE$1006,0))&gt;=100000), " ",IF(INDEX($V$2:$AE$1001,MATCH(ROWS($O$2:O131),$O$2:$O$1001,0),MATCH(COLUMNS($V$1006:W1006),$V$1006:$AE$1006,0)), HYPERLINK("#",""), HYPERLINK(CONCATENATE("#Metadata!", ADDRESS(INDEX($Q$2:$Q$1001,MATCH(ROWS($O$2:O131),$O$2:$O$1001,0),0), INDEX($V$1004:$AE$1004,1,MATCH(COLUMNS($V$1006:W1006),$V$1006:$AE$1006,0)))),"Fix")))</f>
        <v>0</v>
      </c>
      <c r="D131" s="3">
        <f>IF(OR(INDEX($P$2:$P$1001,MATCH(ROWS($O$2:O131),$O$2:$O$1001,0),1)&gt;=100000,INDEX($V$1005:$AE$1005,1,MATCH(COLUMNS($V$1006:X1006),$V$1006:$AE$1006,0))&gt;=100000), " ",IF(INDEX($V$2:$AE$1001,MATCH(ROWS($O$2:O131),$O$2:$O$1001,0),MATCH(COLUMNS($V$1006:X1006),$V$1006:$AE$1006,0)), HYPERLINK("#",""), HYPERLINK(CONCATENATE("#Metadata!", ADDRESS(INDEX($Q$2:$Q$1001,MATCH(ROWS($O$2:O131),$O$2:$O$1001,0),0), INDEX($V$1004:$AE$1004,1,MATCH(COLUMNS($V$1006:X1006),$V$1006:$AE$1006,0)))),"Fix")))</f>
        <v>0</v>
      </c>
      <c r="E131" s="3">
        <f>IF(OR(INDEX($P$2:$P$1001,MATCH(ROWS($O$2:O131),$O$2:$O$1001,0),1)&gt;=100000,INDEX($V$1005:$AE$1005,1,MATCH(COLUMNS($V$1006:Y1006),$V$1006:$AE$1006,0))&gt;=100000), " ",IF(INDEX($V$2:$AE$1001,MATCH(ROWS($O$2:O131),$O$2:$O$1001,0),MATCH(COLUMNS($V$1006:Y1006),$V$1006:$AE$1006,0)), HYPERLINK("#",""), HYPERLINK(CONCATENATE("#Metadata!", ADDRESS(INDEX($Q$2:$Q$1001,MATCH(ROWS($O$2:O131),$O$2:$O$1001,0),0), INDEX($V$1004:$AE$1004,1,MATCH(COLUMNS($V$1006:Y1006),$V$1006:$AE$1006,0)))),"Fix")))</f>
        <v>0</v>
      </c>
      <c r="F131" s="3">
        <f>IF(OR(INDEX($P$2:$P$1001,MATCH(ROWS($O$2:O131),$O$2:$O$1001,0),1)&gt;=100000,INDEX($V$1005:$AE$1005,1,MATCH(COLUMNS($V$1006:Z1006),$V$1006:$AE$1006,0))&gt;=100000), " ",IF(INDEX($V$2:$AE$1001,MATCH(ROWS($O$2:O131),$O$2:$O$1001,0),MATCH(COLUMNS($V$1006:Z1006),$V$1006:$AE$1006,0)), HYPERLINK("#",""), HYPERLINK(CONCATENATE("#Metadata!", ADDRESS(INDEX($Q$2:$Q$1001,MATCH(ROWS($O$2:O131),$O$2:$O$1001,0),0), INDEX($V$1004:$AE$1004,1,MATCH(COLUMNS($V$1006:Z1006),$V$1006:$AE$1006,0)))),"Fix")))</f>
        <v>0</v>
      </c>
      <c r="G131" s="3">
        <f>IF(OR(INDEX($P$2:$P$1001,MATCH(ROWS($O$2:O131),$O$2:$O$1001,0),1)&gt;=100000,INDEX($V$1005:$AE$1005,1,MATCH(COLUMNS($V$1006:AA1006),$V$1006:$AE$1006,0))&gt;=100000), " ",IF(INDEX($V$2:$AE$1001,MATCH(ROWS($O$2:O131),$O$2:$O$1001,0),MATCH(COLUMNS($V$1006:AA1006),$V$1006:$AE$1006,0)), HYPERLINK("#",""), HYPERLINK(CONCATENATE("#Metadata!", ADDRESS(INDEX($Q$2:$Q$1001,MATCH(ROWS($O$2:O131),$O$2:$O$1001,0),0), INDEX($V$1004:$AE$1004,1,MATCH(COLUMNS($V$1006:AA1006),$V$1006:$AE$1006,0)))),"Fix")))</f>
        <v>0</v>
      </c>
      <c r="H131" s="3">
        <f>IF(OR(INDEX($P$2:$P$1001,MATCH(ROWS($O$2:O131),$O$2:$O$1001,0),1)&gt;=100000,INDEX($V$1005:$AE$1005,1,MATCH(COLUMNS($V$1006:AB1006),$V$1006:$AE$1006,0))&gt;=100000), " ",IF(INDEX($V$2:$AE$1001,MATCH(ROWS($O$2:O131),$O$2:$O$1001,0),MATCH(COLUMNS($V$1006:AB1006),$V$1006:$AE$1006,0)), HYPERLINK("#",""), HYPERLINK(CONCATENATE("#Metadata!", ADDRESS(INDEX($Q$2:$Q$1001,MATCH(ROWS($O$2:O131),$O$2:$O$1001,0),0), INDEX($V$1004:$AE$1004,1,MATCH(COLUMNS($V$1006:AB1006),$V$1006:$AE$1006,0)))),"Fix")))</f>
        <v>0</v>
      </c>
      <c r="I131" s="3">
        <f>IF(OR(INDEX($P$2:$P$1001,MATCH(ROWS($O$2:O131),$O$2:$O$1001,0),1)&gt;=100000,INDEX($V$1005:$AE$1005,1,MATCH(COLUMNS($V$1006:AC1006),$V$1006:$AE$1006,0))&gt;=100000), " ",IF(INDEX($V$2:$AE$1001,MATCH(ROWS($O$2:O131),$O$2:$O$1001,0),MATCH(COLUMNS($V$1006:AC1006),$V$1006:$AE$1006,0)), HYPERLINK("#",""), HYPERLINK(CONCATENATE("#Metadata!", ADDRESS(INDEX($Q$2:$Q$1001,MATCH(ROWS($O$2:O131),$O$2:$O$1001,0),0), INDEX($V$1004:$AE$1004,1,MATCH(COLUMNS($V$1006:AC1006),$V$1006:$AE$1006,0)))),"Fix")))</f>
        <v>0</v>
      </c>
      <c r="J131" s="3">
        <f>IF(OR(INDEX($P$2:$P$1001,MATCH(ROWS($O$2:O131),$O$2:$O$1001,0),1)&gt;=100000,INDEX($V$1005:$AE$1005,1,MATCH(COLUMNS($V$1006:AD1006),$V$1006:$AE$1006,0))&gt;=100000), " ",IF(INDEX($V$2:$AE$1001,MATCH(ROWS($O$2:O131),$O$2:$O$1001,0),MATCH(COLUMNS($V$1006:AD1006),$V$1006:$AE$1006,0)), HYPERLINK("#",""), HYPERLINK(CONCATENATE("#Metadata!", ADDRESS(INDEX($Q$2:$Q$1001,MATCH(ROWS($O$2:O131),$O$2:$O$1001,0),0), INDEX($V$1004:$AE$1004,1,MATCH(COLUMNS($V$1006:AD1006),$V$1006:$AE$1006,0)))),"Fix")))</f>
        <v>0</v>
      </c>
      <c r="K131" s="3">
        <f>IF(OR(INDEX($P$2:$P$1001,MATCH(ROWS($O$2:O131),$O$2:$O$1001,0),1)&gt;=100000,INDEX($V$1005:$AE$1005,1,MATCH(COLUMNS($V$1006:AE1006),$V$1006:$AE$1006,0))&gt;=100000), " ",IF(INDEX($V$2:$AE$1001,MATCH(ROWS($O$2:O131),$O$2:$O$1001,0),MATCH(COLUMNS($V$1006:AE1006),$V$1006:$AE$1006,0)), HYPERLINK("#",""), HYPERLINK(CONCATENATE("#Metadata!", ADDRESS(INDEX($Q$2:$Q$1001,MATCH(ROWS($O$2:O131),$O$2:$O$1001,0),0), INDEX($V$1004:$AE$1004,1,MATCH(COLUMNS($V$1006:AE1006),$V$1006:$AE$1006,0)))),"Fix")))</f>
        <v>0</v>
      </c>
      <c r="O131">
        <v>0</v>
      </c>
      <c r="P131">
        <v>0</v>
      </c>
      <c r="Q131">
        <v>0</v>
      </c>
      <c r="R131">
        <f>IF(S131,TRUE,AND(V131:AE131))</f>
        <v>0</v>
      </c>
      <c r="S131">
        <f>COUNTBLANK(Metadata!B131:K131)=COLUMNS(Metadata!B131:K131)</f>
        <v>0</v>
      </c>
      <c r="T131">
        <v>0</v>
      </c>
      <c r="V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W131">
        <f>AND(IF(Metadata!C131="",FALSE,TRUE),exact(Metadata!C131,"animal secretion"))</f>
        <v>0</v>
      </c>
      <c r="X131">
        <f>AND(IF(Metadata!D131="",FALSE,TRUE),exact(Metadata!D131,"saliva"))</f>
        <v>0</v>
      </c>
      <c r="Y131">
        <f>AND(IF(Metadata!E131="",FALSE,TRUE),exact(Metadata!E131,"human-oral"))</f>
        <v>0</v>
      </c>
      <c r="Z131">
        <f>AND(IF(Metadata!F131="",FALSE,TRUE),exact(Metadata!F131,"UBERON:oral cavity"))</f>
        <v>0</v>
      </c>
      <c r="AA131">
        <f>AND(IF(Metadata!G131="",FALSE,TRUE),exact(Metadata!G131,"UBERON:saliva"))</f>
        <v>0</v>
      </c>
      <c r="AB131">
        <f>AND(IF(Metadata!H131="",FALSE,TRUE),exact(Metadata!H131,"UBERON:tongue"))</f>
        <v>0</v>
      </c>
      <c r="AC131">
        <f>AND(IF(Metadata!I131="",FALSE,TRUE),exact(Metadata!I131,"tongue"))</f>
        <v>0</v>
      </c>
      <c r="AD131">
        <f>AND(IF(Metadata!J131="",FALSE,TRUE),exact(Metadata!J131,"human oral metagenome"))</f>
        <v>0</v>
      </c>
      <c r="AE131">
        <f>AND(IF(Metadata!K131="",FALSE,TRUE),exact(Metadata!K131,"447426"))</f>
        <v>0</v>
      </c>
    </row>
    <row r="132" spans="1:31">
      <c r="A132" s="4">
        <f>IF(B132=" "," ",HYPERLINK(CONCATENATE("#metadata!",ADDRESS(INDEX($Q$2:$Q$1001,MATCH(ROWS($O$2:O132),$O$2:$O$1001,0),0),1)),INDEX($T$2:$T$1001,MATCH(ROWS($O$2:O132),$O$2:$O$1001,0),0)))</f>
        <v>0</v>
      </c>
      <c r="B132" s="3">
        <f>IF(OR(INDEX($P$2:$P$1001,MATCH(ROWS($O$2:O132),$O$2:$O$1001,0),1)&gt;=100000,INDEX($V$1005:$AE$1005,1,MATCH(COLUMNS($V$1006:V1006),$V$1006:$AE$1006,0))&gt;=100000), " ",IF(INDEX($V$2:$AE$1001,MATCH(ROWS($O$2:O132),$O$2:$O$1001,0),MATCH(COLUMNS($V$1006:V1006),$V$1006:$AE$1006,0)), HYPERLINK("#",""), HYPERLINK(CONCATENATE("#Metadata!", ADDRESS(INDEX($Q$2:$Q$1001,MATCH(ROWS($O$2:O132),$O$2:$O$1001,0),0), INDEX($V$1004:$AE$1004,1,MATCH(COLUMNS($V$1006:V1006),$V$1006:$AE$1006,0)))),"Fix")))</f>
        <v>0</v>
      </c>
      <c r="C132" s="3">
        <f>IF(OR(INDEX($P$2:$P$1001,MATCH(ROWS($O$2:O132),$O$2:$O$1001,0),1)&gt;=100000,INDEX($V$1005:$AE$1005,1,MATCH(COLUMNS($V$1006:W1006),$V$1006:$AE$1006,0))&gt;=100000), " ",IF(INDEX($V$2:$AE$1001,MATCH(ROWS($O$2:O132),$O$2:$O$1001,0),MATCH(COLUMNS($V$1006:W1006),$V$1006:$AE$1006,0)), HYPERLINK("#",""), HYPERLINK(CONCATENATE("#Metadata!", ADDRESS(INDEX($Q$2:$Q$1001,MATCH(ROWS($O$2:O132),$O$2:$O$1001,0),0), INDEX($V$1004:$AE$1004,1,MATCH(COLUMNS($V$1006:W1006),$V$1006:$AE$1006,0)))),"Fix")))</f>
        <v>0</v>
      </c>
      <c r="D132" s="3">
        <f>IF(OR(INDEX($P$2:$P$1001,MATCH(ROWS($O$2:O132),$O$2:$O$1001,0),1)&gt;=100000,INDEX($V$1005:$AE$1005,1,MATCH(COLUMNS($V$1006:X1006),$V$1006:$AE$1006,0))&gt;=100000), " ",IF(INDEX($V$2:$AE$1001,MATCH(ROWS($O$2:O132),$O$2:$O$1001,0),MATCH(COLUMNS($V$1006:X1006),$V$1006:$AE$1006,0)), HYPERLINK("#",""), HYPERLINK(CONCATENATE("#Metadata!", ADDRESS(INDEX($Q$2:$Q$1001,MATCH(ROWS($O$2:O132),$O$2:$O$1001,0),0), INDEX($V$1004:$AE$1004,1,MATCH(COLUMNS($V$1006:X1006),$V$1006:$AE$1006,0)))),"Fix")))</f>
        <v>0</v>
      </c>
      <c r="E132" s="3">
        <f>IF(OR(INDEX($P$2:$P$1001,MATCH(ROWS($O$2:O132),$O$2:$O$1001,0),1)&gt;=100000,INDEX($V$1005:$AE$1005,1,MATCH(COLUMNS($V$1006:Y1006),$V$1006:$AE$1006,0))&gt;=100000), " ",IF(INDEX($V$2:$AE$1001,MATCH(ROWS($O$2:O132),$O$2:$O$1001,0),MATCH(COLUMNS($V$1006:Y1006),$V$1006:$AE$1006,0)), HYPERLINK("#",""), HYPERLINK(CONCATENATE("#Metadata!", ADDRESS(INDEX($Q$2:$Q$1001,MATCH(ROWS($O$2:O132),$O$2:$O$1001,0),0), INDEX($V$1004:$AE$1004,1,MATCH(COLUMNS($V$1006:Y1006),$V$1006:$AE$1006,0)))),"Fix")))</f>
        <v>0</v>
      </c>
      <c r="F132" s="3">
        <f>IF(OR(INDEX($P$2:$P$1001,MATCH(ROWS($O$2:O132),$O$2:$O$1001,0),1)&gt;=100000,INDEX($V$1005:$AE$1005,1,MATCH(COLUMNS($V$1006:Z1006),$V$1006:$AE$1006,0))&gt;=100000), " ",IF(INDEX($V$2:$AE$1001,MATCH(ROWS($O$2:O132),$O$2:$O$1001,0),MATCH(COLUMNS($V$1006:Z1006),$V$1006:$AE$1006,0)), HYPERLINK("#",""), HYPERLINK(CONCATENATE("#Metadata!", ADDRESS(INDEX($Q$2:$Q$1001,MATCH(ROWS($O$2:O132),$O$2:$O$1001,0),0), INDEX($V$1004:$AE$1004,1,MATCH(COLUMNS($V$1006:Z1006),$V$1006:$AE$1006,0)))),"Fix")))</f>
        <v>0</v>
      </c>
      <c r="G132" s="3">
        <f>IF(OR(INDEX($P$2:$P$1001,MATCH(ROWS($O$2:O132),$O$2:$O$1001,0),1)&gt;=100000,INDEX($V$1005:$AE$1005,1,MATCH(COLUMNS($V$1006:AA1006),$V$1006:$AE$1006,0))&gt;=100000), " ",IF(INDEX($V$2:$AE$1001,MATCH(ROWS($O$2:O132),$O$2:$O$1001,0),MATCH(COLUMNS($V$1006:AA1006),$V$1006:$AE$1006,0)), HYPERLINK("#",""), HYPERLINK(CONCATENATE("#Metadata!", ADDRESS(INDEX($Q$2:$Q$1001,MATCH(ROWS($O$2:O132),$O$2:$O$1001,0),0), INDEX($V$1004:$AE$1004,1,MATCH(COLUMNS($V$1006:AA1006),$V$1006:$AE$1006,0)))),"Fix")))</f>
        <v>0</v>
      </c>
      <c r="H132" s="3">
        <f>IF(OR(INDEX($P$2:$P$1001,MATCH(ROWS($O$2:O132),$O$2:$O$1001,0),1)&gt;=100000,INDEX($V$1005:$AE$1005,1,MATCH(COLUMNS($V$1006:AB1006),$V$1006:$AE$1006,0))&gt;=100000), " ",IF(INDEX($V$2:$AE$1001,MATCH(ROWS($O$2:O132),$O$2:$O$1001,0),MATCH(COLUMNS($V$1006:AB1006),$V$1006:$AE$1006,0)), HYPERLINK("#",""), HYPERLINK(CONCATENATE("#Metadata!", ADDRESS(INDEX($Q$2:$Q$1001,MATCH(ROWS($O$2:O132),$O$2:$O$1001,0),0), INDEX($V$1004:$AE$1004,1,MATCH(COLUMNS($V$1006:AB1006),$V$1006:$AE$1006,0)))),"Fix")))</f>
        <v>0</v>
      </c>
      <c r="I132" s="3">
        <f>IF(OR(INDEX($P$2:$P$1001,MATCH(ROWS($O$2:O132),$O$2:$O$1001,0),1)&gt;=100000,INDEX($V$1005:$AE$1005,1,MATCH(COLUMNS($V$1006:AC1006),$V$1006:$AE$1006,0))&gt;=100000), " ",IF(INDEX($V$2:$AE$1001,MATCH(ROWS($O$2:O132),$O$2:$O$1001,0),MATCH(COLUMNS($V$1006:AC1006),$V$1006:$AE$1006,0)), HYPERLINK("#",""), HYPERLINK(CONCATENATE("#Metadata!", ADDRESS(INDEX($Q$2:$Q$1001,MATCH(ROWS($O$2:O132),$O$2:$O$1001,0),0), INDEX($V$1004:$AE$1004,1,MATCH(COLUMNS($V$1006:AC1006),$V$1006:$AE$1006,0)))),"Fix")))</f>
        <v>0</v>
      </c>
      <c r="J132" s="3">
        <f>IF(OR(INDEX($P$2:$P$1001,MATCH(ROWS($O$2:O132),$O$2:$O$1001,0),1)&gt;=100000,INDEX($V$1005:$AE$1005,1,MATCH(COLUMNS($V$1006:AD1006),$V$1006:$AE$1006,0))&gt;=100000), " ",IF(INDEX($V$2:$AE$1001,MATCH(ROWS($O$2:O132),$O$2:$O$1001,0),MATCH(COLUMNS($V$1006:AD1006),$V$1006:$AE$1006,0)), HYPERLINK("#",""), HYPERLINK(CONCATENATE("#Metadata!", ADDRESS(INDEX($Q$2:$Q$1001,MATCH(ROWS($O$2:O132),$O$2:$O$1001,0),0), INDEX($V$1004:$AE$1004,1,MATCH(COLUMNS($V$1006:AD1006),$V$1006:$AE$1006,0)))),"Fix")))</f>
        <v>0</v>
      </c>
      <c r="K132" s="3">
        <f>IF(OR(INDEX($P$2:$P$1001,MATCH(ROWS($O$2:O132),$O$2:$O$1001,0),1)&gt;=100000,INDEX($V$1005:$AE$1005,1,MATCH(COLUMNS($V$1006:AE1006),$V$1006:$AE$1006,0))&gt;=100000), " ",IF(INDEX($V$2:$AE$1001,MATCH(ROWS($O$2:O132),$O$2:$O$1001,0),MATCH(COLUMNS($V$1006:AE1006),$V$1006:$AE$1006,0)), HYPERLINK("#",""), HYPERLINK(CONCATENATE("#Metadata!", ADDRESS(INDEX($Q$2:$Q$1001,MATCH(ROWS($O$2:O132),$O$2:$O$1001,0),0), INDEX($V$1004:$AE$1004,1,MATCH(COLUMNS($V$1006:AE1006),$V$1006:$AE$1006,0)))),"Fix")))</f>
        <v>0</v>
      </c>
      <c r="O132">
        <v>0</v>
      </c>
      <c r="P132">
        <v>0</v>
      </c>
      <c r="Q132">
        <v>0</v>
      </c>
      <c r="R132">
        <f>IF(S132,TRUE,AND(V132:AE132))</f>
        <v>0</v>
      </c>
      <c r="S132">
        <f>COUNTBLANK(Metadata!B132:K132)=COLUMNS(Metadata!B132:K132)</f>
        <v>0</v>
      </c>
      <c r="T132">
        <v>0</v>
      </c>
      <c r="V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W132">
        <f>AND(IF(Metadata!C132="",FALSE,TRUE),exact(Metadata!C132,"animal secretion"))</f>
        <v>0</v>
      </c>
      <c r="X132">
        <f>AND(IF(Metadata!D132="",FALSE,TRUE),exact(Metadata!D132,"saliva"))</f>
        <v>0</v>
      </c>
      <c r="Y132">
        <f>AND(IF(Metadata!E132="",FALSE,TRUE),exact(Metadata!E132,"human-oral"))</f>
        <v>0</v>
      </c>
      <c r="Z132">
        <f>AND(IF(Metadata!F132="",FALSE,TRUE),exact(Metadata!F132,"UBERON:oral cavity"))</f>
        <v>0</v>
      </c>
      <c r="AA132">
        <f>AND(IF(Metadata!G132="",FALSE,TRUE),exact(Metadata!G132,"UBERON:saliva"))</f>
        <v>0</v>
      </c>
      <c r="AB132">
        <f>AND(IF(Metadata!H132="",FALSE,TRUE),exact(Metadata!H132,"UBERON:tongue"))</f>
        <v>0</v>
      </c>
      <c r="AC132">
        <f>AND(IF(Metadata!I132="",FALSE,TRUE),exact(Metadata!I132,"tongue"))</f>
        <v>0</v>
      </c>
      <c r="AD132">
        <f>AND(IF(Metadata!J132="",FALSE,TRUE),exact(Metadata!J132,"human oral metagenome"))</f>
        <v>0</v>
      </c>
      <c r="AE132">
        <f>AND(IF(Metadata!K132="",FALSE,TRUE),exact(Metadata!K132,"447426"))</f>
        <v>0</v>
      </c>
    </row>
    <row r="133" spans="1:31">
      <c r="A133" s="4">
        <f>IF(B133=" "," ",HYPERLINK(CONCATENATE("#metadata!",ADDRESS(INDEX($Q$2:$Q$1001,MATCH(ROWS($O$2:O133),$O$2:$O$1001,0),0),1)),INDEX($T$2:$T$1001,MATCH(ROWS($O$2:O133),$O$2:$O$1001,0),0)))</f>
        <v>0</v>
      </c>
      <c r="B133" s="3">
        <f>IF(OR(INDEX($P$2:$P$1001,MATCH(ROWS($O$2:O133),$O$2:$O$1001,0),1)&gt;=100000,INDEX($V$1005:$AE$1005,1,MATCH(COLUMNS($V$1006:V1006),$V$1006:$AE$1006,0))&gt;=100000), " ",IF(INDEX($V$2:$AE$1001,MATCH(ROWS($O$2:O133),$O$2:$O$1001,0),MATCH(COLUMNS($V$1006:V1006),$V$1006:$AE$1006,0)), HYPERLINK("#",""), HYPERLINK(CONCATENATE("#Metadata!", ADDRESS(INDEX($Q$2:$Q$1001,MATCH(ROWS($O$2:O133),$O$2:$O$1001,0),0), INDEX($V$1004:$AE$1004,1,MATCH(COLUMNS($V$1006:V1006),$V$1006:$AE$1006,0)))),"Fix")))</f>
        <v>0</v>
      </c>
      <c r="C133" s="3">
        <f>IF(OR(INDEX($P$2:$P$1001,MATCH(ROWS($O$2:O133),$O$2:$O$1001,0),1)&gt;=100000,INDEX($V$1005:$AE$1005,1,MATCH(COLUMNS($V$1006:W1006),$V$1006:$AE$1006,0))&gt;=100000), " ",IF(INDEX($V$2:$AE$1001,MATCH(ROWS($O$2:O133),$O$2:$O$1001,0),MATCH(COLUMNS($V$1006:W1006),$V$1006:$AE$1006,0)), HYPERLINK("#",""), HYPERLINK(CONCATENATE("#Metadata!", ADDRESS(INDEX($Q$2:$Q$1001,MATCH(ROWS($O$2:O133),$O$2:$O$1001,0),0), INDEX($V$1004:$AE$1004,1,MATCH(COLUMNS($V$1006:W1006),$V$1006:$AE$1006,0)))),"Fix")))</f>
        <v>0</v>
      </c>
      <c r="D133" s="3">
        <f>IF(OR(INDEX($P$2:$P$1001,MATCH(ROWS($O$2:O133),$O$2:$O$1001,0),1)&gt;=100000,INDEX($V$1005:$AE$1005,1,MATCH(COLUMNS($V$1006:X1006),$V$1006:$AE$1006,0))&gt;=100000), " ",IF(INDEX($V$2:$AE$1001,MATCH(ROWS($O$2:O133),$O$2:$O$1001,0),MATCH(COLUMNS($V$1006:X1006),$V$1006:$AE$1006,0)), HYPERLINK("#",""), HYPERLINK(CONCATENATE("#Metadata!", ADDRESS(INDEX($Q$2:$Q$1001,MATCH(ROWS($O$2:O133),$O$2:$O$1001,0),0), INDEX($V$1004:$AE$1004,1,MATCH(COLUMNS($V$1006:X1006),$V$1006:$AE$1006,0)))),"Fix")))</f>
        <v>0</v>
      </c>
      <c r="E133" s="3">
        <f>IF(OR(INDEX($P$2:$P$1001,MATCH(ROWS($O$2:O133),$O$2:$O$1001,0),1)&gt;=100000,INDEX($V$1005:$AE$1005,1,MATCH(COLUMNS($V$1006:Y1006),$V$1006:$AE$1006,0))&gt;=100000), " ",IF(INDEX($V$2:$AE$1001,MATCH(ROWS($O$2:O133),$O$2:$O$1001,0),MATCH(COLUMNS($V$1006:Y1006),$V$1006:$AE$1006,0)), HYPERLINK("#",""), HYPERLINK(CONCATENATE("#Metadata!", ADDRESS(INDEX($Q$2:$Q$1001,MATCH(ROWS($O$2:O133),$O$2:$O$1001,0),0), INDEX($V$1004:$AE$1004,1,MATCH(COLUMNS($V$1006:Y1006),$V$1006:$AE$1006,0)))),"Fix")))</f>
        <v>0</v>
      </c>
      <c r="F133" s="3">
        <f>IF(OR(INDEX($P$2:$P$1001,MATCH(ROWS($O$2:O133),$O$2:$O$1001,0),1)&gt;=100000,INDEX($V$1005:$AE$1005,1,MATCH(COLUMNS($V$1006:Z1006),$V$1006:$AE$1006,0))&gt;=100000), " ",IF(INDEX($V$2:$AE$1001,MATCH(ROWS($O$2:O133),$O$2:$O$1001,0),MATCH(COLUMNS($V$1006:Z1006),$V$1006:$AE$1006,0)), HYPERLINK("#",""), HYPERLINK(CONCATENATE("#Metadata!", ADDRESS(INDEX($Q$2:$Q$1001,MATCH(ROWS($O$2:O133),$O$2:$O$1001,0),0), INDEX($V$1004:$AE$1004,1,MATCH(COLUMNS($V$1006:Z1006),$V$1006:$AE$1006,0)))),"Fix")))</f>
        <v>0</v>
      </c>
      <c r="G133" s="3">
        <f>IF(OR(INDEX($P$2:$P$1001,MATCH(ROWS($O$2:O133),$O$2:$O$1001,0),1)&gt;=100000,INDEX($V$1005:$AE$1005,1,MATCH(COLUMNS($V$1006:AA1006),$V$1006:$AE$1006,0))&gt;=100000), " ",IF(INDEX($V$2:$AE$1001,MATCH(ROWS($O$2:O133),$O$2:$O$1001,0),MATCH(COLUMNS($V$1006:AA1006),$V$1006:$AE$1006,0)), HYPERLINK("#",""), HYPERLINK(CONCATENATE("#Metadata!", ADDRESS(INDEX($Q$2:$Q$1001,MATCH(ROWS($O$2:O133),$O$2:$O$1001,0),0), INDEX($V$1004:$AE$1004,1,MATCH(COLUMNS($V$1006:AA1006),$V$1006:$AE$1006,0)))),"Fix")))</f>
        <v>0</v>
      </c>
      <c r="H133" s="3">
        <f>IF(OR(INDEX($P$2:$P$1001,MATCH(ROWS($O$2:O133),$O$2:$O$1001,0),1)&gt;=100000,INDEX($V$1005:$AE$1005,1,MATCH(COLUMNS($V$1006:AB1006),$V$1006:$AE$1006,0))&gt;=100000), " ",IF(INDEX($V$2:$AE$1001,MATCH(ROWS($O$2:O133),$O$2:$O$1001,0),MATCH(COLUMNS($V$1006:AB1006),$V$1006:$AE$1006,0)), HYPERLINK("#",""), HYPERLINK(CONCATENATE("#Metadata!", ADDRESS(INDEX($Q$2:$Q$1001,MATCH(ROWS($O$2:O133),$O$2:$O$1001,0),0), INDEX($V$1004:$AE$1004,1,MATCH(COLUMNS($V$1006:AB1006),$V$1006:$AE$1006,0)))),"Fix")))</f>
        <v>0</v>
      </c>
      <c r="I133" s="3">
        <f>IF(OR(INDEX($P$2:$P$1001,MATCH(ROWS($O$2:O133),$O$2:$O$1001,0),1)&gt;=100000,INDEX($V$1005:$AE$1005,1,MATCH(COLUMNS($V$1006:AC1006),$V$1006:$AE$1006,0))&gt;=100000), " ",IF(INDEX($V$2:$AE$1001,MATCH(ROWS($O$2:O133),$O$2:$O$1001,0),MATCH(COLUMNS($V$1006:AC1006),$V$1006:$AE$1006,0)), HYPERLINK("#",""), HYPERLINK(CONCATENATE("#Metadata!", ADDRESS(INDEX($Q$2:$Q$1001,MATCH(ROWS($O$2:O133),$O$2:$O$1001,0),0), INDEX($V$1004:$AE$1004,1,MATCH(COLUMNS($V$1006:AC1006),$V$1006:$AE$1006,0)))),"Fix")))</f>
        <v>0</v>
      </c>
      <c r="J133" s="3">
        <f>IF(OR(INDEX($P$2:$P$1001,MATCH(ROWS($O$2:O133),$O$2:$O$1001,0),1)&gt;=100000,INDEX($V$1005:$AE$1005,1,MATCH(COLUMNS($V$1006:AD1006),$V$1006:$AE$1006,0))&gt;=100000), " ",IF(INDEX($V$2:$AE$1001,MATCH(ROWS($O$2:O133),$O$2:$O$1001,0),MATCH(COLUMNS($V$1006:AD1006),$V$1006:$AE$1006,0)), HYPERLINK("#",""), HYPERLINK(CONCATENATE("#Metadata!", ADDRESS(INDEX($Q$2:$Q$1001,MATCH(ROWS($O$2:O133),$O$2:$O$1001,0),0), INDEX($V$1004:$AE$1004,1,MATCH(COLUMNS($V$1006:AD1006),$V$1006:$AE$1006,0)))),"Fix")))</f>
        <v>0</v>
      </c>
      <c r="K133" s="3">
        <f>IF(OR(INDEX($P$2:$P$1001,MATCH(ROWS($O$2:O133),$O$2:$O$1001,0),1)&gt;=100000,INDEX($V$1005:$AE$1005,1,MATCH(COLUMNS($V$1006:AE1006),$V$1006:$AE$1006,0))&gt;=100000), " ",IF(INDEX($V$2:$AE$1001,MATCH(ROWS($O$2:O133),$O$2:$O$1001,0),MATCH(COLUMNS($V$1006:AE1006),$V$1006:$AE$1006,0)), HYPERLINK("#",""), HYPERLINK(CONCATENATE("#Metadata!", ADDRESS(INDEX($Q$2:$Q$1001,MATCH(ROWS($O$2:O133),$O$2:$O$1001,0),0), INDEX($V$1004:$AE$1004,1,MATCH(COLUMNS($V$1006:AE1006),$V$1006:$AE$1006,0)))),"Fix")))</f>
        <v>0</v>
      </c>
      <c r="O133">
        <v>0</v>
      </c>
      <c r="P133">
        <v>0</v>
      </c>
      <c r="Q133">
        <v>0</v>
      </c>
      <c r="R133">
        <f>IF(S133,TRUE,AND(V133:AE133))</f>
        <v>0</v>
      </c>
      <c r="S133">
        <f>COUNTBLANK(Metadata!B133:K133)=COLUMNS(Metadata!B133:K133)</f>
        <v>0</v>
      </c>
      <c r="T133">
        <v>0</v>
      </c>
      <c r="V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W133">
        <f>AND(IF(Metadata!C133="",FALSE,TRUE),exact(Metadata!C133,"animal secretion"))</f>
        <v>0</v>
      </c>
      <c r="X133">
        <f>AND(IF(Metadata!D133="",FALSE,TRUE),exact(Metadata!D133,"saliva"))</f>
        <v>0</v>
      </c>
      <c r="Y133">
        <f>AND(IF(Metadata!E133="",FALSE,TRUE),exact(Metadata!E133,"human-oral"))</f>
        <v>0</v>
      </c>
      <c r="Z133">
        <f>AND(IF(Metadata!F133="",FALSE,TRUE),exact(Metadata!F133,"UBERON:oral cavity"))</f>
        <v>0</v>
      </c>
      <c r="AA133">
        <f>AND(IF(Metadata!G133="",FALSE,TRUE),exact(Metadata!G133,"UBERON:saliva"))</f>
        <v>0</v>
      </c>
      <c r="AB133">
        <f>AND(IF(Metadata!H133="",FALSE,TRUE),exact(Metadata!H133,"UBERON:tongue"))</f>
        <v>0</v>
      </c>
      <c r="AC133">
        <f>AND(IF(Metadata!I133="",FALSE,TRUE),exact(Metadata!I133,"tongue"))</f>
        <v>0</v>
      </c>
      <c r="AD133">
        <f>AND(IF(Metadata!J133="",FALSE,TRUE),exact(Metadata!J133,"human oral metagenome"))</f>
        <v>0</v>
      </c>
      <c r="AE133">
        <f>AND(IF(Metadata!K133="",FALSE,TRUE),exact(Metadata!K133,"447426"))</f>
        <v>0</v>
      </c>
    </row>
    <row r="134" spans="1:31">
      <c r="A134" s="4">
        <f>IF(B134=" "," ",HYPERLINK(CONCATENATE("#metadata!",ADDRESS(INDEX($Q$2:$Q$1001,MATCH(ROWS($O$2:O134),$O$2:$O$1001,0),0),1)),INDEX($T$2:$T$1001,MATCH(ROWS($O$2:O134),$O$2:$O$1001,0),0)))</f>
        <v>0</v>
      </c>
      <c r="B134" s="3">
        <f>IF(OR(INDEX($P$2:$P$1001,MATCH(ROWS($O$2:O134),$O$2:$O$1001,0),1)&gt;=100000,INDEX($V$1005:$AE$1005,1,MATCH(COLUMNS($V$1006:V1006),$V$1006:$AE$1006,0))&gt;=100000), " ",IF(INDEX($V$2:$AE$1001,MATCH(ROWS($O$2:O134),$O$2:$O$1001,0),MATCH(COLUMNS($V$1006:V1006),$V$1006:$AE$1006,0)), HYPERLINK("#",""), HYPERLINK(CONCATENATE("#Metadata!", ADDRESS(INDEX($Q$2:$Q$1001,MATCH(ROWS($O$2:O134),$O$2:$O$1001,0),0), INDEX($V$1004:$AE$1004,1,MATCH(COLUMNS($V$1006:V1006),$V$1006:$AE$1006,0)))),"Fix")))</f>
        <v>0</v>
      </c>
      <c r="C134" s="3">
        <f>IF(OR(INDEX($P$2:$P$1001,MATCH(ROWS($O$2:O134),$O$2:$O$1001,0),1)&gt;=100000,INDEX($V$1005:$AE$1005,1,MATCH(COLUMNS($V$1006:W1006),$V$1006:$AE$1006,0))&gt;=100000), " ",IF(INDEX($V$2:$AE$1001,MATCH(ROWS($O$2:O134),$O$2:$O$1001,0),MATCH(COLUMNS($V$1006:W1006),$V$1006:$AE$1006,0)), HYPERLINK("#",""), HYPERLINK(CONCATENATE("#Metadata!", ADDRESS(INDEX($Q$2:$Q$1001,MATCH(ROWS($O$2:O134),$O$2:$O$1001,0),0), INDEX($V$1004:$AE$1004,1,MATCH(COLUMNS($V$1006:W1006),$V$1006:$AE$1006,0)))),"Fix")))</f>
        <v>0</v>
      </c>
      <c r="D134" s="3">
        <f>IF(OR(INDEX($P$2:$P$1001,MATCH(ROWS($O$2:O134),$O$2:$O$1001,0),1)&gt;=100000,INDEX($V$1005:$AE$1005,1,MATCH(COLUMNS($V$1006:X1006),$V$1006:$AE$1006,0))&gt;=100000), " ",IF(INDEX($V$2:$AE$1001,MATCH(ROWS($O$2:O134),$O$2:$O$1001,0),MATCH(COLUMNS($V$1006:X1006),$V$1006:$AE$1006,0)), HYPERLINK("#",""), HYPERLINK(CONCATENATE("#Metadata!", ADDRESS(INDEX($Q$2:$Q$1001,MATCH(ROWS($O$2:O134),$O$2:$O$1001,0),0), INDEX($V$1004:$AE$1004,1,MATCH(COLUMNS($V$1006:X1006),$V$1006:$AE$1006,0)))),"Fix")))</f>
        <v>0</v>
      </c>
      <c r="E134" s="3">
        <f>IF(OR(INDEX($P$2:$P$1001,MATCH(ROWS($O$2:O134),$O$2:$O$1001,0),1)&gt;=100000,INDEX($V$1005:$AE$1005,1,MATCH(COLUMNS($V$1006:Y1006),$V$1006:$AE$1006,0))&gt;=100000), " ",IF(INDEX($V$2:$AE$1001,MATCH(ROWS($O$2:O134),$O$2:$O$1001,0),MATCH(COLUMNS($V$1006:Y1006),$V$1006:$AE$1006,0)), HYPERLINK("#",""), HYPERLINK(CONCATENATE("#Metadata!", ADDRESS(INDEX($Q$2:$Q$1001,MATCH(ROWS($O$2:O134),$O$2:$O$1001,0),0), INDEX($V$1004:$AE$1004,1,MATCH(COLUMNS($V$1006:Y1006),$V$1006:$AE$1006,0)))),"Fix")))</f>
        <v>0</v>
      </c>
      <c r="F134" s="3">
        <f>IF(OR(INDEX($P$2:$P$1001,MATCH(ROWS($O$2:O134),$O$2:$O$1001,0),1)&gt;=100000,INDEX($V$1005:$AE$1005,1,MATCH(COLUMNS($V$1006:Z1006),$V$1006:$AE$1006,0))&gt;=100000), " ",IF(INDEX($V$2:$AE$1001,MATCH(ROWS($O$2:O134),$O$2:$O$1001,0),MATCH(COLUMNS($V$1006:Z1006),$V$1006:$AE$1006,0)), HYPERLINK("#",""), HYPERLINK(CONCATENATE("#Metadata!", ADDRESS(INDEX($Q$2:$Q$1001,MATCH(ROWS($O$2:O134),$O$2:$O$1001,0),0), INDEX($V$1004:$AE$1004,1,MATCH(COLUMNS($V$1006:Z1006),$V$1006:$AE$1006,0)))),"Fix")))</f>
        <v>0</v>
      </c>
      <c r="G134" s="3">
        <f>IF(OR(INDEX($P$2:$P$1001,MATCH(ROWS($O$2:O134),$O$2:$O$1001,0),1)&gt;=100000,INDEX($V$1005:$AE$1005,1,MATCH(COLUMNS($V$1006:AA1006),$V$1006:$AE$1006,0))&gt;=100000), " ",IF(INDEX($V$2:$AE$1001,MATCH(ROWS($O$2:O134),$O$2:$O$1001,0),MATCH(COLUMNS($V$1006:AA1006),$V$1006:$AE$1006,0)), HYPERLINK("#",""), HYPERLINK(CONCATENATE("#Metadata!", ADDRESS(INDEX($Q$2:$Q$1001,MATCH(ROWS($O$2:O134),$O$2:$O$1001,0),0), INDEX($V$1004:$AE$1004,1,MATCH(COLUMNS($V$1006:AA1006),$V$1006:$AE$1006,0)))),"Fix")))</f>
        <v>0</v>
      </c>
      <c r="H134" s="3">
        <f>IF(OR(INDEX($P$2:$P$1001,MATCH(ROWS($O$2:O134),$O$2:$O$1001,0),1)&gt;=100000,INDEX($V$1005:$AE$1005,1,MATCH(COLUMNS($V$1006:AB1006),$V$1006:$AE$1006,0))&gt;=100000), " ",IF(INDEX($V$2:$AE$1001,MATCH(ROWS($O$2:O134),$O$2:$O$1001,0),MATCH(COLUMNS($V$1006:AB1006),$V$1006:$AE$1006,0)), HYPERLINK("#",""), HYPERLINK(CONCATENATE("#Metadata!", ADDRESS(INDEX($Q$2:$Q$1001,MATCH(ROWS($O$2:O134),$O$2:$O$1001,0),0), INDEX($V$1004:$AE$1004,1,MATCH(COLUMNS($V$1006:AB1006),$V$1006:$AE$1006,0)))),"Fix")))</f>
        <v>0</v>
      </c>
      <c r="I134" s="3">
        <f>IF(OR(INDEX($P$2:$P$1001,MATCH(ROWS($O$2:O134),$O$2:$O$1001,0),1)&gt;=100000,INDEX($V$1005:$AE$1005,1,MATCH(COLUMNS($V$1006:AC1006),$V$1006:$AE$1006,0))&gt;=100000), " ",IF(INDEX($V$2:$AE$1001,MATCH(ROWS($O$2:O134),$O$2:$O$1001,0),MATCH(COLUMNS($V$1006:AC1006),$V$1006:$AE$1006,0)), HYPERLINK("#",""), HYPERLINK(CONCATENATE("#Metadata!", ADDRESS(INDEX($Q$2:$Q$1001,MATCH(ROWS($O$2:O134),$O$2:$O$1001,0),0), INDEX($V$1004:$AE$1004,1,MATCH(COLUMNS($V$1006:AC1006),$V$1006:$AE$1006,0)))),"Fix")))</f>
        <v>0</v>
      </c>
      <c r="J134" s="3">
        <f>IF(OR(INDEX($P$2:$P$1001,MATCH(ROWS($O$2:O134),$O$2:$O$1001,0),1)&gt;=100000,INDEX($V$1005:$AE$1005,1,MATCH(COLUMNS($V$1006:AD1006),$V$1006:$AE$1006,0))&gt;=100000), " ",IF(INDEX($V$2:$AE$1001,MATCH(ROWS($O$2:O134),$O$2:$O$1001,0),MATCH(COLUMNS($V$1006:AD1006),$V$1006:$AE$1006,0)), HYPERLINK("#",""), HYPERLINK(CONCATENATE("#Metadata!", ADDRESS(INDEX($Q$2:$Q$1001,MATCH(ROWS($O$2:O134),$O$2:$O$1001,0),0), INDEX($V$1004:$AE$1004,1,MATCH(COLUMNS($V$1006:AD1006),$V$1006:$AE$1006,0)))),"Fix")))</f>
        <v>0</v>
      </c>
      <c r="K134" s="3">
        <f>IF(OR(INDEX($P$2:$P$1001,MATCH(ROWS($O$2:O134),$O$2:$O$1001,0),1)&gt;=100000,INDEX($V$1005:$AE$1005,1,MATCH(COLUMNS($V$1006:AE1006),$V$1006:$AE$1006,0))&gt;=100000), " ",IF(INDEX($V$2:$AE$1001,MATCH(ROWS($O$2:O134),$O$2:$O$1001,0),MATCH(COLUMNS($V$1006:AE1006),$V$1006:$AE$1006,0)), HYPERLINK("#",""), HYPERLINK(CONCATENATE("#Metadata!", ADDRESS(INDEX($Q$2:$Q$1001,MATCH(ROWS($O$2:O134),$O$2:$O$1001,0),0), INDEX($V$1004:$AE$1004,1,MATCH(COLUMNS($V$1006:AE1006),$V$1006:$AE$1006,0)))),"Fix")))</f>
        <v>0</v>
      </c>
      <c r="O134">
        <v>0</v>
      </c>
      <c r="P134">
        <v>0</v>
      </c>
      <c r="Q134">
        <v>0</v>
      </c>
      <c r="R134">
        <f>IF(S134,TRUE,AND(V134:AE134))</f>
        <v>0</v>
      </c>
      <c r="S134">
        <f>COUNTBLANK(Metadata!B134:K134)=COLUMNS(Metadata!B134:K134)</f>
        <v>0</v>
      </c>
      <c r="T134">
        <v>0</v>
      </c>
      <c r="V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W134">
        <f>AND(IF(Metadata!C134="",FALSE,TRUE),exact(Metadata!C134,"animal secretion"))</f>
        <v>0</v>
      </c>
      <c r="X134">
        <f>AND(IF(Metadata!D134="",FALSE,TRUE),exact(Metadata!D134,"saliva"))</f>
        <v>0</v>
      </c>
      <c r="Y134">
        <f>AND(IF(Metadata!E134="",FALSE,TRUE),exact(Metadata!E134,"human-oral"))</f>
        <v>0</v>
      </c>
      <c r="Z134">
        <f>AND(IF(Metadata!F134="",FALSE,TRUE),exact(Metadata!F134,"UBERON:oral cavity"))</f>
        <v>0</v>
      </c>
      <c r="AA134">
        <f>AND(IF(Metadata!G134="",FALSE,TRUE),exact(Metadata!G134,"UBERON:saliva"))</f>
        <v>0</v>
      </c>
      <c r="AB134">
        <f>AND(IF(Metadata!H134="",FALSE,TRUE),exact(Metadata!H134,"UBERON:tongue"))</f>
        <v>0</v>
      </c>
      <c r="AC134">
        <f>AND(IF(Metadata!I134="",FALSE,TRUE),exact(Metadata!I134,"tongue"))</f>
        <v>0</v>
      </c>
      <c r="AD134">
        <f>AND(IF(Metadata!J134="",FALSE,TRUE),exact(Metadata!J134,"human oral metagenome"))</f>
        <v>0</v>
      </c>
      <c r="AE134">
        <f>AND(IF(Metadata!K134="",FALSE,TRUE),exact(Metadata!K134,"447426"))</f>
        <v>0</v>
      </c>
    </row>
    <row r="135" spans="1:31">
      <c r="A135" s="4">
        <f>IF(B135=" "," ",HYPERLINK(CONCATENATE("#metadata!",ADDRESS(INDEX($Q$2:$Q$1001,MATCH(ROWS($O$2:O135),$O$2:$O$1001,0),0),1)),INDEX($T$2:$T$1001,MATCH(ROWS($O$2:O135),$O$2:$O$1001,0),0)))</f>
        <v>0</v>
      </c>
      <c r="B135" s="3">
        <f>IF(OR(INDEX($P$2:$P$1001,MATCH(ROWS($O$2:O135),$O$2:$O$1001,0),1)&gt;=100000,INDEX($V$1005:$AE$1005,1,MATCH(COLUMNS($V$1006:V1006),$V$1006:$AE$1006,0))&gt;=100000), " ",IF(INDEX($V$2:$AE$1001,MATCH(ROWS($O$2:O135),$O$2:$O$1001,0),MATCH(COLUMNS($V$1006:V1006),$V$1006:$AE$1006,0)), HYPERLINK("#",""), HYPERLINK(CONCATENATE("#Metadata!", ADDRESS(INDEX($Q$2:$Q$1001,MATCH(ROWS($O$2:O135),$O$2:$O$1001,0),0), INDEX($V$1004:$AE$1004,1,MATCH(COLUMNS($V$1006:V1006),$V$1006:$AE$1006,0)))),"Fix")))</f>
        <v>0</v>
      </c>
      <c r="C135" s="3">
        <f>IF(OR(INDEX($P$2:$P$1001,MATCH(ROWS($O$2:O135),$O$2:$O$1001,0),1)&gt;=100000,INDEX($V$1005:$AE$1005,1,MATCH(COLUMNS($V$1006:W1006),$V$1006:$AE$1006,0))&gt;=100000), " ",IF(INDEX($V$2:$AE$1001,MATCH(ROWS($O$2:O135),$O$2:$O$1001,0),MATCH(COLUMNS($V$1006:W1006),$V$1006:$AE$1006,0)), HYPERLINK("#",""), HYPERLINK(CONCATENATE("#Metadata!", ADDRESS(INDEX($Q$2:$Q$1001,MATCH(ROWS($O$2:O135),$O$2:$O$1001,0),0), INDEX($V$1004:$AE$1004,1,MATCH(COLUMNS($V$1006:W1006),$V$1006:$AE$1006,0)))),"Fix")))</f>
        <v>0</v>
      </c>
      <c r="D135" s="3">
        <f>IF(OR(INDEX($P$2:$P$1001,MATCH(ROWS($O$2:O135),$O$2:$O$1001,0),1)&gt;=100000,INDEX($V$1005:$AE$1005,1,MATCH(COLUMNS($V$1006:X1006),$V$1006:$AE$1006,0))&gt;=100000), " ",IF(INDEX($V$2:$AE$1001,MATCH(ROWS($O$2:O135),$O$2:$O$1001,0),MATCH(COLUMNS($V$1006:X1006),$V$1006:$AE$1006,0)), HYPERLINK("#",""), HYPERLINK(CONCATENATE("#Metadata!", ADDRESS(INDEX($Q$2:$Q$1001,MATCH(ROWS($O$2:O135),$O$2:$O$1001,0),0), INDEX($V$1004:$AE$1004,1,MATCH(COLUMNS($V$1006:X1006),$V$1006:$AE$1006,0)))),"Fix")))</f>
        <v>0</v>
      </c>
      <c r="E135" s="3">
        <f>IF(OR(INDEX($P$2:$P$1001,MATCH(ROWS($O$2:O135),$O$2:$O$1001,0),1)&gt;=100000,INDEX($V$1005:$AE$1005,1,MATCH(COLUMNS($V$1006:Y1006),$V$1006:$AE$1006,0))&gt;=100000), " ",IF(INDEX($V$2:$AE$1001,MATCH(ROWS($O$2:O135),$O$2:$O$1001,0),MATCH(COLUMNS($V$1006:Y1006),$V$1006:$AE$1006,0)), HYPERLINK("#",""), HYPERLINK(CONCATENATE("#Metadata!", ADDRESS(INDEX($Q$2:$Q$1001,MATCH(ROWS($O$2:O135),$O$2:$O$1001,0),0), INDEX($V$1004:$AE$1004,1,MATCH(COLUMNS($V$1006:Y1006),$V$1006:$AE$1006,0)))),"Fix")))</f>
        <v>0</v>
      </c>
      <c r="F135" s="3">
        <f>IF(OR(INDEX($P$2:$P$1001,MATCH(ROWS($O$2:O135),$O$2:$O$1001,0),1)&gt;=100000,INDEX($V$1005:$AE$1005,1,MATCH(COLUMNS($V$1006:Z1006),$V$1006:$AE$1006,0))&gt;=100000), " ",IF(INDEX($V$2:$AE$1001,MATCH(ROWS($O$2:O135),$O$2:$O$1001,0),MATCH(COLUMNS($V$1006:Z1006),$V$1006:$AE$1006,0)), HYPERLINK("#",""), HYPERLINK(CONCATENATE("#Metadata!", ADDRESS(INDEX($Q$2:$Q$1001,MATCH(ROWS($O$2:O135),$O$2:$O$1001,0),0), INDEX($V$1004:$AE$1004,1,MATCH(COLUMNS($V$1006:Z1006),$V$1006:$AE$1006,0)))),"Fix")))</f>
        <v>0</v>
      </c>
      <c r="G135" s="3">
        <f>IF(OR(INDEX($P$2:$P$1001,MATCH(ROWS($O$2:O135),$O$2:$O$1001,0),1)&gt;=100000,INDEX($V$1005:$AE$1005,1,MATCH(COLUMNS($V$1006:AA1006),$V$1006:$AE$1006,0))&gt;=100000), " ",IF(INDEX($V$2:$AE$1001,MATCH(ROWS($O$2:O135),$O$2:$O$1001,0),MATCH(COLUMNS($V$1006:AA1006),$V$1006:$AE$1006,0)), HYPERLINK("#",""), HYPERLINK(CONCATENATE("#Metadata!", ADDRESS(INDEX($Q$2:$Q$1001,MATCH(ROWS($O$2:O135),$O$2:$O$1001,0),0), INDEX($V$1004:$AE$1004,1,MATCH(COLUMNS($V$1006:AA1006),$V$1006:$AE$1006,0)))),"Fix")))</f>
        <v>0</v>
      </c>
      <c r="H135" s="3">
        <f>IF(OR(INDEX($P$2:$P$1001,MATCH(ROWS($O$2:O135),$O$2:$O$1001,0),1)&gt;=100000,INDEX($V$1005:$AE$1005,1,MATCH(COLUMNS($V$1006:AB1006),$V$1006:$AE$1006,0))&gt;=100000), " ",IF(INDEX($V$2:$AE$1001,MATCH(ROWS($O$2:O135),$O$2:$O$1001,0),MATCH(COLUMNS($V$1006:AB1006),$V$1006:$AE$1006,0)), HYPERLINK("#",""), HYPERLINK(CONCATENATE("#Metadata!", ADDRESS(INDEX($Q$2:$Q$1001,MATCH(ROWS($O$2:O135),$O$2:$O$1001,0),0), INDEX($V$1004:$AE$1004,1,MATCH(COLUMNS($V$1006:AB1006),$V$1006:$AE$1006,0)))),"Fix")))</f>
        <v>0</v>
      </c>
      <c r="I135" s="3">
        <f>IF(OR(INDEX($P$2:$P$1001,MATCH(ROWS($O$2:O135),$O$2:$O$1001,0),1)&gt;=100000,INDEX($V$1005:$AE$1005,1,MATCH(COLUMNS($V$1006:AC1006),$V$1006:$AE$1006,0))&gt;=100000), " ",IF(INDEX($V$2:$AE$1001,MATCH(ROWS($O$2:O135),$O$2:$O$1001,0),MATCH(COLUMNS($V$1006:AC1006),$V$1006:$AE$1006,0)), HYPERLINK("#",""), HYPERLINK(CONCATENATE("#Metadata!", ADDRESS(INDEX($Q$2:$Q$1001,MATCH(ROWS($O$2:O135),$O$2:$O$1001,0),0), INDEX($V$1004:$AE$1004,1,MATCH(COLUMNS($V$1006:AC1006),$V$1006:$AE$1006,0)))),"Fix")))</f>
        <v>0</v>
      </c>
      <c r="J135" s="3">
        <f>IF(OR(INDEX($P$2:$P$1001,MATCH(ROWS($O$2:O135),$O$2:$O$1001,0),1)&gt;=100000,INDEX($V$1005:$AE$1005,1,MATCH(COLUMNS($V$1006:AD1006),$V$1006:$AE$1006,0))&gt;=100000), " ",IF(INDEX($V$2:$AE$1001,MATCH(ROWS($O$2:O135),$O$2:$O$1001,0),MATCH(COLUMNS($V$1006:AD1006),$V$1006:$AE$1006,0)), HYPERLINK("#",""), HYPERLINK(CONCATENATE("#Metadata!", ADDRESS(INDEX($Q$2:$Q$1001,MATCH(ROWS($O$2:O135),$O$2:$O$1001,0),0), INDEX($V$1004:$AE$1004,1,MATCH(COLUMNS($V$1006:AD1006),$V$1006:$AE$1006,0)))),"Fix")))</f>
        <v>0</v>
      </c>
      <c r="K135" s="3">
        <f>IF(OR(INDEX($P$2:$P$1001,MATCH(ROWS($O$2:O135),$O$2:$O$1001,0),1)&gt;=100000,INDEX($V$1005:$AE$1005,1,MATCH(COLUMNS($V$1006:AE1006),$V$1006:$AE$1006,0))&gt;=100000), " ",IF(INDEX($V$2:$AE$1001,MATCH(ROWS($O$2:O135),$O$2:$O$1001,0),MATCH(COLUMNS($V$1006:AE1006),$V$1006:$AE$1006,0)), HYPERLINK("#",""), HYPERLINK(CONCATENATE("#Metadata!", ADDRESS(INDEX($Q$2:$Q$1001,MATCH(ROWS($O$2:O135),$O$2:$O$1001,0),0), INDEX($V$1004:$AE$1004,1,MATCH(COLUMNS($V$1006:AE1006),$V$1006:$AE$1006,0)))),"Fix")))</f>
        <v>0</v>
      </c>
      <c r="O135">
        <v>0</v>
      </c>
      <c r="P135">
        <v>0</v>
      </c>
      <c r="Q135">
        <v>0</v>
      </c>
      <c r="R135">
        <f>IF(S135,TRUE,AND(V135:AE135))</f>
        <v>0</v>
      </c>
      <c r="S135">
        <f>COUNTBLANK(Metadata!B135:K135)=COLUMNS(Metadata!B135:K135)</f>
        <v>0</v>
      </c>
      <c r="T135">
        <v>0</v>
      </c>
      <c r="V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W135">
        <f>AND(IF(Metadata!C135="",FALSE,TRUE),exact(Metadata!C135,"animal secretion"))</f>
        <v>0</v>
      </c>
      <c r="X135">
        <f>AND(IF(Metadata!D135="",FALSE,TRUE),exact(Metadata!D135,"saliva"))</f>
        <v>0</v>
      </c>
      <c r="Y135">
        <f>AND(IF(Metadata!E135="",FALSE,TRUE),exact(Metadata!E135,"human-oral"))</f>
        <v>0</v>
      </c>
      <c r="Z135">
        <f>AND(IF(Metadata!F135="",FALSE,TRUE),exact(Metadata!F135,"UBERON:oral cavity"))</f>
        <v>0</v>
      </c>
      <c r="AA135">
        <f>AND(IF(Metadata!G135="",FALSE,TRUE),exact(Metadata!G135,"UBERON:saliva"))</f>
        <v>0</v>
      </c>
      <c r="AB135">
        <f>AND(IF(Metadata!H135="",FALSE,TRUE),exact(Metadata!H135,"UBERON:tongue"))</f>
        <v>0</v>
      </c>
      <c r="AC135">
        <f>AND(IF(Metadata!I135="",FALSE,TRUE),exact(Metadata!I135,"tongue"))</f>
        <v>0</v>
      </c>
      <c r="AD135">
        <f>AND(IF(Metadata!J135="",FALSE,TRUE),exact(Metadata!J135,"human oral metagenome"))</f>
        <v>0</v>
      </c>
      <c r="AE135">
        <f>AND(IF(Metadata!K135="",FALSE,TRUE),exact(Metadata!K135,"447426"))</f>
        <v>0</v>
      </c>
    </row>
    <row r="136" spans="1:31">
      <c r="A136" s="4">
        <f>IF(B136=" "," ",HYPERLINK(CONCATENATE("#metadata!",ADDRESS(INDEX($Q$2:$Q$1001,MATCH(ROWS($O$2:O136),$O$2:$O$1001,0),0),1)),INDEX($T$2:$T$1001,MATCH(ROWS($O$2:O136),$O$2:$O$1001,0),0)))</f>
        <v>0</v>
      </c>
      <c r="B136" s="3">
        <f>IF(OR(INDEX($P$2:$P$1001,MATCH(ROWS($O$2:O136),$O$2:$O$1001,0),1)&gt;=100000,INDEX($V$1005:$AE$1005,1,MATCH(COLUMNS($V$1006:V1006),$V$1006:$AE$1006,0))&gt;=100000), " ",IF(INDEX($V$2:$AE$1001,MATCH(ROWS($O$2:O136),$O$2:$O$1001,0),MATCH(COLUMNS($V$1006:V1006),$V$1006:$AE$1006,0)), HYPERLINK("#",""), HYPERLINK(CONCATENATE("#Metadata!", ADDRESS(INDEX($Q$2:$Q$1001,MATCH(ROWS($O$2:O136),$O$2:$O$1001,0),0), INDEX($V$1004:$AE$1004,1,MATCH(COLUMNS($V$1006:V1006),$V$1006:$AE$1006,0)))),"Fix")))</f>
        <v>0</v>
      </c>
      <c r="C136" s="3">
        <f>IF(OR(INDEX($P$2:$P$1001,MATCH(ROWS($O$2:O136),$O$2:$O$1001,0),1)&gt;=100000,INDEX($V$1005:$AE$1005,1,MATCH(COLUMNS($V$1006:W1006),$V$1006:$AE$1006,0))&gt;=100000), " ",IF(INDEX($V$2:$AE$1001,MATCH(ROWS($O$2:O136),$O$2:$O$1001,0),MATCH(COLUMNS($V$1006:W1006),$V$1006:$AE$1006,0)), HYPERLINK("#",""), HYPERLINK(CONCATENATE("#Metadata!", ADDRESS(INDEX($Q$2:$Q$1001,MATCH(ROWS($O$2:O136),$O$2:$O$1001,0),0), INDEX($V$1004:$AE$1004,1,MATCH(COLUMNS($V$1006:W1006),$V$1006:$AE$1006,0)))),"Fix")))</f>
        <v>0</v>
      </c>
      <c r="D136" s="3">
        <f>IF(OR(INDEX($P$2:$P$1001,MATCH(ROWS($O$2:O136),$O$2:$O$1001,0),1)&gt;=100000,INDEX($V$1005:$AE$1005,1,MATCH(COLUMNS($V$1006:X1006),$V$1006:$AE$1006,0))&gt;=100000), " ",IF(INDEX($V$2:$AE$1001,MATCH(ROWS($O$2:O136),$O$2:$O$1001,0),MATCH(COLUMNS($V$1006:X1006),$V$1006:$AE$1006,0)), HYPERLINK("#",""), HYPERLINK(CONCATENATE("#Metadata!", ADDRESS(INDEX($Q$2:$Q$1001,MATCH(ROWS($O$2:O136),$O$2:$O$1001,0),0), INDEX($V$1004:$AE$1004,1,MATCH(COLUMNS($V$1006:X1006),$V$1006:$AE$1006,0)))),"Fix")))</f>
        <v>0</v>
      </c>
      <c r="E136" s="3">
        <f>IF(OR(INDEX($P$2:$P$1001,MATCH(ROWS($O$2:O136),$O$2:$O$1001,0),1)&gt;=100000,INDEX($V$1005:$AE$1005,1,MATCH(COLUMNS($V$1006:Y1006),$V$1006:$AE$1006,0))&gt;=100000), " ",IF(INDEX($V$2:$AE$1001,MATCH(ROWS($O$2:O136),$O$2:$O$1001,0),MATCH(COLUMNS($V$1006:Y1006),$V$1006:$AE$1006,0)), HYPERLINK("#",""), HYPERLINK(CONCATENATE("#Metadata!", ADDRESS(INDEX($Q$2:$Q$1001,MATCH(ROWS($O$2:O136),$O$2:$O$1001,0),0), INDEX($V$1004:$AE$1004,1,MATCH(COLUMNS($V$1006:Y1006),$V$1006:$AE$1006,0)))),"Fix")))</f>
        <v>0</v>
      </c>
      <c r="F136" s="3">
        <f>IF(OR(INDEX($P$2:$P$1001,MATCH(ROWS($O$2:O136),$O$2:$O$1001,0),1)&gt;=100000,INDEX($V$1005:$AE$1005,1,MATCH(COLUMNS($V$1006:Z1006),$V$1006:$AE$1006,0))&gt;=100000), " ",IF(INDEX($V$2:$AE$1001,MATCH(ROWS($O$2:O136),$O$2:$O$1001,0),MATCH(COLUMNS($V$1006:Z1006),$V$1006:$AE$1006,0)), HYPERLINK("#",""), HYPERLINK(CONCATENATE("#Metadata!", ADDRESS(INDEX($Q$2:$Q$1001,MATCH(ROWS($O$2:O136),$O$2:$O$1001,0),0), INDEX($V$1004:$AE$1004,1,MATCH(COLUMNS($V$1006:Z1006),$V$1006:$AE$1006,0)))),"Fix")))</f>
        <v>0</v>
      </c>
      <c r="G136" s="3">
        <f>IF(OR(INDEX($P$2:$P$1001,MATCH(ROWS($O$2:O136),$O$2:$O$1001,0),1)&gt;=100000,INDEX($V$1005:$AE$1005,1,MATCH(COLUMNS($V$1006:AA1006),$V$1006:$AE$1006,0))&gt;=100000), " ",IF(INDEX($V$2:$AE$1001,MATCH(ROWS($O$2:O136),$O$2:$O$1001,0),MATCH(COLUMNS($V$1006:AA1006),$V$1006:$AE$1006,0)), HYPERLINK("#",""), HYPERLINK(CONCATENATE("#Metadata!", ADDRESS(INDEX($Q$2:$Q$1001,MATCH(ROWS($O$2:O136),$O$2:$O$1001,0),0), INDEX($V$1004:$AE$1004,1,MATCH(COLUMNS($V$1006:AA1006),$V$1006:$AE$1006,0)))),"Fix")))</f>
        <v>0</v>
      </c>
      <c r="H136" s="3">
        <f>IF(OR(INDEX($P$2:$P$1001,MATCH(ROWS($O$2:O136),$O$2:$O$1001,0),1)&gt;=100000,INDEX($V$1005:$AE$1005,1,MATCH(COLUMNS($V$1006:AB1006),$V$1006:$AE$1006,0))&gt;=100000), " ",IF(INDEX($V$2:$AE$1001,MATCH(ROWS($O$2:O136),$O$2:$O$1001,0),MATCH(COLUMNS($V$1006:AB1006),$V$1006:$AE$1006,0)), HYPERLINK("#",""), HYPERLINK(CONCATENATE("#Metadata!", ADDRESS(INDEX($Q$2:$Q$1001,MATCH(ROWS($O$2:O136),$O$2:$O$1001,0),0), INDEX($V$1004:$AE$1004,1,MATCH(COLUMNS($V$1006:AB1006),$V$1006:$AE$1006,0)))),"Fix")))</f>
        <v>0</v>
      </c>
      <c r="I136" s="3">
        <f>IF(OR(INDEX($P$2:$P$1001,MATCH(ROWS($O$2:O136),$O$2:$O$1001,0),1)&gt;=100000,INDEX($V$1005:$AE$1005,1,MATCH(COLUMNS($V$1006:AC1006),$V$1006:$AE$1006,0))&gt;=100000), " ",IF(INDEX($V$2:$AE$1001,MATCH(ROWS($O$2:O136),$O$2:$O$1001,0),MATCH(COLUMNS($V$1006:AC1006),$V$1006:$AE$1006,0)), HYPERLINK("#",""), HYPERLINK(CONCATENATE("#Metadata!", ADDRESS(INDEX($Q$2:$Q$1001,MATCH(ROWS($O$2:O136),$O$2:$O$1001,0),0), INDEX($V$1004:$AE$1004,1,MATCH(COLUMNS($V$1006:AC1006),$V$1006:$AE$1006,0)))),"Fix")))</f>
        <v>0</v>
      </c>
      <c r="J136" s="3">
        <f>IF(OR(INDEX($P$2:$P$1001,MATCH(ROWS($O$2:O136),$O$2:$O$1001,0),1)&gt;=100000,INDEX($V$1005:$AE$1005,1,MATCH(COLUMNS($V$1006:AD1006),$V$1006:$AE$1006,0))&gt;=100000), " ",IF(INDEX($V$2:$AE$1001,MATCH(ROWS($O$2:O136),$O$2:$O$1001,0),MATCH(COLUMNS($V$1006:AD1006),$V$1006:$AE$1006,0)), HYPERLINK("#",""), HYPERLINK(CONCATENATE("#Metadata!", ADDRESS(INDEX($Q$2:$Q$1001,MATCH(ROWS($O$2:O136),$O$2:$O$1001,0),0), INDEX($V$1004:$AE$1004,1,MATCH(COLUMNS($V$1006:AD1006),$V$1006:$AE$1006,0)))),"Fix")))</f>
        <v>0</v>
      </c>
      <c r="K136" s="3">
        <f>IF(OR(INDEX($P$2:$P$1001,MATCH(ROWS($O$2:O136),$O$2:$O$1001,0),1)&gt;=100000,INDEX($V$1005:$AE$1005,1,MATCH(COLUMNS($V$1006:AE1006),$V$1006:$AE$1006,0))&gt;=100000), " ",IF(INDEX($V$2:$AE$1001,MATCH(ROWS($O$2:O136),$O$2:$O$1001,0),MATCH(COLUMNS($V$1006:AE1006),$V$1006:$AE$1006,0)), HYPERLINK("#",""), HYPERLINK(CONCATENATE("#Metadata!", ADDRESS(INDEX($Q$2:$Q$1001,MATCH(ROWS($O$2:O136),$O$2:$O$1001,0),0), INDEX($V$1004:$AE$1004,1,MATCH(COLUMNS($V$1006:AE1006),$V$1006:$AE$1006,0)))),"Fix")))</f>
        <v>0</v>
      </c>
      <c r="O136">
        <v>0</v>
      </c>
      <c r="P136">
        <v>0</v>
      </c>
      <c r="Q136">
        <v>0</v>
      </c>
      <c r="R136">
        <f>IF(S136,TRUE,AND(V136:AE136))</f>
        <v>0</v>
      </c>
      <c r="S136">
        <f>COUNTBLANK(Metadata!B136:K136)=COLUMNS(Metadata!B136:K136)</f>
        <v>0</v>
      </c>
      <c r="T136">
        <v>0</v>
      </c>
      <c r="V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W136">
        <f>AND(IF(Metadata!C136="",FALSE,TRUE),exact(Metadata!C136,"animal secretion"))</f>
        <v>0</v>
      </c>
      <c r="X136">
        <f>AND(IF(Metadata!D136="",FALSE,TRUE),exact(Metadata!D136,"saliva"))</f>
        <v>0</v>
      </c>
      <c r="Y136">
        <f>AND(IF(Metadata!E136="",FALSE,TRUE),exact(Metadata!E136,"human-oral"))</f>
        <v>0</v>
      </c>
      <c r="Z136">
        <f>AND(IF(Metadata!F136="",FALSE,TRUE),exact(Metadata!F136,"UBERON:oral cavity"))</f>
        <v>0</v>
      </c>
      <c r="AA136">
        <f>AND(IF(Metadata!G136="",FALSE,TRUE),exact(Metadata!G136,"UBERON:saliva"))</f>
        <v>0</v>
      </c>
      <c r="AB136">
        <f>AND(IF(Metadata!H136="",FALSE,TRUE),exact(Metadata!H136,"UBERON:tongue"))</f>
        <v>0</v>
      </c>
      <c r="AC136">
        <f>AND(IF(Metadata!I136="",FALSE,TRUE),exact(Metadata!I136,"tongue"))</f>
        <v>0</v>
      </c>
      <c r="AD136">
        <f>AND(IF(Metadata!J136="",FALSE,TRUE),exact(Metadata!J136,"human oral metagenome"))</f>
        <v>0</v>
      </c>
      <c r="AE136">
        <f>AND(IF(Metadata!K136="",FALSE,TRUE),exact(Metadata!K136,"447426"))</f>
        <v>0</v>
      </c>
    </row>
    <row r="137" spans="1:31">
      <c r="A137" s="4">
        <f>IF(B137=" "," ",HYPERLINK(CONCATENATE("#metadata!",ADDRESS(INDEX($Q$2:$Q$1001,MATCH(ROWS($O$2:O137),$O$2:$O$1001,0),0),1)),INDEX($T$2:$T$1001,MATCH(ROWS($O$2:O137),$O$2:$O$1001,0),0)))</f>
        <v>0</v>
      </c>
      <c r="B137" s="3">
        <f>IF(OR(INDEX($P$2:$P$1001,MATCH(ROWS($O$2:O137),$O$2:$O$1001,0),1)&gt;=100000,INDEX($V$1005:$AE$1005,1,MATCH(COLUMNS($V$1006:V1006),$V$1006:$AE$1006,0))&gt;=100000), " ",IF(INDEX($V$2:$AE$1001,MATCH(ROWS($O$2:O137),$O$2:$O$1001,0),MATCH(COLUMNS($V$1006:V1006),$V$1006:$AE$1006,0)), HYPERLINK("#",""), HYPERLINK(CONCATENATE("#Metadata!", ADDRESS(INDEX($Q$2:$Q$1001,MATCH(ROWS($O$2:O137),$O$2:$O$1001,0),0), INDEX($V$1004:$AE$1004,1,MATCH(COLUMNS($V$1006:V1006),$V$1006:$AE$1006,0)))),"Fix")))</f>
        <v>0</v>
      </c>
      <c r="C137" s="3">
        <f>IF(OR(INDEX($P$2:$P$1001,MATCH(ROWS($O$2:O137),$O$2:$O$1001,0),1)&gt;=100000,INDEX($V$1005:$AE$1005,1,MATCH(COLUMNS($V$1006:W1006),$V$1006:$AE$1006,0))&gt;=100000), " ",IF(INDEX($V$2:$AE$1001,MATCH(ROWS($O$2:O137),$O$2:$O$1001,0),MATCH(COLUMNS($V$1006:W1006),$V$1006:$AE$1006,0)), HYPERLINK("#",""), HYPERLINK(CONCATENATE("#Metadata!", ADDRESS(INDEX($Q$2:$Q$1001,MATCH(ROWS($O$2:O137),$O$2:$O$1001,0),0), INDEX($V$1004:$AE$1004,1,MATCH(COLUMNS($V$1006:W1006),$V$1006:$AE$1006,0)))),"Fix")))</f>
        <v>0</v>
      </c>
      <c r="D137" s="3">
        <f>IF(OR(INDEX($P$2:$P$1001,MATCH(ROWS($O$2:O137),$O$2:$O$1001,0),1)&gt;=100000,INDEX($V$1005:$AE$1005,1,MATCH(COLUMNS($V$1006:X1006),$V$1006:$AE$1006,0))&gt;=100000), " ",IF(INDEX($V$2:$AE$1001,MATCH(ROWS($O$2:O137),$O$2:$O$1001,0),MATCH(COLUMNS($V$1006:X1006),$V$1006:$AE$1006,0)), HYPERLINK("#",""), HYPERLINK(CONCATENATE("#Metadata!", ADDRESS(INDEX($Q$2:$Q$1001,MATCH(ROWS($O$2:O137),$O$2:$O$1001,0),0), INDEX($V$1004:$AE$1004,1,MATCH(COLUMNS($V$1006:X1006),$V$1006:$AE$1006,0)))),"Fix")))</f>
        <v>0</v>
      </c>
      <c r="E137" s="3">
        <f>IF(OR(INDEX($P$2:$P$1001,MATCH(ROWS($O$2:O137),$O$2:$O$1001,0),1)&gt;=100000,INDEX($V$1005:$AE$1005,1,MATCH(COLUMNS($V$1006:Y1006),$V$1006:$AE$1006,0))&gt;=100000), " ",IF(INDEX($V$2:$AE$1001,MATCH(ROWS($O$2:O137),$O$2:$O$1001,0),MATCH(COLUMNS($V$1006:Y1006),$V$1006:$AE$1006,0)), HYPERLINK("#",""), HYPERLINK(CONCATENATE("#Metadata!", ADDRESS(INDEX($Q$2:$Q$1001,MATCH(ROWS($O$2:O137),$O$2:$O$1001,0),0), INDEX($V$1004:$AE$1004,1,MATCH(COLUMNS($V$1006:Y1006),$V$1006:$AE$1006,0)))),"Fix")))</f>
        <v>0</v>
      </c>
      <c r="F137" s="3">
        <f>IF(OR(INDEX($P$2:$P$1001,MATCH(ROWS($O$2:O137),$O$2:$O$1001,0),1)&gt;=100000,INDEX($V$1005:$AE$1005,1,MATCH(COLUMNS($V$1006:Z1006),$V$1006:$AE$1006,0))&gt;=100000), " ",IF(INDEX($V$2:$AE$1001,MATCH(ROWS($O$2:O137),$O$2:$O$1001,0),MATCH(COLUMNS($V$1006:Z1006),$V$1006:$AE$1006,0)), HYPERLINK("#",""), HYPERLINK(CONCATENATE("#Metadata!", ADDRESS(INDEX($Q$2:$Q$1001,MATCH(ROWS($O$2:O137),$O$2:$O$1001,0),0), INDEX($V$1004:$AE$1004,1,MATCH(COLUMNS($V$1006:Z1006),$V$1006:$AE$1006,0)))),"Fix")))</f>
        <v>0</v>
      </c>
      <c r="G137" s="3">
        <f>IF(OR(INDEX($P$2:$P$1001,MATCH(ROWS($O$2:O137),$O$2:$O$1001,0),1)&gt;=100000,INDEX($V$1005:$AE$1005,1,MATCH(COLUMNS($V$1006:AA1006),$V$1006:$AE$1006,0))&gt;=100000), " ",IF(INDEX($V$2:$AE$1001,MATCH(ROWS($O$2:O137),$O$2:$O$1001,0),MATCH(COLUMNS($V$1006:AA1006),$V$1006:$AE$1006,0)), HYPERLINK("#",""), HYPERLINK(CONCATENATE("#Metadata!", ADDRESS(INDEX($Q$2:$Q$1001,MATCH(ROWS($O$2:O137),$O$2:$O$1001,0),0), INDEX($V$1004:$AE$1004,1,MATCH(COLUMNS($V$1006:AA1006),$V$1006:$AE$1006,0)))),"Fix")))</f>
        <v>0</v>
      </c>
      <c r="H137" s="3">
        <f>IF(OR(INDEX($P$2:$P$1001,MATCH(ROWS($O$2:O137),$O$2:$O$1001,0),1)&gt;=100000,INDEX($V$1005:$AE$1005,1,MATCH(COLUMNS($V$1006:AB1006),$V$1006:$AE$1006,0))&gt;=100000), " ",IF(INDEX($V$2:$AE$1001,MATCH(ROWS($O$2:O137),$O$2:$O$1001,0),MATCH(COLUMNS($V$1006:AB1006),$V$1006:$AE$1006,0)), HYPERLINK("#",""), HYPERLINK(CONCATENATE("#Metadata!", ADDRESS(INDEX($Q$2:$Q$1001,MATCH(ROWS($O$2:O137),$O$2:$O$1001,0),0), INDEX($V$1004:$AE$1004,1,MATCH(COLUMNS($V$1006:AB1006),$V$1006:$AE$1006,0)))),"Fix")))</f>
        <v>0</v>
      </c>
      <c r="I137" s="3">
        <f>IF(OR(INDEX($P$2:$P$1001,MATCH(ROWS($O$2:O137),$O$2:$O$1001,0),1)&gt;=100000,INDEX($V$1005:$AE$1005,1,MATCH(COLUMNS($V$1006:AC1006),$V$1006:$AE$1006,0))&gt;=100000), " ",IF(INDEX($V$2:$AE$1001,MATCH(ROWS($O$2:O137),$O$2:$O$1001,0),MATCH(COLUMNS($V$1006:AC1006),$V$1006:$AE$1006,0)), HYPERLINK("#",""), HYPERLINK(CONCATENATE("#Metadata!", ADDRESS(INDEX($Q$2:$Q$1001,MATCH(ROWS($O$2:O137),$O$2:$O$1001,0),0), INDEX($V$1004:$AE$1004,1,MATCH(COLUMNS($V$1006:AC1006),$V$1006:$AE$1006,0)))),"Fix")))</f>
        <v>0</v>
      </c>
      <c r="J137" s="3">
        <f>IF(OR(INDEX($P$2:$P$1001,MATCH(ROWS($O$2:O137),$O$2:$O$1001,0),1)&gt;=100000,INDEX($V$1005:$AE$1005,1,MATCH(COLUMNS($V$1006:AD1006),$V$1006:$AE$1006,0))&gt;=100000), " ",IF(INDEX($V$2:$AE$1001,MATCH(ROWS($O$2:O137),$O$2:$O$1001,0),MATCH(COLUMNS($V$1006:AD1006),$V$1006:$AE$1006,0)), HYPERLINK("#",""), HYPERLINK(CONCATENATE("#Metadata!", ADDRESS(INDEX($Q$2:$Q$1001,MATCH(ROWS($O$2:O137),$O$2:$O$1001,0),0), INDEX($V$1004:$AE$1004,1,MATCH(COLUMNS($V$1006:AD1006),$V$1006:$AE$1006,0)))),"Fix")))</f>
        <v>0</v>
      </c>
      <c r="K137" s="3">
        <f>IF(OR(INDEX($P$2:$P$1001,MATCH(ROWS($O$2:O137),$O$2:$O$1001,0),1)&gt;=100000,INDEX($V$1005:$AE$1005,1,MATCH(COLUMNS($V$1006:AE1006),$V$1006:$AE$1006,0))&gt;=100000), " ",IF(INDEX($V$2:$AE$1001,MATCH(ROWS($O$2:O137),$O$2:$O$1001,0),MATCH(COLUMNS($V$1006:AE1006),$V$1006:$AE$1006,0)), HYPERLINK("#",""), HYPERLINK(CONCATENATE("#Metadata!", ADDRESS(INDEX($Q$2:$Q$1001,MATCH(ROWS($O$2:O137),$O$2:$O$1001,0),0), INDEX($V$1004:$AE$1004,1,MATCH(COLUMNS($V$1006:AE1006),$V$1006:$AE$1006,0)))),"Fix")))</f>
        <v>0</v>
      </c>
      <c r="O137">
        <v>0</v>
      </c>
      <c r="P137">
        <v>0</v>
      </c>
      <c r="Q137">
        <v>0</v>
      </c>
      <c r="R137">
        <f>IF(S137,TRUE,AND(V137:AE137))</f>
        <v>0</v>
      </c>
      <c r="S137">
        <f>COUNTBLANK(Metadata!B137:K137)=COLUMNS(Metadata!B137:K137)</f>
        <v>0</v>
      </c>
      <c r="T137">
        <v>0</v>
      </c>
      <c r="V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W137">
        <f>AND(IF(Metadata!C137="",FALSE,TRUE),exact(Metadata!C137,"animal secretion"))</f>
        <v>0</v>
      </c>
      <c r="X137">
        <f>AND(IF(Metadata!D137="",FALSE,TRUE),exact(Metadata!D137,"saliva"))</f>
        <v>0</v>
      </c>
      <c r="Y137">
        <f>AND(IF(Metadata!E137="",FALSE,TRUE),exact(Metadata!E137,"human-oral"))</f>
        <v>0</v>
      </c>
      <c r="Z137">
        <f>AND(IF(Metadata!F137="",FALSE,TRUE),exact(Metadata!F137,"UBERON:oral cavity"))</f>
        <v>0</v>
      </c>
      <c r="AA137">
        <f>AND(IF(Metadata!G137="",FALSE,TRUE),exact(Metadata!G137,"UBERON:saliva"))</f>
        <v>0</v>
      </c>
      <c r="AB137">
        <f>AND(IF(Metadata!H137="",FALSE,TRUE),exact(Metadata!H137,"UBERON:tongue"))</f>
        <v>0</v>
      </c>
      <c r="AC137">
        <f>AND(IF(Metadata!I137="",FALSE,TRUE),exact(Metadata!I137,"tongue"))</f>
        <v>0</v>
      </c>
      <c r="AD137">
        <f>AND(IF(Metadata!J137="",FALSE,TRUE),exact(Metadata!J137,"human oral metagenome"))</f>
        <v>0</v>
      </c>
      <c r="AE137">
        <f>AND(IF(Metadata!K137="",FALSE,TRUE),exact(Metadata!K137,"447426"))</f>
        <v>0</v>
      </c>
    </row>
    <row r="138" spans="1:31">
      <c r="A138" s="4">
        <f>IF(B138=" "," ",HYPERLINK(CONCATENATE("#metadata!",ADDRESS(INDEX($Q$2:$Q$1001,MATCH(ROWS($O$2:O138),$O$2:$O$1001,0),0),1)),INDEX($T$2:$T$1001,MATCH(ROWS($O$2:O138),$O$2:$O$1001,0),0)))</f>
        <v>0</v>
      </c>
      <c r="B138" s="3">
        <f>IF(OR(INDEX($P$2:$P$1001,MATCH(ROWS($O$2:O138),$O$2:$O$1001,0),1)&gt;=100000,INDEX($V$1005:$AE$1005,1,MATCH(COLUMNS($V$1006:V1006),$V$1006:$AE$1006,0))&gt;=100000), " ",IF(INDEX($V$2:$AE$1001,MATCH(ROWS($O$2:O138),$O$2:$O$1001,0),MATCH(COLUMNS($V$1006:V1006),$V$1006:$AE$1006,0)), HYPERLINK("#",""), HYPERLINK(CONCATENATE("#Metadata!", ADDRESS(INDEX($Q$2:$Q$1001,MATCH(ROWS($O$2:O138),$O$2:$O$1001,0),0), INDEX($V$1004:$AE$1004,1,MATCH(COLUMNS($V$1006:V1006),$V$1006:$AE$1006,0)))),"Fix")))</f>
        <v>0</v>
      </c>
      <c r="C138" s="3">
        <f>IF(OR(INDEX($P$2:$P$1001,MATCH(ROWS($O$2:O138),$O$2:$O$1001,0),1)&gt;=100000,INDEX($V$1005:$AE$1005,1,MATCH(COLUMNS($V$1006:W1006),$V$1006:$AE$1006,0))&gt;=100000), " ",IF(INDEX($V$2:$AE$1001,MATCH(ROWS($O$2:O138),$O$2:$O$1001,0),MATCH(COLUMNS($V$1006:W1006),$V$1006:$AE$1006,0)), HYPERLINK("#",""), HYPERLINK(CONCATENATE("#Metadata!", ADDRESS(INDEX($Q$2:$Q$1001,MATCH(ROWS($O$2:O138),$O$2:$O$1001,0),0), INDEX($V$1004:$AE$1004,1,MATCH(COLUMNS($V$1006:W1006),$V$1006:$AE$1006,0)))),"Fix")))</f>
        <v>0</v>
      </c>
      <c r="D138" s="3">
        <f>IF(OR(INDEX($P$2:$P$1001,MATCH(ROWS($O$2:O138),$O$2:$O$1001,0),1)&gt;=100000,INDEX($V$1005:$AE$1005,1,MATCH(COLUMNS($V$1006:X1006),$V$1006:$AE$1006,0))&gt;=100000), " ",IF(INDEX($V$2:$AE$1001,MATCH(ROWS($O$2:O138),$O$2:$O$1001,0),MATCH(COLUMNS($V$1006:X1006),$V$1006:$AE$1006,0)), HYPERLINK("#",""), HYPERLINK(CONCATENATE("#Metadata!", ADDRESS(INDEX($Q$2:$Q$1001,MATCH(ROWS($O$2:O138),$O$2:$O$1001,0),0), INDEX($V$1004:$AE$1004,1,MATCH(COLUMNS($V$1006:X1006),$V$1006:$AE$1006,0)))),"Fix")))</f>
        <v>0</v>
      </c>
      <c r="E138" s="3">
        <f>IF(OR(INDEX($P$2:$P$1001,MATCH(ROWS($O$2:O138),$O$2:$O$1001,0),1)&gt;=100000,INDEX($V$1005:$AE$1005,1,MATCH(COLUMNS($V$1006:Y1006),$V$1006:$AE$1006,0))&gt;=100000), " ",IF(INDEX($V$2:$AE$1001,MATCH(ROWS($O$2:O138),$O$2:$O$1001,0),MATCH(COLUMNS($V$1006:Y1006),$V$1006:$AE$1006,0)), HYPERLINK("#",""), HYPERLINK(CONCATENATE("#Metadata!", ADDRESS(INDEX($Q$2:$Q$1001,MATCH(ROWS($O$2:O138),$O$2:$O$1001,0),0), INDEX($V$1004:$AE$1004,1,MATCH(COLUMNS($V$1006:Y1006),$V$1006:$AE$1006,0)))),"Fix")))</f>
        <v>0</v>
      </c>
      <c r="F138" s="3">
        <f>IF(OR(INDEX($P$2:$P$1001,MATCH(ROWS($O$2:O138),$O$2:$O$1001,0),1)&gt;=100000,INDEX($V$1005:$AE$1005,1,MATCH(COLUMNS($V$1006:Z1006),$V$1006:$AE$1006,0))&gt;=100000), " ",IF(INDEX($V$2:$AE$1001,MATCH(ROWS($O$2:O138),$O$2:$O$1001,0),MATCH(COLUMNS($V$1006:Z1006),$V$1006:$AE$1006,0)), HYPERLINK("#",""), HYPERLINK(CONCATENATE("#Metadata!", ADDRESS(INDEX($Q$2:$Q$1001,MATCH(ROWS($O$2:O138),$O$2:$O$1001,0),0), INDEX($V$1004:$AE$1004,1,MATCH(COLUMNS($V$1006:Z1006),$V$1006:$AE$1006,0)))),"Fix")))</f>
        <v>0</v>
      </c>
      <c r="G138" s="3">
        <f>IF(OR(INDEX($P$2:$P$1001,MATCH(ROWS($O$2:O138),$O$2:$O$1001,0),1)&gt;=100000,INDEX($V$1005:$AE$1005,1,MATCH(COLUMNS($V$1006:AA1006),$V$1006:$AE$1006,0))&gt;=100000), " ",IF(INDEX($V$2:$AE$1001,MATCH(ROWS($O$2:O138),$O$2:$O$1001,0),MATCH(COLUMNS($V$1006:AA1006),$V$1006:$AE$1006,0)), HYPERLINK("#",""), HYPERLINK(CONCATENATE("#Metadata!", ADDRESS(INDEX($Q$2:$Q$1001,MATCH(ROWS($O$2:O138),$O$2:$O$1001,0),0), INDEX($V$1004:$AE$1004,1,MATCH(COLUMNS($V$1006:AA1006),$V$1006:$AE$1006,0)))),"Fix")))</f>
        <v>0</v>
      </c>
      <c r="H138" s="3">
        <f>IF(OR(INDEX($P$2:$P$1001,MATCH(ROWS($O$2:O138),$O$2:$O$1001,0),1)&gt;=100000,INDEX($V$1005:$AE$1005,1,MATCH(COLUMNS($V$1006:AB1006),$V$1006:$AE$1006,0))&gt;=100000), " ",IF(INDEX($V$2:$AE$1001,MATCH(ROWS($O$2:O138),$O$2:$O$1001,0),MATCH(COLUMNS($V$1006:AB1006),$V$1006:$AE$1006,0)), HYPERLINK("#",""), HYPERLINK(CONCATENATE("#Metadata!", ADDRESS(INDEX($Q$2:$Q$1001,MATCH(ROWS($O$2:O138),$O$2:$O$1001,0),0), INDEX($V$1004:$AE$1004,1,MATCH(COLUMNS($V$1006:AB1006),$V$1006:$AE$1006,0)))),"Fix")))</f>
        <v>0</v>
      </c>
      <c r="I138" s="3">
        <f>IF(OR(INDEX($P$2:$P$1001,MATCH(ROWS($O$2:O138),$O$2:$O$1001,0),1)&gt;=100000,INDEX($V$1005:$AE$1005,1,MATCH(COLUMNS($V$1006:AC1006),$V$1006:$AE$1006,0))&gt;=100000), " ",IF(INDEX($V$2:$AE$1001,MATCH(ROWS($O$2:O138),$O$2:$O$1001,0),MATCH(COLUMNS($V$1006:AC1006),$V$1006:$AE$1006,0)), HYPERLINK("#",""), HYPERLINK(CONCATENATE("#Metadata!", ADDRESS(INDEX($Q$2:$Q$1001,MATCH(ROWS($O$2:O138),$O$2:$O$1001,0),0), INDEX($V$1004:$AE$1004,1,MATCH(COLUMNS($V$1006:AC1006),$V$1006:$AE$1006,0)))),"Fix")))</f>
        <v>0</v>
      </c>
      <c r="J138" s="3">
        <f>IF(OR(INDEX($P$2:$P$1001,MATCH(ROWS($O$2:O138),$O$2:$O$1001,0),1)&gt;=100000,INDEX($V$1005:$AE$1005,1,MATCH(COLUMNS($V$1006:AD1006),$V$1006:$AE$1006,0))&gt;=100000), " ",IF(INDEX($V$2:$AE$1001,MATCH(ROWS($O$2:O138),$O$2:$O$1001,0),MATCH(COLUMNS($V$1006:AD1006),$V$1006:$AE$1006,0)), HYPERLINK("#",""), HYPERLINK(CONCATENATE("#Metadata!", ADDRESS(INDEX($Q$2:$Q$1001,MATCH(ROWS($O$2:O138),$O$2:$O$1001,0),0), INDEX($V$1004:$AE$1004,1,MATCH(COLUMNS($V$1006:AD1006),$V$1006:$AE$1006,0)))),"Fix")))</f>
        <v>0</v>
      </c>
      <c r="K138" s="3">
        <f>IF(OR(INDEX($P$2:$P$1001,MATCH(ROWS($O$2:O138),$O$2:$O$1001,0),1)&gt;=100000,INDEX($V$1005:$AE$1005,1,MATCH(COLUMNS($V$1006:AE1006),$V$1006:$AE$1006,0))&gt;=100000), " ",IF(INDEX($V$2:$AE$1001,MATCH(ROWS($O$2:O138),$O$2:$O$1001,0),MATCH(COLUMNS($V$1006:AE1006),$V$1006:$AE$1006,0)), HYPERLINK("#",""), HYPERLINK(CONCATENATE("#Metadata!", ADDRESS(INDEX($Q$2:$Q$1001,MATCH(ROWS($O$2:O138),$O$2:$O$1001,0),0), INDEX($V$1004:$AE$1004,1,MATCH(COLUMNS($V$1006:AE1006),$V$1006:$AE$1006,0)))),"Fix")))</f>
        <v>0</v>
      </c>
      <c r="O138">
        <v>0</v>
      </c>
      <c r="P138">
        <v>0</v>
      </c>
      <c r="Q138">
        <v>0</v>
      </c>
      <c r="R138">
        <f>IF(S138,TRUE,AND(V138:AE138))</f>
        <v>0</v>
      </c>
      <c r="S138">
        <f>COUNTBLANK(Metadata!B138:K138)=COLUMNS(Metadata!B138:K138)</f>
        <v>0</v>
      </c>
      <c r="T138">
        <v>0</v>
      </c>
      <c r="V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W138">
        <f>AND(IF(Metadata!C138="",FALSE,TRUE),exact(Metadata!C138,"animal secretion"))</f>
        <v>0</v>
      </c>
      <c r="X138">
        <f>AND(IF(Metadata!D138="",FALSE,TRUE),exact(Metadata!D138,"saliva"))</f>
        <v>0</v>
      </c>
      <c r="Y138">
        <f>AND(IF(Metadata!E138="",FALSE,TRUE),exact(Metadata!E138,"human-oral"))</f>
        <v>0</v>
      </c>
      <c r="Z138">
        <f>AND(IF(Metadata!F138="",FALSE,TRUE),exact(Metadata!F138,"UBERON:oral cavity"))</f>
        <v>0</v>
      </c>
      <c r="AA138">
        <f>AND(IF(Metadata!G138="",FALSE,TRUE),exact(Metadata!G138,"UBERON:saliva"))</f>
        <v>0</v>
      </c>
      <c r="AB138">
        <f>AND(IF(Metadata!H138="",FALSE,TRUE),exact(Metadata!H138,"UBERON:tongue"))</f>
        <v>0</v>
      </c>
      <c r="AC138">
        <f>AND(IF(Metadata!I138="",FALSE,TRUE),exact(Metadata!I138,"tongue"))</f>
        <v>0</v>
      </c>
      <c r="AD138">
        <f>AND(IF(Metadata!J138="",FALSE,TRUE),exact(Metadata!J138,"human oral metagenome"))</f>
        <v>0</v>
      </c>
      <c r="AE138">
        <f>AND(IF(Metadata!K138="",FALSE,TRUE),exact(Metadata!K138,"447426"))</f>
        <v>0</v>
      </c>
    </row>
    <row r="139" spans="1:31">
      <c r="A139" s="4">
        <f>IF(B139=" "," ",HYPERLINK(CONCATENATE("#metadata!",ADDRESS(INDEX($Q$2:$Q$1001,MATCH(ROWS($O$2:O139),$O$2:$O$1001,0),0),1)),INDEX($T$2:$T$1001,MATCH(ROWS($O$2:O139),$O$2:$O$1001,0),0)))</f>
        <v>0</v>
      </c>
      <c r="B139" s="3">
        <f>IF(OR(INDEX($P$2:$P$1001,MATCH(ROWS($O$2:O139),$O$2:$O$1001,0),1)&gt;=100000,INDEX($V$1005:$AE$1005,1,MATCH(COLUMNS($V$1006:V1006),$V$1006:$AE$1006,0))&gt;=100000), " ",IF(INDEX($V$2:$AE$1001,MATCH(ROWS($O$2:O139),$O$2:$O$1001,0),MATCH(COLUMNS($V$1006:V1006),$V$1006:$AE$1006,0)), HYPERLINK("#",""), HYPERLINK(CONCATENATE("#Metadata!", ADDRESS(INDEX($Q$2:$Q$1001,MATCH(ROWS($O$2:O139),$O$2:$O$1001,0),0), INDEX($V$1004:$AE$1004,1,MATCH(COLUMNS($V$1006:V1006),$V$1006:$AE$1006,0)))),"Fix")))</f>
        <v>0</v>
      </c>
      <c r="C139" s="3">
        <f>IF(OR(INDEX($P$2:$P$1001,MATCH(ROWS($O$2:O139),$O$2:$O$1001,0),1)&gt;=100000,INDEX($V$1005:$AE$1005,1,MATCH(COLUMNS($V$1006:W1006),$V$1006:$AE$1006,0))&gt;=100000), " ",IF(INDEX($V$2:$AE$1001,MATCH(ROWS($O$2:O139),$O$2:$O$1001,0),MATCH(COLUMNS($V$1006:W1006),$V$1006:$AE$1006,0)), HYPERLINK("#",""), HYPERLINK(CONCATENATE("#Metadata!", ADDRESS(INDEX($Q$2:$Q$1001,MATCH(ROWS($O$2:O139),$O$2:$O$1001,0),0), INDEX($V$1004:$AE$1004,1,MATCH(COLUMNS($V$1006:W1006),$V$1006:$AE$1006,0)))),"Fix")))</f>
        <v>0</v>
      </c>
      <c r="D139" s="3">
        <f>IF(OR(INDEX($P$2:$P$1001,MATCH(ROWS($O$2:O139),$O$2:$O$1001,0),1)&gt;=100000,INDEX($V$1005:$AE$1005,1,MATCH(COLUMNS($V$1006:X1006),$V$1006:$AE$1006,0))&gt;=100000), " ",IF(INDEX($V$2:$AE$1001,MATCH(ROWS($O$2:O139),$O$2:$O$1001,0),MATCH(COLUMNS($V$1006:X1006),$V$1006:$AE$1006,0)), HYPERLINK("#",""), HYPERLINK(CONCATENATE("#Metadata!", ADDRESS(INDEX($Q$2:$Q$1001,MATCH(ROWS($O$2:O139),$O$2:$O$1001,0),0), INDEX($V$1004:$AE$1004,1,MATCH(COLUMNS($V$1006:X1006),$V$1006:$AE$1006,0)))),"Fix")))</f>
        <v>0</v>
      </c>
      <c r="E139" s="3">
        <f>IF(OR(INDEX($P$2:$P$1001,MATCH(ROWS($O$2:O139),$O$2:$O$1001,0),1)&gt;=100000,INDEX($V$1005:$AE$1005,1,MATCH(COLUMNS($V$1006:Y1006),$V$1006:$AE$1006,0))&gt;=100000), " ",IF(INDEX($V$2:$AE$1001,MATCH(ROWS($O$2:O139),$O$2:$O$1001,0),MATCH(COLUMNS($V$1006:Y1006),$V$1006:$AE$1006,0)), HYPERLINK("#",""), HYPERLINK(CONCATENATE("#Metadata!", ADDRESS(INDEX($Q$2:$Q$1001,MATCH(ROWS($O$2:O139),$O$2:$O$1001,0),0), INDEX($V$1004:$AE$1004,1,MATCH(COLUMNS($V$1006:Y1006),$V$1006:$AE$1006,0)))),"Fix")))</f>
        <v>0</v>
      </c>
      <c r="F139" s="3">
        <f>IF(OR(INDEX($P$2:$P$1001,MATCH(ROWS($O$2:O139),$O$2:$O$1001,0),1)&gt;=100000,INDEX($V$1005:$AE$1005,1,MATCH(COLUMNS($V$1006:Z1006),$V$1006:$AE$1006,0))&gt;=100000), " ",IF(INDEX($V$2:$AE$1001,MATCH(ROWS($O$2:O139),$O$2:$O$1001,0),MATCH(COLUMNS($V$1006:Z1006),$V$1006:$AE$1006,0)), HYPERLINK("#",""), HYPERLINK(CONCATENATE("#Metadata!", ADDRESS(INDEX($Q$2:$Q$1001,MATCH(ROWS($O$2:O139),$O$2:$O$1001,0),0), INDEX($V$1004:$AE$1004,1,MATCH(COLUMNS($V$1006:Z1006),$V$1006:$AE$1006,0)))),"Fix")))</f>
        <v>0</v>
      </c>
      <c r="G139" s="3">
        <f>IF(OR(INDEX($P$2:$P$1001,MATCH(ROWS($O$2:O139),$O$2:$O$1001,0),1)&gt;=100000,INDEX($V$1005:$AE$1005,1,MATCH(COLUMNS($V$1006:AA1006),$V$1006:$AE$1006,0))&gt;=100000), " ",IF(INDEX($V$2:$AE$1001,MATCH(ROWS($O$2:O139),$O$2:$O$1001,0),MATCH(COLUMNS($V$1006:AA1006),$V$1006:$AE$1006,0)), HYPERLINK("#",""), HYPERLINK(CONCATENATE("#Metadata!", ADDRESS(INDEX($Q$2:$Q$1001,MATCH(ROWS($O$2:O139),$O$2:$O$1001,0),0), INDEX($V$1004:$AE$1004,1,MATCH(COLUMNS($V$1006:AA1006),$V$1006:$AE$1006,0)))),"Fix")))</f>
        <v>0</v>
      </c>
      <c r="H139" s="3">
        <f>IF(OR(INDEX($P$2:$P$1001,MATCH(ROWS($O$2:O139),$O$2:$O$1001,0),1)&gt;=100000,INDEX($V$1005:$AE$1005,1,MATCH(COLUMNS($V$1006:AB1006),$V$1006:$AE$1006,0))&gt;=100000), " ",IF(INDEX($V$2:$AE$1001,MATCH(ROWS($O$2:O139),$O$2:$O$1001,0),MATCH(COLUMNS($V$1006:AB1006),$V$1006:$AE$1006,0)), HYPERLINK("#",""), HYPERLINK(CONCATENATE("#Metadata!", ADDRESS(INDEX($Q$2:$Q$1001,MATCH(ROWS($O$2:O139),$O$2:$O$1001,0),0), INDEX($V$1004:$AE$1004,1,MATCH(COLUMNS($V$1006:AB1006),$V$1006:$AE$1006,0)))),"Fix")))</f>
        <v>0</v>
      </c>
      <c r="I139" s="3">
        <f>IF(OR(INDEX($P$2:$P$1001,MATCH(ROWS($O$2:O139),$O$2:$O$1001,0),1)&gt;=100000,INDEX($V$1005:$AE$1005,1,MATCH(COLUMNS($V$1006:AC1006),$V$1006:$AE$1006,0))&gt;=100000), " ",IF(INDEX($V$2:$AE$1001,MATCH(ROWS($O$2:O139),$O$2:$O$1001,0),MATCH(COLUMNS($V$1006:AC1006),$V$1006:$AE$1006,0)), HYPERLINK("#",""), HYPERLINK(CONCATENATE("#Metadata!", ADDRESS(INDEX($Q$2:$Q$1001,MATCH(ROWS($O$2:O139),$O$2:$O$1001,0),0), INDEX($V$1004:$AE$1004,1,MATCH(COLUMNS($V$1006:AC1006),$V$1006:$AE$1006,0)))),"Fix")))</f>
        <v>0</v>
      </c>
      <c r="J139" s="3">
        <f>IF(OR(INDEX($P$2:$P$1001,MATCH(ROWS($O$2:O139),$O$2:$O$1001,0),1)&gt;=100000,INDEX($V$1005:$AE$1005,1,MATCH(COLUMNS($V$1006:AD1006),$V$1006:$AE$1006,0))&gt;=100000), " ",IF(INDEX($V$2:$AE$1001,MATCH(ROWS($O$2:O139),$O$2:$O$1001,0),MATCH(COLUMNS($V$1006:AD1006),$V$1006:$AE$1006,0)), HYPERLINK("#",""), HYPERLINK(CONCATENATE("#Metadata!", ADDRESS(INDEX($Q$2:$Q$1001,MATCH(ROWS($O$2:O139),$O$2:$O$1001,0),0), INDEX($V$1004:$AE$1004,1,MATCH(COLUMNS($V$1006:AD1006),$V$1006:$AE$1006,0)))),"Fix")))</f>
        <v>0</v>
      </c>
      <c r="K139" s="3">
        <f>IF(OR(INDEX($P$2:$P$1001,MATCH(ROWS($O$2:O139),$O$2:$O$1001,0),1)&gt;=100000,INDEX($V$1005:$AE$1005,1,MATCH(COLUMNS($V$1006:AE1006),$V$1006:$AE$1006,0))&gt;=100000), " ",IF(INDEX($V$2:$AE$1001,MATCH(ROWS($O$2:O139),$O$2:$O$1001,0),MATCH(COLUMNS($V$1006:AE1006),$V$1006:$AE$1006,0)), HYPERLINK("#",""), HYPERLINK(CONCATENATE("#Metadata!", ADDRESS(INDEX($Q$2:$Q$1001,MATCH(ROWS($O$2:O139),$O$2:$O$1001,0),0), INDEX($V$1004:$AE$1004,1,MATCH(COLUMNS($V$1006:AE1006),$V$1006:$AE$1006,0)))),"Fix")))</f>
        <v>0</v>
      </c>
      <c r="O139">
        <v>0</v>
      </c>
      <c r="P139">
        <v>0</v>
      </c>
      <c r="Q139">
        <v>0</v>
      </c>
      <c r="R139">
        <f>IF(S139,TRUE,AND(V139:AE139))</f>
        <v>0</v>
      </c>
      <c r="S139">
        <f>COUNTBLANK(Metadata!B139:K139)=COLUMNS(Metadata!B139:K139)</f>
        <v>0</v>
      </c>
      <c r="T139">
        <v>0</v>
      </c>
      <c r="V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W139">
        <f>AND(IF(Metadata!C139="",FALSE,TRUE),exact(Metadata!C139,"animal secretion"))</f>
        <v>0</v>
      </c>
      <c r="X139">
        <f>AND(IF(Metadata!D139="",FALSE,TRUE),exact(Metadata!D139,"saliva"))</f>
        <v>0</v>
      </c>
      <c r="Y139">
        <f>AND(IF(Metadata!E139="",FALSE,TRUE),exact(Metadata!E139,"human-oral"))</f>
        <v>0</v>
      </c>
      <c r="Z139">
        <f>AND(IF(Metadata!F139="",FALSE,TRUE),exact(Metadata!F139,"UBERON:oral cavity"))</f>
        <v>0</v>
      </c>
      <c r="AA139">
        <f>AND(IF(Metadata!G139="",FALSE,TRUE),exact(Metadata!G139,"UBERON:saliva"))</f>
        <v>0</v>
      </c>
      <c r="AB139">
        <f>AND(IF(Metadata!H139="",FALSE,TRUE),exact(Metadata!H139,"UBERON:tongue"))</f>
        <v>0</v>
      </c>
      <c r="AC139">
        <f>AND(IF(Metadata!I139="",FALSE,TRUE),exact(Metadata!I139,"tongue"))</f>
        <v>0</v>
      </c>
      <c r="AD139">
        <f>AND(IF(Metadata!J139="",FALSE,TRUE),exact(Metadata!J139,"human oral metagenome"))</f>
        <v>0</v>
      </c>
      <c r="AE139">
        <f>AND(IF(Metadata!K139="",FALSE,TRUE),exact(Metadata!K139,"447426"))</f>
        <v>0</v>
      </c>
    </row>
    <row r="140" spans="1:31">
      <c r="A140" s="4">
        <f>IF(B140=" "," ",HYPERLINK(CONCATENATE("#metadata!",ADDRESS(INDEX($Q$2:$Q$1001,MATCH(ROWS($O$2:O140),$O$2:$O$1001,0),0),1)),INDEX($T$2:$T$1001,MATCH(ROWS($O$2:O140),$O$2:$O$1001,0),0)))</f>
        <v>0</v>
      </c>
      <c r="B140" s="3">
        <f>IF(OR(INDEX($P$2:$P$1001,MATCH(ROWS($O$2:O140),$O$2:$O$1001,0),1)&gt;=100000,INDEX($V$1005:$AE$1005,1,MATCH(COLUMNS($V$1006:V1006),$V$1006:$AE$1006,0))&gt;=100000), " ",IF(INDEX($V$2:$AE$1001,MATCH(ROWS($O$2:O140),$O$2:$O$1001,0),MATCH(COLUMNS($V$1006:V1006),$V$1006:$AE$1006,0)), HYPERLINK("#",""), HYPERLINK(CONCATENATE("#Metadata!", ADDRESS(INDEX($Q$2:$Q$1001,MATCH(ROWS($O$2:O140),$O$2:$O$1001,0),0), INDEX($V$1004:$AE$1004,1,MATCH(COLUMNS($V$1006:V1006),$V$1006:$AE$1006,0)))),"Fix")))</f>
        <v>0</v>
      </c>
      <c r="C140" s="3">
        <f>IF(OR(INDEX($P$2:$P$1001,MATCH(ROWS($O$2:O140),$O$2:$O$1001,0),1)&gt;=100000,INDEX($V$1005:$AE$1005,1,MATCH(COLUMNS($V$1006:W1006),$V$1006:$AE$1006,0))&gt;=100000), " ",IF(INDEX($V$2:$AE$1001,MATCH(ROWS($O$2:O140),$O$2:$O$1001,0),MATCH(COLUMNS($V$1006:W1006),$V$1006:$AE$1006,0)), HYPERLINK("#",""), HYPERLINK(CONCATENATE("#Metadata!", ADDRESS(INDEX($Q$2:$Q$1001,MATCH(ROWS($O$2:O140),$O$2:$O$1001,0),0), INDEX($V$1004:$AE$1004,1,MATCH(COLUMNS($V$1006:W1006),$V$1006:$AE$1006,0)))),"Fix")))</f>
        <v>0</v>
      </c>
      <c r="D140" s="3">
        <f>IF(OR(INDEX($P$2:$P$1001,MATCH(ROWS($O$2:O140),$O$2:$O$1001,0),1)&gt;=100000,INDEX($V$1005:$AE$1005,1,MATCH(COLUMNS($V$1006:X1006),$V$1006:$AE$1006,0))&gt;=100000), " ",IF(INDEX($V$2:$AE$1001,MATCH(ROWS($O$2:O140),$O$2:$O$1001,0),MATCH(COLUMNS($V$1006:X1006),$V$1006:$AE$1006,0)), HYPERLINK("#",""), HYPERLINK(CONCATENATE("#Metadata!", ADDRESS(INDEX($Q$2:$Q$1001,MATCH(ROWS($O$2:O140),$O$2:$O$1001,0),0), INDEX($V$1004:$AE$1004,1,MATCH(COLUMNS($V$1006:X1006),$V$1006:$AE$1006,0)))),"Fix")))</f>
        <v>0</v>
      </c>
      <c r="E140" s="3">
        <f>IF(OR(INDEX($P$2:$P$1001,MATCH(ROWS($O$2:O140),$O$2:$O$1001,0),1)&gt;=100000,INDEX($V$1005:$AE$1005,1,MATCH(COLUMNS($V$1006:Y1006),$V$1006:$AE$1006,0))&gt;=100000), " ",IF(INDEX($V$2:$AE$1001,MATCH(ROWS($O$2:O140),$O$2:$O$1001,0),MATCH(COLUMNS($V$1006:Y1006),$V$1006:$AE$1006,0)), HYPERLINK("#",""), HYPERLINK(CONCATENATE("#Metadata!", ADDRESS(INDEX($Q$2:$Q$1001,MATCH(ROWS($O$2:O140),$O$2:$O$1001,0),0), INDEX($V$1004:$AE$1004,1,MATCH(COLUMNS($V$1006:Y1006),$V$1006:$AE$1006,0)))),"Fix")))</f>
        <v>0</v>
      </c>
      <c r="F140" s="3">
        <f>IF(OR(INDEX($P$2:$P$1001,MATCH(ROWS($O$2:O140),$O$2:$O$1001,0),1)&gt;=100000,INDEX($V$1005:$AE$1005,1,MATCH(COLUMNS($V$1006:Z1006),$V$1006:$AE$1006,0))&gt;=100000), " ",IF(INDEX($V$2:$AE$1001,MATCH(ROWS($O$2:O140),$O$2:$O$1001,0),MATCH(COLUMNS($V$1006:Z1006),$V$1006:$AE$1006,0)), HYPERLINK("#",""), HYPERLINK(CONCATENATE("#Metadata!", ADDRESS(INDEX($Q$2:$Q$1001,MATCH(ROWS($O$2:O140),$O$2:$O$1001,0),0), INDEX($V$1004:$AE$1004,1,MATCH(COLUMNS($V$1006:Z1006),$V$1006:$AE$1006,0)))),"Fix")))</f>
        <v>0</v>
      </c>
      <c r="G140" s="3">
        <f>IF(OR(INDEX($P$2:$P$1001,MATCH(ROWS($O$2:O140),$O$2:$O$1001,0),1)&gt;=100000,INDEX($V$1005:$AE$1005,1,MATCH(COLUMNS($V$1006:AA1006),$V$1006:$AE$1006,0))&gt;=100000), " ",IF(INDEX($V$2:$AE$1001,MATCH(ROWS($O$2:O140),$O$2:$O$1001,0),MATCH(COLUMNS($V$1006:AA1006),$V$1006:$AE$1006,0)), HYPERLINK("#",""), HYPERLINK(CONCATENATE("#Metadata!", ADDRESS(INDEX($Q$2:$Q$1001,MATCH(ROWS($O$2:O140),$O$2:$O$1001,0),0), INDEX($V$1004:$AE$1004,1,MATCH(COLUMNS($V$1006:AA1006),$V$1006:$AE$1006,0)))),"Fix")))</f>
        <v>0</v>
      </c>
      <c r="H140" s="3">
        <f>IF(OR(INDEX($P$2:$P$1001,MATCH(ROWS($O$2:O140),$O$2:$O$1001,0),1)&gt;=100000,INDEX($V$1005:$AE$1005,1,MATCH(COLUMNS($V$1006:AB1006),$V$1006:$AE$1006,0))&gt;=100000), " ",IF(INDEX($V$2:$AE$1001,MATCH(ROWS($O$2:O140),$O$2:$O$1001,0),MATCH(COLUMNS($V$1006:AB1006),$V$1006:$AE$1006,0)), HYPERLINK("#",""), HYPERLINK(CONCATENATE("#Metadata!", ADDRESS(INDEX($Q$2:$Q$1001,MATCH(ROWS($O$2:O140),$O$2:$O$1001,0),0), INDEX($V$1004:$AE$1004,1,MATCH(COLUMNS($V$1006:AB1006),$V$1006:$AE$1006,0)))),"Fix")))</f>
        <v>0</v>
      </c>
      <c r="I140" s="3">
        <f>IF(OR(INDEX($P$2:$P$1001,MATCH(ROWS($O$2:O140),$O$2:$O$1001,0),1)&gt;=100000,INDEX($V$1005:$AE$1005,1,MATCH(COLUMNS($V$1006:AC1006),$V$1006:$AE$1006,0))&gt;=100000), " ",IF(INDEX($V$2:$AE$1001,MATCH(ROWS($O$2:O140),$O$2:$O$1001,0),MATCH(COLUMNS($V$1006:AC1006),$V$1006:$AE$1006,0)), HYPERLINK("#",""), HYPERLINK(CONCATENATE("#Metadata!", ADDRESS(INDEX($Q$2:$Q$1001,MATCH(ROWS($O$2:O140),$O$2:$O$1001,0),0), INDEX($V$1004:$AE$1004,1,MATCH(COLUMNS($V$1006:AC1006),$V$1006:$AE$1006,0)))),"Fix")))</f>
        <v>0</v>
      </c>
      <c r="J140" s="3">
        <f>IF(OR(INDEX($P$2:$P$1001,MATCH(ROWS($O$2:O140),$O$2:$O$1001,0),1)&gt;=100000,INDEX($V$1005:$AE$1005,1,MATCH(COLUMNS($V$1006:AD1006),$V$1006:$AE$1006,0))&gt;=100000), " ",IF(INDEX($V$2:$AE$1001,MATCH(ROWS($O$2:O140),$O$2:$O$1001,0),MATCH(COLUMNS($V$1006:AD1006),$V$1006:$AE$1006,0)), HYPERLINK("#",""), HYPERLINK(CONCATENATE("#Metadata!", ADDRESS(INDEX($Q$2:$Q$1001,MATCH(ROWS($O$2:O140),$O$2:$O$1001,0),0), INDEX($V$1004:$AE$1004,1,MATCH(COLUMNS($V$1006:AD1006),$V$1006:$AE$1006,0)))),"Fix")))</f>
        <v>0</v>
      </c>
      <c r="K140" s="3">
        <f>IF(OR(INDEX($P$2:$P$1001,MATCH(ROWS($O$2:O140),$O$2:$O$1001,0),1)&gt;=100000,INDEX($V$1005:$AE$1005,1,MATCH(COLUMNS($V$1006:AE1006),$V$1006:$AE$1006,0))&gt;=100000), " ",IF(INDEX($V$2:$AE$1001,MATCH(ROWS($O$2:O140),$O$2:$O$1001,0),MATCH(COLUMNS($V$1006:AE1006),$V$1006:$AE$1006,0)), HYPERLINK("#",""), HYPERLINK(CONCATENATE("#Metadata!", ADDRESS(INDEX($Q$2:$Q$1001,MATCH(ROWS($O$2:O140),$O$2:$O$1001,0),0), INDEX($V$1004:$AE$1004,1,MATCH(COLUMNS($V$1006:AE1006),$V$1006:$AE$1006,0)))),"Fix")))</f>
        <v>0</v>
      </c>
      <c r="O140">
        <v>0</v>
      </c>
      <c r="P140">
        <v>0</v>
      </c>
      <c r="Q140">
        <v>0</v>
      </c>
      <c r="R140">
        <f>IF(S140,TRUE,AND(V140:AE140))</f>
        <v>0</v>
      </c>
      <c r="S140">
        <f>COUNTBLANK(Metadata!B140:K140)=COLUMNS(Metadata!B140:K140)</f>
        <v>0</v>
      </c>
      <c r="T140">
        <v>0</v>
      </c>
      <c r="V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W140">
        <f>AND(IF(Metadata!C140="",FALSE,TRUE),exact(Metadata!C140,"animal secretion"))</f>
        <v>0</v>
      </c>
      <c r="X140">
        <f>AND(IF(Metadata!D140="",FALSE,TRUE),exact(Metadata!D140,"saliva"))</f>
        <v>0</v>
      </c>
      <c r="Y140">
        <f>AND(IF(Metadata!E140="",FALSE,TRUE),exact(Metadata!E140,"human-oral"))</f>
        <v>0</v>
      </c>
      <c r="Z140">
        <f>AND(IF(Metadata!F140="",FALSE,TRUE),exact(Metadata!F140,"UBERON:oral cavity"))</f>
        <v>0</v>
      </c>
      <c r="AA140">
        <f>AND(IF(Metadata!G140="",FALSE,TRUE),exact(Metadata!G140,"UBERON:saliva"))</f>
        <v>0</v>
      </c>
      <c r="AB140">
        <f>AND(IF(Metadata!H140="",FALSE,TRUE),exact(Metadata!H140,"UBERON:tongue"))</f>
        <v>0</v>
      </c>
      <c r="AC140">
        <f>AND(IF(Metadata!I140="",FALSE,TRUE),exact(Metadata!I140,"tongue"))</f>
        <v>0</v>
      </c>
      <c r="AD140">
        <f>AND(IF(Metadata!J140="",FALSE,TRUE),exact(Metadata!J140,"human oral metagenome"))</f>
        <v>0</v>
      </c>
      <c r="AE140">
        <f>AND(IF(Metadata!K140="",FALSE,TRUE),exact(Metadata!K140,"447426"))</f>
        <v>0</v>
      </c>
    </row>
    <row r="141" spans="1:31">
      <c r="A141" s="4">
        <f>IF(B141=" "," ",HYPERLINK(CONCATENATE("#metadata!",ADDRESS(INDEX($Q$2:$Q$1001,MATCH(ROWS($O$2:O141),$O$2:$O$1001,0),0),1)),INDEX($T$2:$T$1001,MATCH(ROWS($O$2:O141),$O$2:$O$1001,0),0)))</f>
        <v>0</v>
      </c>
      <c r="B141" s="3">
        <f>IF(OR(INDEX($P$2:$P$1001,MATCH(ROWS($O$2:O141),$O$2:$O$1001,0),1)&gt;=100000,INDEX($V$1005:$AE$1005,1,MATCH(COLUMNS($V$1006:V1006),$V$1006:$AE$1006,0))&gt;=100000), " ",IF(INDEX($V$2:$AE$1001,MATCH(ROWS($O$2:O141),$O$2:$O$1001,0),MATCH(COLUMNS($V$1006:V1006),$V$1006:$AE$1006,0)), HYPERLINK("#",""), HYPERLINK(CONCATENATE("#Metadata!", ADDRESS(INDEX($Q$2:$Q$1001,MATCH(ROWS($O$2:O141),$O$2:$O$1001,0),0), INDEX($V$1004:$AE$1004,1,MATCH(COLUMNS($V$1006:V1006),$V$1006:$AE$1006,0)))),"Fix")))</f>
        <v>0</v>
      </c>
      <c r="C141" s="3">
        <f>IF(OR(INDEX($P$2:$P$1001,MATCH(ROWS($O$2:O141),$O$2:$O$1001,0),1)&gt;=100000,INDEX($V$1005:$AE$1005,1,MATCH(COLUMNS($V$1006:W1006),$V$1006:$AE$1006,0))&gt;=100000), " ",IF(INDEX($V$2:$AE$1001,MATCH(ROWS($O$2:O141),$O$2:$O$1001,0),MATCH(COLUMNS($V$1006:W1006),$V$1006:$AE$1006,0)), HYPERLINK("#",""), HYPERLINK(CONCATENATE("#Metadata!", ADDRESS(INDEX($Q$2:$Q$1001,MATCH(ROWS($O$2:O141),$O$2:$O$1001,0),0), INDEX($V$1004:$AE$1004,1,MATCH(COLUMNS($V$1006:W1006),$V$1006:$AE$1006,0)))),"Fix")))</f>
        <v>0</v>
      </c>
      <c r="D141" s="3">
        <f>IF(OR(INDEX($P$2:$P$1001,MATCH(ROWS($O$2:O141),$O$2:$O$1001,0),1)&gt;=100000,INDEX($V$1005:$AE$1005,1,MATCH(COLUMNS($V$1006:X1006),$V$1006:$AE$1006,0))&gt;=100000), " ",IF(INDEX($V$2:$AE$1001,MATCH(ROWS($O$2:O141),$O$2:$O$1001,0),MATCH(COLUMNS($V$1006:X1006),$V$1006:$AE$1006,0)), HYPERLINK("#",""), HYPERLINK(CONCATENATE("#Metadata!", ADDRESS(INDEX($Q$2:$Q$1001,MATCH(ROWS($O$2:O141),$O$2:$O$1001,0),0), INDEX($V$1004:$AE$1004,1,MATCH(COLUMNS($V$1006:X1006),$V$1006:$AE$1006,0)))),"Fix")))</f>
        <v>0</v>
      </c>
      <c r="E141" s="3">
        <f>IF(OR(INDEX($P$2:$P$1001,MATCH(ROWS($O$2:O141),$O$2:$O$1001,0),1)&gt;=100000,INDEX($V$1005:$AE$1005,1,MATCH(COLUMNS($V$1006:Y1006),$V$1006:$AE$1006,0))&gt;=100000), " ",IF(INDEX($V$2:$AE$1001,MATCH(ROWS($O$2:O141),$O$2:$O$1001,0),MATCH(COLUMNS($V$1006:Y1006),$V$1006:$AE$1006,0)), HYPERLINK("#",""), HYPERLINK(CONCATENATE("#Metadata!", ADDRESS(INDEX($Q$2:$Q$1001,MATCH(ROWS($O$2:O141),$O$2:$O$1001,0),0), INDEX($V$1004:$AE$1004,1,MATCH(COLUMNS($V$1006:Y1006),$V$1006:$AE$1006,0)))),"Fix")))</f>
        <v>0</v>
      </c>
      <c r="F141" s="3">
        <f>IF(OR(INDEX($P$2:$P$1001,MATCH(ROWS($O$2:O141),$O$2:$O$1001,0),1)&gt;=100000,INDEX($V$1005:$AE$1005,1,MATCH(COLUMNS($V$1006:Z1006),$V$1006:$AE$1006,0))&gt;=100000), " ",IF(INDEX($V$2:$AE$1001,MATCH(ROWS($O$2:O141),$O$2:$O$1001,0),MATCH(COLUMNS($V$1006:Z1006),$V$1006:$AE$1006,0)), HYPERLINK("#",""), HYPERLINK(CONCATENATE("#Metadata!", ADDRESS(INDEX($Q$2:$Q$1001,MATCH(ROWS($O$2:O141),$O$2:$O$1001,0),0), INDEX($V$1004:$AE$1004,1,MATCH(COLUMNS($V$1006:Z1006),$V$1006:$AE$1006,0)))),"Fix")))</f>
        <v>0</v>
      </c>
      <c r="G141" s="3">
        <f>IF(OR(INDEX($P$2:$P$1001,MATCH(ROWS($O$2:O141),$O$2:$O$1001,0),1)&gt;=100000,INDEX($V$1005:$AE$1005,1,MATCH(COLUMNS($V$1006:AA1006),$V$1006:$AE$1006,0))&gt;=100000), " ",IF(INDEX($V$2:$AE$1001,MATCH(ROWS($O$2:O141),$O$2:$O$1001,0),MATCH(COLUMNS($V$1006:AA1006),$V$1006:$AE$1006,0)), HYPERLINK("#",""), HYPERLINK(CONCATENATE("#Metadata!", ADDRESS(INDEX($Q$2:$Q$1001,MATCH(ROWS($O$2:O141),$O$2:$O$1001,0),0), INDEX($V$1004:$AE$1004,1,MATCH(COLUMNS($V$1006:AA1006),$V$1006:$AE$1006,0)))),"Fix")))</f>
        <v>0</v>
      </c>
      <c r="H141" s="3">
        <f>IF(OR(INDEX($P$2:$P$1001,MATCH(ROWS($O$2:O141),$O$2:$O$1001,0),1)&gt;=100000,INDEX($V$1005:$AE$1005,1,MATCH(COLUMNS($V$1006:AB1006),$V$1006:$AE$1006,0))&gt;=100000), " ",IF(INDEX($V$2:$AE$1001,MATCH(ROWS($O$2:O141),$O$2:$O$1001,0),MATCH(COLUMNS($V$1006:AB1006),$V$1006:$AE$1006,0)), HYPERLINK("#",""), HYPERLINK(CONCATENATE("#Metadata!", ADDRESS(INDEX($Q$2:$Q$1001,MATCH(ROWS($O$2:O141),$O$2:$O$1001,0),0), INDEX($V$1004:$AE$1004,1,MATCH(COLUMNS($V$1006:AB1006),$V$1006:$AE$1006,0)))),"Fix")))</f>
        <v>0</v>
      </c>
      <c r="I141" s="3">
        <f>IF(OR(INDEX($P$2:$P$1001,MATCH(ROWS($O$2:O141),$O$2:$O$1001,0),1)&gt;=100000,INDEX($V$1005:$AE$1005,1,MATCH(COLUMNS($V$1006:AC1006),$V$1006:$AE$1006,0))&gt;=100000), " ",IF(INDEX($V$2:$AE$1001,MATCH(ROWS($O$2:O141),$O$2:$O$1001,0),MATCH(COLUMNS($V$1006:AC1006),$V$1006:$AE$1006,0)), HYPERLINK("#",""), HYPERLINK(CONCATENATE("#Metadata!", ADDRESS(INDEX($Q$2:$Q$1001,MATCH(ROWS($O$2:O141),$O$2:$O$1001,0),0), INDEX($V$1004:$AE$1004,1,MATCH(COLUMNS($V$1006:AC1006),$V$1006:$AE$1006,0)))),"Fix")))</f>
        <v>0</v>
      </c>
      <c r="J141" s="3">
        <f>IF(OR(INDEX($P$2:$P$1001,MATCH(ROWS($O$2:O141),$O$2:$O$1001,0),1)&gt;=100000,INDEX($V$1005:$AE$1005,1,MATCH(COLUMNS($V$1006:AD1006),$V$1006:$AE$1006,0))&gt;=100000), " ",IF(INDEX($V$2:$AE$1001,MATCH(ROWS($O$2:O141),$O$2:$O$1001,0),MATCH(COLUMNS($V$1006:AD1006),$V$1006:$AE$1006,0)), HYPERLINK("#",""), HYPERLINK(CONCATENATE("#Metadata!", ADDRESS(INDEX($Q$2:$Q$1001,MATCH(ROWS($O$2:O141),$O$2:$O$1001,0),0), INDEX($V$1004:$AE$1004,1,MATCH(COLUMNS($V$1006:AD1006),$V$1006:$AE$1006,0)))),"Fix")))</f>
        <v>0</v>
      </c>
      <c r="K141" s="3">
        <f>IF(OR(INDEX($P$2:$P$1001,MATCH(ROWS($O$2:O141),$O$2:$O$1001,0),1)&gt;=100000,INDEX($V$1005:$AE$1005,1,MATCH(COLUMNS($V$1006:AE1006),$V$1006:$AE$1006,0))&gt;=100000), " ",IF(INDEX($V$2:$AE$1001,MATCH(ROWS($O$2:O141),$O$2:$O$1001,0),MATCH(COLUMNS($V$1006:AE1006),$V$1006:$AE$1006,0)), HYPERLINK("#",""), HYPERLINK(CONCATENATE("#Metadata!", ADDRESS(INDEX($Q$2:$Q$1001,MATCH(ROWS($O$2:O141),$O$2:$O$1001,0),0), INDEX($V$1004:$AE$1004,1,MATCH(COLUMNS($V$1006:AE1006),$V$1006:$AE$1006,0)))),"Fix")))</f>
        <v>0</v>
      </c>
      <c r="O141">
        <v>0</v>
      </c>
      <c r="P141">
        <v>0</v>
      </c>
      <c r="Q141">
        <v>0</v>
      </c>
      <c r="R141">
        <f>IF(S141,TRUE,AND(V141:AE141))</f>
        <v>0</v>
      </c>
      <c r="S141">
        <f>COUNTBLANK(Metadata!B141:K141)=COLUMNS(Metadata!B141:K141)</f>
        <v>0</v>
      </c>
      <c r="T141">
        <v>0</v>
      </c>
      <c r="V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W141">
        <f>AND(IF(Metadata!C141="",FALSE,TRUE),exact(Metadata!C141,"animal secretion"))</f>
        <v>0</v>
      </c>
      <c r="X141">
        <f>AND(IF(Metadata!D141="",FALSE,TRUE),exact(Metadata!D141,"saliva"))</f>
        <v>0</v>
      </c>
      <c r="Y141">
        <f>AND(IF(Metadata!E141="",FALSE,TRUE),exact(Metadata!E141,"human-oral"))</f>
        <v>0</v>
      </c>
      <c r="Z141">
        <f>AND(IF(Metadata!F141="",FALSE,TRUE),exact(Metadata!F141,"UBERON:oral cavity"))</f>
        <v>0</v>
      </c>
      <c r="AA141">
        <f>AND(IF(Metadata!G141="",FALSE,TRUE),exact(Metadata!G141,"UBERON:saliva"))</f>
        <v>0</v>
      </c>
      <c r="AB141">
        <f>AND(IF(Metadata!H141="",FALSE,TRUE),exact(Metadata!H141,"UBERON:tongue"))</f>
        <v>0</v>
      </c>
      <c r="AC141">
        <f>AND(IF(Metadata!I141="",FALSE,TRUE),exact(Metadata!I141,"tongue"))</f>
        <v>0</v>
      </c>
      <c r="AD141">
        <f>AND(IF(Metadata!J141="",FALSE,TRUE),exact(Metadata!J141,"human oral metagenome"))</f>
        <v>0</v>
      </c>
      <c r="AE141">
        <f>AND(IF(Metadata!K141="",FALSE,TRUE),exact(Metadata!K141,"447426"))</f>
        <v>0</v>
      </c>
    </row>
    <row r="142" spans="1:31">
      <c r="A142" s="4">
        <f>IF(B142=" "," ",HYPERLINK(CONCATENATE("#metadata!",ADDRESS(INDEX($Q$2:$Q$1001,MATCH(ROWS($O$2:O142),$O$2:$O$1001,0),0),1)),INDEX($T$2:$T$1001,MATCH(ROWS($O$2:O142),$O$2:$O$1001,0),0)))</f>
        <v>0</v>
      </c>
      <c r="B142" s="3">
        <f>IF(OR(INDEX($P$2:$P$1001,MATCH(ROWS($O$2:O142),$O$2:$O$1001,0),1)&gt;=100000,INDEX($V$1005:$AE$1005,1,MATCH(COLUMNS($V$1006:V1006),$V$1006:$AE$1006,0))&gt;=100000), " ",IF(INDEX($V$2:$AE$1001,MATCH(ROWS($O$2:O142),$O$2:$O$1001,0),MATCH(COLUMNS($V$1006:V1006),$V$1006:$AE$1006,0)), HYPERLINK("#",""), HYPERLINK(CONCATENATE("#Metadata!", ADDRESS(INDEX($Q$2:$Q$1001,MATCH(ROWS($O$2:O142),$O$2:$O$1001,0),0), INDEX($V$1004:$AE$1004,1,MATCH(COLUMNS($V$1006:V1006),$V$1006:$AE$1006,0)))),"Fix")))</f>
        <v>0</v>
      </c>
      <c r="C142" s="3">
        <f>IF(OR(INDEX($P$2:$P$1001,MATCH(ROWS($O$2:O142),$O$2:$O$1001,0),1)&gt;=100000,INDEX($V$1005:$AE$1005,1,MATCH(COLUMNS($V$1006:W1006),$V$1006:$AE$1006,0))&gt;=100000), " ",IF(INDEX($V$2:$AE$1001,MATCH(ROWS($O$2:O142),$O$2:$O$1001,0),MATCH(COLUMNS($V$1006:W1006),$V$1006:$AE$1006,0)), HYPERLINK("#",""), HYPERLINK(CONCATENATE("#Metadata!", ADDRESS(INDEX($Q$2:$Q$1001,MATCH(ROWS($O$2:O142),$O$2:$O$1001,0),0), INDEX($V$1004:$AE$1004,1,MATCH(COLUMNS($V$1006:W1006),$V$1006:$AE$1006,0)))),"Fix")))</f>
        <v>0</v>
      </c>
      <c r="D142" s="3">
        <f>IF(OR(INDEX($P$2:$P$1001,MATCH(ROWS($O$2:O142),$O$2:$O$1001,0),1)&gt;=100000,INDEX($V$1005:$AE$1005,1,MATCH(COLUMNS($V$1006:X1006),$V$1006:$AE$1006,0))&gt;=100000), " ",IF(INDEX($V$2:$AE$1001,MATCH(ROWS($O$2:O142),$O$2:$O$1001,0),MATCH(COLUMNS($V$1006:X1006),$V$1006:$AE$1006,0)), HYPERLINK("#",""), HYPERLINK(CONCATENATE("#Metadata!", ADDRESS(INDEX($Q$2:$Q$1001,MATCH(ROWS($O$2:O142),$O$2:$O$1001,0),0), INDEX($V$1004:$AE$1004,1,MATCH(COLUMNS($V$1006:X1006),$V$1006:$AE$1006,0)))),"Fix")))</f>
        <v>0</v>
      </c>
      <c r="E142" s="3">
        <f>IF(OR(INDEX($P$2:$P$1001,MATCH(ROWS($O$2:O142),$O$2:$O$1001,0),1)&gt;=100000,INDEX($V$1005:$AE$1005,1,MATCH(COLUMNS($V$1006:Y1006),$V$1006:$AE$1006,0))&gt;=100000), " ",IF(INDEX($V$2:$AE$1001,MATCH(ROWS($O$2:O142),$O$2:$O$1001,0),MATCH(COLUMNS($V$1006:Y1006),$V$1006:$AE$1006,0)), HYPERLINK("#",""), HYPERLINK(CONCATENATE("#Metadata!", ADDRESS(INDEX($Q$2:$Q$1001,MATCH(ROWS($O$2:O142),$O$2:$O$1001,0),0), INDEX($V$1004:$AE$1004,1,MATCH(COLUMNS($V$1006:Y1006),$V$1006:$AE$1006,0)))),"Fix")))</f>
        <v>0</v>
      </c>
      <c r="F142" s="3">
        <f>IF(OR(INDEX($P$2:$P$1001,MATCH(ROWS($O$2:O142),$O$2:$O$1001,0),1)&gt;=100000,INDEX($V$1005:$AE$1005,1,MATCH(COLUMNS($V$1006:Z1006),$V$1006:$AE$1006,0))&gt;=100000), " ",IF(INDEX($V$2:$AE$1001,MATCH(ROWS($O$2:O142),$O$2:$O$1001,0),MATCH(COLUMNS($V$1006:Z1006),$V$1006:$AE$1006,0)), HYPERLINK("#",""), HYPERLINK(CONCATENATE("#Metadata!", ADDRESS(INDEX($Q$2:$Q$1001,MATCH(ROWS($O$2:O142),$O$2:$O$1001,0),0), INDEX($V$1004:$AE$1004,1,MATCH(COLUMNS($V$1006:Z1006),$V$1006:$AE$1006,0)))),"Fix")))</f>
        <v>0</v>
      </c>
      <c r="G142" s="3">
        <f>IF(OR(INDEX($P$2:$P$1001,MATCH(ROWS($O$2:O142),$O$2:$O$1001,0),1)&gt;=100000,INDEX($V$1005:$AE$1005,1,MATCH(COLUMNS($V$1006:AA1006),$V$1006:$AE$1006,0))&gt;=100000), " ",IF(INDEX($V$2:$AE$1001,MATCH(ROWS($O$2:O142),$O$2:$O$1001,0),MATCH(COLUMNS($V$1006:AA1006),$V$1006:$AE$1006,0)), HYPERLINK("#",""), HYPERLINK(CONCATENATE("#Metadata!", ADDRESS(INDEX($Q$2:$Q$1001,MATCH(ROWS($O$2:O142),$O$2:$O$1001,0),0), INDEX($V$1004:$AE$1004,1,MATCH(COLUMNS($V$1006:AA1006),$V$1006:$AE$1006,0)))),"Fix")))</f>
        <v>0</v>
      </c>
      <c r="H142" s="3">
        <f>IF(OR(INDEX($P$2:$P$1001,MATCH(ROWS($O$2:O142),$O$2:$O$1001,0),1)&gt;=100000,INDEX($V$1005:$AE$1005,1,MATCH(COLUMNS($V$1006:AB1006),$V$1006:$AE$1006,0))&gt;=100000), " ",IF(INDEX($V$2:$AE$1001,MATCH(ROWS($O$2:O142),$O$2:$O$1001,0),MATCH(COLUMNS($V$1006:AB1006),$V$1006:$AE$1006,0)), HYPERLINK("#",""), HYPERLINK(CONCATENATE("#Metadata!", ADDRESS(INDEX($Q$2:$Q$1001,MATCH(ROWS($O$2:O142),$O$2:$O$1001,0),0), INDEX($V$1004:$AE$1004,1,MATCH(COLUMNS($V$1006:AB1006),$V$1006:$AE$1006,0)))),"Fix")))</f>
        <v>0</v>
      </c>
      <c r="I142" s="3">
        <f>IF(OR(INDEX($P$2:$P$1001,MATCH(ROWS($O$2:O142),$O$2:$O$1001,0),1)&gt;=100000,INDEX($V$1005:$AE$1005,1,MATCH(COLUMNS($V$1006:AC1006),$V$1006:$AE$1006,0))&gt;=100000), " ",IF(INDEX($V$2:$AE$1001,MATCH(ROWS($O$2:O142),$O$2:$O$1001,0),MATCH(COLUMNS($V$1006:AC1006),$V$1006:$AE$1006,0)), HYPERLINK("#",""), HYPERLINK(CONCATENATE("#Metadata!", ADDRESS(INDEX($Q$2:$Q$1001,MATCH(ROWS($O$2:O142),$O$2:$O$1001,0),0), INDEX($V$1004:$AE$1004,1,MATCH(COLUMNS($V$1006:AC1006),$V$1006:$AE$1006,0)))),"Fix")))</f>
        <v>0</v>
      </c>
      <c r="J142" s="3">
        <f>IF(OR(INDEX($P$2:$P$1001,MATCH(ROWS($O$2:O142),$O$2:$O$1001,0),1)&gt;=100000,INDEX($V$1005:$AE$1005,1,MATCH(COLUMNS($V$1006:AD1006),$V$1006:$AE$1006,0))&gt;=100000), " ",IF(INDEX($V$2:$AE$1001,MATCH(ROWS($O$2:O142),$O$2:$O$1001,0),MATCH(COLUMNS($V$1006:AD1006),$V$1006:$AE$1006,0)), HYPERLINK("#",""), HYPERLINK(CONCATENATE("#Metadata!", ADDRESS(INDEX($Q$2:$Q$1001,MATCH(ROWS($O$2:O142),$O$2:$O$1001,0),0), INDEX($V$1004:$AE$1004,1,MATCH(COLUMNS($V$1006:AD1006),$V$1006:$AE$1006,0)))),"Fix")))</f>
        <v>0</v>
      </c>
      <c r="K142" s="3">
        <f>IF(OR(INDEX($P$2:$P$1001,MATCH(ROWS($O$2:O142),$O$2:$O$1001,0),1)&gt;=100000,INDEX($V$1005:$AE$1005,1,MATCH(COLUMNS($V$1006:AE1006),$V$1006:$AE$1006,0))&gt;=100000), " ",IF(INDEX($V$2:$AE$1001,MATCH(ROWS($O$2:O142),$O$2:$O$1001,0),MATCH(COLUMNS($V$1006:AE1006),$V$1006:$AE$1006,0)), HYPERLINK("#",""), HYPERLINK(CONCATENATE("#Metadata!", ADDRESS(INDEX($Q$2:$Q$1001,MATCH(ROWS($O$2:O142),$O$2:$O$1001,0),0), INDEX($V$1004:$AE$1004,1,MATCH(COLUMNS($V$1006:AE1006),$V$1006:$AE$1006,0)))),"Fix")))</f>
        <v>0</v>
      </c>
      <c r="O142">
        <v>0</v>
      </c>
      <c r="P142">
        <v>0</v>
      </c>
      <c r="Q142">
        <v>0</v>
      </c>
      <c r="R142">
        <f>IF(S142,TRUE,AND(V142:AE142))</f>
        <v>0</v>
      </c>
      <c r="S142">
        <f>COUNTBLANK(Metadata!B142:K142)=COLUMNS(Metadata!B142:K142)</f>
        <v>0</v>
      </c>
      <c r="T142">
        <v>0</v>
      </c>
      <c r="V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W142">
        <f>AND(IF(Metadata!C142="",FALSE,TRUE),exact(Metadata!C142,"animal secretion"))</f>
        <v>0</v>
      </c>
      <c r="X142">
        <f>AND(IF(Metadata!D142="",FALSE,TRUE),exact(Metadata!D142,"saliva"))</f>
        <v>0</v>
      </c>
      <c r="Y142">
        <f>AND(IF(Metadata!E142="",FALSE,TRUE),exact(Metadata!E142,"human-oral"))</f>
        <v>0</v>
      </c>
      <c r="Z142">
        <f>AND(IF(Metadata!F142="",FALSE,TRUE),exact(Metadata!F142,"UBERON:oral cavity"))</f>
        <v>0</v>
      </c>
      <c r="AA142">
        <f>AND(IF(Metadata!G142="",FALSE,TRUE),exact(Metadata!G142,"UBERON:saliva"))</f>
        <v>0</v>
      </c>
      <c r="AB142">
        <f>AND(IF(Metadata!H142="",FALSE,TRUE),exact(Metadata!H142,"UBERON:tongue"))</f>
        <v>0</v>
      </c>
      <c r="AC142">
        <f>AND(IF(Metadata!I142="",FALSE,TRUE),exact(Metadata!I142,"tongue"))</f>
        <v>0</v>
      </c>
      <c r="AD142">
        <f>AND(IF(Metadata!J142="",FALSE,TRUE),exact(Metadata!J142,"human oral metagenome"))</f>
        <v>0</v>
      </c>
      <c r="AE142">
        <f>AND(IF(Metadata!K142="",FALSE,TRUE),exact(Metadata!K142,"447426"))</f>
        <v>0</v>
      </c>
    </row>
    <row r="143" spans="1:31">
      <c r="A143" s="4">
        <f>IF(B143=" "," ",HYPERLINK(CONCATENATE("#metadata!",ADDRESS(INDEX($Q$2:$Q$1001,MATCH(ROWS($O$2:O143),$O$2:$O$1001,0),0),1)),INDEX($T$2:$T$1001,MATCH(ROWS($O$2:O143),$O$2:$O$1001,0),0)))</f>
        <v>0</v>
      </c>
      <c r="B143" s="3">
        <f>IF(OR(INDEX($P$2:$P$1001,MATCH(ROWS($O$2:O143),$O$2:$O$1001,0),1)&gt;=100000,INDEX($V$1005:$AE$1005,1,MATCH(COLUMNS($V$1006:V1006),$V$1006:$AE$1006,0))&gt;=100000), " ",IF(INDEX($V$2:$AE$1001,MATCH(ROWS($O$2:O143),$O$2:$O$1001,0),MATCH(COLUMNS($V$1006:V1006),$V$1006:$AE$1006,0)), HYPERLINK("#",""), HYPERLINK(CONCATENATE("#Metadata!", ADDRESS(INDEX($Q$2:$Q$1001,MATCH(ROWS($O$2:O143),$O$2:$O$1001,0),0), INDEX($V$1004:$AE$1004,1,MATCH(COLUMNS($V$1006:V1006),$V$1006:$AE$1006,0)))),"Fix")))</f>
        <v>0</v>
      </c>
      <c r="C143" s="3">
        <f>IF(OR(INDEX($P$2:$P$1001,MATCH(ROWS($O$2:O143),$O$2:$O$1001,0),1)&gt;=100000,INDEX($V$1005:$AE$1005,1,MATCH(COLUMNS($V$1006:W1006),$V$1006:$AE$1006,0))&gt;=100000), " ",IF(INDEX($V$2:$AE$1001,MATCH(ROWS($O$2:O143),$O$2:$O$1001,0),MATCH(COLUMNS($V$1006:W1006),$V$1006:$AE$1006,0)), HYPERLINK("#",""), HYPERLINK(CONCATENATE("#Metadata!", ADDRESS(INDEX($Q$2:$Q$1001,MATCH(ROWS($O$2:O143),$O$2:$O$1001,0),0), INDEX($V$1004:$AE$1004,1,MATCH(COLUMNS($V$1006:W1006),$V$1006:$AE$1006,0)))),"Fix")))</f>
        <v>0</v>
      </c>
      <c r="D143" s="3">
        <f>IF(OR(INDEX($P$2:$P$1001,MATCH(ROWS($O$2:O143),$O$2:$O$1001,0),1)&gt;=100000,INDEX($V$1005:$AE$1005,1,MATCH(COLUMNS($V$1006:X1006),$V$1006:$AE$1006,0))&gt;=100000), " ",IF(INDEX($V$2:$AE$1001,MATCH(ROWS($O$2:O143),$O$2:$O$1001,0),MATCH(COLUMNS($V$1006:X1006),$V$1006:$AE$1006,0)), HYPERLINK("#",""), HYPERLINK(CONCATENATE("#Metadata!", ADDRESS(INDEX($Q$2:$Q$1001,MATCH(ROWS($O$2:O143),$O$2:$O$1001,0),0), INDEX($V$1004:$AE$1004,1,MATCH(COLUMNS($V$1006:X1006),$V$1006:$AE$1006,0)))),"Fix")))</f>
        <v>0</v>
      </c>
      <c r="E143" s="3">
        <f>IF(OR(INDEX($P$2:$P$1001,MATCH(ROWS($O$2:O143),$O$2:$O$1001,0),1)&gt;=100000,INDEX($V$1005:$AE$1005,1,MATCH(COLUMNS($V$1006:Y1006),$V$1006:$AE$1006,0))&gt;=100000), " ",IF(INDEX($V$2:$AE$1001,MATCH(ROWS($O$2:O143),$O$2:$O$1001,0),MATCH(COLUMNS($V$1006:Y1006),$V$1006:$AE$1006,0)), HYPERLINK("#",""), HYPERLINK(CONCATENATE("#Metadata!", ADDRESS(INDEX($Q$2:$Q$1001,MATCH(ROWS($O$2:O143),$O$2:$O$1001,0),0), INDEX($V$1004:$AE$1004,1,MATCH(COLUMNS($V$1006:Y1006),$V$1006:$AE$1006,0)))),"Fix")))</f>
        <v>0</v>
      </c>
      <c r="F143" s="3">
        <f>IF(OR(INDEX($P$2:$P$1001,MATCH(ROWS($O$2:O143),$O$2:$O$1001,0),1)&gt;=100000,INDEX($V$1005:$AE$1005,1,MATCH(COLUMNS($V$1006:Z1006),$V$1006:$AE$1006,0))&gt;=100000), " ",IF(INDEX($V$2:$AE$1001,MATCH(ROWS($O$2:O143),$O$2:$O$1001,0),MATCH(COLUMNS($V$1006:Z1006),$V$1006:$AE$1006,0)), HYPERLINK("#",""), HYPERLINK(CONCATENATE("#Metadata!", ADDRESS(INDEX($Q$2:$Q$1001,MATCH(ROWS($O$2:O143),$O$2:$O$1001,0),0), INDEX($V$1004:$AE$1004,1,MATCH(COLUMNS($V$1006:Z1006),$V$1006:$AE$1006,0)))),"Fix")))</f>
        <v>0</v>
      </c>
      <c r="G143" s="3">
        <f>IF(OR(INDEX($P$2:$P$1001,MATCH(ROWS($O$2:O143),$O$2:$O$1001,0),1)&gt;=100000,INDEX($V$1005:$AE$1005,1,MATCH(COLUMNS($V$1006:AA1006),$V$1006:$AE$1006,0))&gt;=100000), " ",IF(INDEX($V$2:$AE$1001,MATCH(ROWS($O$2:O143),$O$2:$O$1001,0),MATCH(COLUMNS($V$1006:AA1006),$V$1006:$AE$1006,0)), HYPERLINK("#",""), HYPERLINK(CONCATENATE("#Metadata!", ADDRESS(INDEX($Q$2:$Q$1001,MATCH(ROWS($O$2:O143),$O$2:$O$1001,0),0), INDEX($V$1004:$AE$1004,1,MATCH(COLUMNS($V$1006:AA1006),$V$1006:$AE$1006,0)))),"Fix")))</f>
        <v>0</v>
      </c>
      <c r="H143" s="3">
        <f>IF(OR(INDEX($P$2:$P$1001,MATCH(ROWS($O$2:O143),$O$2:$O$1001,0),1)&gt;=100000,INDEX($V$1005:$AE$1005,1,MATCH(COLUMNS($V$1006:AB1006),$V$1006:$AE$1006,0))&gt;=100000), " ",IF(INDEX($V$2:$AE$1001,MATCH(ROWS($O$2:O143),$O$2:$O$1001,0),MATCH(COLUMNS($V$1006:AB1006),$V$1006:$AE$1006,0)), HYPERLINK("#",""), HYPERLINK(CONCATENATE("#Metadata!", ADDRESS(INDEX($Q$2:$Q$1001,MATCH(ROWS($O$2:O143),$O$2:$O$1001,0),0), INDEX($V$1004:$AE$1004,1,MATCH(COLUMNS($V$1006:AB1006),$V$1006:$AE$1006,0)))),"Fix")))</f>
        <v>0</v>
      </c>
      <c r="I143" s="3">
        <f>IF(OR(INDEX($P$2:$P$1001,MATCH(ROWS($O$2:O143),$O$2:$O$1001,0),1)&gt;=100000,INDEX($V$1005:$AE$1005,1,MATCH(COLUMNS($V$1006:AC1006),$V$1006:$AE$1006,0))&gt;=100000), " ",IF(INDEX($V$2:$AE$1001,MATCH(ROWS($O$2:O143),$O$2:$O$1001,0),MATCH(COLUMNS($V$1006:AC1006),$V$1006:$AE$1006,0)), HYPERLINK("#",""), HYPERLINK(CONCATENATE("#Metadata!", ADDRESS(INDEX($Q$2:$Q$1001,MATCH(ROWS($O$2:O143),$O$2:$O$1001,0),0), INDEX($V$1004:$AE$1004,1,MATCH(COLUMNS($V$1006:AC1006),$V$1006:$AE$1006,0)))),"Fix")))</f>
        <v>0</v>
      </c>
      <c r="J143" s="3">
        <f>IF(OR(INDEX($P$2:$P$1001,MATCH(ROWS($O$2:O143),$O$2:$O$1001,0),1)&gt;=100000,INDEX($V$1005:$AE$1005,1,MATCH(COLUMNS($V$1006:AD1006),$V$1006:$AE$1006,0))&gt;=100000), " ",IF(INDEX($V$2:$AE$1001,MATCH(ROWS($O$2:O143),$O$2:$O$1001,0),MATCH(COLUMNS($V$1006:AD1006),$V$1006:$AE$1006,0)), HYPERLINK("#",""), HYPERLINK(CONCATENATE("#Metadata!", ADDRESS(INDEX($Q$2:$Q$1001,MATCH(ROWS($O$2:O143),$O$2:$O$1001,0),0), INDEX($V$1004:$AE$1004,1,MATCH(COLUMNS($V$1006:AD1006),$V$1006:$AE$1006,0)))),"Fix")))</f>
        <v>0</v>
      </c>
      <c r="K143" s="3">
        <f>IF(OR(INDEX($P$2:$P$1001,MATCH(ROWS($O$2:O143),$O$2:$O$1001,0),1)&gt;=100000,INDEX($V$1005:$AE$1005,1,MATCH(COLUMNS($V$1006:AE1006),$V$1006:$AE$1006,0))&gt;=100000), " ",IF(INDEX($V$2:$AE$1001,MATCH(ROWS($O$2:O143),$O$2:$O$1001,0),MATCH(COLUMNS($V$1006:AE1006),$V$1006:$AE$1006,0)), HYPERLINK("#",""), HYPERLINK(CONCATENATE("#Metadata!", ADDRESS(INDEX($Q$2:$Q$1001,MATCH(ROWS($O$2:O143),$O$2:$O$1001,0),0), INDEX($V$1004:$AE$1004,1,MATCH(COLUMNS($V$1006:AE1006),$V$1006:$AE$1006,0)))),"Fix")))</f>
        <v>0</v>
      </c>
      <c r="O143">
        <v>0</v>
      </c>
      <c r="P143">
        <v>0</v>
      </c>
      <c r="Q143">
        <v>0</v>
      </c>
      <c r="R143">
        <f>IF(S143,TRUE,AND(V143:AE143))</f>
        <v>0</v>
      </c>
      <c r="S143">
        <f>COUNTBLANK(Metadata!B143:K143)=COLUMNS(Metadata!B143:K143)</f>
        <v>0</v>
      </c>
      <c r="T143">
        <v>0</v>
      </c>
      <c r="V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W143">
        <f>AND(IF(Metadata!C143="",FALSE,TRUE),exact(Metadata!C143,"animal secretion"))</f>
        <v>0</v>
      </c>
      <c r="X143">
        <f>AND(IF(Metadata!D143="",FALSE,TRUE),exact(Metadata!D143,"saliva"))</f>
        <v>0</v>
      </c>
      <c r="Y143">
        <f>AND(IF(Metadata!E143="",FALSE,TRUE),exact(Metadata!E143,"human-oral"))</f>
        <v>0</v>
      </c>
      <c r="Z143">
        <f>AND(IF(Metadata!F143="",FALSE,TRUE),exact(Metadata!F143,"UBERON:oral cavity"))</f>
        <v>0</v>
      </c>
      <c r="AA143">
        <f>AND(IF(Metadata!G143="",FALSE,TRUE),exact(Metadata!G143,"UBERON:saliva"))</f>
        <v>0</v>
      </c>
      <c r="AB143">
        <f>AND(IF(Metadata!H143="",FALSE,TRUE),exact(Metadata!H143,"UBERON:tongue"))</f>
        <v>0</v>
      </c>
      <c r="AC143">
        <f>AND(IF(Metadata!I143="",FALSE,TRUE),exact(Metadata!I143,"tongue"))</f>
        <v>0</v>
      </c>
      <c r="AD143">
        <f>AND(IF(Metadata!J143="",FALSE,TRUE),exact(Metadata!J143,"human oral metagenome"))</f>
        <v>0</v>
      </c>
      <c r="AE143">
        <f>AND(IF(Metadata!K143="",FALSE,TRUE),exact(Metadata!K143,"447426"))</f>
        <v>0</v>
      </c>
    </row>
    <row r="144" spans="1:31">
      <c r="A144" s="4">
        <f>IF(B144=" "," ",HYPERLINK(CONCATENATE("#metadata!",ADDRESS(INDEX($Q$2:$Q$1001,MATCH(ROWS($O$2:O144),$O$2:$O$1001,0),0),1)),INDEX($T$2:$T$1001,MATCH(ROWS($O$2:O144),$O$2:$O$1001,0),0)))</f>
        <v>0</v>
      </c>
      <c r="B144" s="3">
        <f>IF(OR(INDEX($P$2:$P$1001,MATCH(ROWS($O$2:O144),$O$2:$O$1001,0),1)&gt;=100000,INDEX($V$1005:$AE$1005,1,MATCH(COLUMNS($V$1006:V1006),$V$1006:$AE$1006,0))&gt;=100000), " ",IF(INDEX($V$2:$AE$1001,MATCH(ROWS($O$2:O144),$O$2:$O$1001,0),MATCH(COLUMNS($V$1006:V1006),$V$1006:$AE$1006,0)), HYPERLINK("#",""), HYPERLINK(CONCATENATE("#Metadata!", ADDRESS(INDEX($Q$2:$Q$1001,MATCH(ROWS($O$2:O144),$O$2:$O$1001,0),0), INDEX($V$1004:$AE$1004,1,MATCH(COLUMNS($V$1006:V1006),$V$1006:$AE$1006,0)))),"Fix")))</f>
        <v>0</v>
      </c>
      <c r="C144" s="3">
        <f>IF(OR(INDEX($P$2:$P$1001,MATCH(ROWS($O$2:O144),$O$2:$O$1001,0),1)&gt;=100000,INDEX($V$1005:$AE$1005,1,MATCH(COLUMNS($V$1006:W1006),$V$1006:$AE$1006,0))&gt;=100000), " ",IF(INDEX($V$2:$AE$1001,MATCH(ROWS($O$2:O144),$O$2:$O$1001,0),MATCH(COLUMNS($V$1006:W1006),$V$1006:$AE$1006,0)), HYPERLINK("#",""), HYPERLINK(CONCATENATE("#Metadata!", ADDRESS(INDEX($Q$2:$Q$1001,MATCH(ROWS($O$2:O144),$O$2:$O$1001,0),0), INDEX($V$1004:$AE$1004,1,MATCH(COLUMNS($V$1006:W1006),$V$1006:$AE$1006,0)))),"Fix")))</f>
        <v>0</v>
      </c>
      <c r="D144" s="3">
        <f>IF(OR(INDEX($P$2:$P$1001,MATCH(ROWS($O$2:O144),$O$2:$O$1001,0),1)&gt;=100000,INDEX($V$1005:$AE$1005,1,MATCH(COLUMNS($V$1006:X1006),$V$1006:$AE$1006,0))&gt;=100000), " ",IF(INDEX($V$2:$AE$1001,MATCH(ROWS($O$2:O144),$O$2:$O$1001,0),MATCH(COLUMNS($V$1006:X1006),$V$1006:$AE$1006,0)), HYPERLINK("#",""), HYPERLINK(CONCATENATE("#Metadata!", ADDRESS(INDEX($Q$2:$Q$1001,MATCH(ROWS($O$2:O144),$O$2:$O$1001,0),0), INDEX($V$1004:$AE$1004,1,MATCH(COLUMNS($V$1006:X1006),$V$1006:$AE$1006,0)))),"Fix")))</f>
        <v>0</v>
      </c>
      <c r="E144" s="3">
        <f>IF(OR(INDEX($P$2:$P$1001,MATCH(ROWS($O$2:O144),$O$2:$O$1001,0),1)&gt;=100000,INDEX($V$1005:$AE$1005,1,MATCH(COLUMNS($V$1006:Y1006),$V$1006:$AE$1006,0))&gt;=100000), " ",IF(INDEX($V$2:$AE$1001,MATCH(ROWS($O$2:O144),$O$2:$O$1001,0),MATCH(COLUMNS($V$1006:Y1006),$V$1006:$AE$1006,0)), HYPERLINK("#",""), HYPERLINK(CONCATENATE("#Metadata!", ADDRESS(INDEX($Q$2:$Q$1001,MATCH(ROWS($O$2:O144),$O$2:$O$1001,0),0), INDEX($V$1004:$AE$1004,1,MATCH(COLUMNS($V$1006:Y1006),$V$1006:$AE$1006,0)))),"Fix")))</f>
        <v>0</v>
      </c>
      <c r="F144" s="3">
        <f>IF(OR(INDEX($P$2:$P$1001,MATCH(ROWS($O$2:O144),$O$2:$O$1001,0),1)&gt;=100000,INDEX($V$1005:$AE$1005,1,MATCH(COLUMNS($V$1006:Z1006),$V$1006:$AE$1006,0))&gt;=100000), " ",IF(INDEX($V$2:$AE$1001,MATCH(ROWS($O$2:O144),$O$2:$O$1001,0),MATCH(COLUMNS($V$1006:Z1006),$V$1006:$AE$1006,0)), HYPERLINK("#",""), HYPERLINK(CONCATENATE("#Metadata!", ADDRESS(INDEX($Q$2:$Q$1001,MATCH(ROWS($O$2:O144),$O$2:$O$1001,0),0), INDEX($V$1004:$AE$1004,1,MATCH(COLUMNS($V$1006:Z1006),$V$1006:$AE$1006,0)))),"Fix")))</f>
        <v>0</v>
      </c>
      <c r="G144" s="3">
        <f>IF(OR(INDEX($P$2:$P$1001,MATCH(ROWS($O$2:O144),$O$2:$O$1001,0),1)&gt;=100000,INDEX($V$1005:$AE$1005,1,MATCH(COLUMNS($V$1006:AA1006),$V$1006:$AE$1006,0))&gt;=100000), " ",IF(INDEX($V$2:$AE$1001,MATCH(ROWS($O$2:O144),$O$2:$O$1001,0),MATCH(COLUMNS($V$1006:AA1006),$V$1006:$AE$1006,0)), HYPERLINK("#",""), HYPERLINK(CONCATENATE("#Metadata!", ADDRESS(INDEX($Q$2:$Q$1001,MATCH(ROWS($O$2:O144),$O$2:$O$1001,0),0), INDEX($V$1004:$AE$1004,1,MATCH(COLUMNS($V$1006:AA1006),$V$1006:$AE$1006,0)))),"Fix")))</f>
        <v>0</v>
      </c>
      <c r="H144" s="3">
        <f>IF(OR(INDEX($P$2:$P$1001,MATCH(ROWS($O$2:O144),$O$2:$O$1001,0),1)&gt;=100000,INDEX($V$1005:$AE$1005,1,MATCH(COLUMNS($V$1006:AB1006),$V$1006:$AE$1006,0))&gt;=100000), " ",IF(INDEX($V$2:$AE$1001,MATCH(ROWS($O$2:O144),$O$2:$O$1001,0),MATCH(COLUMNS($V$1006:AB1006),$V$1006:$AE$1006,0)), HYPERLINK("#",""), HYPERLINK(CONCATENATE("#Metadata!", ADDRESS(INDEX($Q$2:$Q$1001,MATCH(ROWS($O$2:O144),$O$2:$O$1001,0),0), INDEX($V$1004:$AE$1004,1,MATCH(COLUMNS($V$1006:AB1006),$V$1006:$AE$1006,0)))),"Fix")))</f>
        <v>0</v>
      </c>
      <c r="I144" s="3">
        <f>IF(OR(INDEX($P$2:$P$1001,MATCH(ROWS($O$2:O144),$O$2:$O$1001,0),1)&gt;=100000,INDEX($V$1005:$AE$1005,1,MATCH(COLUMNS($V$1006:AC1006),$V$1006:$AE$1006,0))&gt;=100000), " ",IF(INDEX($V$2:$AE$1001,MATCH(ROWS($O$2:O144),$O$2:$O$1001,0),MATCH(COLUMNS($V$1006:AC1006),$V$1006:$AE$1006,0)), HYPERLINK("#",""), HYPERLINK(CONCATENATE("#Metadata!", ADDRESS(INDEX($Q$2:$Q$1001,MATCH(ROWS($O$2:O144),$O$2:$O$1001,0),0), INDEX($V$1004:$AE$1004,1,MATCH(COLUMNS($V$1006:AC1006),$V$1006:$AE$1006,0)))),"Fix")))</f>
        <v>0</v>
      </c>
      <c r="J144" s="3">
        <f>IF(OR(INDEX($P$2:$P$1001,MATCH(ROWS($O$2:O144),$O$2:$O$1001,0),1)&gt;=100000,INDEX($V$1005:$AE$1005,1,MATCH(COLUMNS($V$1006:AD1006),$V$1006:$AE$1006,0))&gt;=100000), " ",IF(INDEX($V$2:$AE$1001,MATCH(ROWS($O$2:O144),$O$2:$O$1001,0),MATCH(COLUMNS($V$1006:AD1006),$V$1006:$AE$1006,0)), HYPERLINK("#",""), HYPERLINK(CONCATENATE("#Metadata!", ADDRESS(INDEX($Q$2:$Q$1001,MATCH(ROWS($O$2:O144),$O$2:$O$1001,0),0), INDEX($V$1004:$AE$1004,1,MATCH(COLUMNS($V$1006:AD1006),$V$1006:$AE$1006,0)))),"Fix")))</f>
        <v>0</v>
      </c>
      <c r="K144" s="3">
        <f>IF(OR(INDEX($P$2:$P$1001,MATCH(ROWS($O$2:O144),$O$2:$O$1001,0),1)&gt;=100000,INDEX($V$1005:$AE$1005,1,MATCH(COLUMNS($V$1006:AE1006),$V$1006:$AE$1006,0))&gt;=100000), " ",IF(INDEX($V$2:$AE$1001,MATCH(ROWS($O$2:O144),$O$2:$O$1001,0),MATCH(COLUMNS($V$1006:AE1006),$V$1006:$AE$1006,0)), HYPERLINK("#",""), HYPERLINK(CONCATENATE("#Metadata!", ADDRESS(INDEX($Q$2:$Q$1001,MATCH(ROWS($O$2:O144),$O$2:$O$1001,0),0), INDEX($V$1004:$AE$1004,1,MATCH(COLUMNS($V$1006:AE1006),$V$1006:$AE$1006,0)))),"Fix")))</f>
        <v>0</v>
      </c>
      <c r="O144">
        <v>0</v>
      </c>
      <c r="P144">
        <v>0</v>
      </c>
      <c r="Q144">
        <v>0</v>
      </c>
      <c r="R144">
        <f>IF(S144,TRUE,AND(V144:AE144))</f>
        <v>0</v>
      </c>
      <c r="S144">
        <f>COUNTBLANK(Metadata!B144:K144)=COLUMNS(Metadata!B144:K144)</f>
        <v>0</v>
      </c>
      <c r="T144">
        <v>0</v>
      </c>
      <c r="V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W144">
        <f>AND(IF(Metadata!C144="",FALSE,TRUE),exact(Metadata!C144,"animal secretion"))</f>
        <v>0</v>
      </c>
      <c r="X144">
        <f>AND(IF(Metadata!D144="",FALSE,TRUE),exact(Metadata!D144,"saliva"))</f>
        <v>0</v>
      </c>
      <c r="Y144">
        <f>AND(IF(Metadata!E144="",FALSE,TRUE),exact(Metadata!E144,"human-oral"))</f>
        <v>0</v>
      </c>
      <c r="Z144">
        <f>AND(IF(Metadata!F144="",FALSE,TRUE),exact(Metadata!F144,"UBERON:oral cavity"))</f>
        <v>0</v>
      </c>
      <c r="AA144">
        <f>AND(IF(Metadata!G144="",FALSE,TRUE),exact(Metadata!G144,"UBERON:saliva"))</f>
        <v>0</v>
      </c>
      <c r="AB144">
        <f>AND(IF(Metadata!H144="",FALSE,TRUE),exact(Metadata!H144,"UBERON:tongue"))</f>
        <v>0</v>
      </c>
      <c r="AC144">
        <f>AND(IF(Metadata!I144="",FALSE,TRUE),exact(Metadata!I144,"tongue"))</f>
        <v>0</v>
      </c>
      <c r="AD144">
        <f>AND(IF(Metadata!J144="",FALSE,TRUE),exact(Metadata!J144,"human oral metagenome"))</f>
        <v>0</v>
      </c>
      <c r="AE144">
        <f>AND(IF(Metadata!K144="",FALSE,TRUE),exact(Metadata!K144,"447426"))</f>
        <v>0</v>
      </c>
    </row>
    <row r="145" spans="1:31">
      <c r="A145" s="4">
        <f>IF(B145=" "," ",HYPERLINK(CONCATENATE("#metadata!",ADDRESS(INDEX($Q$2:$Q$1001,MATCH(ROWS($O$2:O145),$O$2:$O$1001,0),0),1)),INDEX($T$2:$T$1001,MATCH(ROWS($O$2:O145),$O$2:$O$1001,0),0)))</f>
        <v>0</v>
      </c>
      <c r="B145" s="3">
        <f>IF(OR(INDEX($P$2:$P$1001,MATCH(ROWS($O$2:O145),$O$2:$O$1001,0),1)&gt;=100000,INDEX($V$1005:$AE$1005,1,MATCH(COLUMNS($V$1006:V1006),$V$1006:$AE$1006,0))&gt;=100000), " ",IF(INDEX($V$2:$AE$1001,MATCH(ROWS($O$2:O145),$O$2:$O$1001,0),MATCH(COLUMNS($V$1006:V1006),$V$1006:$AE$1006,0)), HYPERLINK("#",""), HYPERLINK(CONCATENATE("#Metadata!", ADDRESS(INDEX($Q$2:$Q$1001,MATCH(ROWS($O$2:O145),$O$2:$O$1001,0),0), INDEX($V$1004:$AE$1004,1,MATCH(COLUMNS($V$1006:V1006),$V$1006:$AE$1006,0)))),"Fix")))</f>
        <v>0</v>
      </c>
      <c r="C145" s="3">
        <f>IF(OR(INDEX($P$2:$P$1001,MATCH(ROWS($O$2:O145),$O$2:$O$1001,0),1)&gt;=100000,INDEX($V$1005:$AE$1005,1,MATCH(COLUMNS($V$1006:W1006),$V$1006:$AE$1006,0))&gt;=100000), " ",IF(INDEX($V$2:$AE$1001,MATCH(ROWS($O$2:O145),$O$2:$O$1001,0),MATCH(COLUMNS($V$1006:W1006),$V$1006:$AE$1006,0)), HYPERLINK("#",""), HYPERLINK(CONCATENATE("#Metadata!", ADDRESS(INDEX($Q$2:$Q$1001,MATCH(ROWS($O$2:O145),$O$2:$O$1001,0),0), INDEX($V$1004:$AE$1004,1,MATCH(COLUMNS($V$1006:W1006),$V$1006:$AE$1006,0)))),"Fix")))</f>
        <v>0</v>
      </c>
      <c r="D145" s="3">
        <f>IF(OR(INDEX($P$2:$P$1001,MATCH(ROWS($O$2:O145),$O$2:$O$1001,0),1)&gt;=100000,INDEX($V$1005:$AE$1005,1,MATCH(COLUMNS($V$1006:X1006),$V$1006:$AE$1006,0))&gt;=100000), " ",IF(INDEX($V$2:$AE$1001,MATCH(ROWS($O$2:O145),$O$2:$O$1001,0),MATCH(COLUMNS($V$1006:X1006),$V$1006:$AE$1006,0)), HYPERLINK("#",""), HYPERLINK(CONCATENATE("#Metadata!", ADDRESS(INDEX($Q$2:$Q$1001,MATCH(ROWS($O$2:O145),$O$2:$O$1001,0),0), INDEX($V$1004:$AE$1004,1,MATCH(COLUMNS($V$1006:X1006),$V$1006:$AE$1006,0)))),"Fix")))</f>
        <v>0</v>
      </c>
      <c r="E145" s="3">
        <f>IF(OR(INDEX($P$2:$P$1001,MATCH(ROWS($O$2:O145),$O$2:$O$1001,0),1)&gt;=100000,INDEX($V$1005:$AE$1005,1,MATCH(COLUMNS($V$1006:Y1006),$V$1006:$AE$1006,0))&gt;=100000), " ",IF(INDEX($V$2:$AE$1001,MATCH(ROWS($O$2:O145),$O$2:$O$1001,0),MATCH(COLUMNS($V$1006:Y1006),$V$1006:$AE$1006,0)), HYPERLINK("#",""), HYPERLINK(CONCATENATE("#Metadata!", ADDRESS(INDEX($Q$2:$Q$1001,MATCH(ROWS($O$2:O145),$O$2:$O$1001,0),0), INDEX($V$1004:$AE$1004,1,MATCH(COLUMNS($V$1006:Y1006),$V$1006:$AE$1006,0)))),"Fix")))</f>
        <v>0</v>
      </c>
      <c r="F145" s="3">
        <f>IF(OR(INDEX($P$2:$P$1001,MATCH(ROWS($O$2:O145),$O$2:$O$1001,0),1)&gt;=100000,INDEX($V$1005:$AE$1005,1,MATCH(COLUMNS($V$1006:Z1006),$V$1006:$AE$1006,0))&gt;=100000), " ",IF(INDEX($V$2:$AE$1001,MATCH(ROWS($O$2:O145),$O$2:$O$1001,0),MATCH(COLUMNS($V$1006:Z1006),$V$1006:$AE$1006,0)), HYPERLINK("#",""), HYPERLINK(CONCATENATE("#Metadata!", ADDRESS(INDEX($Q$2:$Q$1001,MATCH(ROWS($O$2:O145),$O$2:$O$1001,0),0), INDEX($V$1004:$AE$1004,1,MATCH(COLUMNS($V$1006:Z1006),$V$1006:$AE$1006,0)))),"Fix")))</f>
        <v>0</v>
      </c>
      <c r="G145" s="3">
        <f>IF(OR(INDEX($P$2:$P$1001,MATCH(ROWS($O$2:O145),$O$2:$O$1001,0),1)&gt;=100000,INDEX($V$1005:$AE$1005,1,MATCH(COLUMNS($V$1006:AA1006),$V$1006:$AE$1006,0))&gt;=100000), " ",IF(INDEX($V$2:$AE$1001,MATCH(ROWS($O$2:O145),$O$2:$O$1001,0),MATCH(COLUMNS($V$1006:AA1006),$V$1006:$AE$1006,0)), HYPERLINK("#",""), HYPERLINK(CONCATENATE("#Metadata!", ADDRESS(INDEX($Q$2:$Q$1001,MATCH(ROWS($O$2:O145),$O$2:$O$1001,0),0), INDEX($V$1004:$AE$1004,1,MATCH(COLUMNS($V$1006:AA1006),$V$1006:$AE$1006,0)))),"Fix")))</f>
        <v>0</v>
      </c>
      <c r="H145" s="3">
        <f>IF(OR(INDEX($P$2:$P$1001,MATCH(ROWS($O$2:O145),$O$2:$O$1001,0),1)&gt;=100000,INDEX($V$1005:$AE$1005,1,MATCH(COLUMNS($V$1006:AB1006),$V$1006:$AE$1006,0))&gt;=100000), " ",IF(INDEX($V$2:$AE$1001,MATCH(ROWS($O$2:O145),$O$2:$O$1001,0),MATCH(COLUMNS($V$1006:AB1006),$V$1006:$AE$1006,0)), HYPERLINK("#",""), HYPERLINK(CONCATENATE("#Metadata!", ADDRESS(INDEX($Q$2:$Q$1001,MATCH(ROWS($O$2:O145),$O$2:$O$1001,0),0), INDEX($V$1004:$AE$1004,1,MATCH(COLUMNS($V$1006:AB1006),$V$1006:$AE$1006,0)))),"Fix")))</f>
        <v>0</v>
      </c>
      <c r="I145" s="3">
        <f>IF(OR(INDEX($P$2:$P$1001,MATCH(ROWS($O$2:O145),$O$2:$O$1001,0),1)&gt;=100000,INDEX($V$1005:$AE$1005,1,MATCH(COLUMNS($V$1006:AC1006),$V$1006:$AE$1006,0))&gt;=100000), " ",IF(INDEX($V$2:$AE$1001,MATCH(ROWS($O$2:O145),$O$2:$O$1001,0),MATCH(COLUMNS($V$1006:AC1006),$V$1006:$AE$1006,0)), HYPERLINK("#",""), HYPERLINK(CONCATENATE("#Metadata!", ADDRESS(INDEX($Q$2:$Q$1001,MATCH(ROWS($O$2:O145),$O$2:$O$1001,0),0), INDEX($V$1004:$AE$1004,1,MATCH(COLUMNS($V$1006:AC1006),$V$1006:$AE$1006,0)))),"Fix")))</f>
        <v>0</v>
      </c>
      <c r="J145" s="3">
        <f>IF(OR(INDEX($P$2:$P$1001,MATCH(ROWS($O$2:O145),$O$2:$O$1001,0),1)&gt;=100000,INDEX($V$1005:$AE$1005,1,MATCH(COLUMNS($V$1006:AD1006),$V$1006:$AE$1006,0))&gt;=100000), " ",IF(INDEX($V$2:$AE$1001,MATCH(ROWS($O$2:O145),$O$2:$O$1001,0),MATCH(COLUMNS($V$1006:AD1006),$V$1006:$AE$1006,0)), HYPERLINK("#",""), HYPERLINK(CONCATENATE("#Metadata!", ADDRESS(INDEX($Q$2:$Q$1001,MATCH(ROWS($O$2:O145),$O$2:$O$1001,0),0), INDEX($V$1004:$AE$1004,1,MATCH(COLUMNS($V$1006:AD1006),$V$1006:$AE$1006,0)))),"Fix")))</f>
        <v>0</v>
      </c>
      <c r="K145" s="3">
        <f>IF(OR(INDEX($P$2:$P$1001,MATCH(ROWS($O$2:O145),$O$2:$O$1001,0),1)&gt;=100000,INDEX($V$1005:$AE$1005,1,MATCH(COLUMNS($V$1006:AE1006),$V$1006:$AE$1006,0))&gt;=100000), " ",IF(INDEX($V$2:$AE$1001,MATCH(ROWS($O$2:O145),$O$2:$O$1001,0),MATCH(COLUMNS($V$1006:AE1006),$V$1006:$AE$1006,0)), HYPERLINK("#",""), HYPERLINK(CONCATENATE("#Metadata!", ADDRESS(INDEX($Q$2:$Q$1001,MATCH(ROWS($O$2:O145),$O$2:$O$1001,0),0), INDEX($V$1004:$AE$1004,1,MATCH(COLUMNS($V$1006:AE1006),$V$1006:$AE$1006,0)))),"Fix")))</f>
        <v>0</v>
      </c>
      <c r="O145">
        <v>0</v>
      </c>
      <c r="P145">
        <v>0</v>
      </c>
      <c r="Q145">
        <v>0</v>
      </c>
      <c r="R145">
        <f>IF(S145,TRUE,AND(V145:AE145))</f>
        <v>0</v>
      </c>
      <c r="S145">
        <f>COUNTBLANK(Metadata!B145:K145)=COLUMNS(Metadata!B145:K145)</f>
        <v>0</v>
      </c>
      <c r="T145">
        <v>0</v>
      </c>
      <c r="V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W145">
        <f>AND(IF(Metadata!C145="",FALSE,TRUE),exact(Metadata!C145,"animal secretion"))</f>
        <v>0</v>
      </c>
      <c r="X145">
        <f>AND(IF(Metadata!D145="",FALSE,TRUE),exact(Metadata!D145,"saliva"))</f>
        <v>0</v>
      </c>
      <c r="Y145">
        <f>AND(IF(Metadata!E145="",FALSE,TRUE),exact(Metadata!E145,"human-oral"))</f>
        <v>0</v>
      </c>
      <c r="Z145">
        <f>AND(IF(Metadata!F145="",FALSE,TRUE),exact(Metadata!F145,"UBERON:oral cavity"))</f>
        <v>0</v>
      </c>
      <c r="AA145">
        <f>AND(IF(Metadata!G145="",FALSE,TRUE),exact(Metadata!G145,"UBERON:saliva"))</f>
        <v>0</v>
      </c>
      <c r="AB145">
        <f>AND(IF(Metadata!H145="",FALSE,TRUE),exact(Metadata!H145,"UBERON:tongue"))</f>
        <v>0</v>
      </c>
      <c r="AC145">
        <f>AND(IF(Metadata!I145="",FALSE,TRUE),exact(Metadata!I145,"tongue"))</f>
        <v>0</v>
      </c>
      <c r="AD145">
        <f>AND(IF(Metadata!J145="",FALSE,TRUE),exact(Metadata!J145,"human oral metagenome"))</f>
        <v>0</v>
      </c>
      <c r="AE145">
        <f>AND(IF(Metadata!K145="",FALSE,TRUE),exact(Metadata!K145,"447426"))</f>
        <v>0</v>
      </c>
    </row>
    <row r="146" spans="1:31">
      <c r="A146" s="4">
        <f>IF(B146=" "," ",HYPERLINK(CONCATENATE("#metadata!",ADDRESS(INDEX($Q$2:$Q$1001,MATCH(ROWS($O$2:O146),$O$2:$O$1001,0),0),1)),INDEX($T$2:$T$1001,MATCH(ROWS($O$2:O146),$O$2:$O$1001,0),0)))</f>
        <v>0</v>
      </c>
      <c r="B146" s="3">
        <f>IF(OR(INDEX($P$2:$P$1001,MATCH(ROWS($O$2:O146),$O$2:$O$1001,0),1)&gt;=100000,INDEX($V$1005:$AE$1005,1,MATCH(COLUMNS($V$1006:V1006),$V$1006:$AE$1006,0))&gt;=100000), " ",IF(INDEX($V$2:$AE$1001,MATCH(ROWS($O$2:O146),$O$2:$O$1001,0),MATCH(COLUMNS($V$1006:V1006),$V$1006:$AE$1006,0)), HYPERLINK("#",""), HYPERLINK(CONCATENATE("#Metadata!", ADDRESS(INDEX($Q$2:$Q$1001,MATCH(ROWS($O$2:O146),$O$2:$O$1001,0),0), INDEX($V$1004:$AE$1004,1,MATCH(COLUMNS($V$1006:V1006),$V$1006:$AE$1006,0)))),"Fix")))</f>
        <v>0</v>
      </c>
      <c r="C146" s="3">
        <f>IF(OR(INDEX($P$2:$P$1001,MATCH(ROWS($O$2:O146),$O$2:$O$1001,0),1)&gt;=100000,INDEX($V$1005:$AE$1005,1,MATCH(COLUMNS($V$1006:W1006),$V$1006:$AE$1006,0))&gt;=100000), " ",IF(INDEX($V$2:$AE$1001,MATCH(ROWS($O$2:O146),$O$2:$O$1001,0),MATCH(COLUMNS($V$1006:W1006),$V$1006:$AE$1006,0)), HYPERLINK("#",""), HYPERLINK(CONCATENATE("#Metadata!", ADDRESS(INDEX($Q$2:$Q$1001,MATCH(ROWS($O$2:O146),$O$2:$O$1001,0),0), INDEX($V$1004:$AE$1004,1,MATCH(COLUMNS($V$1006:W1006),$V$1006:$AE$1006,0)))),"Fix")))</f>
        <v>0</v>
      </c>
      <c r="D146" s="3">
        <f>IF(OR(INDEX($P$2:$P$1001,MATCH(ROWS($O$2:O146),$O$2:$O$1001,0),1)&gt;=100000,INDEX($V$1005:$AE$1005,1,MATCH(COLUMNS($V$1006:X1006),$V$1006:$AE$1006,0))&gt;=100000), " ",IF(INDEX($V$2:$AE$1001,MATCH(ROWS($O$2:O146),$O$2:$O$1001,0),MATCH(COLUMNS($V$1006:X1006),$V$1006:$AE$1006,0)), HYPERLINK("#",""), HYPERLINK(CONCATENATE("#Metadata!", ADDRESS(INDEX($Q$2:$Q$1001,MATCH(ROWS($O$2:O146),$O$2:$O$1001,0),0), INDEX($V$1004:$AE$1004,1,MATCH(COLUMNS($V$1006:X1006),$V$1006:$AE$1006,0)))),"Fix")))</f>
        <v>0</v>
      </c>
      <c r="E146" s="3">
        <f>IF(OR(INDEX($P$2:$P$1001,MATCH(ROWS($O$2:O146),$O$2:$O$1001,0),1)&gt;=100000,INDEX($V$1005:$AE$1005,1,MATCH(COLUMNS($V$1006:Y1006),$V$1006:$AE$1006,0))&gt;=100000), " ",IF(INDEX($V$2:$AE$1001,MATCH(ROWS($O$2:O146),$O$2:$O$1001,0),MATCH(COLUMNS($V$1006:Y1006),$V$1006:$AE$1006,0)), HYPERLINK("#",""), HYPERLINK(CONCATENATE("#Metadata!", ADDRESS(INDEX($Q$2:$Q$1001,MATCH(ROWS($O$2:O146),$O$2:$O$1001,0),0), INDEX($V$1004:$AE$1004,1,MATCH(COLUMNS($V$1006:Y1006),$V$1006:$AE$1006,0)))),"Fix")))</f>
        <v>0</v>
      </c>
      <c r="F146" s="3">
        <f>IF(OR(INDEX($P$2:$P$1001,MATCH(ROWS($O$2:O146),$O$2:$O$1001,0),1)&gt;=100000,INDEX($V$1005:$AE$1005,1,MATCH(COLUMNS($V$1006:Z1006),$V$1006:$AE$1006,0))&gt;=100000), " ",IF(INDEX($V$2:$AE$1001,MATCH(ROWS($O$2:O146),$O$2:$O$1001,0),MATCH(COLUMNS($V$1006:Z1006),$V$1006:$AE$1006,0)), HYPERLINK("#",""), HYPERLINK(CONCATENATE("#Metadata!", ADDRESS(INDEX($Q$2:$Q$1001,MATCH(ROWS($O$2:O146),$O$2:$O$1001,0),0), INDEX($V$1004:$AE$1004,1,MATCH(COLUMNS($V$1006:Z1006),$V$1006:$AE$1006,0)))),"Fix")))</f>
        <v>0</v>
      </c>
      <c r="G146" s="3">
        <f>IF(OR(INDEX($P$2:$P$1001,MATCH(ROWS($O$2:O146),$O$2:$O$1001,0),1)&gt;=100000,INDEX($V$1005:$AE$1005,1,MATCH(COLUMNS($V$1006:AA1006),$V$1006:$AE$1006,0))&gt;=100000), " ",IF(INDEX($V$2:$AE$1001,MATCH(ROWS($O$2:O146),$O$2:$O$1001,0),MATCH(COLUMNS($V$1006:AA1006),$V$1006:$AE$1006,0)), HYPERLINK("#",""), HYPERLINK(CONCATENATE("#Metadata!", ADDRESS(INDEX($Q$2:$Q$1001,MATCH(ROWS($O$2:O146),$O$2:$O$1001,0),0), INDEX($V$1004:$AE$1004,1,MATCH(COLUMNS($V$1006:AA1006),$V$1006:$AE$1006,0)))),"Fix")))</f>
        <v>0</v>
      </c>
      <c r="H146" s="3">
        <f>IF(OR(INDEX($P$2:$P$1001,MATCH(ROWS($O$2:O146),$O$2:$O$1001,0),1)&gt;=100000,INDEX($V$1005:$AE$1005,1,MATCH(COLUMNS($V$1006:AB1006),$V$1006:$AE$1006,0))&gt;=100000), " ",IF(INDEX($V$2:$AE$1001,MATCH(ROWS($O$2:O146),$O$2:$O$1001,0),MATCH(COLUMNS($V$1006:AB1006),$V$1006:$AE$1006,0)), HYPERLINK("#",""), HYPERLINK(CONCATENATE("#Metadata!", ADDRESS(INDEX($Q$2:$Q$1001,MATCH(ROWS($O$2:O146),$O$2:$O$1001,0),0), INDEX($V$1004:$AE$1004,1,MATCH(COLUMNS($V$1006:AB1006),$V$1006:$AE$1006,0)))),"Fix")))</f>
        <v>0</v>
      </c>
      <c r="I146" s="3">
        <f>IF(OR(INDEX($P$2:$P$1001,MATCH(ROWS($O$2:O146),$O$2:$O$1001,0),1)&gt;=100000,INDEX($V$1005:$AE$1005,1,MATCH(COLUMNS($V$1006:AC1006),$V$1006:$AE$1006,0))&gt;=100000), " ",IF(INDEX($V$2:$AE$1001,MATCH(ROWS($O$2:O146),$O$2:$O$1001,0),MATCH(COLUMNS($V$1006:AC1006),$V$1006:$AE$1006,0)), HYPERLINK("#",""), HYPERLINK(CONCATENATE("#Metadata!", ADDRESS(INDEX($Q$2:$Q$1001,MATCH(ROWS($O$2:O146),$O$2:$O$1001,0),0), INDEX($V$1004:$AE$1004,1,MATCH(COLUMNS($V$1006:AC1006),$V$1006:$AE$1006,0)))),"Fix")))</f>
        <v>0</v>
      </c>
      <c r="J146" s="3">
        <f>IF(OR(INDEX($P$2:$P$1001,MATCH(ROWS($O$2:O146),$O$2:$O$1001,0),1)&gt;=100000,INDEX($V$1005:$AE$1005,1,MATCH(COLUMNS($V$1006:AD1006),$V$1006:$AE$1006,0))&gt;=100000), " ",IF(INDEX($V$2:$AE$1001,MATCH(ROWS($O$2:O146),$O$2:$O$1001,0),MATCH(COLUMNS($V$1006:AD1006),$V$1006:$AE$1006,0)), HYPERLINK("#",""), HYPERLINK(CONCATENATE("#Metadata!", ADDRESS(INDEX($Q$2:$Q$1001,MATCH(ROWS($O$2:O146),$O$2:$O$1001,0),0), INDEX($V$1004:$AE$1004,1,MATCH(COLUMNS($V$1006:AD1006),$V$1006:$AE$1006,0)))),"Fix")))</f>
        <v>0</v>
      </c>
      <c r="K146" s="3">
        <f>IF(OR(INDEX($P$2:$P$1001,MATCH(ROWS($O$2:O146),$O$2:$O$1001,0),1)&gt;=100000,INDEX($V$1005:$AE$1005,1,MATCH(COLUMNS($V$1006:AE1006),$V$1006:$AE$1006,0))&gt;=100000), " ",IF(INDEX($V$2:$AE$1001,MATCH(ROWS($O$2:O146),$O$2:$O$1001,0),MATCH(COLUMNS($V$1006:AE1006),$V$1006:$AE$1006,0)), HYPERLINK("#",""), HYPERLINK(CONCATENATE("#Metadata!", ADDRESS(INDEX($Q$2:$Q$1001,MATCH(ROWS($O$2:O146),$O$2:$O$1001,0),0), INDEX($V$1004:$AE$1004,1,MATCH(COLUMNS($V$1006:AE1006),$V$1006:$AE$1006,0)))),"Fix")))</f>
        <v>0</v>
      </c>
      <c r="O146">
        <v>0</v>
      </c>
      <c r="P146">
        <v>0</v>
      </c>
      <c r="Q146">
        <v>0</v>
      </c>
      <c r="R146">
        <f>IF(S146,TRUE,AND(V146:AE146))</f>
        <v>0</v>
      </c>
      <c r="S146">
        <f>COUNTBLANK(Metadata!B146:K146)=COLUMNS(Metadata!B146:K146)</f>
        <v>0</v>
      </c>
      <c r="T146">
        <v>0</v>
      </c>
      <c r="V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W146">
        <f>AND(IF(Metadata!C146="",FALSE,TRUE),exact(Metadata!C146,"animal secretion"))</f>
        <v>0</v>
      </c>
      <c r="X146">
        <f>AND(IF(Metadata!D146="",FALSE,TRUE),exact(Metadata!D146,"saliva"))</f>
        <v>0</v>
      </c>
      <c r="Y146">
        <f>AND(IF(Metadata!E146="",FALSE,TRUE),exact(Metadata!E146,"human-oral"))</f>
        <v>0</v>
      </c>
      <c r="Z146">
        <f>AND(IF(Metadata!F146="",FALSE,TRUE),exact(Metadata!F146,"UBERON:oral cavity"))</f>
        <v>0</v>
      </c>
      <c r="AA146">
        <f>AND(IF(Metadata!G146="",FALSE,TRUE),exact(Metadata!G146,"UBERON:saliva"))</f>
        <v>0</v>
      </c>
      <c r="AB146">
        <f>AND(IF(Metadata!H146="",FALSE,TRUE),exact(Metadata!H146,"UBERON:tongue"))</f>
        <v>0</v>
      </c>
      <c r="AC146">
        <f>AND(IF(Metadata!I146="",FALSE,TRUE),exact(Metadata!I146,"tongue"))</f>
        <v>0</v>
      </c>
      <c r="AD146">
        <f>AND(IF(Metadata!J146="",FALSE,TRUE),exact(Metadata!J146,"human oral metagenome"))</f>
        <v>0</v>
      </c>
      <c r="AE146">
        <f>AND(IF(Metadata!K146="",FALSE,TRUE),exact(Metadata!K146,"447426"))</f>
        <v>0</v>
      </c>
    </row>
    <row r="147" spans="1:31">
      <c r="A147" s="4">
        <f>IF(B147=" "," ",HYPERLINK(CONCATENATE("#metadata!",ADDRESS(INDEX($Q$2:$Q$1001,MATCH(ROWS($O$2:O147),$O$2:$O$1001,0),0),1)),INDEX($T$2:$T$1001,MATCH(ROWS($O$2:O147),$O$2:$O$1001,0),0)))</f>
        <v>0</v>
      </c>
      <c r="B147" s="3">
        <f>IF(OR(INDEX($P$2:$P$1001,MATCH(ROWS($O$2:O147),$O$2:$O$1001,0),1)&gt;=100000,INDEX($V$1005:$AE$1005,1,MATCH(COLUMNS($V$1006:V1006),$V$1006:$AE$1006,0))&gt;=100000), " ",IF(INDEX($V$2:$AE$1001,MATCH(ROWS($O$2:O147),$O$2:$O$1001,0),MATCH(COLUMNS($V$1006:V1006),$V$1006:$AE$1006,0)), HYPERLINK("#",""), HYPERLINK(CONCATENATE("#Metadata!", ADDRESS(INDEX($Q$2:$Q$1001,MATCH(ROWS($O$2:O147),$O$2:$O$1001,0),0), INDEX($V$1004:$AE$1004,1,MATCH(COLUMNS($V$1006:V1006),$V$1006:$AE$1006,0)))),"Fix")))</f>
        <v>0</v>
      </c>
      <c r="C147" s="3">
        <f>IF(OR(INDEX($P$2:$P$1001,MATCH(ROWS($O$2:O147),$O$2:$O$1001,0),1)&gt;=100000,INDEX($V$1005:$AE$1005,1,MATCH(COLUMNS($V$1006:W1006),$V$1006:$AE$1006,0))&gt;=100000), " ",IF(INDEX($V$2:$AE$1001,MATCH(ROWS($O$2:O147),$O$2:$O$1001,0),MATCH(COLUMNS($V$1006:W1006),$V$1006:$AE$1006,0)), HYPERLINK("#",""), HYPERLINK(CONCATENATE("#Metadata!", ADDRESS(INDEX($Q$2:$Q$1001,MATCH(ROWS($O$2:O147),$O$2:$O$1001,0),0), INDEX($V$1004:$AE$1004,1,MATCH(COLUMNS($V$1006:W1006),$V$1006:$AE$1006,0)))),"Fix")))</f>
        <v>0</v>
      </c>
      <c r="D147" s="3">
        <f>IF(OR(INDEX($P$2:$P$1001,MATCH(ROWS($O$2:O147),$O$2:$O$1001,0),1)&gt;=100000,INDEX($V$1005:$AE$1005,1,MATCH(COLUMNS($V$1006:X1006),$V$1006:$AE$1006,0))&gt;=100000), " ",IF(INDEX($V$2:$AE$1001,MATCH(ROWS($O$2:O147),$O$2:$O$1001,0),MATCH(COLUMNS($V$1006:X1006),$V$1006:$AE$1006,0)), HYPERLINK("#",""), HYPERLINK(CONCATENATE("#Metadata!", ADDRESS(INDEX($Q$2:$Q$1001,MATCH(ROWS($O$2:O147),$O$2:$O$1001,0),0), INDEX($V$1004:$AE$1004,1,MATCH(COLUMNS($V$1006:X1006),$V$1006:$AE$1006,0)))),"Fix")))</f>
        <v>0</v>
      </c>
      <c r="E147" s="3">
        <f>IF(OR(INDEX($P$2:$P$1001,MATCH(ROWS($O$2:O147),$O$2:$O$1001,0),1)&gt;=100000,INDEX($V$1005:$AE$1005,1,MATCH(COLUMNS($V$1006:Y1006),$V$1006:$AE$1006,0))&gt;=100000), " ",IF(INDEX($V$2:$AE$1001,MATCH(ROWS($O$2:O147),$O$2:$O$1001,0),MATCH(COLUMNS($V$1006:Y1006),$V$1006:$AE$1006,0)), HYPERLINK("#",""), HYPERLINK(CONCATENATE("#Metadata!", ADDRESS(INDEX($Q$2:$Q$1001,MATCH(ROWS($O$2:O147),$O$2:$O$1001,0),0), INDEX($V$1004:$AE$1004,1,MATCH(COLUMNS($V$1006:Y1006),$V$1006:$AE$1006,0)))),"Fix")))</f>
        <v>0</v>
      </c>
      <c r="F147" s="3">
        <f>IF(OR(INDEX($P$2:$P$1001,MATCH(ROWS($O$2:O147),$O$2:$O$1001,0),1)&gt;=100000,INDEX($V$1005:$AE$1005,1,MATCH(COLUMNS($V$1006:Z1006),$V$1006:$AE$1006,0))&gt;=100000), " ",IF(INDEX($V$2:$AE$1001,MATCH(ROWS($O$2:O147),$O$2:$O$1001,0),MATCH(COLUMNS($V$1006:Z1006),$V$1006:$AE$1006,0)), HYPERLINK("#",""), HYPERLINK(CONCATENATE("#Metadata!", ADDRESS(INDEX($Q$2:$Q$1001,MATCH(ROWS($O$2:O147),$O$2:$O$1001,0),0), INDEX($V$1004:$AE$1004,1,MATCH(COLUMNS($V$1006:Z1006),$V$1006:$AE$1006,0)))),"Fix")))</f>
        <v>0</v>
      </c>
      <c r="G147" s="3">
        <f>IF(OR(INDEX($P$2:$P$1001,MATCH(ROWS($O$2:O147),$O$2:$O$1001,0),1)&gt;=100000,INDEX($V$1005:$AE$1005,1,MATCH(COLUMNS($V$1006:AA1006),$V$1006:$AE$1006,0))&gt;=100000), " ",IF(INDEX($V$2:$AE$1001,MATCH(ROWS($O$2:O147),$O$2:$O$1001,0),MATCH(COLUMNS($V$1006:AA1006),$V$1006:$AE$1006,0)), HYPERLINK("#",""), HYPERLINK(CONCATENATE("#Metadata!", ADDRESS(INDEX($Q$2:$Q$1001,MATCH(ROWS($O$2:O147),$O$2:$O$1001,0),0), INDEX($V$1004:$AE$1004,1,MATCH(COLUMNS($V$1006:AA1006),$V$1006:$AE$1006,0)))),"Fix")))</f>
        <v>0</v>
      </c>
      <c r="H147" s="3">
        <f>IF(OR(INDEX($P$2:$P$1001,MATCH(ROWS($O$2:O147),$O$2:$O$1001,0),1)&gt;=100000,INDEX($V$1005:$AE$1005,1,MATCH(COLUMNS($V$1006:AB1006),$V$1006:$AE$1006,0))&gt;=100000), " ",IF(INDEX($V$2:$AE$1001,MATCH(ROWS($O$2:O147),$O$2:$O$1001,0),MATCH(COLUMNS($V$1006:AB1006),$V$1006:$AE$1006,0)), HYPERLINK("#",""), HYPERLINK(CONCATENATE("#Metadata!", ADDRESS(INDEX($Q$2:$Q$1001,MATCH(ROWS($O$2:O147),$O$2:$O$1001,0),0), INDEX($V$1004:$AE$1004,1,MATCH(COLUMNS($V$1006:AB1006),$V$1006:$AE$1006,0)))),"Fix")))</f>
        <v>0</v>
      </c>
      <c r="I147" s="3">
        <f>IF(OR(INDEX($P$2:$P$1001,MATCH(ROWS($O$2:O147),$O$2:$O$1001,0),1)&gt;=100000,INDEX($V$1005:$AE$1005,1,MATCH(COLUMNS($V$1006:AC1006),$V$1006:$AE$1006,0))&gt;=100000), " ",IF(INDEX($V$2:$AE$1001,MATCH(ROWS($O$2:O147),$O$2:$O$1001,0),MATCH(COLUMNS($V$1006:AC1006),$V$1006:$AE$1006,0)), HYPERLINK("#",""), HYPERLINK(CONCATENATE("#Metadata!", ADDRESS(INDEX($Q$2:$Q$1001,MATCH(ROWS($O$2:O147),$O$2:$O$1001,0),0), INDEX($V$1004:$AE$1004,1,MATCH(COLUMNS($V$1006:AC1006),$V$1006:$AE$1006,0)))),"Fix")))</f>
        <v>0</v>
      </c>
      <c r="J147" s="3">
        <f>IF(OR(INDEX($P$2:$P$1001,MATCH(ROWS($O$2:O147),$O$2:$O$1001,0),1)&gt;=100000,INDEX($V$1005:$AE$1005,1,MATCH(COLUMNS($V$1006:AD1006),$V$1006:$AE$1006,0))&gt;=100000), " ",IF(INDEX($V$2:$AE$1001,MATCH(ROWS($O$2:O147),$O$2:$O$1001,0),MATCH(COLUMNS($V$1006:AD1006),$V$1006:$AE$1006,0)), HYPERLINK("#",""), HYPERLINK(CONCATENATE("#Metadata!", ADDRESS(INDEX($Q$2:$Q$1001,MATCH(ROWS($O$2:O147),$O$2:$O$1001,0),0), INDEX($V$1004:$AE$1004,1,MATCH(COLUMNS($V$1006:AD1006),$V$1006:$AE$1006,0)))),"Fix")))</f>
        <v>0</v>
      </c>
      <c r="K147" s="3">
        <f>IF(OR(INDEX($P$2:$P$1001,MATCH(ROWS($O$2:O147),$O$2:$O$1001,0),1)&gt;=100000,INDEX($V$1005:$AE$1005,1,MATCH(COLUMNS($V$1006:AE1006),$V$1006:$AE$1006,0))&gt;=100000), " ",IF(INDEX($V$2:$AE$1001,MATCH(ROWS($O$2:O147),$O$2:$O$1001,0),MATCH(COLUMNS($V$1006:AE1006),$V$1006:$AE$1006,0)), HYPERLINK("#",""), HYPERLINK(CONCATENATE("#Metadata!", ADDRESS(INDEX($Q$2:$Q$1001,MATCH(ROWS($O$2:O147),$O$2:$O$1001,0),0), INDEX($V$1004:$AE$1004,1,MATCH(COLUMNS($V$1006:AE1006),$V$1006:$AE$1006,0)))),"Fix")))</f>
        <v>0</v>
      </c>
      <c r="O147">
        <v>0</v>
      </c>
      <c r="P147">
        <v>0</v>
      </c>
      <c r="Q147">
        <v>0</v>
      </c>
      <c r="R147">
        <f>IF(S147,TRUE,AND(V147:AE147))</f>
        <v>0</v>
      </c>
      <c r="S147">
        <f>COUNTBLANK(Metadata!B147:K147)=COLUMNS(Metadata!B147:K147)</f>
        <v>0</v>
      </c>
      <c r="T147">
        <v>0</v>
      </c>
      <c r="V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W147">
        <f>AND(IF(Metadata!C147="",FALSE,TRUE),exact(Metadata!C147,"animal secretion"))</f>
        <v>0</v>
      </c>
      <c r="X147">
        <f>AND(IF(Metadata!D147="",FALSE,TRUE),exact(Metadata!D147,"saliva"))</f>
        <v>0</v>
      </c>
      <c r="Y147">
        <f>AND(IF(Metadata!E147="",FALSE,TRUE),exact(Metadata!E147,"human-oral"))</f>
        <v>0</v>
      </c>
      <c r="Z147">
        <f>AND(IF(Metadata!F147="",FALSE,TRUE),exact(Metadata!F147,"UBERON:oral cavity"))</f>
        <v>0</v>
      </c>
      <c r="AA147">
        <f>AND(IF(Metadata!G147="",FALSE,TRUE),exact(Metadata!G147,"UBERON:saliva"))</f>
        <v>0</v>
      </c>
      <c r="AB147">
        <f>AND(IF(Metadata!H147="",FALSE,TRUE),exact(Metadata!H147,"UBERON:tongue"))</f>
        <v>0</v>
      </c>
      <c r="AC147">
        <f>AND(IF(Metadata!I147="",FALSE,TRUE),exact(Metadata!I147,"tongue"))</f>
        <v>0</v>
      </c>
      <c r="AD147">
        <f>AND(IF(Metadata!J147="",FALSE,TRUE),exact(Metadata!J147,"human oral metagenome"))</f>
        <v>0</v>
      </c>
      <c r="AE147">
        <f>AND(IF(Metadata!K147="",FALSE,TRUE),exact(Metadata!K147,"447426"))</f>
        <v>0</v>
      </c>
    </row>
    <row r="148" spans="1:31">
      <c r="A148" s="4">
        <f>IF(B148=" "," ",HYPERLINK(CONCATENATE("#metadata!",ADDRESS(INDEX($Q$2:$Q$1001,MATCH(ROWS($O$2:O148),$O$2:$O$1001,0),0),1)),INDEX($T$2:$T$1001,MATCH(ROWS($O$2:O148),$O$2:$O$1001,0),0)))</f>
        <v>0</v>
      </c>
      <c r="B148" s="3">
        <f>IF(OR(INDEX($P$2:$P$1001,MATCH(ROWS($O$2:O148),$O$2:$O$1001,0),1)&gt;=100000,INDEX($V$1005:$AE$1005,1,MATCH(COLUMNS($V$1006:V1006),$V$1006:$AE$1006,0))&gt;=100000), " ",IF(INDEX($V$2:$AE$1001,MATCH(ROWS($O$2:O148),$O$2:$O$1001,0),MATCH(COLUMNS($V$1006:V1006),$V$1006:$AE$1006,0)), HYPERLINK("#",""), HYPERLINK(CONCATENATE("#Metadata!", ADDRESS(INDEX($Q$2:$Q$1001,MATCH(ROWS($O$2:O148),$O$2:$O$1001,0),0), INDEX($V$1004:$AE$1004,1,MATCH(COLUMNS($V$1006:V1006),$V$1006:$AE$1006,0)))),"Fix")))</f>
        <v>0</v>
      </c>
      <c r="C148" s="3">
        <f>IF(OR(INDEX($P$2:$P$1001,MATCH(ROWS($O$2:O148),$O$2:$O$1001,0),1)&gt;=100000,INDEX($V$1005:$AE$1005,1,MATCH(COLUMNS($V$1006:W1006),$V$1006:$AE$1006,0))&gt;=100000), " ",IF(INDEX($V$2:$AE$1001,MATCH(ROWS($O$2:O148),$O$2:$O$1001,0),MATCH(COLUMNS($V$1006:W1006),$V$1006:$AE$1006,0)), HYPERLINK("#",""), HYPERLINK(CONCATENATE("#Metadata!", ADDRESS(INDEX($Q$2:$Q$1001,MATCH(ROWS($O$2:O148),$O$2:$O$1001,0),0), INDEX($V$1004:$AE$1004,1,MATCH(COLUMNS($V$1006:W1006),$V$1006:$AE$1006,0)))),"Fix")))</f>
        <v>0</v>
      </c>
      <c r="D148" s="3">
        <f>IF(OR(INDEX($P$2:$P$1001,MATCH(ROWS($O$2:O148),$O$2:$O$1001,0),1)&gt;=100000,INDEX($V$1005:$AE$1005,1,MATCH(COLUMNS($V$1006:X1006),$V$1006:$AE$1006,0))&gt;=100000), " ",IF(INDEX($V$2:$AE$1001,MATCH(ROWS($O$2:O148),$O$2:$O$1001,0),MATCH(COLUMNS($V$1006:X1006),$V$1006:$AE$1006,0)), HYPERLINK("#",""), HYPERLINK(CONCATENATE("#Metadata!", ADDRESS(INDEX($Q$2:$Q$1001,MATCH(ROWS($O$2:O148),$O$2:$O$1001,0),0), INDEX($V$1004:$AE$1004,1,MATCH(COLUMNS($V$1006:X1006),$V$1006:$AE$1006,0)))),"Fix")))</f>
        <v>0</v>
      </c>
      <c r="E148" s="3">
        <f>IF(OR(INDEX($P$2:$P$1001,MATCH(ROWS($O$2:O148),$O$2:$O$1001,0),1)&gt;=100000,INDEX($V$1005:$AE$1005,1,MATCH(COLUMNS($V$1006:Y1006),$V$1006:$AE$1006,0))&gt;=100000), " ",IF(INDEX($V$2:$AE$1001,MATCH(ROWS($O$2:O148),$O$2:$O$1001,0),MATCH(COLUMNS($V$1006:Y1006),$V$1006:$AE$1006,0)), HYPERLINK("#",""), HYPERLINK(CONCATENATE("#Metadata!", ADDRESS(INDEX($Q$2:$Q$1001,MATCH(ROWS($O$2:O148),$O$2:$O$1001,0),0), INDEX($V$1004:$AE$1004,1,MATCH(COLUMNS($V$1006:Y1006),$V$1006:$AE$1006,0)))),"Fix")))</f>
        <v>0</v>
      </c>
      <c r="F148" s="3">
        <f>IF(OR(INDEX($P$2:$P$1001,MATCH(ROWS($O$2:O148),$O$2:$O$1001,0),1)&gt;=100000,INDEX($V$1005:$AE$1005,1,MATCH(COLUMNS($V$1006:Z1006),$V$1006:$AE$1006,0))&gt;=100000), " ",IF(INDEX($V$2:$AE$1001,MATCH(ROWS($O$2:O148),$O$2:$O$1001,0),MATCH(COLUMNS($V$1006:Z1006),$V$1006:$AE$1006,0)), HYPERLINK("#",""), HYPERLINK(CONCATENATE("#Metadata!", ADDRESS(INDEX($Q$2:$Q$1001,MATCH(ROWS($O$2:O148),$O$2:$O$1001,0),0), INDEX($V$1004:$AE$1004,1,MATCH(COLUMNS($V$1006:Z1006),$V$1006:$AE$1006,0)))),"Fix")))</f>
        <v>0</v>
      </c>
      <c r="G148" s="3">
        <f>IF(OR(INDEX($P$2:$P$1001,MATCH(ROWS($O$2:O148),$O$2:$O$1001,0),1)&gt;=100000,INDEX($V$1005:$AE$1005,1,MATCH(COLUMNS($V$1006:AA1006),$V$1006:$AE$1006,0))&gt;=100000), " ",IF(INDEX($V$2:$AE$1001,MATCH(ROWS($O$2:O148),$O$2:$O$1001,0),MATCH(COLUMNS($V$1006:AA1006),$V$1006:$AE$1006,0)), HYPERLINK("#",""), HYPERLINK(CONCATENATE("#Metadata!", ADDRESS(INDEX($Q$2:$Q$1001,MATCH(ROWS($O$2:O148),$O$2:$O$1001,0),0), INDEX($V$1004:$AE$1004,1,MATCH(COLUMNS($V$1006:AA1006),$V$1006:$AE$1006,0)))),"Fix")))</f>
        <v>0</v>
      </c>
      <c r="H148" s="3">
        <f>IF(OR(INDEX($P$2:$P$1001,MATCH(ROWS($O$2:O148),$O$2:$O$1001,0),1)&gt;=100000,INDEX($V$1005:$AE$1005,1,MATCH(COLUMNS($V$1006:AB1006),$V$1006:$AE$1006,0))&gt;=100000), " ",IF(INDEX($V$2:$AE$1001,MATCH(ROWS($O$2:O148),$O$2:$O$1001,0),MATCH(COLUMNS($V$1006:AB1006),$V$1006:$AE$1006,0)), HYPERLINK("#",""), HYPERLINK(CONCATENATE("#Metadata!", ADDRESS(INDEX($Q$2:$Q$1001,MATCH(ROWS($O$2:O148),$O$2:$O$1001,0),0), INDEX($V$1004:$AE$1004,1,MATCH(COLUMNS($V$1006:AB1006),$V$1006:$AE$1006,0)))),"Fix")))</f>
        <v>0</v>
      </c>
      <c r="I148" s="3">
        <f>IF(OR(INDEX($P$2:$P$1001,MATCH(ROWS($O$2:O148),$O$2:$O$1001,0),1)&gt;=100000,INDEX($V$1005:$AE$1005,1,MATCH(COLUMNS($V$1006:AC1006),$V$1006:$AE$1006,0))&gt;=100000), " ",IF(INDEX($V$2:$AE$1001,MATCH(ROWS($O$2:O148),$O$2:$O$1001,0),MATCH(COLUMNS($V$1006:AC1006),$V$1006:$AE$1006,0)), HYPERLINK("#",""), HYPERLINK(CONCATENATE("#Metadata!", ADDRESS(INDEX($Q$2:$Q$1001,MATCH(ROWS($O$2:O148),$O$2:$O$1001,0),0), INDEX($V$1004:$AE$1004,1,MATCH(COLUMNS($V$1006:AC1006),$V$1006:$AE$1006,0)))),"Fix")))</f>
        <v>0</v>
      </c>
      <c r="J148" s="3">
        <f>IF(OR(INDEX($P$2:$P$1001,MATCH(ROWS($O$2:O148),$O$2:$O$1001,0),1)&gt;=100000,INDEX($V$1005:$AE$1005,1,MATCH(COLUMNS($V$1006:AD1006),$V$1006:$AE$1006,0))&gt;=100000), " ",IF(INDEX($V$2:$AE$1001,MATCH(ROWS($O$2:O148),$O$2:$O$1001,0),MATCH(COLUMNS($V$1006:AD1006),$V$1006:$AE$1006,0)), HYPERLINK("#",""), HYPERLINK(CONCATENATE("#Metadata!", ADDRESS(INDEX($Q$2:$Q$1001,MATCH(ROWS($O$2:O148),$O$2:$O$1001,0),0), INDEX($V$1004:$AE$1004,1,MATCH(COLUMNS($V$1006:AD1006),$V$1006:$AE$1006,0)))),"Fix")))</f>
        <v>0</v>
      </c>
      <c r="K148" s="3">
        <f>IF(OR(INDEX($P$2:$P$1001,MATCH(ROWS($O$2:O148),$O$2:$O$1001,0),1)&gt;=100000,INDEX($V$1005:$AE$1005,1,MATCH(COLUMNS($V$1006:AE1006),$V$1006:$AE$1006,0))&gt;=100000), " ",IF(INDEX($V$2:$AE$1001,MATCH(ROWS($O$2:O148),$O$2:$O$1001,0),MATCH(COLUMNS($V$1006:AE1006),$V$1006:$AE$1006,0)), HYPERLINK("#",""), HYPERLINK(CONCATENATE("#Metadata!", ADDRESS(INDEX($Q$2:$Q$1001,MATCH(ROWS($O$2:O148),$O$2:$O$1001,0),0), INDEX($V$1004:$AE$1004,1,MATCH(COLUMNS($V$1006:AE1006),$V$1006:$AE$1006,0)))),"Fix")))</f>
        <v>0</v>
      </c>
      <c r="O148">
        <v>0</v>
      </c>
      <c r="P148">
        <v>0</v>
      </c>
      <c r="Q148">
        <v>0</v>
      </c>
      <c r="R148">
        <f>IF(S148,TRUE,AND(V148:AE148))</f>
        <v>0</v>
      </c>
      <c r="S148">
        <f>COUNTBLANK(Metadata!B148:K148)=COLUMNS(Metadata!B148:K148)</f>
        <v>0</v>
      </c>
      <c r="T148">
        <v>0</v>
      </c>
      <c r="V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W148">
        <f>AND(IF(Metadata!C148="",FALSE,TRUE),exact(Metadata!C148,"animal secretion"))</f>
        <v>0</v>
      </c>
      <c r="X148">
        <f>AND(IF(Metadata!D148="",FALSE,TRUE),exact(Metadata!D148,"saliva"))</f>
        <v>0</v>
      </c>
      <c r="Y148">
        <f>AND(IF(Metadata!E148="",FALSE,TRUE),exact(Metadata!E148,"human-oral"))</f>
        <v>0</v>
      </c>
      <c r="Z148">
        <f>AND(IF(Metadata!F148="",FALSE,TRUE),exact(Metadata!F148,"UBERON:oral cavity"))</f>
        <v>0</v>
      </c>
      <c r="AA148">
        <f>AND(IF(Metadata!G148="",FALSE,TRUE),exact(Metadata!G148,"UBERON:saliva"))</f>
        <v>0</v>
      </c>
      <c r="AB148">
        <f>AND(IF(Metadata!H148="",FALSE,TRUE),exact(Metadata!H148,"UBERON:tongue"))</f>
        <v>0</v>
      </c>
      <c r="AC148">
        <f>AND(IF(Metadata!I148="",FALSE,TRUE),exact(Metadata!I148,"tongue"))</f>
        <v>0</v>
      </c>
      <c r="AD148">
        <f>AND(IF(Metadata!J148="",FALSE,TRUE),exact(Metadata!J148,"human oral metagenome"))</f>
        <v>0</v>
      </c>
      <c r="AE148">
        <f>AND(IF(Metadata!K148="",FALSE,TRUE),exact(Metadata!K148,"447426"))</f>
        <v>0</v>
      </c>
    </row>
    <row r="149" spans="1:31">
      <c r="A149" s="4">
        <f>IF(B149=" "," ",HYPERLINK(CONCATENATE("#metadata!",ADDRESS(INDEX($Q$2:$Q$1001,MATCH(ROWS($O$2:O149),$O$2:$O$1001,0),0),1)),INDEX($T$2:$T$1001,MATCH(ROWS($O$2:O149),$O$2:$O$1001,0),0)))</f>
        <v>0</v>
      </c>
      <c r="B149" s="3">
        <f>IF(OR(INDEX($P$2:$P$1001,MATCH(ROWS($O$2:O149),$O$2:$O$1001,0),1)&gt;=100000,INDEX($V$1005:$AE$1005,1,MATCH(COLUMNS($V$1006:V1006),$V$1006:$AE$1006,0))&gt;=100000), " ",IF(INDEX($V$2:$AE$1001,MATCH(ROWS($O$2:O149),$O$2:$O$1001,0),MATCH(COLUMNS($V$1006:V1006),$V$1006:$AE$1006,0)), HYPERLINK("#",""), HYPERLINK(CONCATENATE("#Metadata!", ADDRESS(INDEX($Q$2:$Q$1001,MATCH(ROWS($O$2:O149),$O$2:$O$1001,0),0), INDEX($V$1004:$AE$1004,1,MATCH(COLUMNS($V$1006:V1006),$V$1006:$AE$1006,0)))),"Fix")))</f>
        <v>0</v>
      </c>
      <c r="C149" s="3">
        <f>IF(OR(INDEX($P$2:$P$1001,MATCH(ROWS($O$2:O149),$O$2:$O$1001,0),1)&gt;=100000,INDEX($V$1005:$AE$1005,1,MATCH(COLUMNS($V$1006:W1006),$V$1006:$AE$1006,0))&gt;=100000), " ",IF(INDEX($V$2:$AE$1001,MATCH(ROWS($O$2:O149),$O$2:$O$1001,0),MATCH(COLUMNS($V$1006:W1006),$V$1006:$AE$1006,0)), HYPERLINK("#",""), HYPERLINK(CONCATENATE("#Metadata!", ADDRESS(INDEX($Q$2:$Q$1001,MATCH(ROWS($O$2:O149),$O$2:$O$1001,0),0), INDEX($V$1004:$AE$1004,1,MATCH(COLUMNS($V$1006:W1006),$V$1006:$AE$1006,0)))),"Fix")))</f>
        <v>0</v>
      </c>
      <c r="D149" s="3">
        <f>IF(OR(INDEX($P$2:$P$1001,MATCH(ROWS($O$2:O149),$O$2:$O$1001,0),1)&gt;=100000,INDEX($V$1005:$AE$1005,1,MATCH(COLUMNS($V$1006:X1006),$V$1006:$AE$1006,0))&gt;=100000), " ",IF(INDEX($V$2:$AE$1001,MATCH(ROWS($O$2:O149),$O$2:$O$1001,0),MATCH(COLUMNS($V$1006:X1006),$V$1006:$AE$1006,0)), HYPERLINK("#",""), HYPERLINK(CONCATENATE("#Metadata!", ADDRESS(INDEX($Q$2:$Q$1001,MATCH(ROWS($O$2:O149),$O$2:$O$1001,0),0), INDEX($V$1004:$AE$1004,1,MATCH(COLUMNS($V$1006:X1006),$V$1006:$AE$1006,0)))),"Fix")))</f>
        <v>0</v>
      </c>
      <c r="E149" s="3">
        <f>IF(OR(INDEX($P$2:$P$1001,MATCH(ROWS($O$2:O149),$O$2:$O$1001,0),1)&gt;=100000,INDEX($V$1005:$AE$1005,1,MATCH(COLUMNS($V$1006:Y1006),$V$1006:$AE$1006,0))&gt;=100000), " ",IF(INDEX($V$2:$AE$1001,MATCH(ROWS($O$2:O149),$O$2:$O$1001,0),MATCH(COLUMNS($V$1006:Y1006),$V$1006:$AE$1006,0)), HYPERLINK("#",""), HYPERLINK(CONCATENATE("#Metadata!", ADDRESS(INDEX($Q$2:$Q$1001,MATCH(ROWS($O$2:O149),$O$2:$O$1001,0),0), INDEX($V$1004:$AE$1004,1,MATCH(COLUMNS($V$1006:Y1006),$V$1006:$AE$1006,0)))),"Fix")))</f>
        <v>0</v>
      </c>
      <c r="F149" s="3">
        <f>IF(OR(INDEX($P$2:$P$1001,MATCH(ROWS($O$2:O149),$O$2:$O$1001,0),1)&gt;=100000,INDEX($V$1005:$AE$1005,1,MATCH(COLUMNS($V$1006:Z1006),$V$1006:$AE$1006,0))&gt;=100000), " ",IF(INDEX($V$2:$AE$1001,MATCH(ROWS($O$2:O149),$O$2:$O$1001,0),MATCH(COLUMNS($V$1006:Z1006),$V$1006:$AE$1006,0)), HYPERLINK("#",""), HYPERLINK(CONCATENATE("#Metadata!", ADDRESS(INDEX($Q$2:$Q$1001,MATCH(ROWS($O$2:O149),$O$2:$O$1001,0),0), INDEX($V$1004:$AE$1004,1,MATCH(COLUMNS($V$1006:Z1006),$V$1006:$AE$1006,0)))),"Fix")))</f>
        <v>0</v>
      </c>
      <c r="G149" s="3">
        <f>IF(OR(INDEX($P$2:$P$1001,MATCH(ROWS($O$2:O149),$O$2:$O$1001,0),1)&gt;=100000,INDEX($V$1005:$AE$1005,1,MATCH(COLUMNS($V$1006:AA1006),$V$1006:$AE$1006,0))&gt;=100000), " ",IF(INDEX($V$2:$AE$1001,MATCH(ROWS($O$2:O149),$O$2:$O$1001,0),MATCH(COLUMNS($V$1006:AA1006),$V$1006:$AE$1006,0)), HYPERLINK("#",""), HYPERLINK(CONCATENATE("#Metadata!", ADDRESS(INDEX($Q$2:$Q$1001,MATCH(ROWS($O$2:O149),$O$2:$O$1001,0),0), INDEX($V$1004:$AE$1004,1,MATCH(COLUMNS($V$1006:AA1006),$V$1006:$AE$1006,0)))),"Fix")))</f>
        <v>0</v>
      </c>
      <c r="H149" s="3">
        <f>IF(OR(INDEX($P$2:$P$1001,MATCH(ROWS($O$2:O149),$O$2:$O$1001,0),1)&gt;=100000,INDEX($V$1005:$AE$1005,1,MATCH(COLUMNS($V$1006:AB1006),$V$1006:$AE$1006,0))&gt;=100000), " ",IF(INDEX($V$2:$AE$1001,MATCH(ROWS($O$2:O149),$O$2:$O$1001,0),MATCH(COLUMNS($V$1006:AB1006),$V$1006:$AE$1006,0)), HYPERLINK("#",""), HYPERLINK(CONCATENATE("#Metadata!", ADDRESS(INDEX($Q$2:$Q$1001,MATCH(ROWS($O$2:O149),$O$2:$O$1001,0),0), INDEX($V$1004:$AE$1004,1,MATCH(COLUMNS($V$1006:AB1006),$V$1006:$AE$1006,0)))),"Fix")))</f>
        <v>0</v>
      </c>
      <c r="I149" s="3">
        <f>IF(OR(INDEX($P$2:$P$1001,MATCH(ROWS($O$2:O149),$O$2:$O$1001,0),1)&gt;=100000,INDEX($V$1005:$AE$1005,1,MATCH(COLUMNS($V$1006:AC1006),$V$1006:$AE$1006,0))&gt;=100000), " ",IF(INDEX($V$2:$AE$1001,MATCH(ROWS($O$2:O149),$O$2:$O$1001,0),MATCH(COLUMNS($V$1006:AC1006),$V$1006:$AE$1006,0)), HYPERLINK("#",""), HYPERLINK(CONCATENATE("#Metadata!", ADDRESS(INDEX($Q$2:$Q$1001,MATCH(ROWS($O$2:O149),$O$2:$O$1001,0),0), INDEX($V$1004:$AE$1004,1,MATCH(COLUMNS($V$1006:AC1006),$V$1006:$AE$1006,0)))),"Fix")))</f>
        <v>0</v>
      </c>
      <c r="J149" s="3">
        <f>IF(OR(INDEX($P$2:$P$1001,MATCH(ROWS($O$2:O149),$O$2:$O$1001,0),1)&gt;=100000,INDEX($V$1005:$AE$1005,1,MATCH(COLUMNS($V$1006:AD1006),$V$1006:$AE$1006,0))&gt;=100000), " ",IF(INDEX($V$2:$AE$1001,MATCH(ROWS($O$2:O149),$O$2:$O$1001,0),MATCH(COLUMNS($V$1006:AD1006),$V$1006:$AE$1006,0)), HYPERLINK("#",""), HYPERLINK(CONCATENATE("#Metadata!", ADDRESS(INDEX($Q$2:$Q$1001,MATCH(ROWS($O$2:O149),$O$2:$O$1001,0),0), INDEX($V$1004:$AE$1004,1,MATCH(COLUMNS($V$1006:AD1006),$V$1006:$AE$1006,0)))),"Fix")))</f>
        <v>0</v>
      </c>
      <c r="K149" s="3">
        <f>IF(OR(INDEX($P$2:$P$1001,MATCH(ROWS($O$2:O149),$O$2:$O$1001,0),1)&gt;=100000,INDEX($V$1005:$AE$1005,1,MATCH(COLUMNS($V$1006:AE1006),$V$1006:$AE$1006,0))&gt;=100000), " ",IF(INDEX($V$2:$AE$1001,MATCH(ROWS($O$2:O149),$O$2:$O$1001,0),MATCH(COLUMNS($V$1006:AE1006),$V$1006:$AE$1006,0)), HYPERLINK("#",""), HYPERLINK(CONCATENATE("#Metadata!", ADDRESS(INDEX($Q$2:$Q$1001,MATCH(ROWS($O$2:O149),$O$2:$O$1001,0),0), INDEX($V$1004:$AE$1004,1,MATCH(COLUMNS($V$1006:AE1006),$V$1006:$AE$1006,0)))),"Fix")))</f>
        <v>0</v>
      </c>
      <c r="O149">
        <v>0</v>
      </c>
      <c r="P149">
        <v>0</v>
      </c>
      <c r="Q149">
        <v>0</v>
      </c>
      <c r="R149">
        <f>IF(S149,TRUE,AND(V149:AE149))</f>
        <v>0</v>
      </c>
      <c r="S149">
        <f>COUNTBLANK(Metadata!B149:K149)=COLUMNS(Metadata!B149:K149)</f>
        <v>0</v>
      </c>
      <c r="T149">
        <v>0</v>
      </c>
      <c r="V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W149">
        <f>AND(IF(Metadata!C149="",FALSE,TRUE),exact(Metadata!C149,"animal secretion"))</f>
        <v>0</v>
      </c>
      <c r="X149">
        <f>AND(IF(Metadata!D149="",FALSE,TRUE),exact(Metadata!D149,"saliva"))</f>
        <v>0</v>
      </c>
      <c r="Y149">
        <f>AND(IF(Metadata!E149="",FALSE,TRUE),exact(Metadata!E149,"human-oral"))</f>
        <v>0</v>
      </c>
      <c r="Z149">
        <f>AND(IF(Metadata!F149="",FALSE,TRUE),exact(Metadata!F149,"UBERON:oral cavity"))</f>
        <v>0</v>
      </c>
      <c r="AA149">
        <f>AND(IF(Metadata!G149="",FALSE,TRUE),exact(Metadata!G149,"UBERON:saliva"))</f>
        <v>0</v>
      </c>
      <c r="AB149">
        <f>AND(IF(Metadata!H149="",FALSE,TRUE),exact(Metadata!H149,"UBERON:tongue"))</f>
        <v>0</v>
      </c>
      <c r="AC149">
        <f>AND(IF(Metadata!I149="",FALSE,TRUE),exact(Metadata!I149,"tongue"))</f>
        <v>0</v>
      </c>
      <c r="AD149">
        <f>AND(IF(Metadata!J149="",FALSE,TRUE),exact(Metadata!J149,"human oral metagenome"))</f>
        <v>0</v>
      </c>
      <c r="AE149">
        <f>AND(IF(Metadata!K149="",FALSE,TRUE),exact(Metadata!K149,"447426"))</f>
        <v>0</v>
      </c>
    </row>
    <row r="150" spans="1:31">
      <c r="A150" s="4">
        <f>IF(B150=" "," ",HYPERLINK(CONCATENATE("#metadata!",ADDRESS(INDEX($Q$2:$Q$1001,MATCH(ROWS($O$2:O150),$O$2:$O$1001,0),0),1)),INDEX($T$2:$T$1001,MATCH(ROWS($O$2:O150),$O$2:$O$1001,0),0)))</f>
        <v>0</v>
      </c>
      <c r="B150" s="3">
        <f>IF(OR(INDEX($P$2:$P$1001,MATCH(ROWS($O$2:O150),$O$2:$O$1001,0),1)&gt;=100000,INDEX($V$1005:$AE$1005,1,MATCH(COLUMNS($V$1006:V1006),$V$1006:$AE$1006,0))&gt;=100000), " ",IF(INDEX($V$2:$AE$1001,MATCH(ROWS($O$2:O150),$O$2:$O$1001,0),MATCH(COLUMNS($V$1006:V1006),$V$1006:$AE$1006,0)), HYPERLINK("#",""), HYPERLINK(CONCATENATE("#Metadata!", ADDRESS(INDEX($Q$2:$Q$1001,MATCH(ROWS($O$2:O150),$O$2:$O$1001,0),0), INDEX($V$1004:$AE$1004,1,MATCH(COLUMNS($V$1006:V1006),$V$1006:$AE$1006,0)))),"Fix")))</f>
        <v>0</v>
      </c>
      <c r="C150" s="3">
        <f>IF(OR(INDEX($P$2:$P$1001,MATCH(ROWS($O$2:O150),$O$2:$O$1001,0),1)&gt;=100000,INDEX($V$1005:$AE$1005,1,MATCH(COLUMNS($V$1006:W1006),$V$1006:$AE$1006,0))&gt;=100000), " ",IF(INDEX($V$2:$AE$1001,MATCH(ROWS($O$2:O150),$O$2:$O$1001,0),MATCH(COLUMNS($V$1006:W1006),$V$1006:$AE$1006,0)), HYPERLINK("#",""), HYPERLINK(CONCATENATE("#Metadata!", ADDRESS(INDEX($Q$2:$Q$1001,MATCH(ROWS($O$2:O150),$O$2:$O$1001,0),0), INDEX($V$1004:$AE$1004,1,MATCH(COLUMNS($V$1006:W1006),$V$1006:$AE$1006,0)))),"Fix")))</f>
        <v>0</v>
      </c>
      <c r="D150" s="3">
        <f>IF(OR(INDEX($P$2:$P$1001,MATCH(ROWS($O$2:O150),$O$2:$O$1001,0),1)&gt;=100000,INDEX($V$1005:$AE$1005,1,MATCH(COLUMNS($V$1006:X1006),$V$1006:$AE$1006,0))&gt;=100000), " ",IF(INDEX($V$2:$AE$1001,MATCH(ROWS($O$2:O150),$O$2:$O$1001,0),MATCH(COLUMNS($V$1006:X1006),$V$1006:$AE$1006,0)), HYPERLINK("#",""), HYPERLINK(CONCATENATE("#Metadata!", ADDRESS(INDEX($Q$2:$Q$1001,MATCH(ROWS($O$2:O150),$O$2:$O$1001,0),0), INDEX($V$1004:$AE$1004,1,MATCH(COLUMNS($V$1006:X1006),$V$1006:$AE$1006,0)))),"Fix")))</f>
        <v>0</v>
      </c>
      <c r="E150" s="3">
        <f>IF(OR(INDEX($P$2:$P$1001,MATCH(ROWS($O$2:O150),$O$2:$O$1001,0),1)&gt;=100000,INDEX($V$1005:$AE$1005,1,MATCH(COLUMNS($V$1006:Y1006),$V$1006:$AE$1006,0))&gt;=100000), " ",IF(INDEX($V$2:$AE$1001,MATCH(ROWS($O$2:O150),$O$2:$O$1001,0),MATCH(COLUMNS($V$1006:Y1006),$V$1006:$AE$1006,0)), HYPERLINK("#",""), HYPERLINK(CONCATENATE("#Metadata!", ADDRESS(INDEX($Q$2:$Q$1001,MATCH(ROWS($O$2:O150),$O$2:$O$1001,0),0), INDEX($V$1004:$AE$1004,1,MATCH(COLUMNS($V$1006:Y1006),$V$1006:$AE$1006,0)))),"Fix")))</f>
        <v>0</v>
      </c>
      <c r="F150" s="3">
        <f>IF(OR(INDEX($P$2:$P$1001,MATCH(ROWS($O$2:O150),$O$2:$O$1001,0),1)&gt;=100000,INDEX($V$1005:$AE$1005,1,MATCH(COLUMNS($V$1006:Z1006),$V$1006:$AE$1006,0))&gt;=100000), " ",IF(INDEX($V$2:$AE$1001,MATCH(ROWS($O$2:O150),$O$2:$O$1001,0),MATCH(COLUMNS($V$1006:Z1006),$V$1006:$AE$1006,0)), HYPERLINK("#",""), HYPERLINK(CONCATENATE("#Metadata!", ADDRESS(INDEX($Q$2:$Q$1001,MATCH(ROWS($O$2:O150),$O$2:$O$1001,0),0), INDEX($V$1004:$AE$1004,1,MATCH(COLUMNS($V$1006:Z1006),$V$1006:$AE$1006,0)))),"Fix")))</f>
        <v>0</v>
      </c>
      <c r="G150" s="3">
        <f>IF(OR(INDEX($P$2:$P$1001,MATCH(ROWS($O$2:O150),$O$2:$O$1001,0),1)&gt;=100000,INDEX($V$1005:$AE$1005,1,MATCH(COLUMNS($V$1006:AA1006),$V$1006:$AE$1006,0))&gt;=100000), " ",IF(INDEX($V$2:$AE$1001,MATCH(ROWS($O$2:O150),$O$2:$O$1001,0),MATCH(COLUMNS($V$1006:AA1006),$V$1006:$AE$1006,0)), HYPERLINK("#",""), HYPERLINK(CONCATENATE("#Metadata!", ADDRESS(INDEX($Q$2:$Q$1001,MATCH(ROWS($O$2:O150),$O$2:$O$1001,0),0), INDEX($V$1004:$AE$1004,1,MATCH(COLUMNS($V$1006:AA1006),$V$1006:$AE$1006,0)))),"Fix")))</f>
        <v>0</v>
      </c>
      <c r="H150" s="3">
        <f>IF(OR(INDEX($P$2:$P$1001,MATCH(ROWS($O$2:O150),$O$2:$O$1001,0),1)&gt;=100000,INDEX($V$1005:$AE$1005,1,MATCH(COLUMNS($V$1006:AB1006),$V$1006:$AE$1006,0))&gt;=100000), " ",IF(INDEX($V$2:$AE$1001,MATCH(ROWS($O$2:O150),$O$2:$O$1001,0),MATCH(COLUMNS($V$1006:AB1006),$V$1006:$AE$1006,0)), HYPERLINK("#",""), HYPERLINK(CONCATENATE("#Metadata!", ADDRESS(INDEX($Q$2:$Q$1001,MATCH(ROWS($O$2:O150),$O$2:$O$1001,0),0), INDEX($V$1004:$AE$1004,1,MATCH(COLUMNS($V$1006:AB1006),$V$1006:$AE$1006,0)))),"Fix")))</f>
        <v>0</v>
      </c>
      <c r="I150" s="3">
        <f>IF(OR(INDEX($P$2:$P$1001,MATCH(ROWS($O$2:O150),$O$2:$O$1001,0),1)&gt;=100000,INDEX($V$1005:$AE$1005,1,MATCH(COLUMNS($V$1006:AC1006),$V$1006:$AE$1006,0))&gt;=100000), " ",IF(INDEX($V$2:$AE$1001,MATCH(ROWS($O$2:O150),$O$2:$O$1001,0),MATCH(COLUMNS($V$1006:AC1006),$V$1006:$AE$1006,0)), HYPERLINK("#",""), HYPERLINK(CONCATENATE("#Metadata!", ADDRESS(INDEX($Q$2:$Q$1001,MATCH(ROWS($O$2:O150),$O$2:$O$1001,0),0), INDEX($V$1004:$AE$1004,1,MATCH(COLUMNS($V$1006:AC1006),$V$1006:$AE$1006,0)))),"Fix")))</f>
        <v>0</v>
      </c>
      <c r="J150" s="3">
        <f>IF(OR(INDEX($P$2:$P$1001,MATCH(ROWS($O$2:O150),$O$2:$O$1001,0),1)&gt;=100000,INDEX($V$1005:$AE$1005,1,MATCH(COLUMNS($V$1006:AD1006),$V$1006:$AE$1006,0))&gt;=100000), " ",IF(INDEX($V$2:$AE$1001,MATCH(ROWS($O$2:O150),$O$2:$O$1001,0),MATCH(COLUMNS($V$1006:AD1006),$V$1006:$AE$1006,0)), HYPERLINK("#",""), HYPERLINK(CONCATENATE("#Metadata!", ADDRESS(INDEX($Q$2:$Q$1001,MATCH(ROWS($O$2:O150),$O$2:$O$1001,0),0), INDEX($V$1004:$AE$1004,1,MATCH(COLUMNS($V$1006:AD1006),$V$1006:$AE$1006,0)))),"Fix")))</f>
        <v>0</v>
      </c>
      <c r="K150" s="3">
        <f>IF(OR(INDEX($P$2:$P$1001,MATCH(ROWS($O$2:O150),$O$2:$O$1001,0),1)&gt;=100000,INDEX($V$1005:$AE$1005,1,MATCH(COLUMNS($V$1006:AE1006),$V$1006:$AE$1006,0))&gt;=100000), " ",IF(INDEX($V$2:$AE$1001,MATCH(ROWS($O$2:O150),$O$2:$O$1001,0),MATCH(COLUMNS($V$1006:AE1006),$V$1006:$AE$1006,0)), HYPERLINK("#",""), HYPERLINK(CONCATENATE("#Metadata!", ADDRESS(INDEX($Q$2:$Q$1001,MATCH(ROWS($O$2:O150),$O$2:$O$1001,0),0), INDEX($V$1004:$AE$1004,1,MATCH(COLUMNS($V$1006:AE1006),$V$1006:$AE$1006,0)))),"Fix")))</f>
        <v>0</v>
      </c>
      <c r="O150">
        <v>0</v>
      </c>
      <c r="P150">
        <v>0</v>
      </c>
      <c r="Q150">
        <v>0</v>
      </c>
      <c r="R150">
        <f>IF(S150,TRUE,AND(V150:AE150))</f>
        <v>0</v>
      </c>
      <c r="S150">
        <f>COUNTBLANK(Metadata!B150:K150)=COLUMNS(Metadata!B150:K150)</f>
        <v>0</v>
      </c>
      <c r="T150">
        <v>0</v>
      </c>
      <c r="V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W150">
        <f>AND(IF(Metadata!C150="",FALSE,TRUE),exact(Metadata!C150,"animal secretion"))</f>
        <v>0</v>
      </c>
      <c r="X150">
        <f>AND(IF(Metadata!D150="",FALSE,TRUE),exact(Metadata!D150,"saliva"))</f>
        <v>0</v>
      </c>
      <c r="Y150">
        <f>AND(IF(Metadata!E150="",FALSE,TRUE),exact(Metadata!E150,"human-oral"))</f>
        <v>0</v>
      </c>
      <c r="Z150">
        <f>AND(IF(Metadata!F150="",FALSE,TRUE),exact(Metadata!F150,"UBERON:oral cavity"))</f>
        <v>0</v>
      </c>
      <c r="AA150">
        <f>AND(IF(Metadata!G150="",FALSE,TRUE),exact(Metadata!G150,"UBERON:saliva"))</f>
        <v>0</v>
      </c>
      <c r="AB150">
        <f>AND(IF(Metadata!H150="",FALSE,TRUE),exact(Metadata!H150,"UBERON:tongue"))</f>
        <v>0</v>
      </c>
      <c r="AC150">
        <f>AND(IF(Metadata!I150="",FALSE,TRUE),exact(Metadata!I150,"tongue"))</f>
        <v>0</v>
      </c>
      <c r="AD150">
        <f>AND(IF(Metadata!J150="",FALSE,TRUE),exact(Metadata!J150,"human oral metagenome"))</f>
        <v>0</v>
      </c>
      <c r="AE150">
        <f>AND(IF(Metadata!K150="",FALSE,TRUE),exact(Metadata!K150,"447426"))</f>
        <v>0</v>
      </c>
    </row>
    <row r="151" spans="1:31">
      <c r="A151" s="4">
        <f>IF(B151=" "," ",HYPERLINK(CONCATENATE("#metadata!",ADDRESS(INDEX($Q$2:$Q$1001,MATCH(ROWS($O$2:O151),$O$2:$O$1001,0),0),1)),INDEX($T$2:$T$1001,MATCH(ROWS($O$2:O151),$O$2:$O$1001,0),0)))</f>
        <v>0</v>
      </c>
      <c r="B151" s="3">
        <f>IF(OR(INDEX($P$2:$P$1001,MATCH(ROWS($O$2:O151),$O$2:$O$1001,0),1)&gt;=100000,INDEX($V$1005:$AE$1005,1,MATCH(COLUMNS($V$1006:V1006),$V$1006:$AE$1006,0))&gt;=100000), " ",IF(INDEX($V$2:$AE$1001,MATCH(ROWS($O$2:O151),$O$2:$O$1001,0),MATCH(COLUMNS($V$1006:V1006),$V$1006:$AE$1006,0)), HYPERLINK("#",""), HYPERLINK(CONCATENATE("#Metadata!", ADDRESS(INDEX($Q$2:$Q$1001,MATCH(ROWS($O$2:O151),$O$2:$O$1001,0),0), INDEX($V$1004:$AE$1004,1,MATCH(COLUMNS($V$1006:V1006),$V$1006:$AE$1006,0)))),"Fix")))</f>
        <v>0</v>
      </c>
      <c r="C151" s="3">
        <f>IF(OR(INDEX($P$2:$P$1001,MATCH(ROWS($O$2:O151),$O$2:$O$1001,0),1)&gt;=100000,INDEX($V$1005:$AE$1005,1,MATCH(COLUMNS($V$1006:W1006),$V$1006:$AE$1006,0))&gt;=100000), " ",IF(INDEX($V$2:$AE$1001,MATCH(ROWS($O$2:O151),$O$2:$O$1001,0),MATCH(COLUMNS($V$1006:W1006),$V$1006:$AE$1006,0)), HYPERLINK("#",""), HYPERLINK(CONCATENATE("#Metadata!", ADDRESS(INDEX($Q$2:$Q$1001,MATCH(ROWS($O$2:O151),$O$2:$O$1001,0),0), INDEX($V$1004:$AE$1004,1,MATCH(COLUMNS($V$1006:W1006),$V$1006:$AE$1006,0)))),"Fix")))</f>
        <v>0</v>
      </c>
      <c r="D151" s="3">
        <f>IF(OR(INDEX($P$2:$P$1001,MATCH(ROWS($O$2:O151),$O$2:$O$1001,0),1)&gt;=100000,INDEX($V$1005:$AE$1005,1,MATCH(COLUMNS($V$1006:X1006),$V$1006:$AE$1006,0))&gt;=100000), " ",IF(INDEX($V$2:$AE$1001,MATCH(ROWS($O$2:O151),$O$2:$O$1001,0),MATCH(COLUMNS($V$1006:X1006),$V$1006:$AE$1006,0)), HYPERLINK("#",""), HYPERLINK(CONCATENATE("#Metadata!", ADDRESS(INDEX($Q$2:$Q$1001,MATCH(ROWS($O$2:O151),$O$2:$O$1001,0),0), INDEX($V$1004:$AE$1004,1,MATCH(COLUMNS($V$1006:X1006),$V$1006:$AE$1006,0)))),"Fix")))</f>
        <v>0</v>
      </c>
      <c r="E151" s="3">
        <f>IF(OR(INDEX($P$2:$P$1001,MATCH(ROWS($O$2:O151),$O$2:$O$1001,0),1)&gt;=100000,INDEX($V$1005:$AE$1005,1,MATCH(COLUMNS($V$1006:Y1006),$V$1006:$AE$1006,0))&gt;=100000), " ",IF(INDEX($V$2:$AE$1001,MATCH(ROWS($O$2:O151),$O$2:$O$1001,0),MATCH(COLUMNS($V$1006:Y1006),$V$1006:$AE$1006,0)), HYPERLINK("#",""), HYPERLINK(CONCATENATE("#Metadata!", ADDRESS(INDEX($Q$2:$Q$1001,MATCH(ROWS($O$2:O151),$O$2:$O$1001,0),0), INDEX($V$1004:$AE$1004,1,MATCH(COLUMNS($V$1006:Y1006),$V$1006:$AE$1006,0)))),"Fix")))</f>
        <v>0</v>
      </c>
      <c r="F151" s="3">
        <f>IF(OR(INDEX($P$2:$P$1001,MATCH(ROWS($O$2:O151),$O$2:$O$1001,0),1)&gt;=100000,INDEX($V$1005:$AE$1005,1,MATCH(COLUMNS($V$1006:Z1006),$V$1006:$AE$1006,0))&gt;=100000), " ",IF(INDEX($V$2:$AE$1001,MATCH(ROWS($O$2:O151),$O$2:$O$1001,0),MATCH(COLUMNS($V$1006:Z1006),$V$1006:$AE$1006,0)), HYPERLINK("#",""), HYPERLINK(CONCATENATE("#Metadata!", ADDRESS(INDEX($Q$2:$Q$1001,MATCH(ROWS($O$2:O151),$O$2:$O$1001,0),0), INDEX($V$1004:$AE$1004,1,MATCH(COLUMNS($V$1006:Z1006),$V$1006:$AE$1006,0)))),"Fix")))</f>
        <v>0</v>
      </c>
      <c r="G151" s="3">
        <f>IF(OR(INDEX($P$2:$P$1001,MATCH(ROWS($O$2:O151),$O$2:$O$1001,0),1)&gt;=100000,INDEX($V$1005:$AE$1005,1,MATCH(COLUMNS($V$1006:AA1006),$V$1006:$AE$1006,0))&gt;=100000), " ",IF(INDEX($V$2:$AE$1001,MATCH(ROWS($O$2:O151),$O$2:$O$1001,0),MATCH(COLUMNS($V$1006:AA1006),$V$1006:$AE$1006,0)), HYPERLINK("#",""), HYPERLINK(CONCATENATE("#Metadata!", ADDRESS(INDEX($Q$2:$Q$1001,MATCH(ROWS($O$2:O151),$O$2:$O$1001,0),0), INDEX($V$1004:$AE$1004,1,MATCH(COLUMNS($V$1006:AA1006),$V$1006:$AE$1006,0)))),"Fix")))</f>
        <v>0</v>
      </c>
      <c r="H151" s="3">
        <f>IF(OR(INDEX($P$2:$P$1001,MATCH(ROWS($O$2:O151),$O$2:$O$1001,0),1)&gt;=100000,INDEX($V$1005:$AE$1005,1,MATCH(COLUMNS($V$1006:AB1006),$V$1006:$AE$1006,0))&gt;=100000), " ",IF(INDEX($V$2:$AE$1001,MATCH(ROWS($O$2:O151),$O$2:$O$1001,0),MATCH(COLUMNS($V$1006:AB1006),$V$1006:$AE$1006,0)), HYPERLINK("#",""), HYPERLINK(CONCATENATE("#Metadata!", ADDRESS(INDEX($Q$2:$Q$1001,MATCH(ROWS($O$2:O151),$O$2:$O$1001,0),0), INDEX($V$1004:$AE$1004,1,MATCH(COLUMNS($V$1006:AB1006),$V$1006:$AE$1006,0)))),"Fix")))</f>
        <v>0</v>
      </c>
      <c r="I151" s="3">
        <f>IF(OR(INDEX($P$2:$P$1001,MATCH(ROWS($O$2:O151),$O$2:$O$1001,0),1)&gt;=100000,INDEX($V$1005:$AE$1005,1,MATCH(COLUMNS($V$1006:AC1006),$V$1006:$AE$1006,0))&gt;=100000), " ",IF(INDEX($V$2:$AE$1001,MATCH(ROWS($O$2:O151),$O$2:$O$1001,0),MATCH(COLUMNS($V$1006:AC1006),$V$1006:$AE$1006,0)), HYPERLINK("#",""), HYPERLINK(CONCATENATE("#Metadata!", ADDRESS(INDEX($Q$2:$Q$1001,MATCH(ROWS($O$2:O151),$O$2:$O$1001,0),0), INDEX($V$1004:$AE$1004,1,MATCH(COLUMNS($V$1006:AC1006),$V$1006:$AE$1006,0)))),"Fix")))</f>
        <v>0</v>
      </c>
      <c r="J151" s="3">
        <f>IF(OR(INDEX($P$2:$P$1001,MATCH(ROWS($O$2:O151),$O$2:$O$1001,0),1)&gt;=100000,INDEX($V$1005:$AE$1005,1,MATCH(COLUMNS($V$1006:AD1006),$V$1006:$AE$1006,0))&gt;=100000), " ",IF(INDEX($V$2:$AE$1001,MATCH(ROWS($O$2:O151),$O$2:$O$1001,0),MATCH(COLUMNS($V$1006:AD1006),$V$1006:$AE$1006,0)), HYPERLINK("#",""), HYPERLINK(CONCATENATE("#Metadata!", ADDRESS(INDEX($Q$2:$Q$1001,MATCH(ROWS($O$2:O151),$O$2:$O$1001,0),0), INDEX($V$1004:$AE$1004,1,MATCH(COLUMNS($V$1006:AD1006),$V$1006:$AE$1006,0)))),"Fix")))</f>
        <v>0</v>
      </c>
      <c r="K151" s="3">
        <f>IF(OR(INDEX($P$2:$P$1001,MATCH(ROWS($O$2:O151),$O$2:$O$1001,0),1)&gt;=100000,INDEX($V$1005:$AE$1005,1,MATCH(COLUMNS($V$1006:AE1006),$V$1006:$AE$1006,0))&gt;=100000), " ",IF(INDEX($V$2:$AE$1001,MATCH(ROWS($O$2:O151),$O$2:$O$1001,0),MATCH(COLUMNS($V$1006:AE1006),$V$1006:$AE$1006,0)), HYPERLINK("#",""), HYPERLINK(CONCATENATE("#Metadata!", ADDRESS(INDEX($Q$2:$Q$1001,MATCH(ROWS($O$2:O151),$O$2:$O$1001,0),0), INDEX($V$1004:$AE$1004,1,MATCH(COLUMNS($V$1006:AE1006),$V$1006:$AE$1006,0)))),"Fix")))</f>
        <v>0</v>
      </c>
      <c r="O151">
        <v>0</v>
      </c>
      <c r="P151">
        <v>0</v>
      </c>
      <c r="Q151">
        <v>0</v>
      </c>
      <c r="R151">
        <f>IF(S151,TRUE,AND(V151:AE151))</f>
        <v>0</v>
      </c>
      <c r="S151">
        <f>COUNTBLANK(Metadata!B151:K151)=COLUMNS(Metadata!B151:K151)</f>
        <v>0</v>
      </c>
      <c r="T151">
        <v>0</v>
      </c>
      <c r="V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W151">
        <f>AND(IF(Metadata!C151="",FALSE,TRUE),exact(Metadata!C151,"animal secretion"))</f>
        <v>0</v>
      </c>
      <c r="X151">
        <f>AND(IF(Metadata!D151="",FALSE,TRUE),exact(Metadata!D151,"saliva"))</f>
        <v>0</v>
      </c>
      <c r="Y151">
        <f>AND(IF(Metadata!E151="",FALSE,TRUE),exact(Metadata!E151,"human-oral"))</f>
        <v>0</v>
      </c>
      <c r="Z151">
        <f>AND(IF(Metadata!F151="",FALSE,TRUE),exact(Metadata!F151,"UBERON:oral cavity"))</f>
        <v>0</v>
      </c>
      <c r="AA151">
        <f>AND(IF(Metadata!G151="",FALSE,TRUE),exact(Metadata!G151,"UBERON:saliva"))</f>
        <v>0</v>
      </c>
      <c r="AB151">
        <f>AND(IF(Metadata!H151="",FALSE,TRUE),exact(Metadata!H151,"UBERON:tongue"))</f>
        <v>0</v>
      </c>
      <c r="AC151">
        <f>AND(IF(Metadata!I151="",FALSE,TRUE),exact(Metadata!I151,"tongue"))</f>
        <v>0</v>
      </c>
      <c r="AD151">
        <f>AND(IF(Metadata!J151="",FALSE,TRUE),exact(Metadata!J151,"human oral metagenome"))</f>
        <v>0</v>
      </c>
      <c r="AE151">
        <f>AND(IF(Metadata!K151="",FALSE,TRUE),exact(Metadata!K151,"447426"))</f>
        <v>0</v>
      </c>
    </row>
    <row r="152" spans="1:31">
      <c r="A152" s="4">
        <f>IF(B152=" "," ",HYPERLINK(CONCATENATE("#metadata!",ADDRESS(INDEX($Q$2:$Q$1001,MATCH(ROWS($O$2:O152),$O$2:$O$1001,0),0),1)),INDEX($T$2:$T$1001,MATCH(ROWS($O$2:O152),$O$2:$O$1001,0),0)))</f>
        <v>0</v>
      </c>
      <c r="B152" s="3">
        <f>IF(OR(INDEX($P$2:$P$1001,MATCH(ROWS($O$2:O152),$O$2:$O$1001,0),1)&gt;=100000,INDEX($V$1005:$AE$1005,1,MATCH(COLUMNS($V$1006:V1006),$V$1006:$AE$1006,0))&gt;=100000), " ",IF(INDEX($V$2:$AE$1001,MATCH(ROWS($O$2:O152),$O$2:$O$1001,0),MATCH(COLUMNS($V$1006:V1006),$V$1006:$AE$1006,0)), HYPERLINK("#",""), HYPERLINK(CONCATENATE("#Metadata!", ADDRESS(INDEX($Q$2:$Q$1001,MATCH(ROWS($O$2:O152),$O$2:$O$1001,0),0), INDEX($V$1004:$AE$1004,1,MATCH(COLUMNS($V$1006:V1006),$V$1006:$AE$1006,0)))),"Fix")))</f>
        <v>0</v>
      </c>
      <c r="C152" s="3">
        <f>IF(OR(INDEX($P$2:$P$1001,MATCH(ROWS($O$2:O152),$O$2:$O$1001,0),1)&gt;=100000,INDEX($V$1005:$AE$1005,1,MATCH(COLUMNS($V$1006:W1006),$V$1006:$AE$1006,0))&gt;=100000), " ",IF(INDEX($V$2:$AE$1001,MATCH(ROWS($O$2:O152),$O$2:$O$1001,0),MATCH(COLUMNS($V$1006:W1006),$V$1006:$AE$1006,0)), HYPERLINK("#",""), HYPERLINK(CONCATENATE("#Metadata!", ADDRESS(INDEX($Q$2:$Q$1001,MATCH(ROWS($O$2:O152),$O$2:$O$1001,0),0), INDEX($V$1004:$AE$1004,1,MATCH(COLUMNS($V$1006:W1006),$V$1006:$AE$1006,0)))),"Fix")))</f>
        <v>0</v>
      </c>
      <c r="D152" s="3">
        <f>IF(OR(INDEX($P$2:$P$1001,MATCH(ROWS($O$2:O152),$O$2:$O$1001,0),1)&gt;=100000,INDEX($V$1005:$AE$1005,1,MATCH(COLUMNS($V$1006:X1006),$V$1006:$AE$1006,0))&gt;=100000), " ",IF(INDEX($V$2:$AE$1001,MATCH(ROWS($O$2:O152),$O$2:$O$1001,0),MATCH(COLUMNS($V$1006:X1006),$V$1006:$AE$1006,0)), HYPERLINK("#",""), HYPERLINK(CONCATENATE("#Metadata!", ADDRESS(INDEX($Q$2:$Q$1001,MATCH(ROWS($O$2:O152),$O$2:$O$1001,0),0), INDEX($V$1004:$AE$1004,1,MATCH(COLUMNS($V$1006:X1006),$V$1006:$AE$1006,0)))),"Fix")))</f>
        <v>0</v>
      </c>
      <c r="E152" s="3">
        <f>IF(OR(INDEX($P$2:$P$1001,MATCH(ROWS($O$2:O152),$O$2:$O$1001,0),1)&gt;=100000,INDEX($V$1005:$AE$1005,1,MATCH(COLUMNS($V$1006:Y1006),$V$1006:$AE$1006,0))&gt;=100000), " ",IF(INDEX($V$2:$AE$1001,MATCH(ROWS($O$2:O152),$O$2:$O$1001,0),MATCH(COLUMNS($V$1006:Y1006),$V$1006:$AE$1006,0)), HYPERLINK("#",""), HYPERLINK(CONCATENATE("#Metadata!", ADDRESS(INDEX($Q$2:$Q$1001,MATCH(ROWS($O$2:O152),$O$2:$O$1001,0),0), INDEX($V$1004:$AE$1004,1,MATCH(COLUMNS($V$1006:Y1006),$V$1006:$AE$1006,0)))),"Fix")))</f>
        <v>0</v>
      </c>
      <c r="F152" s="3">
        <f>IF(OR(INDEX($P$2:$P$1001,MATCH(ROWS($O$2:O152),$O$2:$O$1001,0),1)&gt;=100000,INDEX($V$1005:$AE$1005,1,MATCH(COLUMNS($V$1006:Z1006),$V$1006:$AE$1006,0))&gt;=100000), " ",IF(INDEX($V$2:$AE$1001,MATCH(ROWS($O$2:O152),$O$2:$O$1001,0),MATCH(COLUMNS($V$1006:Z1006),$V$1006:$AE$1006,0)), HYPERLINK("#",""), HYPERLINK(CONCATENATE("#Metadata!", ADDRESS(INDEX($Q$2:$Q$1001,MATCH(ROWS($O$2:O152),$O$2:$O$1001,0),0), INDEX($V$1004:$AE$1004,1,MATCH(COLUMNS($V$1006:Z1006),$V$1006:$AE$1006,0)))),"Fix")))</f>
        <v>0</v>
      </c>
      <c r="G152" s="3">
        <f>IF(OR(INDEX($P$2:$P$1001,MATCH(ROWS($O$2:O152),$O$2:$O$1001,0),1)&gt;=100000,INDEX($V$1005:$AE$1005,1,MATCH(COLUMNS($V$1006:AA1006),$V$1006:$AE$1006,0))&gt;=100000), " ",IF(INDEX($V$2:$AE$1001,MATCH(ROWS($O$2:O152),$O$2:$O$1001,0),MATCH(COLUMNS($V$1006:AA1006),$V$1006:$AE$1006,0)), HYPERLINK("#",""), HYPERLINK(CONCATENATE("#Metadata!", ADDRESS(INDEX($Q$2:$Q$1001,MATCH(ROWS($O$2:O152),$O$2:$O$1001,0),0), INDEX($V$1004:$AE$1004,1,MATCH(COLUMNS($V$1006:AA1006),$V$1006:$AE$1006,0)))),"Fix")))</f>
        <v>0</v>
      </c>
      <c r="H152" s="3">
        <f>IF(OR(INDEX($P$2:$P$1001,MATCH(ROWS($O$2:O152),$O$2:$O$1001,0),1)&gt;=100000,INDEX($V$1005:$AE$1005,1,MATCH(COLUMNS($V$1006:AB1006),$V$1006:$AE$1006,0))&gt;=100000), " ",IF(INDEX($V$2:$AE$1001,MATCH(ROWS($O$2:O152),$O$2:$O$1001,0),MATCH(COLUMNS($V$1006:AB1006),$V$1006:$AE$1006,0)), HYPERLINK("#",""), HYPERLINK(CONCATENATE("#Metadata!", ADDRESS(INDEX($Q$2:$Q$1001,MATCH(ROWS($O$2:O152),$O$2:$O$1001,0),0), INDEX($V$1004:$AE$1004,1,MATCH(COLUMNS($V$1006:AB1006),$V$1006:$AE$1006,0)))),"Fix")))</f>
        <v>0</v>
      </c>
      <c r="I152" s="3">
        <f>IF(OR(INDEX($P$2:$P$1001,MATCH(ROWS($O$2:O152),$O$2:$O$1001,0),1)&gt;=100000,INDEX($V$1005:$AE$1005,1,MATCH(COLUMNS($V$1006:AC1006),$V$1006:$AE$1006,0))&gt;=100000), " ",IF(INDEX($V$2:$AE$1001,MATCH(ROWS($O$2:O152),$O$2:$O$1001,0),MATCH(COLUMNS($V$1006:AC1006),$V$1006:$AE$1006,0)), HYPERLINK("#",""), HYPERLINK(CONCATENATE("#Metadata!", ADDRESS(INDEX($Q$2:$Q$1001,MATCH(ROWS($O$2:O152),$O$2:$O$1001,0),0), INDEX($V$1004:$AE$1004,1,MATCH(COLUMNS($V$1006:AC1006),$V$1006:$AE$1006,0)))),"Fix")))</f>
        <v>0</v>
      </c>
      <c r="J152" s="3">
        <f>IF(OR(INDEX($P$2:$P$1001,MATCH(ROWS($O$2:O152),$O$2:$O$1001,0),1)&gt;=100000,INDEX($V$1005:$AE$1005,1,MATCH(COLUMNS($V$1006:AD1006),$V$1006:$AE$1006,0))&gt;=100000), " ",IF(INDEX($V$2:$AE$1001,MATCH(ROWS($O$2:O152),$O$2:$O$1001,0),MATCH(COLUMNS($V$1006:AD1006),$V$1006:$AE$1006,0)), HYPERLINK("#",""), HYPERLINK(CONCATENATE("#Metadata!", ADDRESS(INDEX($Q$2:$Q$1001,MATCH(ROWS($O$2:O152),$O$2:$O$1001,0),0), INDEX($V$1004:$AE$1004,1,MATCH(COLUMNS($V$1006:AD1006),$V$1006:$AE$1006,0)))),"Fix")))</f>
        <v>0</v>
      </c>
      <c r="K152" s="3">
        <f>IF(OR(INDEX($P$2:$P$1001,MATCH(ROWS($O$2:O152),$O$2:$O$1001,0),1)&gt;=100000,INDEX($V$1005:$AE$1005,1,MATCH(COLUMNS($V$1006:AE1006),$V$1006:$AE$1006,0))&gt;=100000), " ",IF(INDEX($V$2:$AE$1001,MATCH(ROWS($O$2:O152),$O$2:$O$1001,0),MATCH(COLUMNS($V$1006:AE1006),$V$1006:$AE$1006,0)), HYPERLINK("#",""), HYPERLINK(CONCATENATE("#Metadata!", ADDRESS(INDEX($Q$2:$Q$1001,MATCH(ROWS($O$2:O152),$O$2:$O$1001,0),0), INDEX($V$1004:$AE$1004,1,MATCH(COLUMNS($V$1006:AE1006),$V$1006:$AE$1006,0)))),"Fix")))</f>
        <v>0</v>
      </c>
      <c r="O152">
        <v>0</v>
      </c>
      <c r="P152">
        <v>0</v>
      </c>
      <c r="Q152">
        <v>0</v>
      </c>
      <c r="R152">
        <f>IF(S152,TRUE,AND(V152:AE152))</f>
        <v>0</v>
      </c>
      <c r="S152">
        <f>COUNTBLANK(Metadata!B152:K152)=COLUMNS(Metadata!B152:K152)</f>
        <v>0</v>
      </c>
      <c r="T152">
        <v>0</v>
      </c>
      <c r="V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W152">
        <f>AND(IF(Metadata!C152="",FALSE,TRUE),exact(Metadata!C152,"animal secretion"))</f>
        <v>0</v>
      </c>
      <c r="X152">
        <f>AND(IF(Metadata!D152="",FALSE,TRUE),exact(Metadata!D152,"saliva"))</f>
        <v>0</v>
      </c>
      <c r="Y152">
        <f>AND(IF(Metadata!E152="",FALSE,TRUE),exact(Metadata!E152,"human-oral"))</f>
        <v>0</v>
      </c>
      <c r="Z152">
        <f>AND(IF(Metadata!F152="",FALSE,TRUE),exact(Metadata!F152,"UBERON:oral cavity"))</f>
        <v>0</v>
      </c>
      <c r="AA152">
        <f>AND(IF(Metadata!G152="",FALSE,TRUE),exact(Metadata!G152,"UBERON:saliva"))</f>
        <v>0</v>
      </c>
      <c r="AB152">
        <f>AND(IF(Metadata!H152="",FALSE,TRUE),exact(Metadata!H152,"UBERON:tongue"))</f>
        <v>0</v>
      </c>
      <c r="AC152">
        <f>AND(IF(Metadata!I152="",FALSE,TRUE),exact(Metadata!I152,"tongue"))</f>
        <v>0</v>
      </c>
      <c r="AD152">
        <f>AND(IF(Metadata!J152="",FALSE,TRUE),exact(Metadata!J152,"human oral metagenome"))</f>
        <v>0</v>
      </c>
      <c r="AE152">
        <f>AND(IF(Metadata!K152="",FALSE,TRUE),exact(Metadata!K152,"447426"))</f>
        <v>0</v>
      </c>
    </row>
    <row r="153" spans="1:31">
      <c r="A153" s="4">
        <f>IF(B153=" "," ",HYPERLINK(CONCATENATE("#metadata!",ADDRESS(INDEX($Q$2:$Q$1001,MATCH(ROWS($O$2:O153),$O$2:$O$1001,0),0),1)),INDEX($T$2:$T$1001,MATCH(ROWS($O$2:O153),$O$2:$O$1001,0),0)))</f>
        <v>0</v>
      </c>
      <c r="B153" s="3">
        <f>IF(OR(INDEX($P$2:$P$1001,MATCH(ROWS($O$2:O153),$O$2:$O$1001,0),1)&gt;=100000,INDEX($V$1005:$AE$1005,1,MATCH(COLUMNS($V$1006:V1006),$V$1006:$AE$1006,0))&gt;=100000), " ",IF(INDEX($V$2:$AE$1001,MATCH(ROWS($O$2:O153),$O$2:$O$1001,0),MATCH(COLUMNS($V$1006:V1006),$V$1006:$AE$1006,0)), HYPERLINK("#",""), HYPERLINK(CONCATENATE("#Metadata!", ADDRESS(INDEX($Q$2:$Q$1001,MATCH(ROWS($O$2:O153),$O$2:$O$1001,0),0), INDEX($V$1004:$AE$1004,1,MATCH(COLUMNS($V$1006:V1006),$V$1006:$AE$1006,0)))),"Fix")))</f>
        <v>0</v>
      </c>
      <c r="C153" s="3">
        <f>IF(OR(INDEX($P$2:$P$1001,MATCH(ROWS($O$2:O153),$O$2:$O$1001,0),1)&gt;=100000,INDEX($V$1005:$AE$1005,1,MATCH(COLUMNS($V$1006:W1006),$V$1006:$AE$1006,0))&gt;=100000), " ",IF(INDEX($V$2:$AE$1001,MATCH(ROWS($O$2:O153),$O$2:$O$1001,0),MATCH(COLUMNS($V$1006:W1006),$V$1006:$AE$1006,0)), HYPERLINK("#",""), HYPERLINK(CONCATENATE("#Metadata!", ADDRESS(INDEX($Q$2:$Q$1001,MATCH(ROWS($O$2:O153),$O$2:$O$1001,0),0), INDEX($V$1004:$AE$1004,1,MATCH(COLUMNS($V$1006:W1006),$V$1006:$AE$1006,0)))),"Fix")))</f>
        <v>0</v>
      </c>
      <c r="D153" s="3">
        <f>IF(OR(INDEX($P$2:$P$1001,MATCH(ROWS($O$2:O153),$O$2:$O$1001,0),1)&gt;=100000,INDEX($V$1005:$AE$1005,1,MATCH(COLUMNS($V$1006:X1006),$V$1006:$AE$1006,0))&gt;=100000), " ",IF(INDEX($V$2:$AE$1001,MATCH(ROWS($O$2:O153),$O$2:$O$1001,0),MATCH(COLUMNS($V$1006:X1006),$V$1006:$AE$1006,0)), HYPERLINK("#",""), HYPERLINK(CONCATENATE("#Metadata!", ADDRESS(INDEX($Q$2:$Q$1001,MATCH(ROWS($O$2:O153),$O$2:$O$1001,0),0), INDEX($V$1004:$AE$1004,1,MATCH(COLUMNS($V$1006:X1006),$V$1006:$AE$1006,0)))),"Fix")))</f>
        <v>0</v>
      </c>
      <c r="E153" s="3">
        <f>IF(OR(INDEX($P$2:$P$1001,MATCH(ROWS($O$2:O153),$O$2:$O$1001,0),1)&gt;=100000,INDEX($V$1005:$AE$1005,1,MATCH(COLUMNS($V$1006:Y1006),$V$1006:$AE$1006,0))&gt;=100000), " ",IF(INDEX($V$2:$AE$1001,MATCH(ROWS($O$2:O153),$O$2:$O$1001,0),MATCH(COLUMNS($V$1006:Y1006),$V$1006:$AE$1006,0)), HYPERLINK("#",""), HYPERLINK(CONCATENATE("#Metadata!", ADDRESS(INDEX($Q$2:$Q$1001,MATCH(ROWS($O$2:O153),$O$2:$O$1001,0),0), INDEX($V$1004:$AE$1004,1,MATCH(COLUMNS($V$1006:Y1006),$V$1006:$AE$1006,0)))),"Fix")))</f>
        <v>0</v>
      </c>
      <c r="F153" s="3">
        <f>IF(OR(INDEX($P$2:$P$1001,MATCH(ROWS($O$2:O153),$O$2:$O$1001,0),1)&gt;=100000,INDEX($V$1005:$AE$1005,1,MATCH(COLUMNS($V$1006:Z1006),$V$1006:$AE$1006,0))&gt;=100000), " ",IF(INDEX($V$2:$AE$1001,MATCH(ROWS($O$2:O153),$O$2:$O$1001,0),MATCH(COLUMNS($V$1006:Z1006),$V$1006:$AE$1006,0)), HYPERLINK("#",""), HYPERLINK(CONCATENATE("#Metadata!", ADDRESS(INDEX($Q$2:$Q$1001,MATCH(ROWS($O$2:O153),$O$2:$O$1001,0),0), INDEX($V$1004:$AE$1004,1,MATCH(COLUMNS($V$1006:Z1006),$V$1006:$AE$1006,0)))),"Fix")))</f>
        <v>0</v>
      </c>
      <c r="G153" s="3">
        <f>IF(OR(INDEX($P$2:$P$1001,MATCH(ROWS($O$2:O153),$O$2:$O$1001,0),1)&gt;=100000,INDEX($V$1005:$AE$1005,1,MATCH(COLUMNS($V$1006:AA1006),$V$1006:$AE$1006,0))&gt;=100000), " ",IF(INDEX($V$2:$AE$1001,MATCH(ROWS($O$2:O153),$O$2:$O$1001,0),MATCH(COLUMNS($V$1006:AA1006),$V$1006:$AE$1006,0)), HYPERLINK("#",""), HYPERLINK(CONCATENATE("#Metadata!", ADDRESS(INDEX($Q$2:$Q$1001,MATCH(ROWS($O$2:O153),$O$2:$O$1001,0),0), INDEX($V$1004:$AE$1004,1,MATCH(COLUMNS($V$1006:AA1006),$V$1006:$AE$1006,0)))),"Fix")))</f>
        <v>0</v>
      </c>
      <c r="H153" s="3">
        <f>IF(OR(INDEX($P$2:$P$1001,MATCH(ROWS($O$2:O153),$O$2:$O$1001,0),1)&gt;=100000,INDEX($V$1005:$AE$1005,1,MATCH(COLUMNS($V$1006:AB1006),$V$1006:$AE$1006,0))&gt;=100000), " ",IF(INDEX($V$2:$AE$1001,MATCH(ROWS($O$2:O153),$O$2:$O$1001,0),MATCH(COLUMNS($V$1006:AB1006),$V$1006:$AE$1006,0)), HYPERLINK("#",""), HYPERLINK(CONCATENATE("#Metadata!", ADDRESS(INDEX($Q$2:$Q$1001,MATCH(ROWS($O$2:O153),$O$2:$O$1001,0),0), INDEX($V$1004:$AE$1004,1,MATCH(COLUMNS($V$1006:AB1006),$V$1006:$AE$1006,0)))),"Fix")))</f>
        <v>0</v>
      </c>
      <c r="I153" s="3">
        <f>IF(OR(INDEX($P$2:$P$1001,MATCH(ROWS($O$2:O153),$O$2:$O$1001,0),1)&gt;=100000,INDEX($V$1005:$AE$1005,1,MATCH(COLUMNS($V$1006:AC1006),$V$1006:$AE$1006,0))&gt;=100000), " ",IF(INDEX($V$2:$AE$1001,MATCH(ROWS($O$2:O153),$O$2:$O$1001,0),MATCH(COLUMNS($V$1006:AC1006),$V$1006:$AE$1006,0)), HYPERLINK("#",""), HYPERLINK(CONCATENATE("#Metadata!", ADDRESS(INDEX($Q$2:$Q$1001,MATCH(ROWS($O$2:O153),$O$2:$O$1001,0),0), INDEX($V$1004:$AE$1004,1,MATCH(COLUMNS($V$1006:AC1006),$V$1006:$AE$1006,0)))),"Fix")))</f>
        <v>0</v>
      </c>
      <c r="J153" s="3">
        <f>IF(OR(INDEX($P$2:$P$1001,MATCH(ROWS($O$2:O153),$O$2:$O$1001,0),1)&gt;=100000,INDEX($V$1005:$AE$1005,1,MATCH(COLUMNS($V$1006:AD1006),$V$1006:$AE$1006,0))&gt;=100000), " ",IF(INDEX($V$2:$AE$1001,MATCH(ROWS($O$2:O153),$O$2:$O$1001,0),MATCH(COLUMNS($V$1006:AD1006),$V$1006:$AE$1006,0)), HYPERLINK("#",""), HYPERLINK(CONCATENATE("#Metadata!", ADDRESS(INDEX($Q$2:$Q$1001,MATCH(ROWS($O$2:O153),$O$2:$O$1001,0),0), INDEX($V$1004:$AE$1004,1,MATCH(COLUMNS($V$1006:AD1006),$V$1006:$AE$1006,0)))),"Fix")))</f>
        <v>0</v>
      </c>
      <c r="K153" s="3">
        <f>IF(OR(INDEX($P$2:$P$1001,MATCH(ROWS($O$2:O153),$O$2:$O$1001,0),1)&gt;=100000,INDEX($V$1005:$AE$1005,1,MATCH(COLUMNS($V$1006:AE1006),$V$1006:$AE$1006,0))&gt;=100000), " ",IF(INDEX($V$2:$AE$1001,MATCH(ROWS($O$2:O153),$O$2:$O$1001,0),MATCH(COLUMNS($V$1006:AE1006),$V$1006:$AE$1006,0)), HYPERLINK("#",""), HYPERLINK(CONCATENATE("#Metadata!", ADDRESS(INDEX($Q$2:$Q$1001,MATCH(ROWS($O$2:O153),$O$2:$O$1001,0),0), INDEX($V$1004:$AE$1004,1,MATCH(COLUMNS($V$1006:AE1006),$V$1006:$AE$1006,0)))),"Fix")))</f>
        <v>0</v>
      </c>
      <c r="O153">
        <v>0</v>
      </c>
      <c r="P153">
        <v>0</v>
      </c>
      <c r="Q153">
        <v>0</v>
      </c>
      <c r="R153">
        <f>IF(S153,TRUE,AND(V153:AE153))</f>
        <v>0</v>
      </c>
      <c r="S153">
        <f>COUNTBLANK(Metadata!B153:K153)=COLUMNS(Metadata!B153:K153)</f>
        <v>0</v>
      </c>
      <c r="T153">
        <v>0</v>
      </c>
      <c r="V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W153">
        <f>AND(IF(Metadata!C153="",FALSE,TRUE),exact(Metadata!C153,"animal secretion"))</f>
        <v>0</v>
      </c>
      <c r="X153">
        <f>AND(IF(Metadata!D153="",FALSE,TRUE),exact(Metadata!D153,"saliva"))</f>
        <v>0</v>
      </c>
      <c r="Y153">
        <f>AND(IF(Metadata!E153="",FALSE,TRUE),exact(Metadata!E153,"human-oral"))</f>
        <v>0</v>
      </c>
      <c r="Z153">
        <f>AND(IF(Metadata!F153="",FALSE,TRUE),exact(Metadata!F153,"UBERON:oral cavity"))</f>
        <v>0</v>
      </c>
      <c r="AA153">
        <f>AND(IF(Metadata!G153="",FALSE,TRUE),exact(Metadata!G153,"UBERON:saliva"))</f>
        <v>0</v>
      </c>
      <c r="AB153">
        <f>AND(IF(Metadata!H153="",FALSE,TRUE),exact(Metadata!H153,"UBERON:tongue"))</f>
        <v>0</v>
      </c>
      <c r="AC153">
        <f>AND(IF(Metadata!I153="",FALSE,TRUE),exact(Metadata!I153,"tongue"))</f>
        <v>0</v>
      </c>
      <c r="AD153">
        <f>AND(IF(Metadata!J153="",FALSE,TRUE),exact(Metadata!J153,"human oral metagenome"))</f>
        <v>0</v>
      </c>
      <c r="AE153">
        <f>AND(IF(Metadata!K153="",FALSE,TRUE),exact(Metadata!K153,"447426"))</f>
        <v>0</v>
      </c>
    </row>
    <row r="154" spans="1:31">
      <c r="A154" s="4">
        <f>IF(B154=" "," ",HYPERLINK(CONCATENATE("#metadata!",ADDRESS(INDEX($Q$2:$Q$1001,MATCH(ROWS($O$2:O154),$O$2:$O$1001,0),0),1)),INDEX($T$2:$T$1001,MATCH(ROWS($O$2:O154),$O$2:$O$1001,0),0)))</f>
        <v>0</v>
      </c>
      <c r="B154" s="3">
        <f>IF(OR(INDEX($P$2:$P$1001,MATCH(ROWS($O$2:O154),$O$2:$O$1001,0),1)&gt;=100000,INDEX($V$1005:$AE$1005,1,MATCH(COLUMNS($V$1006:V1006),$V$1006:$AE$1006,0))&gt;=100000), " ",IF(INDEX($V$2:$AE$1001,MATCH(ROWS($O$2:O154),$O$2:$O$1001,0),MATCH(COLUMNS($V$1006:V1006),$V$1006:$AE$1006,0)), HYPERLINK("#",""), HYPERLINK(CONCATENATE("#Metadata!", ADDRESS(INDEX($Q$2:$Q$1001,MATCH(ROWS($O$2:O154),$O$2:$O$1001,0),0), INDEX($V$1004:$AE$1004,1,MATCH(COLUMNS($V$1006:V1006),$V$1006:$AE$1006,0)))),"Fix")))</f>
        <v>0</v>
      </c>
      <c r="C154" s="3">
        <f>IF(OR(INDEX($P$2:$P$1001,MATCH(ROWS($O$2:O154),$O$2:$O$1001,0),1)&gt;=100000,INDEX($V$1005:$AE$1005,1,MATCH(COLUMNS($V$1006:W1006),$V$1006:$AE$1006,0))&gt;=100000), " ",IF(INDEX($V$2:$AE$1001,MATCH(ROWS($O$2:O154),$O$2:$O$1001,0),MATCH(COLUMNS($V$1006:W1006),$V$1006:$AE$1006,0)), HYPERLINK("#",""), HYPERLINK(CONCATENATE("#Metadata!", ADDRESS(INDEX($Q$2:$Q$1001,MATCH(ROWS($O$2:O154),$O$2:$O$1001,0),0), INDEX($V$1004:$AE$1004,1,MATCH(COLUMNS($V$1006:W1006),$V$1006:$AE$1006,0)))),"Fix")))</f>
        <v>0</v>
      </c>
      <c r="D154" s="3">
        <f>IF(OR(INDEX($P$2:$P$1001,MATCH(ROWS($O$2:O154),$O$2:$O$1001,0),1)&gt;=100000,INDEX($V$1005:$AE$1005,1,MATCH(COLUMNS($V$1006:X1006),$V$1006:$AE$1006,0))&gt;=100000), " ",IF(INDEX($V$2:$AE$1001,MATCH(ROWS($O$2:O154),$O$2:$O$1001,0),MATCH(COLUMNS($V$1006:X1006),$V$1006:$AE$1006,0)), HYPERLINK("#",""), HYPERLINK(CONCATENATE("#Metadata!", ADDRESS(INDEX($Q$2:$Q$1001,MATCH(ROWS($O$2:O154),$O$2:$O$1001,0),0), INDEX($V$1004:$AE$1004,1,MATCH(COLUMNS($V$1006:X1006),$V$1006:$AE$1006,0)))),"Fix")))</f>
        <v>0</v>
      </c>
      <c r="E154" s="3">
        <f>IF(OR(INDEX($P$2:$P$1001,MATCH(ROWS($O$2:O154),$O$2:$O$1001,0),1)&gt;=100000,INDEX($V$1005:$AE$1005,1,MATCH(COLUMNS($V$1006:Y1006),$V$1006:$AE$1006,0))&gt;=100000), " ",IF(INDEX($V$2:$AE$1001,MATCH(ROWS($O$2:O154),$O$2:$O$1001,0),MATCH(COLUMNS($V$1006:Y1006),$V$1006:$AE$1006,0)), HYPERLINK("#",""), HYPERLINK(CONCATENATE("#Metadata!", ADDRESS(INDEX($Q$2:$Q$1001,MATCH(ROWS($O$2:O154),$O$2:$O$1001,0),0), INDEX($V$1004:$AE$1004,1,MATCH(COLUMNS($V$1006:Y1006),$V$1006:$AE$1006,0)))),"Fix")))</f>
        <v>0</v>
      </c>
      <c r="F154" s="3">
        <f>IF(OR(INDEX($P$2:$P$1001,MATCH(ROWS($O$2:O154),$O$2:$O$1001,0),1)&gt;=100000,INDEX($V$1005:$AE$1005,1,MATCH(COLUMNS($V$1006:Z1006),$V$1006:$AE$1006,0))&gt;=100000), " ",IF(INDEX($V$2:$AE$1001,MATCH(ROWS($O$2:O154),$O$2:$O$1001,0),MATCH(COLUMNS($V$1006:Z1006),$V$1006:$AE$1006,0)), HYPERLINK("#",""), HYPERLINK(CONCATENATE("#Metadata!", ADDRESS(INDEX($Q$2:$Q$1001,MATCH(ROWS($O$2:O154),$O$2:$O$1001,0),0), INDEX($V$1004:$AE$1004,1,MATCH(COLUMNS($V$1006:Z1006),$V$1006:$AE$1006,0)))),"Fix")))</f>
        <v>0</v>
      </c>
      <c r="G154" s="3">
        <f>IF(OR(INDEX($P$2:$P$1001,MATCH(ROWS($O$2:O154),$O$2:$O$1001,0),1)&gt;=100000,INDEX($V$1005:$AE$1005,1,MATCH(COLUMNS($V$1006:AA1006),$V$1006:$AE$1006,0))&gt;=100000), " ",IF(INDEX($V$2:$AE$1001,MATCH(ROWS($O$2:O154),$O$2:$O$1001,0),MATCH(COLUMNS($V$1006:AA1006),$V$1006:$AE$1006,0)), HYPERLINK("#",""), HYPERLINK(CONCATENATE("#Metadata!", ADDRESS(INDEX($Q$2:$Q$1001,MATCH(ROWS($O$2:O154),$O$2:$O$1001,0),0), INDEX($V$1004:$AE$1004,1,MATCH(COLUMNS($V$1006:AA1006),$V$1006:$AE$1006,0)))),"Fix")))</f>
        <v>0</v>
      </c>
      <c r="H154" s="3">
        <f>IF(OR(INDEX($P$2:$P$1001,MATCH(ROWS($O$2:O154),$O$2:$O$1001,0),1)&gt;=100000,INDEX($V$1005:$AE$1005,1,MATCH(COLUMNS($V$1006:AB1006),$V$1006:$AE$1006,0))&gt;=100000), " ",IF(INDEX($V$2:$AE$1001,MATCH(ROWS($O$2:O154),$O$2:$O$1001,0),MATCH(COLUMNS($V$1006:AB1006),$V$1006:$AE$1006,0)), HYPERLINK("#",""), HYPERLINK(CONCATENATE("#Metadata!", ADDRESS(INDEX($Q$2:$Q$1001,MATCH(ROWS($O$2:O154),$O$2:$O$1001,0),0), INDEX($V$1004:$AE$1004,1,MATCH(COLUMNS($V$1006:AB1006),$V$1006:$AE$1006,0)))),"Fix")))</f>
        <v>0</v>
      </c>
      <c r="I154" s="3">
        <f>IF(OR(INDEX($P$2:$P$1001,MATCH(ROWS($O$2:O154),$O$2:$O$1001,0),1)&gt;=100000,INDEX($V$1005:$AE$1005,1,MATCH(COLUMNS($V$1006:AC1006),$V$1006:$AE$1006,0))&gt;=100000), " ",IF(INDEX($V$2:$AE$1001,MATCH(ROWS($O$2:O154),$O$2:$O$1001,0),MATCH(COLUMNS($V$1006:AC1006),$V$1006:$AE$1006,0)), HYPERLINK("#",""), HYPERLINK(CONCATENATE("#Metadata!", ADDRESS(INDEX($Q$2:$Q$1001,MATCH(ROWS($O$2:O154),$O$2:$O$1001,0),0), INDEX($V$1004:$AE$1004,1,MATCH(COLUMNS($V$1006:AC1006),$V$1006:$AE$1006,0)))),"Fix")))</f>
        <v>0</v>
      </c>
      <c r="J154" s="3">
        <f>IF(OR(INDEX($P$2:$P$1001,MATCH(ROWS($O$2:O154),$O$2:$O$1001,0),1)&gt;=100000,INDEX($V$1005:$AE$1005,1,MATCH(COLUMNS($V$1006:AD1006),$V$1006:$AE$1006,0))&gt;=100000), " ",IF(INDEX($V$2:$AE$1001,MATCH(ROWS($O$2:O154),$O$2:$O$1001,0),MATCH(COLUMNS($V$1006:AD1006),$V$1006:$AE$1006,0)), HYPERLINK("#",""), HYPERLINK(CONCATENATE("#Metadata!", ADDRESS(INDEX($Q$2:$Q$1001,MATCH(ROWS($O$2:O154),$O$2:$O$1001,0),0), INDEX($V$1004:$AE$1004,1,MATCH(COLUMNS($V$1006:AD1006),$V$1006:$AE$1006,0)))),"Fix")))</f>
        <v>0</v>
      </c>
      <c r="K154" s="3">
        <f>IF(OR(INDEX($P$2:$P$1001,MATCH(ROWS($O$2:O154),$O$2:$O$1001,0),1)&gt;=100000,INDEX($V$1005:$AE$1005,1,MATCH(COLUMNS($V$1006:AE1006),$V$1006:$AE$1006,0))&gt;=100000), " ",IF(INDEX($V$2:$AE$1001,MATCH(ROWS($O$2:O154),$O$2:$O$1001,0),MATCH(COLUMNS($V$1006:AE1006),$V$1006:$AE$1006,0)), HYPERLINK("#",""), HYPERLINK(CONCATENATE("#Metadata!", ADDRESS(INDEX($Q$2:$Q$1001,MATCH(ROWS($O$2:O154),$O$2:$O$1001,0),0), INDEX($V$1004:$AE$1004,1,MATCH(COLUMNS($V$1006:AE1006),$V$1006:$AE$1006,0)))),"Fix")))</f>
        <v>0</v>
      </c>
      <c r="O154">
        <v>0</v>
      </c>
      <c r="P154">
        <v>0</v>
      </c>
      <c r="Q154">
        <v>0</v>
      </c>
      <c r="R154">
        <f>IF(S154,TRUE,AND(V154:AE154))</f>
        <v>0</v>
      </c>
      <c r="S154">
        <f>COUNTBLANK(Metadata!B154:K154)=COLUMNS(Metadata!B154:K154)</f>
        <v>0</v>
      </c>
      <c r="T154">
        <v>0</v>
      </c>
      <c r="V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W154">
        <f>AND(IF(Metadata!C154="",FALSE,TRUE),exact(Metadata!C154,"animal secretion"))</f>
        <v>0</v>
      </c>
      <c r="X154">
        <f>AND(IF(Metadata!D154="",FALSE,TRUE),exact(Metadata!D154,"saliva"))</f>
        <v>0</v>
      </c>
      <c r="Y154">
        <f>AND(IF(Metadata!E154="",FALSE,TRUE),exact(Metadata!E154,"human-oral"))</f>
        <v>0</v>
      </c>
      <c r="Z154">
        <f>AND(IF(Metadata!F154="",FALSE,TRUE),exact(Metadata!F154,"UBERON:oral cavity"))</f>
        <v>0</v>
      </c>
      <c r="AA154">
        <f>AND(IF(Metadata!G154="",FALSE,TRUE),exact(Metadata!G154,"UBERON:saliva"))</f>
        <v>0</v>
      </c>
      <c r="AB154">
        <f>AND(IF(Metadata!H154="",FALSE,TRUE),exact(Metadata!H154,"UBERON:tongue"))</f>
        <v>0</v>
      </c>
      <c r="AC154">
        <f>AND(IF(Metadata!I154="",FALSE,TRUE),exact(Metadata!I154,"tongue"))</f>
        <v>0</v>
      </c>
      <c r="AD154">
        <f>AND(IF(Metadata!J154="",FALSE,TRUE),exact(Metadata!J154,"human oral metagenome"))</f>
        <v>0</v>
      </c>
      <c r="AE154">
        <f>AND(IF(Metadata!K154="",FALSE,TRUE),exact(Metadata!K154,"447426"))</f>
        <v>0</v>
      </c>
    </row>
    <row r="155" spans="1:31">
      <c r="A155" s="4">
        <f>IF(B155=" "," ",HYPERLINK(CONCATENATE("#metadata!",ADDRESS(INDEX($Q$2:$Q$1001,MATCH(ROWS($O$2:O155),$O$2:$O$1001,0),0),1)),INDEX($T$2:$T$1001,MATCH(ROWS($O$2:O155),$O$2:$O$1001,0),0)))</f>
        <v>0</v>
      </c>
      <c r="B155" s="3">
        <f>IF(OR(INDEX($P$2:$P$1001,MATCH(ROWS($O$2:O155),$O$2:$O$1001,0),1)&gt;=100000,INDEX($V$1005:$AE$1005,1,MATCH(COLUMNS($V$1006:V1006),$V$1006:$AE$1006,0))&gt;=100000), " ",IF(INDEX($V$2:$AE$1001,MATCH(ROWS($O$2:O155),$O$2:$O$1001,0),MATCH(COLUMNS($V$1006:V1006),$V$1006:$AE$1006,0)), HYPERLINK("#",""), HYPERLINK(CONCATENATE("#Metadata!", ADDRESS(INDEX($Q$2:$Q$1001,MATCH(ROWS($O$2:O155),$O$2:$O$1001,0),0), INDEX($V$1004:$AE$1004,1,MATCH(COLUMNS($V$1006:V1006),$V$1006:$AE$1006,0)))),"Fix")))</f>
        <v>0</v>
      </c>
      <c r="C155" s="3">
        <f>IF(OR(INDEX($P$2:$P$1001,MATCH(ROWS($O$2:O155),$O$2:$O$1001,0),1)&gt;=100000,INDEX($V$1005:$AE$1005,1,MATCH(COLUMNS($V$1006:W1006),$V$1006:$AE$1006,0))&gt;=100000), " ",IF(INDEX($V$2:$AE$1001,MATCH(ROWS($O$2:O155),$O$2:$O$1001,0),MATCH(COLUMNS($V$1006:W1006),$V$1006:$AE$1006,0)), HYPERLINK("#",""), HYPERLINK(CONCATENATE("#Metadata!", ADDRESS(INDEX($Q$2:$Q$1001,MATCH(ROWS($O$2:O155),$O$2:$O$1001,0),0), INDEX($V$1004:$AE$1004,1,MATCH(COLUMNS($V$1006:W1006),$V$1006:$AE$1006,0)))),"Fix")))</f>
        <v>0</v>
      </c>
      <c r="D155" s="3">
        <f>IF(OR(INDEX($P$2:$P$1001,MATCH(ROWS($O$2:O155),$O$2:$O$1001,0),1)&gt;=100000,INDEX($V$1005:$AE$1005,1,MATCH(COLUMNS($V$1006:X1006),$V$1006:$AE$1006,0))&gt;=100000), " ",IF(INDEX($V$2:$AE$1001,MATCH(ROWS($O$2:O155),$O$2:$O$1001,0),MATCH(COLUMNS($V$1006:X1006),$V$1006:$AE$1006,0)), HYPERLINK("#",""), HYPERLINK(CONCATENATE("#Metadata!", ADDRESS(INDEX($Q$2:$Q$1001,MATCH(ROWS($O$2:O155),$O$2:$O$1001,0),0), INDEX($V$1004:$AE$1004,1,MATCH(COLUMNS($V$1006:X1006),$V$1006:$AE$1006,0)))),"Fix")))</f>
        <v>0</v>
      </c>
      <c r="E155" s="3">
        <f>IF(OR(INDEX($P$2:$P$1001,MATCH(ROWS($O$2:O155),$O$2:$O$1001,0),1)&gt;=100000,INDEX($V$1005:$AE$1005,1,MATCH(COLUMNS($V$1006:Y1006),$V$1006:$AE$1006,0))&gt;=100000), " ",IF(INDEX($V$2:$AE$1001,MATCH(ROWS($O$2:O155),$O$2:$O$1001,0),MATCH(COLUMNS($V$1006:Y1006),$V$1006:$AE$1006,0)), HYPERLINK("#",""), HYPERLINK(CONCATENATE("#Metadata!", ADDRESS(INDEX($Q$2:$Q$1001,MATCH(ROWS($O$2:O155),$O$2:$O$1001,0),0), INDEX($V$1004:$AE$1004,1,MATCH(COLUMNS($V$1006:Y1006),$V$1006:$AE$1006,0)))),"Fix")))</f>
        <v>0</v>
      </c>
      <c r="F155" s="3">
        <f>IF(OR(INDEX($P$2:$P$1001,MATCH(ROWS($O$2:O155),$O$2:$O$1001,0),1)&gt;=100000,INDEX($V$1005:$AE$1005,1,MATCH(COLUMNS($V$1006:Z1006),$V$1006:$AE$1006,0))&gt;=100000), " ",IF(INDEX($V$2:$AE$1001,MATCH(ROWS($O$2:O155),$O$2:$O$1001,0),MATCH(COLUMNS($V$1006:Z1006),$V$1006:$AE$1006,0)), HYPERLINK("#",""), HYPERLINK(CONCATENATE("#Metadata!", ADDRESS(INDEX($Q$2:$Q$1001,MATCH(ROWS($O$2:O155),$O$2:$O$1001,0),0), INDEX($V$1004:$AE$1004,1,MATCH(COLUMNS($V$1006:Z1006),$V$1006:$AE$1006,0)))),"Fix")))</f>
        <v>0</v>
      </c>
      <c r="G155" s="3">
        <f>IF(OR(INDEX($P$2:$P$1001,MATCH(ROWS($O$2:O155),$O$2:$O$1001,0),1)&gt;=100000,INDEX($V$1005:$AE$1005,1,MATCH(COLUMNS($V$1006:AA1006),$V$1006:$AE$1006,0))&gt;=100000), " ",IF(INDEX($V$2:$AE$1001,MATCH(ROWS($O$2:O155),$O$2:$O$1001,0),MATCH(COLUMNS($V$1006:AA1006),$V$1006:$AE$1006,0)), HYPERLINK("#",""), HYPERLINK(CONCATENATE("#Metadata!", ADDRESS(INDEX($Q$2:$Q$1001,MATCH(ROWS($O$2:O155),$O$2:$O$1001,0),0), INDEX($V$1004:$AE$1004,1,MATCH(COLUMNS($V$1006:AA1006),$V$1006:$AE$1006,0)))),"Fix")))</f>
        <v>0</v>
      </c>
      <c r="H155" s="3">
        <f>IF(OR(INDEX($P$2:$P$1001,MATCH(ROWS($O$2:O155),$O$2:$O$1001,0),1)&gt;=100000,INDEX($V$1005:$AE$1005,1,MATCH(COLUMNS($V$1006:AB1006),$V$1006:$AE$1006,0))&gt;=100000), " ",IF(INDEX($V$2:$AE$1001,MATCH(ROWS($O$2:O155),$O$2:$O$1001,0),MATCH(COLUMNS($V$1006:AB1006),$V$1006:$AE$1006,0)), HYPERLINK("#",""), HYPERLINK(CONCATENATE("#Metadata!", ADDRESS(INDEX($Q$2:$Q$1001,MATCH(ROWS($O$2:O155),$O$2:$O$1001,0),0), INDEX($V$1004:$AE$1004,1,MATCH(COLUMNS($V$1006:AB1006),$V$1006:$AE$1006,0)))),"Fix")))</f>
        <v>0</v>
      </c>
      <c r="I155" s="3">
        <f>IF(OR(INDEX($P$2:$P$1001,MATCH(ROWS($O$2:O155),$O$2:$O$1001,0),1)&gt;=100000,INDEX($V$1005:$AE$1005,1,MATCH(COLUMNS($V$1006:AC1006),$V$1006:$AE$1006,0))&gt;=100000), " ",IF(INDEX($V$2:$AE$1001,MATCH(ROWS($O$2:O155),$O$2:$O$1001,0),MATCH(COLUMNS($V$1006:AC1006),$V$1006:$AE$1006,0)), HYPERLINK("#",""), HYPERLINK(CONCATENATE("#Metadata!", ADDRESS(INDEX($Q$2:$Q$1001,MATCH(ROWS($O$2:O155),$O$2:$O$1001,0),0), INDEX($V$1004:$AE$1004,1,MATCH(COLUMNS($V$1006:AC1006),$V$1006:$AE$1006,0)))),"Fix")))</f>
        <v>0</v>
      </c>
      <c r="J155" s="3">
        <f>IF(OR(INDEX($P$2:$P$1001,MATCH(ROWS($O$2:O155),$O$2:$O$1001,0),1)&gt;=100000,INDEX($V$1005:$AE$1005,1,MATCH(COLUMNS($V$1006:AD1006),$V$1006:$AE$1006,0))&gt;=100000), " ",IF(INDEX($V$2:$AE$1001,MATCH(ROWS($O$2:O155),$O$2:$O$1001,0),MATCH(COLUMNS($V$1006:AD1006),$V$1006:$AE$1006,0)), HYPERLINK("#",""), HYPERLINK(CONCATENATE("#Metadata!", ADDRESS(INDEX($Q$2:$Q$1001,MATCH(ROWS($O$2:O155),$O$2:$O$1001,0),0), INDEX($V$1004:$AE$1004,1,MATCH(COLUMNS($V$1006:AD1006),$V$1006:$AE$1006,0)))),"Fix")))</f>
        <v>0</v>
      </c>
      <c r="K155" s="3">
        <f>IF(OR(INDEX($P$2:$P$1001,MATCH(ROWS($O$2:O155),$O$2:$O$1001,0),1)&gt;=100000,INDEX($V$1005:$AE$1005,1,MATCH(COLUMNS($V$1006:AE1006),$V$1006:$AE$1006,0))&gt;=100000), " ",IF(INDEX($V$2:$AE$1001,MATCH(ROWS($O$2:O155),$O$2:$O$1001,0),MATCH(COLUMNS($V$1006:AE1006),$V$1006:$AE$1006,0)), HYPERLINK("#",""), HYPERLINK(CONCATENATE("#Metadata!", ADDRESS(INDEX($Q$2:$Q$1001,MATCH(ROWS($O$2:O155),$O$2:$O$1001,0),0), INDEX($V$1004:$AE$1004,1,MATCH(COLUMNS($V$1006:AE1006),$V$1006:$AE$1006,0)))),"Fix")))</f>
        <v>0</v>
      </c>
      <c r="O155">
        <v>0</v>
      </c>
      <c r="P155">
        <v>0</v>
      </c>
      <c r="Q155">
        <v>0</v>
      </c>
      <c r="R155">
        <f>IF(S155,TRUE,AND(V155:AE155))</f>
        <v>0</v>
      </c>
      <c r="S155">
        <f>COUNTBLANK(Metadata!B155:K155)=COLUMNS(Metadata!B155:K155)</f>
        <v>0</v>
      </c>
      <c r="T155">
        <v>0</v>
      </c>
      <c r="V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W155">
        <f>AND(IF(Metadata!C155="",FALSE,TRUE),exact(Metadata!C155,"animal secretion"))</f>
        <v>0</v>
      </c>
      <c r="X155">
        <f>AND(IF(Metadata!D155="",FALSE,TRUE),exact(Metadata!D155,"saliva"))</f>
        <v>0</v>
      </c>
      <c r="Y155">
        <f>AND(IF(Metadata!E155="",FALSE,TRUE),exact(Metadata!E155,"human-oral"))</f>
        <v>0</v>
      </c>
      <c r="Z155">
        <f>AND(IF(Metadata!F155="",FALSE,TRUE),exact(Metadata!F155,"UBERON:oral cavity"))</f>
        <v>0</v>
      </c>
      <c r="AA155">
        <f>AND(IF(Metadata!G155="",FALSE,TRUE),exact(Metadata!G155,"UBERON:saliva"))</f>
        <v>0</v>
      </c>
      <c r="AB155">
        <f>AND(IF(Metadata!H155="",FALSE,TRUE),exact(Metadata!H155,"UBERON:tongue"))</f>
        <v>0</v>
      </c>
      <c r="AC155">
        <f>AND(IF(Metadata!I155="",FALSE,TRUE),exact(Metadata!I155,"tongue"))</f>
        <v>0</v>
      </c>
      <c r="AD155">
        <f>AND(IF(Metadata!J155="",FALSE,TRUE),exact(Metadata!J155,"human oral metagenome"))</f>
        <v>0</v>
      </c>
      <c r="AE155">
        <f>AND(IF(Metadata!K155="",FALSE,TRUE),exact(Metadata!K155,"447426"))</f>
        <v>0</v>
      </c>
    </row>
    <row r="156" spans="1:31">
      <c r="A156" s="4">
        <f>IF(B156=" "," ",HYPERLINK(CONCATENATE("#metadata!",ADDRESS(INDEX($Q$2:$Q$1001,MATCH(ROWS($O$2:O156),$O$2:$O$1001,0),0),1)),INDEX($T$2:$T$1001,MATCH(ROWS($O$2:O156),$O$2:$O$1001,0),0)))</f>
        <v>0</v>
      </c>
      <c r="B156" s="3">
        <f>IF(OR(INDEX($P$2:$P$1001,MATCH(ROWS($O$2:O156),$O$2:$O$1001,0),1)&gt;=100000,INDEX($V$1005:$AE$1005,1,MATCH(COLUMNS($V$1006:V1006),$V$1006:$AE$1006,0))&gt;=100000), " ",IF(INDEX($V$2:$AE$1001,MATCH(ROWS($O$2:O156),$O$2:$O$1001,0),MATCH(COLUMNS($V$1006:V1006),$V$1006:$AE$1006,0)), HYPERLINK("#",""), HYPERLINK(CONCATENATE("#Metadata!", ADDRESS(INDEX($Q$2:$Q$1001,MATCH(ROWS($O$2:O156),$O$2:$O$1001,0),0), INDEX($V$1004:$AE$1004,1,MATCH(COLUMNS($V$1006:V1006),$V$1006:$AE$1006,0)))),"Fix")))</f>
        <v>0</v>
      </c>
      <c r="C156" s="3">
        <f>IF(OR(INDEX($P$2:$P$1001,MATCH(ROWS($O$2:O156),$O$2:$O$1001,0),1)&gt;=100000,INDEX($V$1005:$AE$1005,1,MATCH(COLUMNS($V$1006:W1006),$V$1006:$AE$1006,0))&gt;=100000), " ",IF(INDEX($V$2:$AE$1001,MATCH(ROWS($O$2:O156),$O$2:$O$1001,0),MATCH(COLUMNS($V$1006:W1006),$V$1006:$AE$1006,0)), HYPERLINK("#",""), HYPERLINK(CONCATENATE("#Metadata!", ADDRESS(INDEX($Q$2:$Q$1001,MATCH(ROWS($O$2:O156),$O$2:$O$1001,0),0), INDEX($V$1004:$AE$1004,1,MATCH(COLUMNS($V$1006:W1006),$V$1006:$AE$1006,0)))),"Fix")))</f>
        <v>0</v>
      </c>
      <c r="D156" s="3">
        <f>IF(OR(INDEX($P$2:$P$1001,MATCH(ROWS($O$2:O156),$O$2:$O$1001,0),1)&gt;=100000,INDEX($V$1005:$AE$1005,1,MATCH(COLUMNS($V$1006:X1006),$V$1006:$AE$1006,0))&gt;=100000), " ",IF(INDEX($V$2:$AE$1001,MATCH(ROWS($O$2:O156),$O$2:$O$1001,0),MATCH(COLUMNS($V$1006:X1006),$V$1006:$AE$1006,0)), HYPERLINK("#",""), HYPERLINK(CONCATENATE("#Metadata!", ADDRESS(INDEX($Q$2:$Q$1001,MATCH(ROWS($O$2:O156),$O$2:$O$1001,0),0), INDEX($V$1004:$AE$1004,1,MATCH(COLUMNS($V$1006:X1006),$V$1006:$AE$1006,0)))),"Fix")))</f>
        <v>0</v>
      </c>
      <c r="E156" s="3">
        <f>IF(OR(INDEX($P$2:$P$1001,MATCH(ROWS($O$2:O156),$O$2:$O$1001,0),1)&gt;=100000,INDEX($V$1005:$AE$1005,1,MATCH(COLUMNS($V$1006:Y1006),$V$1006:$AE$1006,0))&gt;=100000), " ",IF(INDEX($V$2:$AE$1001,MATCH(ROWS($O$2:O156),$O$2:$O$1001,0),MATCH(COLUMNS($V$1006:Y1006),$V$1006:$AE$1006,0)), HYPERLINK("#",""), HYPERLINK(CONCATENATE("#Metadata!", ADDRESS(INDEX($Q$2:$Q$1001,MATCH(ROWS($O$2:O156),$O$2:$O$1001,0),0), INDEX($V$1004:$AE$1004,1,MATCH(COLUMNS($V$1006:Y1006),$V$1006:$AE$1006,0)))),"Fix")))</f>
        <v>0</v>
      </c>
      <c r="F156" s="3">
        <f>IF(OR(INDEX($P$2:$P$1001,MATCH(ROWS($O$2:O156),$O$2:$O$1001,0),1)&gt;=100000,INDEX($V$1005:$AE$1005,1,MATCH(COLUMNS($V$1006:Z1006),$V$1006:$AE$1006,0))&gt;=100000), " ",IF(INDEX($V$2:$AE$1001,MATCH(ROWS($O$2:O156),$O$2:$O$1001,0),MATCH(COLUMNS($V$1006:Z1006),$V$1006:$AE$1006,0)), HYPERLINK("#",""), HYPERLINK(CONCATENATE("#Metadata!", ADDRESS(INDEX($Q$2:$Q$1001,MATCH(ROWS($O$2:O156),$O$2:$O$1001,0),0), INDEX($V$1004:$AE$1004,1,MATCH(COLUMNS($V$1006:Z1006),$V$1006:$AE$1006,0)))),"Fix")))</f>
        <v>0</v>
      </c>
      <c r="G156" s="3">
        <f>IF(OR(INDEX($P$2:$P$1001,MATCH(ROWS($O$2:O156),$O$2:$O$1001,0),1)&gt;=100000,INDEX($V$1005:$AE$1005,1,MATCH(COLUMNS($V$1006:AA1006),$V$1006:$AE$1006,0))&gt;=100000), " ",IF(INDEX($V$2:$AE$1001,MATCH(ROWS($O$2:O156),$O$2:$O$1001,0),MATCH(COLUMNS($V$1006:AA1006),$V$1006:$AE$1006,0)), HYPERLINK("#",""), HYPERLINK(CONCATENATE("#Metadata!", ADDRESS(INDEX($Q$2:$Q$1001,MATCH(ROWS($O$2:O156),$O$2:$O$1001,0),0), INDEX($V$1004:$AE$1004,1,MATCH(COLUMNS($V$1006:AA1006),$V$1006:$AE$1006,0)))),"Fix")))</f>
        <v>0</v>
      </c>
      <c r="H156" s="3">
        <f>IF(OR(INDEX($P$2:$P$1001,MATCH(ROWS($O$2:O156),$O$2:$O$1001,0),1)&gt;=100000,INDEX($V$1005:$AE$1005,1,MATCH(COLUMNS($V$1006:AB1006),$V$1006:$AE$1006,0))&gt;=100000), " ",IF(INDEX($V$2:$AE$1001,MATCH(ROWS($O$2:O156),$O$2:$O$1001,0),MATCH(COLUMNS($V$1006:AB1006),$V$1006:$AE$1006,0)), HYPERLINK("#",""), HYPERLINK(CONCATENATE("#Metadata!", ADDRESS(INDEX($Q$2:$Q$1001,MATCH(ROWS($O$2:O156),$O$2:$O$1001,0),0), INDEX($V$1004:$AE$1004,1,MATCH(COLUMNS($V$1006:AB1006),$V$1006:$AE$1006,0)))),"Fix")))</f>
        <v>0</v>
      </c>
      <c r="I156" s="3">
        <f>IF(OR(INDEX($P$2:$P$1001,MATCH(ROWS($O$2:O156),$O$2:$O$1001,0),1)&gt;=100000,INDEX($V$1005:$AE$1005,1,MATCH(COLUMNS($V$1006:AC1006),$V$1006:$AE$1006,0))&gt;=100000), " ",IF(INDEX($V$2:$AE$1001,MATCH(ROWS($O$2:O156),$O$2:$O$1001,0),MATCH(COLUMNS($V$1006:AC1006),$V$1006:$AE$1006,0)), HYPERLINK("#",""), HYPERLINK(CONCATENATE("#Metadata!", ADDRESS(INDEX($Q$2:$Q$1001,MATCH(ROWS($O$2:O156),$O$2:$O$1001,0),0), INDEX($V$1004:$AE$1004,1,MATCH(COLUMNS($V$1006:AC1006),$V$1006:$AE$1006,0)))),"Fix")))</f>
        <v>0</v>
      </c>
      <c r="J156" s="3">
        <f>IF(OR(INDEX($P$2:$P$1001,MATCH(ROWS($O$2:O156),$O$2:$O$1001,0),1)&gt;=100000,INDEX($V$1005:$AE$1005,1,MATCH(COLUMNS($V$1006:AD1006),$V$1006:$AE$1006,0))&gt;=100000), " ",IF(INDEX($V$2:$AE$1001,MATCH(ROWS($O$2:O156),$O$2:$O$1001,0),MATCH(COLUMNS($V$1006:AD1006),$V$1006:$AE$1006,0)), HYPERLINK("#",""), HYPERLINK(CONCATENATE("#Metadata!", ADDRESS(INDEX($Q$2:$Q$1001,MATCH(ROWS($O$2:O156),$O$2:$O$1001,0),0), INDEX($V$1004:$AE$1004,1,MATCH(COLUMNS($V$1006:AD1006),$V$1006:$AE$1006,0)))),"Fix")))</f>
        <v>0</v>
      </c>
      <c r="K156" s="3">
        <f>IF(OR(INDEX($P$2:$P$1001,MATCH(ROWS($O$2:O156),$O$2:$O$1001,0),1)&gt;=100000,INDEX($V$1005:$AE$1005,1,MATCH(COLUMNS($V$1006:AE1006),$V$1006:$AE$1006,0))&gt;=100000), " ",IF(INDEX($V$2:$AE$1001,MATCH(ROWS($O$2:O156),$O$2:$O$1001,0),MATCH(COLUMNS($V$1006:AE1006),$V$1006:$AE$1006,0)), HYPERLINK("#",""), HYPERLINK(CONCATENATE("#Metadata!", ADDRESS(INDEX($Q$2:$Q$1001,MATCH(ROWS($O$2:O156),$O$2:$O$1001,0),0), INDEX($V$1004:$AE$1004,1,MATCH(COLUMNS($V$1006:AE1006),$V$1006:$AE$1006,0)))),"Fix")))</f>
        <v>0</v>
      </c>
      <c r="O156">
        <v>0</v>
      </c>
      <c r="P156">
        <v>0</v>
      </c>
      <c r="Q156">
        <v>0</v>
      </c>
      <c r="R156">
        <f>IF(S156,TRUE,AND(V156:AE156))</f>
        <v>0</v>
      </c>
      <c r="S156">
        <f>COUNTBLANK(Metadata!B156:K156)=COLUMNS(Metadata!B156:K156)</f>
        <v>0</v>
      </c>
      <c r="T156">
        <v>0</v>
      </c>
      <c r="V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W156">
        <f>AND(IF(Metadata!C156="",FALSE,TRUE),exact(Metadata!C156,"animal secretion"))</f>
        <v>0</v>
      </c>
      <c r="X156">
        <f>AND(IF(Metadata!D156="",FALSE,TRUE),exact(Metadata!D156,"saliva"))</f>
        <v>0</v>
      </c>
      <c r="Y156">
        <f>AND(IF(Metadata!E156="",FALSE,TRUE),exact(Metadata!E156,"human-oral"))</f>
        <v>0</v>
      </c>
      <c r="Z156">
        <f>AND(IF(Metadata!F156="",FALSE,TRUE),exact(Metadata!F156,"UBERON:oral cavity"))</f>
        <v>0</v>
      </c>
      <c r="AA156">
        <f>AND(IF(Metadata!G156="",FALSE,TRUE),exact(Metadata!G156,"UBERON:saliva"))</f>
        <v>0</v>
      </c>
      <c r="AB156">
        <f>AND(IF(Metadata!H156="",FALSE,TRUE),exact(Metadata!H156,"UBERON:tongue"))</f>
        <v>0</v>
      </c>
      <c r="AC156">
        <f>AND(IF(Metadata!I156="",FALSE,TRUE),exact(Metadata!I156,"tongue"))</f>
        <v>0</v>
      </c>
      <c r="AD156">
        <f>AND(IF(Metadata!J156="",FALSE,TRUE),exact(Metadata!J156,"human oral metagenome"))</f>
        <v>0</v>
      </c>
      <c r="AE156">
        <f>AND(IF(Metadata!K156="",FALSE,TRUE),exact(Metadata!K156,"447426"))</f>
        <v>0</v>
      </c>
    </row>
    <row r="157" spans="1:31">
      <c r="A157" s="4">
        <f>IF(B157=" "," ",HYPERLINK(CONCATENATE("#metadata!",ADDRESS(INDEX($Q$2:$Q$1001,MATCH(ROWS($O$2:O157),$O$2:$O$1001,0),0),1)),INDEX($T$2:$T$1001,MATCH(ROWS($O$2:O157),$O$2:$O$1001,0),0)))</f>
        <v>0</v>
      </c>
      <c r="B157" s="3">
        <f>IF(OR(INDEX($P$2:$P$1001,MATCH(ROWS($O$2:O157),$O$2:$O$1001,0),1)&gt;=100000,INDEX($V$1005:$AE$1005,1,MATCH(COLUMNS($V$1006:V1006),$V$1006:$AE$1006,0))&gt;=100000), " ",IF(INDEX($V$2:$AE$1001,MATCH(ROWS($O$2:O157),$O$2:$O$1001,0),MATCH(COLUMNS($V$1006:V1006),$V$1006:$AE$1006,0)), HYPERLINK("#",""), HYPERLINK(CONCATENATE("#Metadata!", ADDRESS(INDEX($Q$2:$Q$1001,MATCH(ROWS($O$2:O157),$O$2:$O$1001,0),0), INDEX($V$1004:$AE$1004,1,MATCH(COLUMNS($V$1006:V1006),$V$1006:$AE$1006,0)))),"Fix")))</f>
        <v>0</v>
      </c>
      <c r="C157" s="3">
        <f>IF(OR(INDEX($P$2:$P$1001,MATCH(ROWS($O$2:O157),$O$2:$O$1001,0),1)&gt;=100000,INDEX($V$1005:$AE$1005,1,MATCH(COLUMNS($V$1006:W1006),$V$1006:$AE$1006,0))&gt;=100000), " ",IF(INDEX($V$2:$AE$1001,MATCH(ROWS($O$2:O157),$O$2:$O$1001,0),MATCH(COLUMNS($V$1006:W1006),$V$1006:$AE$1006,0)), HYPERLINK("#",""), HYPERLINK(CONCATENATE("#Metadata!", ADDRESS(INDEX($Q$2:$Q$1001,MATCH(ROWS($O$2:O157),$O$2:$O$1001,0),0), INDEX($V$1004:$AE$1004,1,MATCH(COLUMNS($V$1006:W1006),$V$1006:$AE$1006,0)))),"Fix")))</f>
        <v>0</v>
      </c>
      <c r="D157" s="3">
        <f>IF(OR(INDEX($P$2:$P$1001,MATCH(ROWS($O$2:O157),$O$2:$O$1001,0),1)&gt;=100000,INDEX($V$1005:$AE$1005,1,MATCH(COLUMNS($V$1006:X1006),$V$1006:$AE$1006,0))&gt;=100000), " ",IF(INDEX($V$2:$AE$1001,MATCH(ROWS($O$2:O157),$O$2:$O$1001,0),MATCH(COLUMNS($V$1006:X1006),$V$1006:$AE$1006,0)), HYPERLINK("#",""), HYPERLINK(CONCATENATE("#Metadata!", ADDRESS(INDEX($Q$2:$Q$1001,MATCH(ROWS($O$2:O157),$O$2:$O$1001,0),0), INDEX($V$1004:$AE$1004,1,MATCH(COLUMNS($V$1006:X1006),$V$1006:$AE$1006,0)))),"Fix")))</f>
        <v>0</v>
      </c>
      <c r="E157" s="3">
        <f>IF(OR(INDEX($P$2:$P$1001,MATCH(ROWS($O$2:O157),$O$2:$O$1001,0),1)&gt;=100000,INDEX($V$1005:$AE$1005,1,MATCH(COLUMNS($V$1006:Y1006),$V$1006:$AE$1006,0))&gt;=100000), " ",IF(INDEX($V$2:$AE$1001,MATCH(ROWS($O$2:O157),$O$2:$O$1001,0),MATCH(COLUMNS($V$1006:Y1006),$V$1006:$AE$1006,0)), HYPERLINK("#",""), HYPERLINK(CONCATENATE("#Metadata!", ADDRESS(INDEX($Q$2:$Q$1001,MATCH(ROWS($O$2:O157),$O$2:$O$1001,0),0), INDEX($V$1004:$AE$1004,1,MATCH(COLUMNS($V$1006:Y1006),$V$1006:$AE$1006,0)))),"Fix")))</f>
        <v>0</v>
      </c>
      <c r="F157" s="3">
        <f>IF(OR(INDEX($P$2:$P$1001,MATCH(ROWS($O$2:O157),$O$2:$O$1001,0),1)&gt;=100000,INDEX($V$1005:$AE$1005,1,MATCH(COLUMNS($V$1006:Z1006),$V$1006:$AE$1006,0))&gt;=100000), " ",IF(INDEX($V$2:$AE$1001,MATCH(ROWS($O$2:O157),$O$2:$O$1001,0),MATCH(COLUMNS($V$1006:Z1006),$V$1006:$AE$1006,0)), HYPERLINK("#",""), HYPERLINK(CONCATENATE("#Metadata!", ADDRESS(INDEX($Q$2:$Q$1001,MATCH(ROWS($O$2:O157),$O$2:$O$1001,0),0), INDEX($V$1004:$AE$1004,1,MATCH(COLUMNS($V$1006:Z1006),$V$1006:$AE$1006,0)))),"Fix")))</f>
        <v>0</v>
      </c>
      <c r="G157" s="3">
        <f>IF(OR(INDEX($P$2:$P$1001,MATCH(ROWS($O$2:O157),$O$2:$O$1001,0),1)&gt;=100000,INDEX($V$1005:$AE$1005,1,MATCH(COLUMNS($V$1006:AA1006),$V$1006:$AE$1006,0))&gt;=100000), " ",IF(INDEX($V$2:$AE$1001,MATCH(ROWS($O$2:O157),$O$2:$O$1001,0),MATCH(COLUMNS($V$1006:AA1006),$V$1006:$AE$1006,0)), HYPERLINK("#",""), HYPERLINK(CONCATENATE("#Metadata!", ADDRESS(INDEX($Q$2:$Q$1001,MATCH(ROWS($O$2:O157),$O$2:$O$1001,0),0), INDEX($V$1004:$AE$1004,1,MATCH(COLUMNS($V$1006:AA1006),$V$1006:$AE$1006,0)))),"Fix")))</f>
        <v>0</v>
      </c>
      <c r="H157" s="3">
        <f>IF(OR(INDEX($P$2:$P$1001,MATCH(ROWS($O$2:O157),$O$2:$O$1001,0),1)&gt;=100000,INDEX($V$1005:$AE$1005,1,MATCH(COLUMNS($V$1006:AB1006),$V$1006:$AE$1006,0))&gt;=100000), " ",IF(INDEX($V$2:$AE$1001,MATCH(ROWS($O$2:O157),$O$2:$O$1001,0),MATCH(COLUMNS($V$1006:AB1006),$V$1006:$AE$1006,0)), HYPERLINK("#",""), HYPERLINK(CONCATENATE("#Metadata!", ADDRESS(INDEX($Q$2:$Q$1001,MATCH(ROWS($O$2:O157),$O$2:$O$1001,0),0), INDEX($V$1004:$AE$1004,1,MATCH(COLUMNS($V$1006:AB1006),$V$1006:$AE$1006,0)))),"Fix")))</f>
        <v>0</v>
      </c>
      <c r="I157" s="3">
        <f>IF(OR(INDEX($P$2:$P$1001,MATCH(ROWS($O$2:O157),$O$2:$O$1001,0),1)&gt;=100000,INDEX($V$1005:$AE$1005,1,MATCH(COLUMNS($V$1006:AC1006),$V$1006:$AE$1006,0))&gt;=100000), " ",IF(INDEX($V$2:$AE$1001,MATCH(ROWS($O$2:O157),$O$2:$O$1001,0),MATCH(COLUMNS($V$1006:AC1006),$V$1006:$AE$1006,0)), HYPERLINK("#",""), HYPERLINK(CONCATENATE("#Metadata!", ADDRESS(INDEX($Q$2:$Q$1001,MATCH(ROWS($O$2:O157),$O$2:$O$1001,0),0), INDEX($V$1004:$AE$1004,1,MATCH(COLUMNS($V$1006:AC1006),$V$1006:$AE$1006,0)))),"Fix")))</f>
        <v>0</v>
      </c>
      <c r="J157" s="3">
        <f>IF(OR(INDEX($P$2:$P$1001,MATCH(ROWS($O$2:O157),$O$2:$O$1001,0),1)&gt;=100000,INDEX($V$1005:$AE$1005,1,MATCH(COLUMNS($V$1006:AD1006),$V$1006:$AE$1006,0))&gt;=100000), " ",IF(INDEX($V$2:$AE$1001,MATCH(ROWS($O$2:O157),$O$2:$O$1001,0),MATCH(COLUMNS($V$1006:AD1006),$V$1006:$AE$1006,0)), HYPERLINK("#",""), HYPERLINK(CONCATENATE("#Metadata!", ADDRESS(INDEX($Q$2:$Q$1001,MATCH(ROWS($O$2:O157),$O$2:$O$1001,0),0), INDEX($V$1004:$AE$1004,1,MATCH(COLUMNS($V$1006:AD1006),$V$1006:$AE$1006,0)))),"Fix")))</f>
        <v>0</v>
      </c>
      <c r="K157" s="3">
        <f>IF(OR(INDEX($P$2:$P$1001,MATCH(ROWS($O$2:O157),$O$2:$O$1001,0),1)&gt;=100000,INDEX($V$1005:$AE$1005,1,MATCH(COLUMNS($V$1006:AE1006),$V$1006:$AE$1006,0))&gt;=100000), " ",IF(INDEX($V$2:$AE$1001,MATCH(ROWS($O$2:O157),$O$2:$O$1001,0),MATCH(COLUMNS($V$1006:AE1006),$V$1006:$AE$1006,0)), HYPERLINK("#",""), HYPERLINK(CONCATENATE("#Metadata!", ADDRESS(INDEX($Q$2:$Q$1001,MATCH(ROWS($O$2:O157),$O$2:$O$1001,0),0), INDEX($V$1004:$AE$1004,1,MATCH(COLUMNS($V$1006:AE1006),$V$1006:$AE$1006,0)))),"Fix")))</f>
        <v>0</v>
      </c>
      <c r="O157">
        <v>0</v>
      </c>
      <c r="P157">
        <v>0</v>
      </c>
      <c r="Q157">
        <v>0</v>
      </c>
      <c r="R157">
        <f>IF(S157,TRUE,AND(V157:AE157))</f>
        <v>0</v>
      </c>
      <c r="S157">
        <f>COUNTBLANK(Metadata!B157:K157)=COLUMNS(Metadata!B157:K157)</f>
        <v>0</v>
      </c>
      <c r="T157">
        <v>0</v>
      </c>
      <c r="V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W157">
        <f>AND(IF(Metadata!C157="",FALSE,TRUE),exact(Metadata!C157,"animal secretion"))</f>
        <v>0</v>
      </c>
      <c r="X157">
        <f>AND(IF(Metadata!D157="",FALSE,TRUE),exact(Metadata!D157,"saliva"))</f>
        <v>0</v>
      </c>
      <c r="Y157">
        <f>AND(IF(Metadata!E157="",FALSE,TRUE),exact(Metadata!E157,"human-oral"))</f>
        <v>0</v>
      </c>
      <c r="Z157">
        <f>AND(IF(Metadata!F157="",FALSE,TRUE),exact(Metadata!F157,"UBERON:oral cavity"))</f>
        <v>0</v>
      </c>
      <c r="AA157">
        <f>AND(IF(Metadata!G157="",FALSE,TRUE),exact(Metadata!G157,"UBERON:saliva"))</f>
        <v>0</v>
      </c>
      <c r="AB157">
        <f>AND(IF(Metadata!H157="",FALSE,TRUE),exact(Metadata!H157,"UBERON:tongue"))</f>
        <v>0</v>
      </c>
      <c r="AC157">
        <f>AND(IF(Metadata!I157="",FALSE,TRUE),exact(Metadata!I157,"tongue"))</f>
        <v>0</v>
      </c>
      <c r="AD157">
        <f>AND(IF(Metadata!J157="",FALSE,TRUE),exact(Metadata!J157,"human oral metagenome"))</f>
        <v>0</v>
      </c>
      <c r="AE157">
        <f>AND(IF(Metadata!K157="",FALSE,TRUE),exact(Metadata!K157,"447426"))</f>
        <v>0</v>
      </c>
    </row>
    <row r="158" spans="1:31">
      <c r="A158" s="4">
        <f>IF(B158=" "," ",HYPERLINK(CONCATENATE("#metadata!",ADDRESS(INDEX($Q$2:$Q$1001,MATCH(ROWS($O$2:O158),$O$2:$O$1001,0),0),1)),INDEX($T$2:$T$1001,MATCH(ROWS($O$2:O158),$O$2:$O$1001,0),0)))</f>
        <v>0</v>
      </c>
      <c r="B158" s="3">
        <f>IF(OR(INDEX($P$2:$P$1001,MATCH(ROWS($O$2:O158),$O$2:$O$1001,0),1)&gt;=100000,INDEX($V$1005:$AE$1005,1,MATCH(COLUMNS($V$1006:V1006),$V$1006:$AE$1006,0))&gt;=100000), " ",IF(INDEX($V$2:$AE$1001,MATCH(ROWS($O$2:O158),$O$2:$O$1001,0),MATCH(COLUMNS($V$1006:V1006),$V$1006:$AE$1006,0)), HYPERLINK("#",""), HYPERLINK(CONCATENATE("#Metadata!", ADDRESS(INDEX($Q$2:$Q$1001,MATCH(ROWS($O$2:O158),$O$2:$O$1001,0),0), INDEX($V$1004:$AE$1004,1,MATCH(COLUMNS($V$1006:V1006),$V$1006:$AE$1006,0)))),"Fix")))</f>
        <v>0</v>
      </c>
      <c r="C158" s="3">
        <f>IF(OR(INDEX($P$2:$P$1001,MATCH(ROWS($O$2:O158),$O$2:$O$1001,0),1)&gt;=100000,INDEX($V$1005:$AE$1005,1,MATCH(COLUMNS($V$1006:W1006),$V$1006:$AE$1006,0))&gt;=100000), " ",IF(INDEX($V$2:$AE$1001,MATCH(ROWS($O$2:O158),$O$2:$O$1001,0),MATCH(COLUMNS($V$1006:W1006),$V$1006:$AE$1006,0)), HYPERLINK("#",""), HYPERLINK(CONCATENATE("#Metadata!", ADDRESS(INDEX($Q$2:$Q$1001,MATCH(ROWS($O$2:O158),$O$2:$O$1001,0),0), INDEX($V$1004:$AE$1004,1,MATCH(COLUMNS($V$1006:W1006),$V$1006:$AE$1006,0)))),"Fix")))</f>
        <v>0</v>
      </c>
      <c r="D158" s="3">
        <f>IF(OR(INDEX($P$2:$P$1001,MATCH(ROWS($O$2:O158),$O$2:$O$1001,0),1)&gt;=100000,INDEX($V$1005:$AE$1005,1,MATCH(COLUMNS($V$1006:X1006),$V$1006:$AE$1006,0))&gt;=100000), " ",IF(INDEX($V$2:$AE$1001,MATCH(ROWS($O$2:O158),$O$2:$O$1001,0),MATCH(COLUMNS($V$1006:X1006),$V$1006:$AE$1006,0)), HYPERLINK("#",""), HYPERLINK(CONCATENATE("#Metadata!", ADDRESS(INDEX($Q$2:$Q$1001,MATCH(ROWS($O$2:O158),$O$2:$O$1001,0),0), INDEX($V$1004:$AE$1004,1,MATCH(COLUMNS($V$1006:X1006),$V$1006:$AE$1006,0)))),"Fix")))</f>
        <v>0</v>
      </c>
      <c r="E158" s="3">
        <f>IF(OR(INDEX($P$2:$P$1001,MATCH(ROWS($O$2:O158),$O$2:$O$1001,0),1)&gt;=100000,INDEX($V$1005:$AE$1005,1,MATCH(COLUMNS($V$1006:Y1006),$V$1006:$AE$1006,0))&gt;=100000), " ",IF(INDEX($V$2:$AE$1001,MATCH(ROWS($O$2:O158),$O$2:$O$1001,0),MATCH(COLUMNS($V$1006:Y1006),$V$1006:$AE$1006,0)), HYPERLINK("#",""), HYPERLINK(CONCATENATE("#Metadata!", ADDRESS(INDEX($Q$2:$Q$1001,MATCH(ROWS($O$2:O158),$O$2:$O$1001,0),0), INDEX($V$1004:$AE$1004,1,MATCH(COLUMNS($V$1006:Y1006),$V$1006:$AE$1006,0)))),"Fix")))</f>
        <v>0</v>
      </c>
      <c r="F158" s="3">
        <f>IF(OR(INDEX($P$2:$P$1001,MATCH(ROWS($O$2:O158),$O$2:$O$1001,0),1)&gt;=100000,INDEX($V$1005:$AE$1005,1,MATCH(COLUMNS($V$1006:Z1006),$V$1006:$AE$1006,0))&gt;=100000), " ",IF(INDEX($V$2:$AE$1001,MATCH(ROWS($O$2:O158),$O$2:$O$1001,0),MATCH(COLUMNS($V$1006:Z1006),$V$1006:$AE$1006,0)), HYPERLINK("#",""), HYPERLINK(CONCATENATE("#Metadata!", ADDRESS(INDEX($Q$2:$Q$1001,MATCH(ROWS($O$2:O158),$O$2:$O$1001,0),0), INDEX($V$1004:$AE$1004,1,MATCH(COLUMNS($V$1006:Z1006),$V$1006:$AE$1006,0)))),"Fix")))</f>
        <v>0</v>
      </c>
      <c r="G158" s="3">
        <f>IF(OR(INDEX($P$2:$P$1001,MATCH(ROWS($O$2:O158),$O$2:$O$1001,0),1)&gt;=100000,INDEX($V$1005:$AE$1005,1,MATCH(COLUMNS($V$1006:AA1006),$V$1006:$AE$1006,0))&gt;=100000), " ",IF(INDEX($V$2:$AE$1001,MATCH(ROWS($O$2:O158),$O$2:$O$1001,0),MATCH(COLUMNS($V$1006:AA1006),$V$1006:$AE$1006,0)), HYPERLINK("#",""), HYPERLINK(CONCATENATE("#Metadata!", ADDRESS(INDEX($Q$2:$Q$1001,MATCH(ROWS($O$2:O158),$O$2:$O$1001,0),0), INDEX($V$1004:$AE$1004,1,MATCH(COLUMNS($V$1006:AA1006),$V$1006:$AE$1006,0)))),"Fix")))</f>
        <v>0</v>
      </c>
      <c r="H158" s="3">
        <f>IF(OR(INDEX($P$2:$P$1001,MATCH(ROWS($O$2:O158),$O$2:$O$1001,0),1)&gt;=100000,INDEX($V$1005:$AE$1005,1,MATCH(COLUMNS($V$1006:AB1006),$V$1006:$AE$1006,0))&gt;=100000), " ",IF(INDEX($V$2:$AE$1001,MATCH(ROWS($O$2:O158),$O$2:$O$1001,0),MATCH(COLUMNS($V$1006:AB1006),$V$1006:$AE$1006,0)), HYPERLINK("#",""), HYPERLINK(CONCATENATE("#Metadata!", ADDRESS(INDEX($Q$2:$Q$1001,MATCH(ROWS($O$2:O158),$O$2:$O$1001,0),0), INDEX($V$1004:$AE$1004,1,MATCH(COLUMNS($V$1006:AB1006),$V$1006:$AE$1006,0)))),"Fix")))</f>
        <v>0</v>
      </c>
      <c r="I158" s="3">
        <f>IF(OR(INDEX($P$2:$P$1001,MATCH(ROWS($O$2:O158),$O$2:$O$1001,0),1)&gt;=100000,INDEX($V$1005:$AE$1005,1,MATCH(COLUMNS($V$1006:AC1006),$V$1006:$AE$1006,0))&gt;=100000), " ",IF(INDEX($V$2:$AE$1001,MATCH(ROWS($O$2:O158),$O$2:$O$1001,0),MATCH(COLUMNS($V$1006:AC1006),$V$1006:$AE$1006,0)), HYPERLINK("#",""), HYPERLINK(CONCATENATE("#Metadata!", ADDRESS(INDEX($Q$2:$Q$1001,MATCH(ROWS($O$2:O158),$O$2:$O$1001,0),0), INDEX($V$1004:$AE$1004,1,MATCH(COLUMNS($V$1006:AC1006),$V$1006:$AE$1006,0)))),"Fix")))</f>
        <v>0</v>
      </c>
      <c r="J158" s="3">
        <f>IF(OR(INDEX($P$2:$P$1001,MATCH(ROWS($O$2:O158),$O$2:$O$1001,0),1)&gt;=100000,INDEX($V$1005:$AE$1005,1,MATCH(COLUMNS($V$1006:AD1006),$V$1006:$AE$1006,0))&gt;=100000), " ",IF(INDEX($V$2:$AE$1001,MATCH(ROWS($O$2:O158),$O$2:$O$1001,0),MATCH(COLUMNS($V$1006:AD1006),$V$1006:$AE$1006,0)), HYPERLINK("#",""), HYPERLINK(CONCATENATE("#Metadata!", ADDRESS(INDEX($Q$2:$Q$1001,MATCH(ROWS($O$2:O158),$O$2:$O$1001,0),0), INDEX($V$1004:$AE$1004,1,MATCH(COLUMNS($V$1006:AD1006),$V$1006:$AE$1006,0)))),"Fix")))</f>
        <v>0</v>
      </c>
      <c r="K158" s="3">
        <f>IF(OR(INDEX($P$2:$P$1001,MATCH(ROWS($O$2:O158),$O$2:$O$1001,0),1)&gt;=100000,INDEX($V$1005:$AE$1005,1,MATCH(COLUMNS($V$1006:AE1006),$V$1006:$AE$1006,0))&gt;=100000), " ",IF(INDEX($V$2:$AE$1001,MATCH(ROWS($O$2:O158),$O$2:$O$1001,0),MATCH(COLUMNS($V$1006:AE1006),$V$1006:$AE$1006,0)), HYPERLINK("#",""), HYPERLINK(CONCATENATE("#Metadata!", ADDRESS(INDEX($Q$2:$Q$1001,MATCH(ROWS($O$2:O158),$O$2:$O$1001,0),0), INDEX($V$1004:$AE$1004,1,MATCH(COLUMNS($V$1006:AE1006),$V$1006:$AE$1006,0)))),"Fix")))</f>
        <v>0</v>
      </c>
      <c r="O158">
        <v>0</v>
      </c>
      <c r="P158">
        <v>0</v>
      </c>
      <c r="Q158">
        <v>0</v>
      </c>
      <c r="R158">
        <f>IF(S158,TRUE,AND(V158:AE158))</f>
        <v>0</v>
      </c>
      <c r="S158">
        <f>COUNTBLANK(Metadata!B158:K158)=COLUMNS(Metadata!B158:K158)</f>
        <v>0</v>
      </c>
      <c r="T158">
        <v>0</v>
      </c>
      <c r="V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W158">
        <f>AND(IF(Metadata!C158="",FALSE,TRUE),exact(Metadata!C158,"animal secretion"))</f>
        <v>0</v>
      </c>
      <c r="X158">
        <f>AND(IF(Metadata!D158="",FALSE,TRUE),exact(Metadata!D158,"saliva"))</f>
        <v>0</v>
      </c>
      <c r="Y158">
        <f>AND(IF(Metadata!E158="",FALSE,TRUE),exact(Metadata!E158,"human-oral"))</f>
        <v>0</v>
      </c>
      <c r="Z158">
        <f>AND(IF(Metadata!F158="",FALSE,TRUE),exact(Metadata!F158,"UBERON:oral cavity"))</f>
        <v>0</v>
      </c>
      <c r="AA158">
        <f>AND(IF(Metadata!G158="",FALSE,TRUE),exact(Metadata!G158,"UBERON:saliva"))</f>
        <v>0</v>
      </c>
      <c r="AB158">
        <f>AND(IF(Metadata!H158="",FALSE,TRUE),exact(Metadata!H158,"UBERON:tongue"))</f>
        <v>0</v>
      </c>
      <c r="AC158">
        <f>AND(IF(Metadata!I158="",FALSE,TRUE),exact(Metadata!I158,"tongue"))</f>
        <v>0</v>
      </c>
      <c r="AD158">
        <f>AND(IF(Metadata!J158="",FALSE,TRUE),exact(Metadata!J158,"human oral metagenome"))</f>
        <v>0</v>
      </c>
      <c r="AE158">
        <f>AND(IF(Metadata!K158="",FALSE,TRUE),exact(Metadata!K158,"447426"))</f>
        <v>0</v>
      </c>
    </row>
    <row r="159" spans="1:31">
      <c r="A159" s="4">
        <f>IF(B159=" "," ",HYPERLINK(CONCATENATE("#metadata!",ADDRESS(INDEX($Q$2:$Q$1001,MATCH(ROWS($O$2:O159),$O$2:$O$1001,0),0),1)),INDEX($T$2:$T$1001,MATCH(ROWS($O$2:O159),$O$2:$O$1001,0),0)))</f>
        <v>0</v>
      </c>
      <c r="B159" s="3">
        <f>IF(OR(INDEX($P$2:$P$1001,MATCH(ROWS($O$2:O159),$O$2:$O$1001,0),1)&gt;=100000,INDEX($V$1005:$AE$1005,1,MATCH(COLUMNS($V$1006:V1006),$V$1006:$AE$1006,0))&gt;=100000), " ",IF(INDEX($V$2:$AE$1001,MATCH(ROWS($O$2:O159),$O$2:$O$1001,0),MATCH(COLUMNS($V$1006:V1006),$V$1006:$AE$1006,0)), HYPERLINK("#",""), HYPERLINK(CONCATENATE("#Metadata!", ADDRESS(INDEX($Q$2:$Q$1001,MATCH(ROWS($O$2:O159),$O$2:$O$1001,0),0), INDEX($V$1004:$AE$1004,1,MATCH(COLUMNS($V$1006:V1006),$V$1006:$AE$1006,0)))),"Fix")))</f>
        <v>0</v>
      </c>
      <c r="C159" s="3">
        <f>IF(OR(INDEX($P$2:$P$1001,MATCH(ROWS($O$2:O159),$O$2:$O$1001,0),1)&gt;=100000,INDEX($V$1005:$AE$1005,1,MATCH(COLUMNS($V$1006:W1006),$V$1006:$AE$1006,0))&gt;=100000), " ",IF(INDEX($V$2:$AE$1001,MATCH(ROWS($O$2:O159),$O$2:$O$1001,0),MATCH(COLUMNS($V$1006:W1006),$V$1006:$AE$1006,0)), HYPERLINK("#",""), HYPERLINK(CONCATENATE("#Metadata!", ADDRESS(INDEX($Q$2:$Q$1001,MATCH(ROWS($O$2:O159),$O$2:$O$1001,0),0), INDEX($V$1004:$AE$1004,1,MATCH(COLUMNS($V$1006:W1006),$V$1006:$AE$1006,0)))),"Fix")))</f>
        <v>0</v>
      </c>
      <c r="D159" s="3">
        <f>IF(OR(INDEX($P$2:$P$1001,MATCH(ROWS($O$2:O159),$O$2:$O$1001,0),1)&gt;=100000,INDEX($V$1005:$AE$1005,1,MATCH(COLUMNS($V$1006:X1006),$V$1006:$AE$1006,0))&gt;=100000), " ",IF(INDEX($V$2:$AE$1001,MATCH(ROWS($O$2:O159),$O$2:$O$1001,0),MATCH(COLUMNS($V$1006:X1006),$V$1006:$AE$1006,0)), HYPERLINK("#",""), HYPERLINK(CONCATENATE("#Metadata!", ADDRESS(INDEX($Q$2:$Q$1001,MATCH(ROWS($O$2:O159),$O$2:$O$1001,0),0), INDEX($V$1004:$AE$1004,1,MATCH(COLUMNS($V$1006:X1006),$V$1006:$AE$1006,0)))),"Fix")))</f>
        <v>0</v>
      </c>
      <c r="E159" s="3">
        <f>IF(OR(INDEX($P$2:$P$1001,MATCH(ROWS($O$2:O159),$O$2:$O$1001,0),1)&gt;=100000,INDEX($V$1005:$AE$1005,1,MATCH(COLUMNS($V$1006:Y1006),$V$1006:$AE$1006,0))&gt;=100000), " ",IF(INDEX($V$2:$AE$1001,MATCH(ROWS($O$2:O159),$O$2:$O$1001,0),MATCH(COLUMNS($V$1006:Y1006),$V$1006:$AE$1006,0)), HYPERLINK("#",""), HYPERLINK(CONCATENATE("#Metadata!", ADDRESS(INDEX($Q$2:$Q$1001,MATCH(ROWS($O$2:O159),$O$2:$O$1001,0),0), INDEX($V$1004:$AE$1004,1,MATCH(COLUMNS($V$1006:Y1006),$V$1006:$AE$1006,0)))),"Fix")))</f>
        <v>0</v>
      </c>
      <c r="F159" s="3">
        <f>IF(OR(INDEX($P$2:$P$1001,MATCH(ROWS($O$2:O159),$O$2:$O$1001,0),1)&gt;=100000,INDEX($V$1005:$AE$1005,1,MATCH(COLUMNS($V$1006:Z1006),$V$1006:$AE$1006,0))&gt;=100000), " ",IF(INDEX($V$2:$AE$1001,MATCH(ROWS($O$2:O159),$O$2:$O$1001,0),MATCH(COLUMNS($V$1006:Z1006),$V$1006:$AE$1006,0)), HYPERLINK("#",""), HYPERLINK(CONCATENATE("#Metadata!", ADDRESS(INDEX($Q$2:$Q$1001,MATCH(ROWS($O$2:O159),$O$2:$O$1001,0),0), INDEX($V$1004:$AE$1004,1,MATCH(COLUMNS($V$1006:Z1006),$V$1006:$AE$1006,0)))),"Fix")))</f>
        <v>0</v>
      </c>
      <c r="G159" s="3">
        <f>IF(OR(INDEX($P$2:$P$1001,MATCH(ROWS($O$2:O159),$O$2:$O$1001,0),1)&gt;=100000,INDEX($V$1005:$AE$1005,1,MATCH(COLUMNS($V$1006:AA1006),$V$1006:$AE$1006,0))&gt;=100000), " ",IF(INDEX($V$2:$AE$1001,MATCH(ROWS($O$2:O159),$O$2:$O$1001,0),MATCH(COLUMNS($V$1006:AA1006),$V$1006:$AE$1006,0)), HYPERLINK("#",""), HYPERLINK(CONCATENATE("#Metadata!", ADDRESS(INDEX($Q$2:$Q$1001,MATCH(ROWS($O$2:O159),$O$2:$O$1001,0),0), INDEX($V$1004:$AE$1004,1,MATCH(COLUMNS($V$1006:AA1006),$V$1006:$AE$1006,0)))),"Fix")))</f>
        <v>0</v>
      </c>
      <c r="H159" s="3">
        <f>IF(OR(INDEX($P$2:$P$1001,MATCH(ROWS($O$2:O159),$O$2:$O$1001,0),1)&gt;=100000,INDEX($V$1005:$AE$1005,1,MATCH(COLUMNS($V$1006:AB1006),$V$1006:$AE$1006,0))&gt;=100000), " ",IF(INDEX($V$2:$AE$1001,MATCH(ROWS($O$2:O159),$O$2:$O$1001,0),MATCH(COLUMNS($V$1006:AB1006),$V$1006:$AE$1006,0)), HYPERLINK("#",""), HYPERLINK(CONCATENATE("#Metadata!", ADDRESS(INDEX($Q$2:$Q$1001,MATCH(ROWS($O$2:O159),$O$2:$O$1001,0),0), INDEX($V$1004:$AE$1004,1,MATCH(COLUMNS($V$1006:AB1006),$V$1006:$AE$1006,0)))),"Fix")))</f>
        <v>0</v>
      </c>
      <c r="I159" s="3">
        <f>IF(OR(INDEX($P$2:$P$1001,MATCH(ROWS($O$2:O159),$O$2:$O$1001,0),1)&gt;=100000,INDEX($V$1005:$AE$1005,1,MATCH(COLUMNS($V$1006:AC1006),$V$1006:$AE$1006,0))&gt;=100000), " ",IF(INDEX($V$2:$AE$1001,MATCH(ROWS($O$2:O159),$O$2:$O$1001,0),MATCH(COLUMNS($V$1006:AC1006),$V$1006:$AE$1006,0)), HYPERLINK("#",""), HYPERLINK(CONCATENATE("#Metadata!", ADDRESS(INDEX($Q$2:$Q$1001,MATCH(ROWS($O$2:O159),$O$2:$O$1001,0),0), INDEX($V$1004:$AE$1004,1,MATCH(COLUMNS($V$1006:AC1006),$V$1006:$AE$1006,0)))),"Fix")))</f>
        <v>0</v>
      </c>
      <c r="J159" s="3">
        <f>IF(OR(INDEX($P$2:$P$1001,MATCH(ROWS($O$2:O159),$O$2:$O$1001,0),1)&gt;=100000,INDEX($V$1005:$AE$1005,1,MATCH(COLUMNS($V$1006:AD1006),$V$1006:$AE$1006,0))&gt;=100000), " ",IF(INDEX($V$2:$AE$1001,MATCH(ROWS($O$2:O159),$O$2:$O$1001,0),MATCH(COLUMNS($V$1006:AD1006),$V$1006:$AE$1006,0)), HYPERLINK("#",""), HYPERLINK(CONCATENATE("#Metadata!", ADDRESS(INDEX($Q$2:$Q$1001,MATCH(ROWS($O$2:O159),$O$2:$O$1001,0),0), INDEX($V$1004:$AE$1004,1,MATCH(COLUMNS($V$1006:AD1006),$V$1006:$AE$1006,0)))),"Fix")))</f>
        <v>0</v>
      </c>
      <c r="K159" s="3">
        <f>IF(OR(INDEX($P$2:$P$1001,MATCH(ROWS($O$2:O159),$O$2:$O$1001,0),1)&gt;=100000,INDEX($V$1005:$AE$1005,1,MATCH(COLUMNS($V$1006:AE1006),$V$1006:$AE$1006,0))&gt;=100000), " ",IF(INDEX($V$2:$AE$1001,MATCH(ROWS($O$2:O159),$O$2:$O$1001,0),MATCH(COLUMNS($V$1006:AE1006),$V$1006:$AE$1006,0)), HYPERLINK("#",""), HYPERLINK(CONCATENATE("#Metadata!", ADDRESS(INDEX($Q$2:$Q$1001,MATCH(ROWS($O$2:O159),$O$2:$O$1001,0),0), INDEX($V$1004:$AE$1004,1,MATCH(COLUMNS($V$1006:AE1006),$V$1006:$AE$1006,0)))),"Fix")))</f>
        <v>0</v>
      </c>
      <c r="O159">
        <v>0</v>
      </c>
      <c r="P159">
        <v>0</v>
      </c>
      <c r="Q159">
        <v>0</v>
      </c>
      <c r="R159">
        <f>IF(S159,TRUE,AND(V159:AE159))</f>
        <v>0</v>
      </c>
      <c r="S159">
        <f>COUNTBLANK(Metadata!B159:K159)=COLUMNS(Metadata!B159:K159)</f>
        <v>0</v>
      </c>
      <c r="T159">
        <v>0</v>
      </c>
      <c r="V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W159">
        <f>AND(IF(Metadata!C159="",FALSE,TRUE),exact(Metadata!C159,"animal secretion"))</f>
        <v>0</v>
      </c>
      <c r="X159">
        <f>AND(IF(Metadata!D159="",FALSE,TRUE),exact(Metadata!D159,"saliva"))</f>
        <v>0</v>
      </c>
      <c r="Y159">
        <f>AND(IF(Metadata!E159="",FALSE,TRUE),exact(Metadata!E159,"human-oral"))</f>
        <v>0</v>
      </c>
      <c r="Z159">
        <f>AND(IF(Metadata!F159="",FALSE,TRUE),exact(Metadata!F159,"UBERON:oral cavity"))</f>
        <v>0</v>
      </c>
      <c r="AA159">
        <f>AND(IF(Metadata!G159="",FALSE,TRUE),exact(Metadata!G159,"UBERON:saliva"))</f>
        <v>0</v>
      </c>
      <c r="AB159">
        <f>AND(IF(Metadata!H159="",FALSE,TRUE),exact(Metadata!H159,"UBERON:tongue"))</f>
        <v>0</v>
      </c>
      <c r="AC159">
        <f>AND(IF(Metadata!I159="",FALSE,TRUE),exact(Metadata!I159,"tongue"))</f>
        <v>0</v>
      </c>
      <c r="AD159">
        <f>AND(IF(Metadata!J159="",FALSE,TRUE),exact(Metadata!J159,"human oral metagenome"))</f>
        <v>0</v>
      </c>
      <c r="AE159">
        <f>AND(IF(Metadata!K159="",FALSE,TRUE),exact(Metadata!K159,"447426"))</f>
        <v>0</v>
      </c>
    </row>
    <row r="160" spans="1:31">
      <c r="A160" s="4">
        <f>IF(B160=" "," ",HYPERLINK(CONCATENATE("#metadata!",ADDRESS(INDEX($Q$2:$Q$1001,MATCH(ROWS($O$2:O160),$O$2:$O$1001,0),0),1)),INDEX($T$2:$T$1001,MATCH(ROWS($O$2:O160),$O$2:$O$1001,0),0)))</f>
        <v>0</v>
      </c>
      <c r="B160" s="3">
        <f>IF(OR(INDEX($P$2:$P$1001,MATCH(ROWS($O$2:O160),$O$2:$O$1001,0),1)&gt;=100000,INDEX($V$1005:$AE$1005,1,MATCH(COLUMNS($V$1006:V1006),$V$1006:$AE$1006,0))&gt;=100000), " ",IF(INDEX($V$2:$AE$1001,MATCH(ROWS($O$2:O160),$O$2:$O$1001,0),MATCH(COLUMNS($V$1006:V1006),$V$1006:$AE$1006,0)), HYPERLINK("#",""), HYPERLINK(CONCATENATE("#Metadata!", ADDRESS(INDEX($Q$2:$Q$1001,MATCH(ROWS($O$2:O160),$O$2:$O$1001,0),0), INDEX($V$1004:$AE$1004,1,MATCH(COLUMNS($V$1006:V1006),$V$1006:$AE$1006,0)))),"Fix")))</f>
        <v>0</v>
      </c>
      <c r="C160" s="3">
        <f>IF(OR(INDEX($P$2:$P$1001,MATCH(ROWS($O$2:O160),$O$2:$O$1001,0),1)&gt;=100000,INDEX($V$1005:$AE$1005,1,MATCH(COLUMNS($V$1006:W1006),$V$1006:$AE$1006,0))&gt;=100000), " ",IF(INDEX($V$2:$AE$1001,MATCH(ROWS($O$2:O160),$O$2:$O$1001,0),MATCH(COLUMNS($V$1006:W1006),$V$1006:$AE$1006,0)), HYPERLINK("#",""), HYPERLINK(CONCATENATE("#Metadata!", ADDRESS(INDEX($Q$2:$Q$1001,MATCH(ROWS($O$2:O160),$O$2:$O$1001,0),0), INDEX($V$1004:$AE$1004,1,MATCH(COLUMNS($V$1006:W1006),$V$1006:$AE$1006,0)))),"Fix")))</f>
        <v>0</v>
      </c>
      <c r="D160" s="3">
        <f>IF(OR(INDEX($P$2:$P$1001,MATCH(ROWS($O$2:O160),$O$2:$O$1001,0),1)&gt;=100000,INDEX($V$1005:$AE$1005,1,MATCH(COLUMNS($V$1006:X1006),$V$1006:$AE$1006,0))&gt;=100000), " ",IF(INDEX($V$2:$AE$1001,MATCH(ROWS($O$2:O160),$O$2:$O$1001,0),MATCH(COLUMNS($V$1006:X1006),$V$1006:$AE$1006,0)), HYPERLINK("#",""), HYPERLINK(CONCATENATE("#Metadata!", ADDRESS(INDEX($Q$2:$Q$1001,MATCH(ROWS($O$2:O160),$O$2:$O$1001,0),0), INDEX($V$1004:$AE$1004,1,MATCH(COLUMNS($V$1006:X1006),$V$1006:$AE$1006,0)))),"Fix")))</f>
        <v>0</v>
      </c>
      <c r="E160" s="3">
        <f>IF(OR(INDEX($P$2:$P$1001,MATCH(ROWS($O$2:O160),$O$2:$O$1001,0),1)&gt;=100000,INDEX($V$1005:$AE$1005,1,MATCH(COLUMNS($V$1006:Y1006),$V$1006:$AE$1006,0))&gt;=100000), " ",IF(INDEX($V$2:$AE$1001,MATCH(ROWS($O$2:O160),$O$2:$O$1001,0),MATCH(COLUMNS($V$1006:Y1006),$V$1006:$AE$1006,0)), HYPERLINK("#",""), HYPERLINK(CONCATENATE("#Metadata!", ADDRESS(INDEX($Q$2:$Q$1001,MATCH(ROWS($O$2:O160),$O$2:$O$1001,0),0), INDEX($V$1004:$AE$1004,1,MATCH(COLUMNS($V$1006:Y1006),$V$1006:$AE$1006,0)))),"Fix")))</f>
        <v>0</v>
      </c>
      <c r="F160" s="3">
        <f>IF(OR(INDEX($P$2:$P$1001,MATCH(ROWS($O$2:O160),$O$2:$O$1001,0),1)&gt;=100000,INDEX($V$1005:$AE$1005,1,MATCH(COLUMNS($V$1006:Z1006),$V$1006:$AE$1006,0))&gt;=100000), " ",IF(INDEX($V$2:$AE$1001,MATCH(ROWS($O$2:O160),$O$2:$O$1001,0),MATCH(COLUMNS($V$1006:Z1006),$V$1006:$AE$1006,0)), HYPERLINK("#",""), HYPERLINK(CONCATENATE("#Metadata!", ADDRESS(INDEX($Q$2:$Q$1001,MATCH(ROWS($O$2:O160),$O$2:$O$1001,0),0), INDEX($V$1004:$AE$1004,1,MATCH(COLUMNS($V$1006:Z1006),$V$1006:$AE$1006,0)))),"Fix")))</f>
        <v>0</v>
      </c>
      <c r="G160" s="3">
        <f>IF(OR(INDEX($P$2:$P$1001,MATCH(ROWS($O$2:O160),$O$2:$O$1001,0),1)&gt;=100000,INDEX($V$1005:$AE$1005,1,MATCH(COLUMNS($V$1006:AA1006),$V$1006:$AE$1006,0))&gt;=100000), " ",IF(INDEX($V$2:$AE$1001,MATCH(ROWS($O$2:O160),$O$2:$O$1001,0),MATCH(COLUMNS($V$1006:AA1006),$V$1006:$AE$1006,0)), HYPERLINK("#",""), HYPERLINK(CONCATENATE("#Metadata!", ADDRESS(INDEX($Q$2:$Q$1001,MATCH(ROWS($O$2:O160),$O$2:$O$1001,0),0), INDEX($V$1004:$AE$1004,1,MATCH(COLUMNS($V$1006:AA1006),$V$1006:$AE$1006,0)))),"Fix")))</f>
        <v>0</v>
      </c>
      <c r="H160" s="3">
        <f>IF(OR(INDEX($P$2:$P$1001,MATCH(ROWS($O$2:O160),$O$2:$O$1001,0),1)&gt;=100000,INDEX($V$1005:$AE$1005,1,MATCH(COLUMNS($V$1006:AB1006),$V$1006:$AE$1006,0))&gt;=100000), " ",IF(INDEX($V$2:$AE$1001,MATCH(ROWS($O$2:O160),$O$2:$O$1001,0),MATCH(COLUMNS($V$1006:AB1006),$V$1006:$AE$1006,0)), HYPERLINK("#",""), HYPERLINK(CONCATENATE("#Metadata!", ADDRESS(INDEX($Q$2:$Q$1001,MATCH(ROWS($O$2:O160),$O$2:$O$1001,0),0), INDEX($V$1004:$AE$1004,1,MATCH(COLUMNS($V$1006:AB1006),$V$1006:$AE$1006,0)))),"Fix")))</f>
        <v>0</v>
      </c>
      <c r="I160" s="3">
        <f>IF(OR(INDEX($P$2:$P$1001,MATCH(ROWS($O$2:O160),$O$2:$O$1001,0),1)&gt;=100000,INDEX($V$1005:$AE$1005,1,MATCH(COLUMNS($V$1006:AC1006),$V$1006:$AE$1006,0))&gt;=100000), " ",IF(INDEX($V$2:$AE$1001,MATCH(ROWS($O$2:O160),$O$2:$O$1001,0),MATCH(COLUMNS($V$1006:AC1006),$V$1006:$AE$1006,0)), HYPERLINK("#",""), HYPERLINK(CONCATENATE("#Metadata!", ADDRESS(INDEX($Q$2:$Q$1001,MATCH(ROWS($O$2:O160),$O$2:$O$1001,0),0), INDEX($V$1004:$AE$1004,1,MATCH(COLUMNS($V$1006:AC1006),$V$1006:$AE$1006,0)))),"Fix")))</f>
        <v>0</v>
      </c>
      <c r="J160" s="3">
        <f>IF(OR(INDEX($P$2:$P$1001,MATCH(ROWS($O$2:O160),$O$2:$O$1001,0),1)&gt;=100000,INDEX($V$1005:$AE$1005,1,MATCH(COLUMNS($V$1006:AD1006),$V$1006:$AE$1006,0))&gt;=100000), " ",IF(INDEX($V$2:$AE$1001,MATCH(ROWS($O$2:O160),$O$2:$O$1001,0),MATCH(COLUMNS($V$1006:AD1006),$V$1006:$AE$1006,0)), HYPERLINK("#",""), HYPERLINK(CONCATENATE("#Metadata!", ADDRESS(INDEX($Q$2:$Q$1001,MATCH(ROWS($O$2:O160),$O$2:$O$1001,0),0), INDEX($V$1004:$AE$1004,1,MATCH(COLUMNS($V$1006:AD1006),$V$1006:$AE$1006,0)))),"Fix")))</f>
        <v>0</v>
      </c>
      <c r="K160" s="3">
        <f>IF(OR(INDEX($P$2:$P$1001,MATCH(ROWS($O$2:O160),$O$2:$O$1001,0),1)&gt;=100000,INDEX($V$1005:$AE$1005,1,MATCH(COLUMNS($V$1006:AE1006),$V$1006:$AE$1006,0))&gt;=100000), " ",IF(INDEX($V$2:$AE$1001,MATCH(ROWS($O$2:O160),$O$2:$O$1001,0),MATCH(COLUMNS($V$1006:AE1006),$V$1006:$AE$1006,0)), HYPERLINK("#",""), HYPERLINK(CONCATENATE("#Metadata!", ADDRESS(INDEX($Q$2:$Q$1001,MATCH(ROWS($O$2:O160),$O$2:$O$1001,0),0), INDEX($V$1004:$AE$1004,1,MATCH(COLUMNS($V$1006:AE1006),$V$1006:$AE$1006,0)))),"Fix")))</f>
        <v>0</v>
      </c>
      <c r="O160">
        <v>0</v>
      </c>
      <c r="P160">
        <v>0</v>
      </c>
      <c r="Q160">
        <v>0</v>
      </c>
      <c r="R160">
        <f>IF(S160,TRUE,AND(V160:AE160))</f>
        <v>0</v>
      </c>
      <c r="S160">
        <f>COUNTBLANK(Metadata!B160:K160)=COLUMNS(Metadata!B160:K160)</f>
        <v>0</v>
      </c>
      <c r="T160">
        <v>0</v>
      </c>
      <c r="V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W160">
        <f>AND(IF(Metadata!C160="",FALSE,TRUE),exact(Metadata!C160,"animal secretion"))</f>
        <v>0</v>
      </c>
      <c r="X160">
        <f>AND(IF(Metadata!D160="",FALSE,TRUE),exact(Metadata!D160,"saliva"))</f>
        <v>0</v>
      </c>
      <c r="Y160">
        <f>AND(IF(Metadata!E160="",FALSE,TRUE),exact(Metadata!E160,"human-oral"))</f>
        <v>0</v>
      </c>
      <c r="Z160">
        <f>AND(IF(Metadata!F160="",FALSE,TRUE),exact(Metadata!F160,"UBERON:oral cavity"))</f>
        <v>0</v>
      </c>
      <c r="AA160">
        <f>AND(IF(Metadata!G160="",FALSE,TRUE),exact(Metadata!G160,"UBERON:saliva"))</f>
        <v>0</v>
      </c>
      <c r="AB160">
        <f>AND(IF(Metadata!H160="",FALSE,TRUE),exact(Metadata!H160,"UBERON:tongue"))</f>
        <v>0</v>
      </c>
      <c r="AC160">
        <f>AND(IF(Metadata!I160="",FALSE,TRUE),exact(Metadata!I160,"tongue"))</f>
        <v>0</v>
      </c>
      <c r="AD160">
        <f>AND(IF(Metadata!J160="",FALSE,TRUE),exact(Metadata!J160,"human oral metagenome"))</f>
        <v>0</v>
      </c>
      <c r="AE160">
        <f>AND(IF(Metadata!K160="",FALSE,TRUE),exact(Metadata!K160,"447426"))</f>
        <v>0</v>
      </c>
    </row>
    <row r="161" spans="1:31">
      <c r="A161" s="4">
        <f>IF(B161=" "," ",HYPERLINK(CONCATENATE("#metadata!",ADDRESS(INDEX($Q$2:$Q$1001,MATCH(ROWS($O$2:O161),$O$2:$O$1001,0),0),1)),INDEX($T$2:$T$1001,MATCH(ROWS($O$2:O161),$O$2:$O$1001,0),0)))</f>
        <v>0</v>
      </c>
      <c r="B161" s="3">
        <f>IF(OR(INDEX($P$2:$P$1001,MATCH(ROWS($O$2:O161),$O$2:$O$1001,0),1)&gt;=100000,INDEX($V$1005:$AE$1005,1,MATCH(COLUMNS($V$1006:V1006),$V$1006:$AE$1006,0))&gt;=100000), " ",IF(INDEX($V$2:$AE$1001,MATCH(ROWS($O$2:O161),$O$2:$O$1001,0),MATCH(COLUMNS($V$1006:V1006),$V$1006:$AE$1006,0)), HYPERLINK("#",""), HYPERLINK(CONCATENATE("#Metadata!", ADDRESS(INDEX($Q$2:$Q$1001,MATCH(ROWS($O$2:O161),$O$2:$O$1001,0),0), INDEX($V$1004:$AE$1004,1,MATCH(COLUMNS($V$1006:V1006),$V$1006:$AE$1006,0)))),"Fix")))</f>
        <v>0</v>
      </c>
      <c r="C161" s="3">
        <f>IF(OR(INDEX($P$2:$P$1001,MATCH(ROWS($O$2:O161),$O$2:$O$1001,0),1)&gt;=100000,INDEX($V$1005:$AE$1005,1,MATCH(COLUMNS($V$1006:W1006),$V$1006:$AE$1006,0))&gt;=100000), " ",IF(INDEX($V$2:$AE$1001,MATCH(ROWS($O$2:O161),$O$2:$O$1001,0),MATCH(COLUMNS($V$1006:W1006),$V$1006:$AE$1006,0)), HYPERLINK("#",""), HYPERLINK(CONCATENATE("#Metadata!", ADDRESS(INDEX($Q$2:$Q$1001,MATCH(ROWS($O$2:O161),$O$2:$O$1001,0),0), INDEX($V$1004:$AE$1004,1,MATCH(COLUMNS($V$1006:W1006),$V$1006:$AE$1006,0)))),"Fix")))</f>
        <v>0</v>
      </c>
      <c r="D161" s="3">
        <f>IF(OR(INDEX($P$2:$P$1001,MATCH(ROWS($O$2:O161),$O$2:$O$1001,0),1)&gt;=100000,INDEX($V$1005:$AE$1005,1,MATCH(COLUMNS($V$1006:X1006),$V$1006:$AE$1006,0))&gt;=100000), " ",IF(INDEX($V$2:$AE$1001,MATCH(ROWS($O$2:O161),$O$2:$O$1001,0),MATCH(COLUMNS($V$1006:X1006),$V$1006:$AE$1006,0)), HYPERLINK("#",""), HYPERLINK(CONCATENATE("#Metadata!", ADDRESS(INDEX($Q$2:$Q$1001,MATCH(ROWS($O$2:O161),$O$2:$O$1001,0),0), INDEX($V$1004:$AE$1004,1,MATCH(COLUMNS($V$1006:X1006),$V$1006:$AE$1006,0)))),"Fix")))</f>
        <v>0</v>
      </c>
      <c r="E161" s="3">
        <f>IF(OR(INDEX($P$2:$P$1001,MATCH(ROWS($O$2:O161),$O$2:$O$1001,0),1)&gt;=100000,INDEX($V$1005:$AE$1005,1,MATCH(COLUMNS($V$1006:Y1006),$V$1006:$AE$1006,0))&gt;=100000), " ",IF(INDEX($V$2:$AE$1001,MATCH(ROWS($O$2:O161),$O$2:$O$1001,0),MATCH(COLUMNS($V$1006:Y1006),$V$1006:$AE$1006,0)), HYPERLINK("#",""), HYPERLINK(CONCATENATE("#Metadata!", ADDRESS(INDEX($Q$2:$Q$1001,MATCH(ROWS($O$2:O161),$O$2:$O$1001,0),0), INDEX($V$1004:$AE$1004,1,MATCH(COLUMNS($V$1006:Y1006),$V$1006:$AE$1006,0)))),"Fix")))</f>
        <v>0</v>
      </c>
      <c r="F161" s="3">
        <f>IF(OR(INDEX($P$2:$P$1001,MATCH(ROWS($O$2:O161),$O$2:$O$1001,0),1)&gt;=100000,INDEX($V$1005:$AE$1005,1,MATCH(COLUMNS($V$1006:Z1006),$V$1006:$AE$1006,0))&gt;=100000), " ",IF(INDEX($V$2:$AE$1001,MATCH(ROWS($O$2:O161),$O$2:$O$1001,0),MATCH(COLUMNS($V$1006:Z1006),$V$1006:$AE$1006,0)), HYPERLINK("#",""), HYPERLINK(CONCATENATE("#Metadata!", ADDRESS(INDEX($Q$2:$Q$1001,MATCH(ROWS($O$2:O161),$O$2:$O$1001,0),0), INDEX($V$1004:$AE$1004,1,MATCH(COLUMNS($V$1006:Z1006),$V$1006:$AE$1006,0)))),"Fix")))</f>
        <v>0</v>
      </c>
      <c r="G161" s="3">
        <f>IF(OR(INDEX($P$2:$P$1001,MATCH(ROWS($O$2:O161),$O$2:$O$1001,0),1)&gt;=100000,INDEX($V$1005:$AE$1005,1,MATCH(COLUMNS($V$1006:AA1006),$V$1006:$AE$1006,0))&gt;=100000), " ",IF(INDEX($V$2:$AE$1001,MATCH(ROWS($O$2:O161),$O$2:$O$1001,0),MATCH(COLUMNS($V$1006:AA1006),$V$1006:$AE$1006,0)), HYPERLINK("#",""), HYPERLINK(CONCATENATE("#Metadata!", ADDRESS(INDEX($Q$2:$Q$1001,MATCH(ROWS($O$2:O161),$O$2:$O$1001,0),0), INDEX($V$1004:$AE$1004,1,MATCH(COLUMNS($V$1006:AA1006),$V$1006:$AE$1006,0)))),"Fix")))</f>
        <v>0</v>
      </c>
      <c r="H161" s="3">
        <f>IF(OR(INDEX($P$2:$P$1001,MATCH(ROWS($O$2:O161),$O$2:$O$1001,0),1)&gt;=100000,INDEX($V$1005:$AE$1005,1,MATCH(COLUMNS($V$1006:AB1006),$V$1006:$AE$1006,0))&gt;=100000), " ",IF(INDEX($V$2:$AE$1001,MATCH(ROWS($O$2:O161),$O$2:$O$1001,0),MATCH(COLUMNS($V$1006:AB1006),$V$1006:$AE$1006,0)), HYPERLINK("#",""), HYPERLINK(CONCATENATE("#Metadata!", ADDRESS(INDEX($Q$2:$Q$1001,MATCH(ROWS($O$2:O161),$O$2:$O$1001,0),0), INDEX($V$1004:$AE$1004,1,MATCH(COLUMNS($V$1006:AB1006),$V$1006:$AE$1006,0)))),"Fix")))</f>
        <v>0</v>
      </c>
      <c r="I161" s="3">
        <f>IF(OR(INDEX($P$2:$P$1001,MATCH(ROWS($O$2:O161),$O$2:$O$1001,0),1)&gt;=100000,INDEX($V$1005:$AE$1005,1,MATCH(COLUMNS($V$1006:AC1006),$V$1006:$AE$1006,0))&gt;=100000), " ",IF(INDEX($V$2:$AE$1001,MATCH(ROWS($O$2:O161),$O$2:$O$1001,0),MATCH(COLUMNS($V$1006:AC1006),$V$1006:$AE$1006,0)), HYPERLINK("#",""), HYPERLINK(CONCATENATE("#Metadata!", ADDRESS(INDEX($Q$2:$Q$1001,MATCH(ROWS($O$2:O161),$O$2:$O$1001,0),0), INDEX($V$1004:$AE$1004,1,MATCH(COLUMNS($V$1006:AC1006),$V$1006:$AE$1006,0)))),"Fix")))</f>
        <v>0</v>
      </c>
      <c r="J161" s="3">
        <f>IF(OR(INDEX($P$2:$P$1001,MATCH(ROWS($O$2:O161),$O$2:$O$1001,0),1)&gt;=100000,INDEX($V$1005:$AE$1005,1,MATCH(COLUMNS($V$1006:AD1006),$V$1006:$AE$1006,0))&gt;=100000), " ",IF(INDEX($V$2:$AE$1001,MATCH(ROWS($O$2:O161),$O$2:$O$1001,0),MATCH(COLUMNS($V$1006:AD1006),$V$1006:$AE$1006,0)), HYPERLINK("#",""), HYPERLINK(CONCATENATE("#Metadata!", ADDRESS(INDEX($Q$2:$Q$1001,MATCH(ROWS($O$2:O161),$O$2:$O$1001,0),0), INDEX($V$1004:$AE$1004,1,MATCH(COLUMNS($V$1006:AD1006),$V$1006:$AE$1006,0)))),"Fix")))</f>
        <v>0</v>
      </c>
      <c r="K161" s="3">
        <f>IF(OR(INDEX($P$2:$P$1001,MATCH(ROWS($O$2:O161),$O$2:$O$1001,0),1)&gt;=100000,INDEX($V$1005:$AE$1005,1,MATCH(COLUMNS($V$1006:AE1006),$V$1006:$AE$1006,0))&gt;=100000), " ",IF(INDEX($V$2:$AE$1001,MATCH(ROWS($O$2:O161),$O$2:$O$1001,0),MATCH(COLUMNS($V$1006:AE1006),$V$1006:$AE$1006,0)), HYPERLINK("#",""), HYPERLINK(CONCATENATE("#Metadata!", ADDRESS(INDEX($Q$2:$Q$1001,MATCH(ROWS($O$2:O161),$O$2:$O$1001,0),0), INDEX($V$1004:$AE$1004,1,MATCH(COLUMNS($V$1006:AE1006),$V$1006:$AE$1006,0)))),"Fix")))</f>
        <v>0</v>
      </c>
      <c r="O161">
        <v>0</v>
      </c>
      <c r="P161">
        <v>0</v>
      </c>
      <c r="Q161">
        <v>0</v>
      </c>
      <c r="R161">
        <f>IF(S161,TRUE,AND(V161:AE161))</f>
        <v>0</v>
      </c>
      <c r="S161">
        <f>COUNTBLANK(Metadata!B161:K161)=COLUMNS(Metadata!B161:K161)</f>
        <v>0</v>
      </c>
      <c r="T161">
        <v>0</v>
      </c>
      <c r="V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W161">
        <f>AND(IF(Metadata!C161="",FALSE,TRUE),exact(Metadata!C161,"animal secretion"))</f>
        <v>0</v>
      </c>
      <c r="X161">
        <f>AND(IF(Metadata!D161="",FALSE,TRUE),exact(Metadata!D161,"saliva"))</f>
        <v>0</v>
      </c>
      <c r="Y161">
        <f>AND(IF(Metadata!E161="",FALSE,TRUE),exact(Metadata!E161,"human-oral"))</f>
        <v>0</v>
      </c>
      <c r="Z161">
        <f>AND(IF(Metadata!F161="",FALSE,TRUE),exact(Metadata!F161,"UBERON:oral cavity"))</f>
        <v>0</v>
      </c>
      <c r="AA161">
        <f>AND(IF(Metadata!G161="",FALSE,TRUE),exact(Metadata!G161,"UBERON:saliva"))</f>
        <v>0</v>
      </c>
      <c r="AB161">
        <f>AND(IF(Metadata!H161="",FALSE,TRUE),exact(Metadata!H161,"UBERON:tongue"))</f>
        <v>0</v>
      </c>
      <c r="AC161">
        <f>AND(IF(Metadata!I161="",FALSE,TRUE),exact(Metadata!I161,"tongue"))</f>
        <v>0</v>
      </c>
      <c r="AD161">
        <f>AND(IF(Metadata!J161="",FALSE,TRUE),exact(Metadata!J161,"human oral metagenome"))</f>
        <v>0</v>
      </c>
      <c r="AE161">
        <f>AND(IF(Metadata!K161="",FALSE,TRUE),exact(Metadata!K161,"447426"))</f>
        <v>0</v>
      </c>
    </row>
    <row r="162" spans="1:31">
      <c r="A162" s="4">
        <f>IF(B162=" "," ",HYPERLINK(CONCATENATE("#metadata!",ADDRESS(INDEX($Q$2:$Q$1001,MATCH(ROWS($O$2:O162),$O$2:$O$1001,0),0),1)),INDEX($T$2:$T$1001,MATCH(ROWS($O$2:O162),$O$2:$O$1001,0),0)))</f>
        <v>0</v>
      </c>
      <c r="B162" s="3">
        <f>IF(OR(INDEX($P$2:$P$1001,MATCH(ROWS($O$2:O162),$O$2:$O$1001,0),1)&gt;=100000,INDEX($V$1005:$AE$1005,1,MATCH(COLUMNS($V$1006:V1006),$V$1006:$AE$1006,0))&gt;=100000), " ",IF(INDEX($V$2:$AE$1001,MATCH(ROWS($O$2:O162),$O$2:$O$1001,0),MATCH(COLUMNS($V$1006:V1006),$V$1006:$AE$1006,0)), HYPERLINK("#",""), HYPERLINK(CONCATENATE("#Metadata!", ADDRESS(INDEX($Q$2:$Q$1001,MATCH(ROWS($O$2:O162),$O$2:$O$1001,0),0), INDEX($V$1004:$AE$1004,1,MATCH(COLUMNS($V$1006:V1006),$V$1006:$AE$1006,0)))),"Fix")))</f>
        <v>0</v>
      </c>
      <c r="C162" s="3">
        <f>IF(OR(INDEX($P$2:$P$1001,MATCH(ROWS($O$2:O162),$O$2:$O$1001,0),1)&gt;=100000,INDEX($V$1005:$AE$1005,1,MATCH(COLUMNS($V$1006:W1006),$V$1006:$AE$1006,0))&gt;=100000), " ",IF(INDEX($V$2:$AE$1001,MATCH(ROWS($O$2:O162),$O$2:$O$1001,0),MATCH(COLUMNS($V$1006:W1006),$V$1006:$AE$1006,0)), HYPERLINK("#",""), HYPERLINK(CONCATENATE("#Metadata!", ADDRESS(INDEX($Q$2:$Q$1001,MATCH(ROWS($O$2:O162),$O$2:$O$1001,0),0), INDEX($V$1004:$AE$1004,1,MATCH(COLUMNS($V$1006:W1006),$V$1006:$AE$1006,0)))),"Fix")))</f>
        <v>0</v>
      </c>
      <c r="D162" s="3">
        <f>IF(OR(INDEX($P$2:$P$1001,MATCH(ROWS($O$2:O162),$O$2:$O$1001,0),1)&gt;=100000,INDEX($V$1005:$AE$1005,1,MATCH(COLUMNS($V$1006:X1006),$V$1006:$AE$1006,0))&gt;=100000), " ",IF(INDEX($V$2:$AE$1001,MATCH(ROWS($O$2:O162),$O$2:$O$1001,0),MATCH(COLUMNS($V$1006:X1006),$V$1006:$AE$1006,0)), HYPERLINK("#",""), HYPERLINK(CONCATENATE("#Metadata!", ADDRESS(INDEX($Q$2:$Q$1001,MATCH(ROWS($O$2:O162),$O$2:$O$1001,0),0), INDEX($V$1004:$AE$1004,1,MATCH(COLUMNS($V$1006:X1006),$V$1006:$AE$1006,0)))),"Fix")))</f>
        <v>0</v>
      </c>
      <c r="E162" s="3">
        <f>IF(OR(INDEX($P$2:$P$1001,MATCH(ROWS($O$2:O162),$O$2:$O$1001,0),1)&gt;=100000,INDEX($V$1005:$AE$1005,1,MATCH(COLUMNS($V$1006:Y1006),$V$1006:$AE$1006,0))&gt;=100000), " ",IF(INDEX($V$2:$AE$1001,MATCH(ROWS($O$2:O162),$O$2:$O$1001,0),MATCH(COLUMNS($V$1006:Y1006),$V$1006:$AE$1006,0)), HYPERLINK("#",""), HYPERLINK(CONCATENATE("#Metadata!", ADDRESS(INDEX($Q$2:$Q$1001,MATCH(ROWS($O$2:O162),$O$2:$O$1001,0),0), INDEX($V$1004:$AE$1004,1,MATCH(COLUMNS($V$1006:Y1006),$V$1006:$AE$1006,0)))),"Fix")))</f>
        <v>0</v>
      </c>
      <c r="F162" s="3">
        <f>IF(OR(INDEX($P$2:$P$1001,MATCH(ROWS($O$2:O162),$O$2:$O$1001,0),1)&gt;=100000,INDEX($V$1005:$AE$1005,1,MATCH(COLUMNS($V$1006:Z1006),$V$1006:$AE$1006,0))&gt;=100000), " ",IF(INDEX($V$2:$AE$1001,MATCH(ROWS($O$2:O162),$O$2:$O$1001,0),MATCH(COLUMNS($V$1006:Z1006),$V$1006:$AE$1006,0)), HYPERLINK("#",""), HYPERLINK(CONCATENATE("#Metadata!", ADDRESS(INDEX($Q$2:$Q$1001,MATCH(ROWS($O$2:O162),$O$2:$O$1001,0),0), INDEX($V$1004:$AE$1004,1,MATCH(COLUMNS($V$1006:Z1006),$V$1006:$AE$1006,0)))),"Fix")))</f>
        <v>0</v>
      </c>
      <c r="G162" s="3">
        <f>IF(OR(INDEX($P$2:$P$1001,MATCH(ROWS($O$2:O162),$O$2:$O$1001,0),1)&gt;=100000,INDEX($V$1005:$AE$1005,1,MATCH(COLUMNS($V$1006:AA1006),$V$1006:$AE$1006,0))&gt;=100000), " ",IF(INDEX($V$2:$AE$1001,MATCH(ROWS($O$2:O162),$O$2:$O$1001,0),MATCH(COLUMNS($V$1006:AA1006),$V$1006:$AE$1006,0)), HYPERLINK("#",""), HYPERLINK(CONCATENATE("#Metadata!", ADDRESS(INDEX($Q$2:$Q$1001,MATCH(ROWS($O$2:O162),$O$2:$O$1001,0),0), INDEX($V$1004:$AE$1004,1,MATCH(COLUMNS($V$1006:AA1006),$V$1006:$AE$1006,0)))),"Fix")))</f>
        <v>0</v>
      </c>
      <c r="H162" s="3">
        <f>IF(OR(INDEX($P$2:$P$1001,MATCH(ROWS($O$2:O162),$O$2:$O$1001,0),1)&gt;=100000,INDEX($V$1005:$AE$1005,1,MATCH(COLUMNS($V$1006:AB1006),$V$1006:$AE$1006,0))&gt;=100000), " ",IF(INDEX($V$2:$AE$1001,MATCH(ROWS($O$2:O162),$O$2:$O$1001,0),MATCH(COLUMNS($V$1006:AB1006),$V$1006:$AE$1006,0)), HYPERLINK("#",""), HYPERLINK(CONCATENATE("#Metadata!", ADDRESS(INDEX($Q$2:$Q$1001,MATCH(ROWS($O$2:O162),$O$2:$O$1001,0),0), INDEX($V$1004:$AE$1004,1,MATCH(COLUMNS($V$1006:AB1006),$V$1006:$AE$1006,0)))),"Fix")))</f>
        <v>0</v>
      </c>
      <c r="I162" s="3">
        <f>IF(OR(INDEX($P$2:$P$1001,MATCH(ROWS($O$2:O162),$O$2:$O$1001,0),1)&gt;=100000,INDEX($V$1005:$AE$1005,1,MATCH(COLUMNS($V$1006:AC1006),$V$1006:$AE$1006,0))&gt;=100000), " ",IF(INDEX($V$2:$AE$1001,MATCH(ROWS($O$2:O162),$O$2:$O$1001,0),MATCH(COLUMNS($V$1006:AC1006),$V$1006:$AE$1006,0)), HYPERLINK("#",""), HYPERLINK(CONCATENATE("#Metadata!", ADDRESS(INDEX($Q$2:$Q$1001,MATCH(ROWS($O$2:O162),$O$2:$O$1001,0),0), INDEX($V$1004:$AE$1004,1,MATCH(COLUMNS($V$1006:AC1006),$V$1006:$AE$1006,0)))),"Fix")))</f>
        <v>0</v>
      </c>
      <c r="J162" s="3">
        <f>IF(OR(INDEX($P$2:$P$1001,MATCH(ROWS($O$2:O162),$O$2:$O$1001,0),1)&gt;=100000,INDEX($V$1005:$AE$1005,1,MATCH(COLUMNS($V$1006:AD1006),$V$1006:$AE$1006,0))&gt;=100000), " ",IF(INDEX($V$2:$AE$1001,MATCH(ROWS($O$2:O162),$O$2:$O$1001,0),MATCH(COLUMNS($V$1006:AD1006),$V$1006:$AE$1006,0)), HYPERLINK("#",""), HYPERLINK(CONCATENATE("#Metadata!", ADDRESS(INDEX($Q$2:$Q$1001,MATCH(ROWS($O$2:O162),$O$2:$O$1001,0),0), INDEX($V$1004:$AE$1004,1,MATCH(COLUMNS($V$1006:AD1006),$V$1006:$AE$1006,0)))),"Fix")))</f>
        <v>0</v>
      </c>
      <c r="K162" s="3">
        <f>IF(OR(INDEX($P$2:$P$1001,MATCH(ROWS($O$2:O162),$O$2:$O$1001,0),1)&gt;=100000,INDEX($V$1005:$AE$1005,1,MATCH(COLUMNS($V$1006:AE1006),$V$1006:$AE$1006,0))&gt;=100000), " ",IF(INDEX($V$2:$AE$1001,MATCH(ROWS($O$2:O162),$O$2:$O$1001,0),MATCH(COLUMNS($V$1006:AE1006),$V$1006:$AE$1006,0)), HYPERLINK("#",""), HYPERLINK(CONCATENATE("#Metadata!", ADDRESS(INDEX($Q$2:$Q$1001,MATCH(ROWS($O$2:O162),$O$2:$O$1001,0),0), INDEX($V$1004:$AE$1004,1,MATCH(COLUMNS($V$1006:AE1006),$V$1006:$AE$1006,0)))),"Fix")))</f>
        <v>0</v>
      </c>
      <c r="O162">
        <v>0</v>
      </c>
      <c r="P162">
        <v>0</v>
      </c>
      <c r="Q162">
        <v>0</v>
      </c>
      <c r="R162">
        <f>IF(S162,TRUE,AND(V162:AE162))</f>
        <v>0</v>
      </c>
      <c r="S162">
        <f>COUNTBLANK(Metadata!B162:K162)=COLUMNS(Metadata!B162:K162)</f>
        <v>0</v>
      </c>
      <c r="T162">
        <v>0</v>
      </c>
      <c r="V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W162">
        <f>AND(IF(Metadata!C162="",FALSE,TRUE),exact(Metadata!C162,"animal secretion"))</f>
        <v>0</v>
      </c>
      <c r="X162">
        <f>AND(IF(Metadata!D162="",FALSE,TRUE),exact(Metadata!D162,"saliva"))</f>
        <v>0</v>
      </c>
      <c r="Y162">
        <f>AND(IF(Metadata!E162="",FALSE,TRUE),exact(Metadata!E162,"human-oral"))</f>
        <v>0</v>
      </c>
      <c r="Z162">
        <f>AND(IF(Metadata!F162="",FALSE,TRUE),exact(Metadata!F162,"UBERON:oral cavity"))</f>
        <v>0</v>
      </c>
      <c r="AA162">
        <f>AND(IF(Metadata!G162="",FALSE,TRUE),exact(Metadata!G162,"UBERON:saliva"))</f>
        <v>0</v>
      </c>
      <c r="AB162">
        <f>AND(IF(Metadata!H162="",FALSE,TRUE),exact(Metadata!H162,"UBERON:tongue"))</f>
        <v>0</v>
      </c>
      <c r="AC162">
        <f>AND(IF(Metadata!I162="",FALSE,TRUE),exact(Metadata!I162,"tongue"))</f>
        <v>0</v>
      </c>
      <c r="AD162">
        <f>AND(IF(Metadata!J162="",FALSE,TRUE),exact(Metadata!J162,"human oral metagenome"))</f>
        <v>0</v>
      </c>
      <c r="AE162">
        <f>AND(IF(Metadata!K162="",FALSE,TRUE),exact(Metadata!K162,"447426"))</f>
        <v>0</v>
      </c>
    </row>
    <row r="163" spans="1:31">
      <c r="A163" s="4">
        <f>IF(B163=" "," ",HYPERLINK(CONCATENATE("#metadata!",ADDRESS(INDEX($Q$2:$Q$1001,MATCH(ROWS($O$2:O163),$O$2:$O$1001,0),0),1)),INDEX($T$2:$T$1001,MATCH(ROWS($O$2:O163),$O$2:$O$1001,0),0)))</f>
        <v>0</v>
      </c>
      <c r="B163" s="3">
        <f>IF(OR(INDEX($P$2:$P$1001,MATCH(ROWS($O$2:O163),$O$2:$O$1001,0),1)&gt;=100000,INDEX($V$1005:$AE$1005,1,MATCH(COLUMNS($V$1006:V1006),$V$1006:$AE$1006,0))&gt;=100000), " ",IF(INDEX($V$2:$AE$1001,MATCH(ROWS($O$2:O163),$O$2:$O$1001,0),MATCH(COLUMNS($V$1006:V1006),$V$1006:$AE$1006,0)), HYPERLINK("#",""), HYPERLINK(CONCATENATE("#Metadata!", ADDRESS(INDEX($Q$2:$Q$1001,MATCH(ROWS($O$2:O163),$O$2:$O$1001,0),0), INDEX($V$1004:$AE$1004,1,MATCH(COLUMNS($V$1006:V1006),$V$1006:$AE$1006,0)))),"Fix")))</f>
        <v>0</v>
      </c>
      <c r="C163" s="3">
        <f>IF(OR(INDEX($P$2:$P$1001,MATCH(ROWS($O$2:O163),$O$2:$O$1001,0),1)&gt;=100000,INDEX($V$1005:$AE$1005,1,MATCH(COLUMNS($V$1006:W1006),$V$1006:$AE$1006,0))&gt;=100000), " ",IF(INDEX($V$2:$AE$1001,MATCH(ROWS($O$2:O163),$O$2:$O$1001,0),MATCH(COLUMNS($V$1006:W1006),$V$1006:$AE$1006,0)), HYPERLINK("#",""), HYPERLINK(CONCATENATE("#Metadata!", ADDRESS(INDEX($Q$2:$Q$1001,MATCH(ROWS($O$2:O163),$O$2:$O$1001,0),0), INDEX($V$1004:$AE$1004,1,MATCH(COLUMNS($V$1006:W1006),$V$1006:$AE$1006,0)))),"Fix")))</f>
        <v>0</v>
      </c>
      <c r="D163" s="3">
        <f>IF(OR(INDEX($P$2:$P$1001,MATCH(ROWS($O$2:O163),$O$2:$O$1001,0),1)&gt;=100000,INDEX($V$1005:$AE$1005,1,MATCH(COLUMNS($V$1006:X1006),$V$1006:$AE$1006,0))&gt;=100000), " ",IF(INDEX($V$2:$AE$1001,MATCH(ROWS($O$2:O163),$O$2:$O$1001,0),MATCH(COLUMNS($V$1006:X1006),$V$1006:$AE$1006,0)), HYPERLINK("#",""), HYPERLINK(CONCATENATE("#Metadata!", ADDRESS(INDEX($Q$2:$Q$1001,MATCH(ROWS($O$2:O163),$O$2:$O$1001,0),0), INDEX($V$1004:$AE$1004,1,MATCH(COLUMNS($V$1006:X1006),$V$1006:$AE$1006,0)))),"Fix")))</f>
        <v>0</v>
      </c>
      <c r="E163" s="3">
        <f>IF(OR(INDEX($P$2:$P$1001,MATCH(ROWS($O$2:O163),$O$2:$O$1001,0),1)&gt;=100000,INDEX($V$1005:$AE$1005,1,MATCH(COLUMNS($V$1006:Y1006),$V$1006:$AE$1006,0))&gt;=100000), " ",IF(INDEX($V$2:$AE$1001,MATCH(ROWS($O$2:O163),$O$2:$O$1001,0),MATCH(COLUMNS($V$1006:Y1006),$V$1006:$AE$1006,0)), HYPERLINK("#",""), HYPERLINK(CONCATENATE("#Metadata!", ADDRESS(INDEX($Q$2:$Q$1001,MATCH(ROWS($O$2:O163),$O$2:$O$1001,0),0), INDEX($V$1004:$AE$1004,1,MATCH(COLUMNS($V$1006:Y1006),$V$1006:$AE$1006,0)))),"Fix")))</f>
        <v>0</v>
      </c>
      <c r="F163" s="3">
        <f>IF(OR(INDEX($P$2:$P$1001,MATCH(ROWS($O$2:O163),$O$2:$O$1001,0),1)&gt;=100000,INDEX($V$1005:$AE$1005,1,MATCH(COLUMNS($V$1006:Z1006),$V$1006:$AE$1006,0))&gt;=100000), " ",IF(INDEX($V$2:$AE$1001,MATCH(ROWS($O$2:O163),$O$2:$O$1001,0),MATCH(COLUMNS($V$1006:Z1006),$V$1006:$AE$1006,0)), HYPERLINK("#",""), HYPERLINK(CONCATENATE("#Metadata!", ADDRESS(INDEX($Q$2:$Q$1001,MATCH(ROWS($O$2:O163),$O$2:$O$1001,0),0), INDEX($V$1004:$AE$1004,1,MATCH(COLUMNS($V$1006:Z1006),$V$1006:$AE$1006,0)))),"Fix")))</f>
        <v>0</v>
      </c>
      <c r="G163" s="3">
        <f>IF(OR(INDEX($P$2:$P$1001,MATCH(ROWS($O$2:O163),$O$2:$O$1001,0),1)&gt;=100000,INDEX($V$1005:$AE$1005,1,MATCH(COLUMNS($V$1006:AA1006),$V$1006:$AE$1006,0))&gt;=100000), " ",IF(INDEX($V$2:$AE$1001,MATCH(ROWS($O$2:O163),$O$2:$O$1001,0),MATCH(COLUMNS($V$1006:AA1006),$V$1006:$AE$1006,0)), HYPERLINK("#",""), HYPERLINK(CONCATENATE("#Metadata!", ADDRESS(INDEX($Q$2:$Q$1001,MATCH(ROWS($O$2:O163),$O$2:$O$1001,0),0), INDEX($V$1004:$AE$1004,1,MATCH(COLUMNS($V$1006:AA1006),$V$1006:$AE$1006,0)))),"Fix")))</f>
        <v>0</v>
      </c>
      <c r="H163" s="3">
        <f>IF(OR(INDEX($P$2:$P$1001,MATCH(ROWS($O$2:O163),$O$2:$O$1001,0),1)&gt;=100000,INDEX($V$1005:$AE$1005,1,MATCH(COLUMNS($V$1006:AB1006),$V$1006:$AE$1006,0))&gt;=100000), " ",IF(INDEX($V$2:$AE$1001,MATCH(ROWS($O$2:O163),$O$2:$O$1001,0),MATCH(COLUMNS($V$1006:AB1006),$V$1006:$AE$1006,0)), HYPERLINK("#",""), HYPERLINK(CONCATENATE("#Metadata!", ADDRESS(INDEX($Q$2:$Q$1001,MATCH(ROWS($O$2:O163),$O$2:$O$1001,0),0), INDEX($V$1004:$AE$1004,1,MATCH(COLUMNS($V$1006:AB1006),$V$1006:$AE$1006,0)))),"Fix")))</f>
        <v>0</v>
      </c>
      <c r="I163" s="3">
        <f>IF(OR(INDEX($P$2:$P$1001,MATCH(ROWS($O$2:O163),$O$2:$O$1001,0),1)&gt;=100000,INDEX($V$1005:$AE$1005,1,MATCH(COLUMNS($V$1006:AC1006),$V$1006:$AE$1006,0))&gt;=100000), " ",IF(INDEX($V$2:$AE$1001,MATCH(ROWS($O$2:O163),$O$2:$O$1001,0),MATCH(COLUMNS($V$1006:AC1006),$V$1006:$AE$1006,0)), HYPERLINK("#",""), HYPERLINK(CONCATENATE("#Metadata!", ADDRESS(INDEX($Q$2:$Q$1001,MATCH(ROWS($O$2:O163),$O$2:$O$1001,0),0), INDEX($V$1004:$AE$1004,1,MATCH(COLUMNS($V$1006:AC1006),$V$1006:$AE$1006,0)))),"Fix")))</f>
        <v>0</v>
      </c>
      <c r="J163" s="3">
        <f>IF(OR(INDEX($P$2:$P$1001,MATCH(ROWS($O$2:O163),$O$2:$O$1001,0),1)&gt;=100000,INDEX($V$1005:$AE$1005,1,MATCH(COLUMNS($V$1006:AD1006),$V$1006:$AE$1006,0))&gt;=100000), " ",IF(INDEX($V$2:$AE$1001,MATCH(ROWS($O$2:O163),$O$2:$O$1001,0),MATCH(COLUMNS($V$1006:AD1006),$V$1006:$AE$1006,0)), HYPERLINK("#",""), HYPERLINK(CONCATENATE("#Metadata!", ADDRESS(INDEX($Q$2:$Q$1001,MATCH(ROWS($O$2:O163),$O$2:$O$1001,0),0), INDEX($V$1004:$AE$1004,1,MATCH(COLUMNS($V$1006:AD1006),$V$1006:$AE$1006,0)))),"Fix")))</f>
        <v>0</v>
      </c>
      <c r="K163" s="3">
        <f>IF(OR(INDEX($P$2:$P$1001,MATCH(ROWS($O$2:O163),$O$2:$O$1001,0),1)&gt;=100000,INDEX($V$1005:$AE$1005,1,MATCH(COLUMNS($V$1006:AE1006),$V$1006:$AE$1006,0))&gt;=100000), " ",IF(INDEX($V$2:$AE$1001,MATCH(ROWS($O$2:O163),$O$2:$O$1001,0),MATCH(COLUMNS($V$1006:AE1006),$V$1006:$AE$1006,0)), HYPERLINK("#",""), HYPERLINK(CONCATENATE("#Metadata!", ADDRESS(INDEX($Q$2:$Q$1001,MATCH(ROWS($O$2:O163),$O$2:$O$1001,0),0), INDEX($V$1004:$AE$1004,1,MATCH(COLUMNS($V$1006:AE1006),$V$1006:$AE$1006,0)))),"Fix")))</f>
        <v>0</v>
      </c>
      <c r="O163">
        <v>0</v>
      </c>
      <c r="P163">
        <v>0</v>
      </c>
      <c r="Q163">
        <v>0</v>
      </c>
      <c r="R163">
        <f>IF(S163,TRUE,AND(V163:AE163))</f>
        <v>0</v>
      </c>
      <c r="S163">
        <f>COUNTBLANK(Metadata!B163:K163)=COLUMNS(Metadata!B163:K163)</f>
        <v>0</v>
      </c>
      <c r="T163">
        <v>0</v>
      </c>
      <c r="V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W163">
        <f>AND(IF(Metadata!C163="",FALSE,TRUE),exact(Metadata!C163,"animal secretion"))</f>
        <v>0</v>
      </c>
      <c r="X163">
        <f>AND(IF(Metadata!D163="",FALSE,TRUE),exact(Metadata!D163,"saliva"))</f>
        <v>0</v>
      </c>
      <c r="Y163">
        <f>AND(IF(Metadata!E163="",FALSE,TRUE),exact(Metadata!E163,"human-oral"))</f>
        <v>0</v>
      </c>
      <c r="Z163">
        <f>AND(IF(Metadata!F163="",FALSE,TRUE),exact(Metadata!F163,"UBERON:oral cavity"))</f>
        <v>0</v>
      </c>
      <c r="AA163">
        <f>AND(IF(Metadata!G163="",FALSE,TRUE),exact(Metadata!G163,"UBERON:saliva"))</f>
        <v>0</v>
      </c>
      <c r="AB163">
        <f>AND(IF(Metadata!H163="",FALSE,TRUE),exact(Metadata!H163,"UBERON:tongue"))</f>
        <v>0</v>
      </c>
      <c r="AC163">
        <f>AND(IF(Metadata!I163="",FALSE,TRUE),exact(Metadata!I163,"tongue"))</f>
        <v>0</v>
      </c>
      <c r="AD163">
        <f>AND(IF(Metadata!J163="",FALSE,TRUE),exact(Metadata!J163,"human oral metagenome"))</f>
        <v>0</v>
      </c>
      <c r="AE163">
        <f>AND(IF(Metadata!K163="",FALSE,TRUE),exact(Metadata!K163,"447426"))</f>
        <v>0</v>
      </c>
    </row>
    <row r="164" spans="1:31">
      <c r="A164" s="4">
        <f>IF(B164=" "," ",HYPERLINK(CONCATENATE("#metadata!",ADDRESS(INDEX($Q$2:$Q$1001,MATCH(ROWS($O$2:O164),$O$2:$O$1001,0),0),1)),INDEX($T$2:$T$1001,MATCH(ROWS($O$2:O164),$O$2:$O$1001,0),0)))</f>
        <v>0</v>
      </c>
      <c r="B164" s="3">
        <f>IF(OR(INDEX($P$2:$P$1001,MATCH(ROWS($O$2:O164),$O$2:$O$1001,0),1)&gt;=100000,INDEX($V$1005:$AE$1005,1,MATCH(COLUMNS($V$1006:V1006),$V$1006:$AE$1006,0))&gt;=100000), " ",IF(INDEX($V$2:$AE$1001,MATCH(ROWS($O$2:O164),$O$2:$O$1001,0),MATCH(COLUMNS($V$1006:V1006),$V$1006:$AE$1006,0)), HYPERLINK("#",""), HYPERLINK(CONCATENATE("#Metadata!", ADDRESS(INDEX($Q$2:$Q$1001,MATCH(ROWS($O$2:O164),$O$2:$O$1001,0),0), INDEX($V$1004:$AE$1004,1,MATCH(COLUMNS($V$1006:V1006),$V$1006:$AE$1006,0)))),"Fix")))</f>
        <v>0</v>
      </c>
      <c r="C164" s="3">
        <f>IF(OR(INDEX($P$2:$P$1001,MATCH(ROWS($O$2:O164),$O$2:$O$1001,0),1)&gt;=100000,INDEX($V$1005:$AE$1005,1,MATCH(COLUMNS($V$1006:W1006),$V$1006:$AE$1006,0))&gt;=100000), " ",IF(INDEX($V$2:$AE$1001,MATCH(ROWS($O$2:O164),$O$2:$O$1001,0),MATCH(COLUMNS($V$1006:W1006),$V$1006:$AE$1006,0)), HYPERLINK("#",""), HYPERLINK(CONCATENATE("#Metadata!", ADDRESS(INDEX($Q$2:$Q$1001,MATCH(ROWS($O$2:O164),$O$2:$O$1001,0),0), INDEX($V$1004:$AE$1004,1,MATCH(COLUMNS($V$1006:W1006),$V$1006:$AE$1006,0)))),"Fix")))</f>
        <v>0</v>
      </c>
      <c r="D164" s="3">
        <f>IF(OR(INDEX($P$2:$P$1001,MATCH(ROWS($O$2:O164),$O$2:$O$1001,0),1)&gt;=100000,INDEX($V$1005:$AE$1005,1,MATCH(COLUMNS($V$1006:X1006),$V$1006:$AE$1006,0))&gt;=100000), " ",IF(INDEX($V$2:$AE$1001,MATCH(ROWS($O$2:O164),$O$2:$O$1001,0),MATCH(COLUMNS($V$1006:X1006),$V$1006:$AE$1006,0)), HYPERLINK("#",""), HYPERLINK(CONCATENATE("#Metadata!", ADDRESS(INDEX($Q$2:$Q$1001,MATCH(ROWS($O$2:O164),$O$2:$O$1001,0),0), INDEX($V$1004:$AE$1004,1,MATCH(COLUMNS($V$1006:X1006),$V$1006:$AE$1006,0)))),"Fix")))</f>
        <v>0</v>
      </c>
      <c r="E164" s="3">
        <f>IF(OR(INDEX($P$2:$P$1001,MATCH(ROWS($O$2:O164),$O$2:$O$1001,0),1)&gt;=100000,INDEX($V$1005:$AE$1005,1,MATCH(COLUMNS($V$1006:Y1006),$V$1006:$AE$1006,0))&gt;=100000), " ",IF(INDEX($V$2:$AE$1001,MATCH(ROWS($O$2:O164),$O$2:$O$1001,0),MATCH(COLUMNS($V$1006:Y1006),$V$1006:$AE$1006,0)), HYPERLINK("#",""), HYPERLINK(CONCATENATE("#Metadata!", ADDRESS(INDEX($Q$2:$Q$1001,MATCH(ROWS($O$2:O164),$O$2:$O$1001,0),0), INDEX($V$1004:$AE$1004,1,MATCH(COLUMNS($V$1006:Y1006),$V$1006:$AE$1006,0)))),"Fix")))</f>
        <v>0</v>
      </c>
      <c r="F164" s="3">
        <f>IF(OR(INDEX($P$2:$P$1001,MATCH(ROWS($O$2:O164),$O$2:$O$1001,0),1)&gt;=100000,INDEX($V$1005:$AE$1005,1,MATCH(COLUMNS($V$1006:Z1006),$V$1006:$AE$1006,0))&gt;=100000), " ",IF(INDEX($V$2:$AE$1001,MATCH(ROWS($O$2:O164),$O$2:$O$1001,0),MATCH(COLUMNS($V$1006:Z1006),$V$1006:$AE$1006,0)), HYPERLINK("#",""), HYPERLINK(CONCATENATE("#Metadata!", ADDRESS(INDEX($Q$2:$Q$1001,MATCH(ROWS($O$2:O164),$O$2:$O$1001,0),0), INDEX($V$1004:$AE$1004,1,MATCH(COLUMNS($V$1006:Z1006),$V$1006:$AE$1006,0)))),"Fix")))</f>
        <v>0</v>
      </c>
      <c r="G164" s="3">
        <f>IF(OR(INDEX($P$2:$P$1001,MATCH(ROWS($O$2:O164),$O$2:$O$1001,0),1)&gt;=100000,INDEX($V$1005:$AE$1005,1,MATCH(COLUMNS($V$1006:AA1006),$V$1006:$AE$1006,0))&gt;=100000), " ",IF(INDEX($V$2:$AE$1001,MATCH(ROWS($O$2:O164),$O$2:$O$1001,0),MATCH(COLUMNS($V$1006:AA1006),$V$1006:$AE$1006,0)), HYPERLINK("#",""), HYPERLINK(CONCATENATE("#Metadata!", ADDRESS(INDEX($Q$2:$Q$1001,MATCH(ROWS($O$2:O164),$O$2:$O$1001,0),0), INDEX($V$1004:$AE$1004,1,MATCH(COLUMNS($V$1006:AA1006),$V$1006:$AE$1006,0)))),"Fix")))</f>
        <v>0</v>
      </c>
      <c r="H164" s="3">
        <f>IF(OR(INDEX($P$2:$P$1001,MATCH(ROWS($O$2:O164),$O$2:$O$1001,0),1)&gt;=100000,INDEX($V$1005:$AE$1005,1,MATCH(COLUMNS($V$1006:AB1006),$V$1006:$AE$1006,0))&gt;=100000), " ",IF(INDEX($V$2:$AE$1001,MATCH(ROWS($O$2:O164),$O$2:$O$1001,0),MATCH(COLUMNS($V$1006:AB1006),$V$1006:$AE$1006,0)), HYPERLINK("#",""), HYPERLINK(CONCATENATE("#Metadata!", ADDRESS(INDEX($Q$2:$Q$1001,MATCH(ROWS($O$2:O164),$O$2:$O$1001,0),0), INDEX($V$1004:$AE$1004,1,MATCH(COLUMNS($V$1006:AB1006),$V$1006:$AE$1006,0)))),"Fix")))</f>
        <v>0</v>
      </c>
      <c r="I164" s="3">
        <f>IF(OR(INDEX($P$2:$P$1001,MATCH(ROWS($O$2:O164),$O$2:$O$1001,0),1)&gt;=100000,INDEX($V$1005:$AE$1005,1,MATCH(COLUMNS($V$1006:AC1006),$V$1006:$AE$1006,0))&gt;=100000), " ",IF(INDEX($V$2:$AE$1001,MATCH(ROWS($O$2:O164),$O$2:$O$1001,0),MATCH(COLUMNS($V$1006:AC1006),$V$1006:$AE$1006,0)), HYPERLINK("#",""), HYPERLINK(CONCATENATE("#Metadata!", ADDRESS(INDEX($Q$2:$Q$1001,MATCH(ROWS($O$2:O164),$O$2:$O$1001,0),0), INDEX($V$1004:$AE$1004,1,MATCH(COLUMNS($V$1006:AC1006),$V$1006:$AE$1006,0)))),"Fix")))</f>
        <v>0</v>
      </c>
      <c r="J164" s="3">
        <f>IF(OR(INDEX($P$2:$P$1001,MATCH(ROWS($O$2:O164),$O$2:$O$1001,0),1)&gt;=100000,INDEX($V$1005:$AE$1005,1,MATCH(COLUMNS($V$1006:AD1006),$V$1006:$AE$1006,0))&gt;=100000), " ",IF(INDEX($V$2:$AE$1001,MATCH(ROWS($O$2:O164),$O$2:$O$1001,0),MATCH(COLUMNS($V$1006:AD1006),$V$1006:$AE$1006,0)), HYPERLINK("#",""), HYPERLINK(CONCATENATE("#Metadata!", ADDRESS(INDEX($Q$2:$Q$1001,MATCH(ROWS($O$2:O164),$O$2:$O$1001,0),0), INDEX($V$1004:$AE$1004,1,MATCH(COLUMNS($V$1006:AD1006),$V$1006:$AE$1006,0)))),"Fix")))</f>
        <v>0</v>
      </c>
      <c r="K164" s="3">
        <f>IF(OR(INDEX($P$2:$P$1001,MATCH(ROWS($O$2:O164),$O$2:$O$1001,0),1)&gt;=100000,INDEX($V$1005:$AE$1005,1,MATCH(COLUMNS($V$1006:AE1006),$V$1006:$AE$1006,0))&gt;=100000), " ",IF(INDEX($V$2:$AE$1001,MATCH(ROWS($O$2:O164),$O$2:$O$1001,0),MATCH(COLUMNS($V$1006:AE1006),$V$1006:$AE$1006,0)), HYPERLINK("#",""), HYPERLINK(CONCATENATE("#Metadata!", ADDRESS(INDEX($Q$2:$Q$1001,MATCH(ROWS($O$2:O164),$O$2:$O$1001,0),0), INDEX($V$1004:$AE$1004,1,MATCH(COLUMNS($V$1006:AE1006),$V$1006:$AE$1006,0)))),"Fix")))</f>
        <v>0</v>
      </c>
      <c r="O164">
        <v>0</v>
      </c>
      <c r="P164">
        <v>0</v>
      </c>
      <c r="Q164">
        <v>0</v>
      </c>
      <c r="R164">
        <f>IF(S164,TRUE,AND(V164:AE164))</f>
        <v>0</v>
      </c>
      <c r="S164">
        <f>COUNTBLANK(Metadata!B164:K164)=COLUMNS(Metadata!B164:K164)</f>
        <v>0</v>
      </c>
      <c r="T164">
        <v>0</v>
      </c>
      <c r="V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W164">
        <f>AND(IF(Metadata!C164="",FALSE,TRUE),exact(Metadata!C164,"animal secretion"))</f>
        <v>0</v>
      </c>
      <c r="X164">
        <f>AND(IF(Metadata!D164="",FALSE,TRUE),exact(Metadata!D164,"saliva"))</f>
        <v>0</v>
      </c>
      <c r="Y164">
        <f>AND(IF(Metadata!E164="",FALSE,TRUE),exact(Metadata!E164,"human-oral"))</f>
        <v>0</v>
      </c>
      <c r="Z164">
        <f>AND(IF(Metadata!F164="",FALSE,TRUE),exact(Metadata!F164,"UBERON:oral cavity"))</f>
        <v>0</v>
      </c>
      <c r="AA164">
        <f>AND(IF(Metadata!G164="",FALSE,TRUE),exact(Metadata!G164,"UBERON:saliva"))</f>
        <v>0</v>
      </c>
      <c r="AB164">
        <f>AND(IF(Metadata!H164="",FALSE,TRUE),exact(Metadata!H164,"UBERON:tongue"))</f>
        <v>0</v>
      </c>
      <c r="AC164">
        <f>AND(IF(Metadata!I164="",FALSE,TRUE),exact(Metadata!I164,"tongue"))</f>
        <v>0</v>
      </c>
      <c r="AD164">
        <f>AND(IF(Metadata!J164="",FALSE,TRUE),exact(Metadata!J164,"human oral metagenome"))</f>
        <v>0</v>
      </c>
      <c r="AE164">
        <f>AND(IF(Metadata!K164="",FALSE,TRUE),exact(Metadata!K164,"447426"))</f>
        <v>0</v>
      </c>
    </row>
    <row r="165" spans="1:31">
      <c r="A165" s="4">
        <f>IF(B165=" "," ",HYPERLINK(CONCATENATE("#metadata!",ADDRESS(INDEX($Q$2:$Q$1001,MATCH(ROWS($O$2:O165),$O$2:$O$1001,0),0),1)),INDEX($T$2:$T$1001,MATCH(ROWS($O$2:O165),$O$2:$O$1001,0),0)))</f>
        <v>0</v>
      </c>
      <c r="B165" s="3">
        <f>IF(OR(INDEX($P$2:$P$1001,MATCH(ROWS($O$2:O165),$O$2:$O$1001,0),1)&gt;=100000,INDEX($V$1005:$AE$1005,1,MATCH(COLUMNS($V$1006:V1006),$V$1006:$AE$1006,0))&gt;=100000), " ",IF(INDEX($V$2:$AE$1001,MATCH(ROWS($O$2:O165),$O$2:$O$1001,0),MATCH(COLUMNS($V$1006:V1006),$V$1006:$AE$1006,0)), HYPERLINK("#",""), HYPERLINK(CONCATENATE("#Metadata!", ADDRESS(INDEX($Q$2:$Q$1001,MATCH(ROWS($O$2:O165),$O$2:$O$1001,0),0), INDEX($V$1004:$AE$1004,1,MATCH(COLUMNS($V$1006:V1006),$V$1006:$AE$1006,0)))),"Fix")))</f>
        <v>0</v>
      </c>
      <c r="C165" s="3">
        <f>IF(OR(INDEX($P$2:$P$1001,MATCH(ROWS($O$2:O165),$O$2:$O$1001,0),1)&gt;=100000,INDEX($V$1005:$AE$1005,1,MATCH(COLUMNS($V$1006:W1006),$V$1006:$AE$1006,0))&gt;=100000), " ",IF(INDEX($V$2:$AE$1001,MATCH(ROWS($O$2:O165),$O$2:$O$1001,0),MATCH(COLUMNS($V$1006:W1006),$V$1006:$AE$1006,0)), HYPERLINK("#",""), HYPERLINK(CONCATENATE("#Metadata!", ADDRESS(INDEX($Q$2:$Q$1001,MATCH(ROWS($O$2:O165),$O$2:$O$1001,0),0), INDEX($V$1004:$AE$1004,1,MATCH(COLUMNS($V$1006:W1006),$V$1006:$AE$1006,0)))),"Fix")))</f>
        <v>0</v>
      </c>
      <c r="D165" s="3">
        <f>IF(OR(INDEX($P$2:$P$1001,MATCH(ROWS($O$2:O165),$O$2:$O$1001,0),1)&gt;=100000,INDEX($V$1005:$AE$1005,1,MATCH(COLUMNS($V$1006:X1006),$V$1006:$AE$1006,0))&gt;=100000), " ",IF(INDEX($V$2:$AE$1001,MATCH(ROWS($O$2:O165),$O$2:$O$1001,0),MATCH(COLUMNS($V$1006:X1006),$V$1006:$AE$1006,0)), HYPERLINK("#",""), HYPERLINK(CONCATENATE("#Metadata!", ADDRESS(INDEX($Q$2:$Q$1001,MATCH(ROWS($O$2:O165),$O$2:$O$1001,0),0), INDEX($V$1004:$AE$1004,1,MATCH(COLUMNS($V$1006:X1006),$V$1006:$AE$1006,0)))),"Fix")))</f>
        <v>0</v>
      </c>
      <c r="E165" s="3">
        <f>IF(OR(INDEX($P$2:$P$1001,MATCH(ROWS($O$2:O165),$O$2:$O$1001,0),1)&gt;=100000,INDEX($V$1005:$AE$1005,1,MATCH(COLUMNS($V$1006:Y1006),$V$1006:$AE$1006,0))&gt;=100000), " ",IF(INDEX($V$2:$AE$1001,MATCH(ROWS($O$2:O165),$O$2:$O$1001,0),MATCH(COLUMNS($V$1006:Y1006),$V$1006:$AE$1006,0)), HYPERLINK("#",""), HYPERLINK(CONCATENATE("#Metadata!", ADDRESS(INDEX($Q$2:$Q$1001,MATCH(ROWS($O$2:O165),$O$2:$O$1001,0),0), INDEX($V$1004:$AE$1004,1,MATCH(COLUMNS($V$1006:Y1006),$V$1006:$AE$1006,0)))),"Fix")))</f>
        <v>0</v>
      </c>
      <c r="F165" s="3">
        <f>IF(OR(INDEX($P$2:$P$1001,MATCH(ROWS($O$2:O165),$O$2:$O$1001,0),1)&gt;=100000,INDEX($V$1005:$AE$1005,1,MATCH(COLUMNS($V$1006:Z1006),$V$1006:$AE$1006,0))&gt;=100000), " ",IF(INDEX($V$2:$AE$1001,MATCH(ROWS($O$2:O165),$O$2:$O$1001,0),MATCH(COLUMNS($V$1006:Z1006),$V$1006:$AE$1006,0)), HYPERLINK("#",""), HYPERLINK(CONCATENATE("#Metadata!", ADDRESS(INDEX($Q$2:$Q$1001,MATCH(ROWS($O$2:O165),$O$2:$O$1001,0),0), INDEX($V$1004:$AE$1004,1,MATCH(COLUMNS($V$1006:Z1006),$V$1006:$AE$1006,0)))),"Fix")))</f>
        <v>0</v>
      </c>
      <c r="G165" s="3">
        <f>IF(OR(INDEX($P$2:$P$1001,MATCH(ROWS($O$2:O165),$O$2:$O$1001,0),1)&gt;=100000,INDEX($V$1005:$AE$1005,1,MATCH(COLUMNS($V$1006:AA1006),$V$1006:$AE$1006,0))&gt;=100000), " ",IF(INDEX($V$2:$AE$1001,MATCH(ROWS($O$2:O165),$O$2:$O$1001,0),MATCH(COLUMNS($V$1006:AA1006),$V$1006:$AE$1006,0)), HYPERLINK("#",""), HYPERLINK(CONCATENATE("#Metadata!", ADDRESS(INDEX($Q$2:$Q$1001,MATCH(ROWS($O$2:O165),$O$2:$O$1001,0),0), INDEX($V$1004:$AE$1004,1,MATCH(COLUMNS($V$1006:AA1006),$V$1006:$AE$1006,0)))),"Fix")))</f>
        <v>0</v>
      </c>
      <c r="H165" s="3">
        <f>IF(OR(INDEX($P$2:$P$1001,MATCH(ROWS($O$2:O165),$O$2:$O$1001,0),1)&gt;=100000,INDEX($V$1005:$AE$1005,1,MATCH(COLUMNS($V$1006:AB1006),$V$1006:$AE$1006,0))&gt;=100000), " ",IF(INDEX($V$2:$AE$1001,MATCH(ROWS($O$2:O165),$O$2:$O$1001,0),MATCH(COLUMNS($V$1006:AB1006),$V$1006:$AE$1006,0)), HYPERLINK("#",""), HYPERLINK(CONCATENATE("#Metadata!", ADDRESS(INDEX($Q$2:$Q$1001,MATCH(ROWS($O$2:O165),$O$2:$O$1001,0),0), INDEX($V$1004:$AE$1004,1,MATCH(COLUMNS($V$1006:AB1006),$V$1006:$AE$1006,0)))),"Fix")))</f>
        <v>0</v>
      </c>
      <c r="I165" s="3">
        <f>IF(OR(INDEX($P$2:$P$1001,MATCH(ROWS($O$2:O165),$O$2:$O$1001,0),1)&gt;=100000,INDEX($V$1005:$AE$1005,1,MATCH(COLUMNS($V$1006:AC1006),$V$1006:$AE$1006,0))&gt;=100000), " ",IF(INDEX($V$2:$AE$1001,MATCH(ROWS($O$2:O165),$O$2:$O$1001,0),MATCH(COLUMNS($V$1006:AC1006),$V$1006:$AE$1006,0)), HYPERLINK("#",""), HYPERLINK(CONCATENATE("#Metadata!", ADDRESS(INDEX($Q$2:$Q$1001,MATCH(ROWS($O$2:O165),$O$2:$O$1001,0),0), INDEX($V$1004:$AE$1004,1,MATCH(COLUMNS($V$1006:AC1006),$V$1006:$AE$1006,0)))),"Fix")))</f>
        <v>0</v>
      </c>
      <c r="J165" s="3">
        <f>IF(OR(INDEX($P$2:$P$1001,MATCH(ROWS($O$2:O165),$O$2:$O$1001,0),1)&gt;=100000,INDEX($V$1005:$AE$1005,1,MATCH(COLUMNS($V$1006:AD1006),$V$1006:$AE$1006,0))&gt;=100000), " ",IF(INDEX($V$2:$AE$1001,MATCH(ROWS($O$2:O165),$O$2:$O$1001,0),MATCH(COLUMNS($V$1006:AD1006),$V$1006:$AE$1006,0)), HYPERLINK("#",""), HYPERLINK(CONCATENATE("#Metadata!", ADDRESS(INDEX($Q$2:$Q$1001,MATCH(ROWS($O$2:O165),$O$2:$O$1001,0),0), INDEX($V$1004:$AE$1004,1,MATCH(COLUMNS($V$1006:AD1006),$V$1006:$AE$1006,0)))),"Fix")))</f>
        <v>0</v>
      </c>
      <c r="K165" s="3">
        <f>IF(OR(INDEX($P$2:$P$1001,MATCH(ROWS($O$2:O165),$O$2:$O$1001,0),1)&gt;=100000,INDEX($V$1005:$AE$1005,1,MATCH(COLUMNS($V$1006:AE1006),$V$1006:$AE$1006,0))&gt;=100000), " ",IF(INDEX($V$2:$AE$1001,MATCH(ROWS($O$2:O165),$O$2:$O$1001,0),MATCH(COLUMNS($V$1006:AE1006),$V$1006:$AE$1006,0)), HYPERLINK("#",""), HYPERLINK(CONCATENATE("#Metadata!", ADDRESS(INDEX($Q$2:$Q$1001,MATCH(ROWS($O$2:O165),$O$2:$O$1001,0),0), INDEX($V$1004:$AE$1004,1,MATCH(COLUMNS($V$1006:AE1006),$V$1006:$AE$1006,0)))),"Fix")))</f>
        <v>0</v>
      </c>
      <c r="O165">
        <v>0</v>
      </c>
      <c r="P165">
        <v>0</v>
      </c>
      <c r="Q165">
        <v>0</v>
      </c>
      <c r="R165">
        <f>IF(S165,TRUE,AND(V165:AE165))</f>
        <v>0</v>
      </c>
      <c r="S165">
        <f>COUNTBLANK(Metadata!B165:K165)=COLUMNS(Metadata!B165:K165)</f>
        <v>0</v>
      </c>
      <c r="T165">
        <v>0</v>
      </c>
      <c r="V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W165">
        <f>AND(IF(Metadata!C165="",FALSE,TRUE),exact(Metadata!C165,"animal secretion"))</f>
        <v>0</v>
      </c>
      <c r="X165">
        <f>AND(IF(Metadata!D165="",FALSE,TRUE),exact(Metadata!D165,"saliva"))</f>
        <v>0</v>
      </c>
      <c r="Y165">
        <f>AND(IF(Metadata!E165="",FALSE,TRUE),exact(Metadata!E165,"human-oral"))</f>
        <v>0</v>
      </c>
      <c r="Z165">
        <f>AND(IF(Metadata!F165="",FALSE,TRUE),exact(Metadata!F165,"UBERON:oral cavity"))</f>
        <v>0</v>
      </c>
      <c r="AA165">
        <f>AND(IF(Metadata!G165="",FALSE,TRUE),exact(Metadata!G165,"UBERON:saliva"))</f>
        <v>0</v>
      </c>
      <c r="AB165">
        <f>AND(IF(Metadata!H165="",FALSE,TRUE),exact(Metadata!H165,"UBERON:tongue"))</f>
        <v>0</v>
      </c>
      <c r="AC165">
        <f>AND(IF(Metadata!I165="",FALSE,TRUE),exact(Metadata!I165,"tongue"))</f>
        <v>0</v>
      </c>
      <c r="AD165">
        <f>AND(IF(Metadata!J165="",FALSE,TRUE),exact(Metadata!J165,"human oral metagenome"))</f>
        <v>0</v>
      </c>
      <c r="AE165">
        <f>AND(IF(Metadata!K165="",FALSE,TRUE),exact(Metadata!K165,"447426"))</f>
        <v>0</v>
      </c>
    </row>
    <row r="166" spans="1:31">
      <c r="A166" s="4">
        <f>IF(B166=" "," ",HYPERLINK(CONCATENATE("#metadata!",ADDRESS(INDEX($Q$2:$Q$1001,MATCH(ROWS($O$2:O166),$O$2:$O$1001,0),0),1)),INDEX($T$2:$T$1001,MATCH(ROWS($O$2:O166),$O$2:$O$1001,0),0)))</f>
        <v>0</v>
      </c>
      <c r="B166" s="3">
        <f>IF(OR(INDEX($P$2:$P$1001,MATCH(ROWS($O$2:O166),$O$2:$O$1001,0),1)&gt;=100000,INDEX($V$1005:$AE$1005,1,MATCH(COLUMNS($V$1006:V1006),$V$1006:$AE$1006,0))&gt;=100000), " ",IF(INDEX($V$2:$AE$1001,MATCH(ROWS($O$2:O166),$O$2:$O$1001,0),MATCH(COLUMNS($V$1006:V1006),$V$1006:$AE$1006,0)), HYPERLINK("#",""), HYPERLINK(CONCATENATE("#Metadata!", ADDRESS(INDEX($Q$2:$Q$1001,MATCH(ROWS($O$2:O166),$O$2:$O$1001,0),0), INDEX($V$1004:$AE$1004,1,MATCH(COLUMNS($V$1006:V1006),$V$1006:$AE$1006,0)))),"Fix")))</f>
        <v>0</v>
      </c>
      <c r="C166" s="3">
        <f>IF(OR(INDEX($P$2:$P$1001,MATCH(ROWS($O$2:O166),$O$2:$O$1001,0),1)&gt;=100000,INDEX($V$1005:$AE$1005,1,MATCH(COLUMNS($V$1006:W1006),$V$1006:$AE$1006,0))&gt;=100000), " ",IF(INDEX($V$2:$AE$1001,MATCH(ROWS($O$2:O166),$O$2:$O$1001,0),MATCH(COLUMNS($V$1006:W1006),$V$1006:$AE$1006,0)), HYPERLINK("#",""), HYPERLINK(CONCATENATE("#Metadata!", ADDRESS(INDEX($Q$2:$Q$1001,MATCH(ROWS($O$2:O166),$O$2:$O$1001,0),0), INDEX($V$1004:$AE$1004,1,MATCH(COLUMNS($V$1006:W1006),$V$1006:$AE$1006,0)))),"Fix")))</f>
        <v>0</v>
      </c>
      <c r="D166" s="3">
        <f>IF(OR(INDEX($P$2:$P$1001,MATCH(ROWS($O$2:O166),$O$2:$O$1001,0),1)&gt;=100000,INDEX($V$1005:$AE$1005,1,MATCH(COLUMNS($V$1006:X1006),$V$1006:$AE$1006,0))&gt;=100000), " ",IF(INDEX($V$2:$AE$1001,MATCH(ROWS($O$2:O166),$O$2:$O$1001,0),MATCH(COLUMNS($V$1006:X1006),$V$1006:$AE$1006,0)), HYPERLINK("#",""), HYPERLINK(CONCATENATE("#Metadata!", ADDRESS(INDEX($Q$2:$Q$1001,MATCH(ROWS($O$2:O166),$O$2:$O$1001,0),0), INDEX($V$1004:$AE$1004,1,MATCH(COLUMNS($V$1006:X1006),$V$1006:$AE$1006,0)))),"Fix")))</f>
        <v>0</v>
      </c>
      <c r="E166" s="3">
        <f>IF(OR(INDEX($P$2:$P$1001,MATCH(ROWS($O$2:O166),$O$2:$O$1001,0),1)&gt;=100000,INDEX($V$1005:$AE$1005,1,MATCH(COLUMNS($V$1006:Y1006),$V$1006:$AE$1006,0))&gt;=100000), " ",IF(INDEX($V$2:$AE$1001,MATCH(ROWS($O$2:O166),$O$2:$O$1001,0),MATCH(COLUMNS($V$1006:Y1006),$V$1006:$AE$1006,0)), HYPERLINK("#",""), HYPERLINK(CONCATENATE("#Metadata!", ADDRESS(INDEX($Q$2:$Q$1001,MATCH(ROWS($O$2:O166),$O$2:$O$1001,0),0), INDEX($V$1004:$AE$1004,1,MATCH(COLUMNS($V$1006:Y1006),$V$1006:$AE$1006,0)))),"Fix")))</f>
        <v>0</v>
      </c>
      <c r="F166" s="3">
        <f>IF(OR(INDEX($P$2:$P$1001,MATCH(ROWS($O$2:O166),$O$2:$O$1001,0),1)&gt;=100000,INDEX($V$1005:$AE$1005,1,MATCH(COLUMNS($V$1006:Z1006),$V$1006:$AE$1006,0))&gt;=100000), " ",IF(INDEX($V$2:$AE$1001,MATCH(ROWS($O$2:O166),$O$2:$O$1001,0),MATCH(COLUMNS($V$1006:Z1006),$V$1006:$AE$1006,0)), HYPERLINK("#",""), HYPERLINK(CONCATENATE("#Metadata!", ADDRESS(INDEX($Q$2:$Q$1001,MATCH(ROWS($O$2:O166),$O$2:$O$1001,0),0), INDEX($V$1004:$AE$1004,1,MATCH(COLUMNS($V$1006:Z1006),$V$1006:$AE$1006,0)))),"Fix")))</f>
        <v>0</v>
      </c>
      <c r="G166" s="3">
        <f>IF(OR(INDEX($P$2:$P$1001,MATCH(ROWS($O$2:O166),$O$2:$O$1001,0),1)&gt;=100000,INDEX($V$1005:$AE$1005,1,MATCH(COLUMNS($V$1006:AA1006),$V$1006:$AE$1006,0))&gt;=100000), " ",IF(INDEX($V$2:$AE$1001,MATCH(ROWS($O$2:O166),$O$2:$O$1001,0),MATCH(COLUMNS($V$1006:AA1006),$V$1006:$AE$1006,0)), HYPERLINK("#",""), HYPERLINK(CONCATENATE("#Metadata!", ADDRESS(INDEX($Q$2:$Q$1001,MATCH(ROWS($O$2:O166),$O$2:$O$1001,0),0), INDEX($V$1004:$AE$1004,1,MATCH(COLUMNS($V$1006:AA1006),$V$1006:$AE$1006,0)))),"Fix")))</f>
        <v>0</v>
      </c>
      <c r="H166" s="3">
        <f>IF(OR(INDEX($P$2:$P$1001,MATCH(ROWS($O$2:O166),$O$2:$O$1001,0),1)&gt;=100000,INDEX($V$1005:$AE$1005,1,MATCH(COLUMNS($V$1006:AB1006),$V$1006:$AE$1006,0))&gt;=100000), " ",IF(INDEX($V$2:$AE$1001,MATCH(ROWS($O$2:O166),$O$2:$O$1001,0),MATCH(COLUMNS($V$1006:AB1006),$V$1006:$AE$1006,0)), HYPERLINK("#",""), HYPERLINK(CONCATENATE("#Metadata!", ADDRESS(INDEX($Q$2:$Q$1001,MATCH(ROWS($O$2:O166),$O$2:$O$1001,0),0), INDEX($V$1004:$AE$1004,1,MATCH(COLUMNS($V$1006:AB1006),$V$1006:$AE$1006,0)))),"Fix")))</f>
        <v>0</v>
      </c>
      <c r="I166" s="3">
        <f>IF(OR(INDEX($P$2:$P$1001,MATCH(ROWS($O$2:O166),$O$2:$O$1001,0),1)&gt;=100000,INDEX($V$1005:$AE$1005,1,MATCH(COLUMNS($V$1006:AC1006),$V$1006:$AE$1006,0))&gt;=100000), " ",IF(INDEX($V$2:$AE$1001,MATCH(ROWS($O$2:O166),$O$2:$O$1001,0),MATCH(COLUMNS($V$1006:AC1006),$V$1006:$AE$1006,0)), HYPERLINK("#",""), HYPERLINK(CONCATENATE("#Metadata!", ADDRESS(INDEX($Q$2:$Q$1001,MATCH(ROWS($O$2:O166),$O$2:$O$1001,0),0), INDEX($V$1004:$AE$1004,1,MATCH(COLUMNS($V$1006:AC1006),$V$1006:$AE$1006,0)))),"Fix")))</f>
        <v>0</v>
      </c>
      <c r="J166" s="3">
        <f>IF(OR(INDEX($P$2:$P$1001,MATCH(ROWS($O$2:O166),$O$2:$O$1001,0),1)&gt;=100000,INDEX($V$1005:$AE$1005,1,MATCH(COLUMNS($V$1006:AD1006),$V$1006:$AE$1006,0))&gt;=100000), " ",IF(INDEX($V$2:$AE$1001,MATCH(ROWS($O$2:O166),$O$2:$O$1001,0),MATCH(COLUMNS($V$1006:AD1006),$V$1006:$AE$1006,0)), HYPERLINK("#",""), HYPERLINK(CONCATENATE("#Metadata!", ADDRESS(INDEX($Q$2:$Q$1001,MATCH(ROWS($O$2:O166),$O$2:$O$1001,0),0), INDEX($V$1004:$AE$1004,1,MATCH(COLUMNS($V$1006:AD1006),$V$1006:$AE$1006,0)))),"Fix")))</f>
        <v>0</v>
      </c>
      <c r="K166" s="3">
        <f>IF(OR(INDEX($P$2:$P$1001,MATCH(ROWS($O$2:O166),$O$2:$O$1001,0),1)&gt;=100000,INDEX($V$1005:$AE$1005,1,MATCH(COLUMNS($V$1006:AE1006),$V$1006:$AE$1006,0))&gt;=100000), " ",IF(INDEX($V$2:$AE$1001,MATCH(ROWS($O$2:O166),$O$2:$O$1001,0),MATCH(COLUMNS($V$1006:AE1006),$V$1006:$AE$1006,0)), HYPERLINK("#",""), HYPERLINK(CONCATENATE("#Metadata!", ADDRESS(INDEX($Q$2:$Q$1001,MATCH(ROWS($O$2:O166),$O$2:$O$1001,0),0), INDEX($V$1004:$AE$1004,1,MATCH(COLUMNS($V$1006:AE1006),$V$1006:$AE$1006,0)))),"Fix")))</f>
        <v>0</v>
      </c>
      <c r="O166">
        <v>0</v>
      </c>
      <c r="P166">
        <v>0</v>
      </c>
      <c r="Q166">
        <v>0</v>
      </c>
      <c r="R166">
        <f>IF(S166,TRUE,AND(V166:AE166))</f>
        <v>0</v>
      </c>
      <c r="S166">
        <f>COUNTBLANK(Metadata!B166:K166)=COLUMNS(Metadata!B166:K166)</f>
        <v>0</v>
      </c>
      <c r="T166">
        <v>0</v>
      </c>
      <c r="V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W166">
        <f>AND(IF(Metadata!C166="",FALSE,TRUE),exact(Metadata!C166,"animal secretion"))</f>
        <v>0</v>
      </c>
      <c r="X166">
        <f>AND(IF(Metadata!D166="",FALSE,TRUE),exact(Metadata!D166,"saliva"))</f>
        <v>0</v>
      </c>
      <c r="Y166">
        <f>AND(IF(Metadata!E166="",FALSE,TRUE),exact(Metadata!E166,"human-oral"))</f>
        <v>0</v>
      </c>
      <c r="Z166">
        <f>AND(IF(Metadata!F166="",FALSE,TRUE),exact(Metadata!F166,"UBERON:oral cavity"))</f>
        <v>0</v>
      </c>
      <c r="AA166">
        <f>AND(IF(Metadata!G166="",FALSE,TRUE),exact(Metadata!G166,"UBERON:saliva"))</f>
        <v>0</v>
      </c>
      <c r="AB166">
        <f>AND(IF(Metadata!H166="",FALSE,TRUE),exact(Metadata!H166,"UBERON:tongue"))</f>
        <v>0</v>
      </c>
      <c r="AC166">
        <f>AND(IF(Metadata!I166="",FALSE,TRUE),exact(Metadata!I166,"tongue"))</f>
        <v>0</v>
      </c>
      <c r="AD166">
        <f>AND(IF(Metadata!J166="",FALSE,TRUE),exact(Metadata!J166,"human oral metagenome"))</f>
        <v>0</v>
      </c>
      <c r="AE166">
        <f>AND(IF(Metadata!K166="",FALSE,TRUE),exact(Metadata!K166,"447426"))</f>
        <v>0</v>
      </c>
    </row>
    <row r="167" spans="1:31">
      <c r="A167" s="4">
        <f>IF(B167=" "," ",HYPERLINK(CONCATENATE("#metadata!",ADDRESS(INDEX($Q$2:$Q$1001,MATCH(ROWS($O$2:O167),$O$2:$O$1001,0),0),1)),INDEX($T$2:$T$1001,MATCH(ROWS($O$2:O167),$O$2:$O$1001,0),0)))</f>
        <v>0</v>
      </c>
      <c r="B167" s="3">
        <f>IF(OR(INDEX($P$2:$P$1001,MATCH(ROWS($O$2:O167),$O$2:$O$1001,0),1)&gt;=100000,INDEX($V$1005:$AE$1005,1,MATCH(COLUMNS($V$1006:V1006),$V$1006:$AE$1006,0))&gt;=100000), " ",IF(INDEX($V$2:$AE$1001,MATCH(ROWS($O$2:O167),$O$2:$O$1001,0),MATCH(COLUMNS($V$1006:V1006),$V$1006:$AE$1006,0)), HYPERLINK("#",""), HYPERLINK(CONCATENATE("#Metadata!", ADDRESS(INDEX($Q$2:$Q$1001,MATCH(ROWS($O$2:O167),$O$2:$O$1001,0),0), INDEX($V$1004:$AE$1004,1,MATCH(COLUMNS($V$1006:V1006),$V$1006:$AE$1006,0)))),"Fix")))</f>
        <v>0</v>
      </c>
      <c r="C167" s="3">
        <f>IF(OR(INDEX($P$2:$P$1001,MATCH(ROWS($O$2:O167),$O$2:$O$1001,0),1)&gt;=100000,INDEX($V$1005:$AE$1005,1,MATCH(COLUMNS($V$1006:W1006),$V$1006:$AE$1006,0))&gt;=100000), " ",IF(INDEX($V$2:$AE$1001,MATCH(ROWS($O$2:O167),$O$2:$O$1001,0),MATCH(COLUMNS($V$1006:W1006),$V$1006:$AE$1006,0)), HYPERLINK("#",""), HYPERLINK(CONCATENATE("#Metadata!", ADDRESS(INDEX($Q$2:$Q$1001,MATCH(ROWS($O$2:O167),$O$2:$O$1001,0),0), INDEX($V$1004:$AE$1004,1,MATCH(COLUMNS($V$1006:W1006),$V$1006:$AE$1006,0)))),"Fix")))</f>
        <v>0</v>
      </c>
      <c r="D167" s="3">
        <f>IF(OR(INDEX($P$2:$P$1001,MATCH(ROWS($O$2:O167),$O$2:$O$1001,0),1)&gt;=100000,INDEX($V$1005:$AE$1005,1,MATCH(COLUMNS($V$1006:X1006),$V$1006:$AE$1006,0))&gt;=100000), " ",IF(INDEX($V$2:$AE$1001,MATCH(ROWS($O$2:O167),$O$2:$O$1001,0),MATCH(COLUMNS($V$1006:X1006),$V$1006:$AE$1006,0)), HYPERLINK("#",""), HYPERLINK(CONCATENATE("#Metadata!", ADDRESS(INDEX($Q$2:$Q$1001,MATCH(ROWS($O$2:O167),$O$2:$O$1001,0),0), INDEX($V$1004:$AE$1004,1,MATCH(COLUMNS($V$1006:X1006),$V$1006:$AE$1006,0)))),"Fix")))</f>
        <v>0</v>
      </c>
      <c r="E167" s="3">
        <f>IF(OR(INDEX($P$2:$P$1001,MATCH(ROWS($O$2:O167),$O$2:$O$1001,0),1)&gt;=100000,INDEX($V$1005:$AE$1005,1,MATCH(COLUMNS($V$1006:Y1006),$V$1006:$AE$1006,0))&gt;=100000), " ",IF(INDEX($V$2:$AE$1001,MATCH(ROWS($O$2:O167),$O$2:$O$1001,0),MATCH(COLUMNS($V$1006:Y1006),$V$1006:$AE$1006,0)), HYPERLINK("#",""), HYPERLINK(CONCATENATE("#Metadata!", ADDRESS(INDEX($Q$2:$Q$1001,MATCH(ROWS($O$2:O167),$O$2:$O$1001,0),0), INDEX($V$1004:$AE$1004,1,MATCH(COLUMNS($V$1006:Y1006),$V$1006:$AE$1006,0)))),"Fix")))</f>
        <v>0</v>
      </c>
      <c r="F167" s="3">
        <f>IF(OR(INDEX($P$2:$P$1001,MATCH(ROWS($O$2:O167),$O$2:$O$1001,0),1)&gt;=100000,INDEX($V$1005:$AE$1005,1,MATCH(COLUMNS($V$1006:Z1006),$V$1006:$AE$1006,0))&gt;=100000), " ",IF(INDEX($V$2:$AE$1001,MATCH(ROWS($O$2:O167),$O$2:$O$1001,0),MATCH(COLUMNS($V$1006:Z1006),$V$1006:$AE$1006,0)), HYPERLINK("#",""), HYPERLINK(CONCATENATE("#Metadata!", ADDRESS(INDEX($Q$2:$Q$1001,MATCH(ROWS($O$2:O167),$O$2:$O$1001,0),0), INDEX($V$1004:$AE$1004,1,MATCH(COLUMNS($V$1006:Z1006),$V$1006:$AE$1006,0)))),"Fix")))</f>
        <v>0</v>
      </c>
      <c r="G167" s="3">
        <f>IF(OR(INDEX($P$2:$P$1001,MATCH(ROWS($O$2:O167),$O$2:$O$1001,0),1)&gt;=100000,INDEX($V$1005:$AE$1005,1,MATCH(COLUMNS($V$1006:AA1006),$V$1006:$AE$1006,0))&gt;=100000), " ",IF(INDEX($V$2:$AE$1001,MATCH(ROWS($O$2:O167),$O$2:$O$1001,0),MATCH(COLUMNS($V$1006:AA1006),$V$1006:$AE$1006,0)), HYPERLINK("#",""), HYPERLINK(CONCATENATE("#Metadata!", ADDRESS(INDEX($Q$2:$Q$1001,MATCH(ROWS($O$2:O167),$O$2:$O$1001,0),0), INDEX($V$1004:$AE$1004,1,MATCH(COLUMNS($V$1006:AA1006),$V$1006:$AE$1006,0)))),"Fix")))</f>
        <v>0</v>
      </c>
      <c r="H167" s="3">
        <f>IF(OR(INDEX($P$2:$P$1001,MATCH(ROWS($O$2:O167),$O$2:$O$1001,0),1)&gt;=100000,INDEX($V$1005:$AE$1005,1,MATCH(COLUMNS($V$1006:AB1006),$V$1006:$AE$1006,0))&gt;=100000), " ",IF(INDEX($V$2:$AE$1001,MATCH(ROWS($O$2:O167),$O$2:$O$1001,0),MATCH(COLUMNS($V$1006:AB1006),$V$1006:$AE$1006,0)), HYPERLINK("#",""), HYPERLINK(CONCATENATE("#Metadata!", ADDRESS(INDEX($Q$2:$Q$1001,MATCH(ROWS($O$2:O167),$O$2:$O$1001,0),0), INDEX($V$1004:$AE$1004,1,MATCH(COLUMNS($V$1006:AB1006),$V$1006:$AE$1006,0)))),"Fix")))</f>
        <v>0</v>
      </c>
      <c r="I167" s="3">
        <f>IF(OR(INDEX($P$2:$P$1001,MATCH(ROWS($O$2:O167),$O$2:$O$1001,0),1)&gt;=100000,INDEX($V$1005:$AE$1005,1,MATCH(COLUMNS($V$1006:AC1006),$V$1006:$AE$1006,0))&gt;=100000), " ",IF(INDEX($V$2:$AE$1001,MATCH(ROWS($O$2:O167),$O$2:$O$1001,0),MATCH(COLUMNS($V$1006:AC1006),$V$1006:$AE$1006,0)), HYPERLINK("#",""), HYPERLINK(CONCATENATE("#Metadata!", ADDRESS(INDEX($Q$2:$Q$1001,MATCH(ROWS($O$2:O167),$O$2:$O$1001,0),0), INDEX($V$1004:$AE$1004,1,MATCH(COLUMNS($V$1006:AC1006),$V$1006:$AE$1006,0)))),"Fix")))</f>
        <v>0</v>
      </c>
      <c r="J167" s="3">
        <f>IF(OR(INDEX($P$2:$P$1001,MATCH(ROWS($O$2:O167),$O$2:$O$1001,0),1)&gt;=100000,INDEX($V$1005:$AE$1005,1,MATCH(COLUMNS($V$1006:AD1006),$V$1006:$AE$1006,0))&gt;=100000), " ",IF(INDEX($V$2:$AE$1001,MATCH(ROWS($O$2:O167),$O$2:$O$1001,0),MATCH(COLUMNS($V$1006:AD1006),$V$1006:$AE$1006,0)), HYPERLINK("#",""), HYPERLINK(CONCATENATE("#Metadata!", ADDRESS(INDEX($Q$2:$Q$1001,MATCH(ROWS($O$2:O167),$O$2:$O$1001,0),0), INDEX($V$1004:$AE$1004,1,MATCH(COLUMNS($V$1006:AD1006),$V$1006:$AE$1006,0)))),"Fix")))</f>
        <v>0</v>
      </c>
      <c r="K167" s="3">
        <f>IF(OR(INDEX($P$2:$P$1001,MATCH(ROWS($O$2:O167),$O$2:$O$1001,0),1)&gt;=100000,INDEX($V$1005:$AE$1005,1,MATCH(COLUMNS($V$1006:AE1006),$V$1006:$AE$1006,0))&gt;=100000), " ",IF(INDEX($V$2:$AE$1001,MATCH(ROWS($O$2:O167),$O$2:$O$1001,0),MATCH(COLUMNS($V$1006:AE1006),$V$1006:$AE$1006,0)), HYPERLINK("#",""), HYPERLINK(CONCATENATE("#Metadata!", ADDRESS(INDEX($Q$2:$Q$1001,MATCH(ROWS($O$2:O167),$O$2:$O$1001,0),0), INDEX($V$1004:$AE$1004,1,MATCH(COLUMNS($V$1006:AE1006),$V$1006:$AE$1006,0)))),"Fix")))</f>
        <v>0</v>
      </c>
      <c r="O167">
        <v>0</v>
      </c>
      <c r="P167">
        <v>0</v>
      </c>
      <c r="Q167">
        <v>0</v>
      </c>
      <c r="R167">
        <f>IF(S167,TRUE,AND(V167:AE167))</f>
        <v>0</v>
      </c>
      <c r="S167">
        <f>COUNTBLANK(Metadata!B167:K167)=COLUMNS(Metadata!B167:K167)</f>
        <v>0</v>
      </c>
      <c r="T167">
        <v>0</v>
      </c>
      <c r="V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W167">
        <f>AND(IF(Metadata!C167="",FALSE,TRUE),exact(Metadata!C167,"animal secretion"))</f>
        <v>0</v>
      </c>
      <c r="X167">
        <f>AND(IF(Metadata!D167="",FALSE,TRUE),exact(Metadata!D167,"saliva"))</f>
        <v>0</v>
      </c>
      <c r="Y167">
        <f>AND(IF(Metadata!E167="",FALSE,TRUE),exact(Metadata!E167,"human-oral"))</f>
        <v>0</v>
      </c>
      <c r="Z167">
        <f>AND(IF(Metadata!F167="",FALSE,TRUE),exact(Metadata!F167,"UBERON:oral cavity"))</f>
        <v>0</v>
      </c>
      <c r="AA167">
        <f>AND(IF(Metadata!G167="",FALSE,TRUE),exact(Metadata!G167,"UBERON:saliva"))</f>
        <v>0</v>
      </c>
      <c r="AB167">
        <f>AND(IF(Metadata!H167="",FALSE,TRUE),exact(Metadata!H167,"UBERON:tongue"))</f>
        <v>0</v>
      </c>
      <c r="AC167">
        <f>AND(IF(Metadata!I167="",FALSE,TRUE),exact(Metadata!I167,"tongue"))</f>
        <v>0</v>
      </c>
      <c r="AD167">
        <f>AND(IF(Metadata!J167="",FALSE,TRUE),exact(Metadata!J167,"human oral metagenome"))</f>
        <v>0</v>
      </c>
      <c r="AE167">
        <f>AND(IF(Metadata!K167="",FALSE,TRUE),exact(Metadata!K167,"447426"))</f>
        <v>0</v>
      </c>
    </row>
    <row r="168" spans="1:31">
      <c r="A168" s="4">
        <f>IF(B168=" "," ",HYPERLINK(CONCATENATE("#metadata!",ADDRESS(INDEX($Q$2:$Q$1001,MATCH(ROWS($O$2:O168),$O$2:$O$1001,0),0),1)),INDEX($T$2:$T$1001,MATCH(ROWS($O$2:O168),$O$2:$O$1001,0),0)))</f>
        <v>0</v>
      </c>
      <c r="B168" s="3">
        <f>IF(OR(INDEX($P$2:$P$1001,MATCH(ROWS($O$2:O168),$O$2:$O$1001,0),1)&gt;=100000,INDEX($V$1005:$AE$1005,1,MATCH(COLUMNS($V$1006:V1006),$V$1006:$AE$1006,0))&gt;=100000), " ",IF(INDEX($V$2:$AE$1001,MATCH(ROWS($O$2:O168),$O$2:$O$1001,0),MATCH(COLUMNS($V$1006:V1006),$V$1006:$AE$1006,0)), HYPERLINK("#",""), HYPERLINK(CONCATENATE("#Metadata!", ADDRESS(INDEX($Q$2:$Q$1001,MATCH(ROWS($O$2:O168),$O$2:$O$1001,0),0), INDEX($V$1004:$AE$1004,1,MATCH(COLUMNS($V$1006:V1006),$V$1006:$AE$1006,0)))),"Fix")))</f>
        <v>0</v>
      </c>
      <c r="C168" s="3">
        <f>IF(OR(INDEX($P$2:$P$1001,MATCH(ROWS($O$2:O168),$O$2:$O$1001,0),1)&gt;=100000,INDEX($V$1005:$AE$1005,1,MATCH(COLUMNS($V$1006:W1006),$V$1006:$AE$1006,0))&gt;=100000), " ",IF(INDEX($V$2:$AE$1001,MATCH(ROWS($O$2:O168),$O$2:$O$1001,0),MATCH(COLUMNS($V$1006:W1006),$V$1006:$AE$1006,0)), HYPERLINK("#",""), HYPERLINK(CONCATENATE("#Metadata!", ADDRESS(INDEX($Q$2:$Q$1001,MATCH(ROWS($O$2:O168),$O$2:$O$1001,0),0), INDEX($V$1004:$AE$1004,1,MATCH(COLUMNS($V$1006:W1006),$V$1006:$AE$1006,0)))),"Fix")))</f>
        <v>0</v>
      </c>
      <c r="D168" s="3">
        <f>IF(OR(INDEX($P$2:$P$1001,MATCH(ROWS($O$2:O168),$O$2:$O$1001,0),1)&gt;=100000,INDEX($V$1005:$AE$1005,1,MATCH(COLUMNS($V$1006:X1006),$V$1006:$AE$1006,0))&gt;=100000), " ",IF(INDEX($V$2:$AE$1001,MATCH(ROWS($O$2:O168),$O$2:$O$1001,0),MATCH(COLUMNS($V$1006:X1006),$V$1006:$AE$1006,0)), HYPERLINK("#",""), HYPERLINK(CONCATENATE("#Metadata!", ADDRESS(INDEX($Q$2:$Q$1001,MATCH(ROWS($O$2:O168),$O$2:$O$1001,0),0), INDEX($V$1004:$AE$1004,1,MATCH(COLUMNS($V$1006:X1006),$V$1006:$AE$1006,0)))),"Fix")))</f>
        <v>0</v>
      </c>
      <c r="E168" s="3">
        <f>IF(OR(INDEX($P$2:$P$1001,MATCH(ROWS($O$2:O168),$O$2:$O$1001,0),1)&gt;=100000,INDEX($V$1005:$AE$1005,1,MATCH(COLUMNS($V$1006:Y1006),$V$1006:$AE$1006,0))&gt;=100000), " ",IF(INDEX($V$2:$AE$1001,MATCH(ROWS($O$2:O168),$O$2:$O$1001,0),MATCH(COLUMNS($V$1006:Y1006),$V$1006:$AE$1006,0)), HYPERLINK("#",""), HYPERLINK(CONCATENATE("#Metadata!", ADDRESS(INDEX($Q$2:$Q$1001,MATCH(ROWS($O$2:O168),$O$2:$O$1001,0),0), INDEX($V$1004:$AE$1004,1,MATCH(COLUMNS($V$1006:Y1006),$V$1006:$AE$1006,0)))),"Fix")))</f>
        <v>0</v>
      </c>
      <c r="F168" s="3">
        <f>IF(OR(INDEX($P$2:$P$1001,MATCH(ROWS($O$2:O168),$O$2:$O$1001,0),1)&gt;=100000,INDEX($V$1005:$AE$1005,1,MATCH(COLUMNS($V$1006:Z1006),$V$1006:$AE$1006,0))&gt;=100000), " ",IF(INDEX($V$2:$AE$1001,MATCH(ROWS($O$2:O168),$O$2:$O$1001,0),MATCH(COLUMNS($V$1006:Z1006),$V$1006:$AE$1006,0)), HYPERLINK("#",""), HYPERLINK(CONCATENATE("#Metadata!", ADDRESS(INDEX($Q$2:$Q$1001,MATCH(ROWS($O$2:O168),$O$2:$O$1001,0),0), INDEX($V$1004:$AE$1004,1,MATCH(COLUMNS($V$1006:Z1006),$V$1006:$AE$1006,0)))),"Fix")))</f>
        <v>0</v>
      </c>
      <c r="G168" s="3">
        <f>IF(OR(INDEX($P$2:$P$1001,MATCH(ROWS($O$2:O168),$O$2:$O$1001,0),1)&gt;=100000,INDEX($V$1005:$AE$1005,1,MATCH(COLUMNS($V$1006:AA1006),$V$1006:$AE$1006,0))&gt;=100000), " ",IF(INDEX($V$2:$AE$1001,MATCH(ROWS($O$2:O168),$O$2:$O$1001,0),MATCH(COLUMNS($V$1006:AA1006),$V$1006:$AE$1006,0)), HYPERLINK("#",""), HYPERLINK(CONCATENATE("#Metadata!", ADDRESS(INDEX($Q$2:$Q$1001,MATCH(ROWS($O$2:O168),$O$2:$O$1001,0),0), INDEX($V$1004:$AE$1004,1,MATCH(COLUMNS($V$1006:AA1006),$V$1006:$AE$1006,0)))),"Fix")))</f>
        <v>0</v>
      </c>
      <c r="H168" s="3">
        <f>IF(OR(INDEX($P$2:$P$1001,MATCH(ROWS($O$2:O168),$O$2:$O$1001,0),1)&gt;=100000,INDEX($V$1005:$AE$1005,1,MATCH(COLUMNS($V$1006:AB1006),$V$1006:$AE$1006,0))&gt;=100000), " ",IF(INDEX($V$2:$AE$1001,MATCH(ROWS($O$2:O168),$O$2:$O$1001,0),MATCH(COLUMNS($V$1006:AB1006),$V$1006:$AE$1006,0)), HYPERLINK("#",""), HYPERLINK(CONCATENATE("#Metadata!", ADDRESS(INDEX($Q$2:$Q$1001,MATCH(ROWS($O$2:O168),$O$2:$O$1001,0),0), INDEX($V$1004:$AE$1004,1,MATCH(COLUMNS($V$1006:AB1006),$V$1006:$AE$1006,0)))),"Fix")))</f>
        <v>0</v>
      </c>
      <c r="I168" s="3">
        <f>IF(OR(INDEX($P$2:$P$1001,MATCH(ROWS($O$2:O168),$O$2:$O$1001,0),1)&gt;=100000,INDEX($V$1005:$AE$1005,1,MATCH(COLUMNS($V$1006:AC1006),$V$1006:$AE$1006,0))&gt;=100000), " ",IF(INDEX($V$2:$AE$1001,MATCH(ROWS($O$2:O168),$O$2:$O$1001,0),MATCH(COLUMNS($V$1006:AC1006),$V$1006:$AE$1006,0)), HYPERLINK("#",""), HYPERLINK(CONCATENATE("#Metadata!", ADDRESS(INDEX($Q$2:$Q$1001,MATCH(ROWS($O$2:O168),$O$2:$O$1001,0),0), INDEX($V$1004:$AE$1004,1,MATCH(COLUMNS($V$1006:AC1006),$V$1006:$AE$1006,0)))),"Fix")))</f>
        <v>0</v>
      </c>
      <c r="J168" s="3">
        <f>IF(OR(INDEX($P$2:$P$1001,MATCH(ROWS($O$2:O168),$O$2:$O$1001,0),1)&gt;=100000,INDEX($V$1005:$AE$1005,1,MATCH(COLUMNS($V$1006:AD1006),$V$1006:$AE$1006,0))&gt;=100000), " ",IF(INDEX($V$2:$AE$1001,MATCH(ROWS($O$2:O168),$O$2:$O$1001,0),MATCH(COLUMNS($V$1006:AD1006),$V$1006:$AE$1006,0)), HYPERLINK("#",""), HYPERLINK(CONCATENATE("#Metadata!", ADDRESS(INDEX($Q$2:$Q$1001,MATCH(ROWS($O$2:O168),$O$2:$O$1001,0),0), INDEX($V$1004:$AE$1004,1,MATCH(COLUMNS($V$1006:AD1006),$V$1006:$AE$1006,0)))),"Fix")))</f>
        <v>0</v>
      </c>
      <c r="K168" s="3">
        <f>IF(OR(INDEX($P$2:$P$1001,MATCH(ROWS($O$2:O168),$O$2:$O$1001,0),1)&gt;=100000,INDEX($V$1005:$AE$1005,1,MATCH(COLUMNS($V$1006:AE1006),$V$1006:$AE$1006,0))&gt;=100000), " ",IF(INDEX($V$2:$AE$1001,MATCH(ROWS($O$2:O168),$O$2:$O$1001,0),MATCH(COLUMNS($V$1006:AE1006),$V$1006:$AE$1006,0)), HYPERLINK("#",""), HYPERLINK(CONCATENATE("#Metadata!", ADDRESS(INDEX($Q$2:$Q$1001,MATCH(ROWS($O$2:O168),$O$2:$O$1001,0),0), INDEX($V$1004:$AE$1004,1,MATCH(COLUMNS($V$1006:AE1006),$V$1006:$AE$1006,0)))),"Fix")))</f>
        <v>0</v>
      </c>
      <c r="O168">
        <v>0</v>
      </c>
      <c r="P168">
        <v>0</v>
      </c>
      <c r="Q168">
        <v>0</v>
      </c>
      <c r="R168">
        <f>IF(S168,TRUE,AND(V168:AE168))</f>
        <v>0</v>
      </c>
      <c r="S168">
        <f>COUNTBLANK(Metadata!B168:K168)=COLUMNS(Metadata!B168:K168)</f>
        <v>0</v>
      </c>
      <c r="T168">
        <v>0</v>
      </c>
      <c r="V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W168">
        <f>AND(IF(Metadata!C168="",FALSE,TRUE),exact(Metadata!C168,"animal secretion"))</f>
        <v>0</v>
      </c>
      <c r="X168">
        <f>AND(IF(Metadata!D168="",FALSE,TRUE),exact(Metadata!D168,"saliva"))</f>
        <v>0</v>
      </c>
      <c r="Y168">
        <f>AND(IF(Metadata!E168="",FALSE,TRUE),exact(Metadata!E168,"human-oral"))</f>
        <v>0</v>
      </c>
      <c r="Z168">
        <f>AND(IF(Metadata!F168="",FALSE,TRUE),exact(Metadata!F168,"UBERON:oral cavity"))</f>
        <v>0</v>
      </c>
      <c r="AA168">
        <f>AND(IF(Metadata!G168="",FALSE,TRUE),exact(Metadata!G168,"UBERON:saliva"))</f>
        <v>0</v>
      </c>
      <c r="AB168">
        <f>AND(IF(Metadata!H168="",FALSE,TRUE),exact(Metadata!H168,"UBERON:tongue"))</f>
        <v>0</v>
      </c>
      <c r="AC168">
        <f>AND(IF(Metadata!I168="",FALSE,TRUE),exact(Metadata!I168,"tongue"))</f>
        <v>0</v>
      </c>
      <c r="AD168">
        <f>AND(IF(Metadata!J168="",FALSE,TRUE),exact(Metadata!J168,"human oral metagenome"))</f>
        <v>0</v>
      </c>
      <c r="AE168">
        <f>AND(IF(Metadata!K168="",FALSE,TRUE),exact(Metadata!K168,"447426"))</f>
        <v>0</v>
      </c>
    </row>
    <row r="169" spans="1:31">
      <c r="A169" s="4">
        <f>IF(B169=" "," ",HYPERLINK(CONCATENATE("#metadata!",ADDRESS(INDEX($Q$2:$Q$1001,MATCH(ROWS($O$2:O169),$O$2:$O$1001,0),0),1)),INDEX($T$2:$T$1001,MATCH(ROWS($O$2:O169),$O$2:$O$1001,0),0)))</f>
        <v>0</v>
      </c>
      <c r="B169" s="3">
        <f>IF(OR(INDEX($P$2:$P$1001,MATCH(ROWS($O$2:O169),$O$2:$O$1001,0),1)&gt;=100000,INDEX($V$1005:$AE$1005,1,MATCH(COLUMNS($V$1006:V1006),$V$1006:$AE$1006,0))&gt;=100000), " ",IF(INDEX($V$2:$AE$1001,MATCH(ROWS($O$2:O169),$O$2:$O$1001,0),MATCH(COLUMNS($V$1006:V1006),$V$1006:$AE$1006,0)), HYPERLINK("#",""), HYPERLINK(CONCATENATE("#Metadata!", ADDRESS(INDEX($Q$2:$Q$1001,MATCH(ROWS($O$2:O169),$O$2:$O$1001,0),0), INDEX($V$1004:$AE$1004,1,MATCH(COLUMNS($V$1006:V1006),$V$1006:$AE$1006,0)))),"Fix")))</f>
        <v>0</v>
      </c>
      <c r="C169" s="3">
        <f>IF(OR(INDEX($P$2:$P$1001,MATCH(ROWS($O$2:O169),$O$2:$O$1001,0),1)&gt;=100000,INDEX($V$1005:$AE$1005,1,MATCH(COLUMNS($V$1006:W1006),$V$1006:$AE$1006,0))&gt;=100000), " ",IF(INDEX($V$2:$AE$1001,MATCH(ROWS($O$2:O169),$O$2:$O$1001,0),MATCH(COLUMNS($V$1006:W1006),$V$1006:$AE$1006,0)), HYPERLINK("#",""), HYPERLINK(CONCATENATE("#Metadata!", ADDRESS(INDEX($Q$2:$Q$1001,MATCH(ROWS($O$2:O169),$O$2:$O$1001,0),0), INDEX($V$1004:$AE$1004,1,MATCH(COLUMNS($V$1006:W1006),$V$1006:$AE$1006,0)))),"Fix")))</f>
        <v>0</v>
      </c>
      <c r="D169" s="3">
        <f>IF(OR(INDEX($P$2:$P$1001,MATCH(ROWS($O$2:O169),$O$2:$O$1001,0),1)&gt;=100000,INDEX($V$1005:$AE$1005,1,MATCH(COLUMNS($V$1006:X1006),$V$1006:$AE$1006,0))&gt;=100000), " ",IF(INDEX($V$2:$AE$1001,MATCH(ROWS($O$2:O169),$O$2:$O$1001,0),MATCH(COLUMNS($V$1006:X1006),$V$1006:$AE$1006,0)), HYPERLINK("#",""), HYPERLINK(CONCATENATE("#Metadata!", ADDRESS(INDEX($Q$2:$Q$1001,MATCH(ROWS($O$2:O169),$O$2:$O$1001,0),0), INDEX($V$1004:$AE$1004,1,MATCH(COLUMNS($V$1006:X1006),$V$1006:$AE$1006,0)))),"Fix")))</f>
        <v>0</v>
      </c>
      <c r="E169" s="3">
        <f>IF(OR(INDEX($P$2:$P$1001,MATCH(ROWS($O$2:O169),$O$2:$O$1001,0),1)&gt;=100000,INDEX($V$1005:$AE$1005,1,MATCH(COLUMNS($V$1006:Y1006),$V$1006:$AE$1006,0))&gt;=100000), " ",IF(INDEX($V$2:$AE$1001,MATCH(ROWS($O$2:O169),$O$2:$O$1001,0),MATCH(COLUMNS($V$1006:Y1006),$V$1006:$AE$1006,0)), HYPERLINK("#",""), HYPERLINK(CONCATENATE("#Metadata!", ADDRESS(INDEX($Q$2:$Q$1001,MATCH(ROWS($O$2:O169),$O$2:$O$1001,0),0), INDEX($V$1004:$AE$1004,1,MATCH(COLUMNS($V$1006:Y1006),$V$1006:$AE$1006,0)))),"Fix")))</f>
        <v>0</v>
      </c>
      <c r="F169" s="3">
        <f>IF(OR(INDEX($P$2:$P$1001,MATCH(ROWS($O$2:O169),$O$2:$O$1001,0),1)&gt;=100000,INDEX($V$1005:$AE$1005,1,MATCH(COLUMNS($V$1006:Z1006),$V$1006:$AE$1006,0))&gt;=100000), " ",IF(INDEX($V$2:$AE$1001,MATCH(ROWS($O$2:O169),$O$2:$O$1001,0),MATCH(COLUMNS($V$1006:Z1006),$V$1006:$AE$1006,0)), HYPERLINK("#",""), HYPERLINK(CONCATENATE("#Metadata!", ADDRESS(INDEX($Q$2:$Q$1001,MATCH(ROWS($O$2:O169),$O$2:$O$1001,0),0), INDEX($V$1004:$AE$1004,1,MATCH(COLUMNS($V$1006:Z1006),$V$1006:$AE$1006,0)))),"Fix")))</f>
        <v>0</v>
      </c>
      <c r="G169" s="3">
        <f>IF(OR(INDEX($P$2:$P$1001,MATCH(ROWS($O$2:O169),$O$2:$O$1001,0),1)&gt;=100000,INDEX($V$1005:$AE$1005,1,MATCH(COLUMNS($V$1006:AA1006),$V$1006:$AE$1006,0))&gt;=100000), " ",IF(INDEX($V$2:$AE$1001,MATCH(ROWS($O$2:O169),$O$2:$O$1001,0),MATCH(COLUMNS($V$1006:AA1006),$V$1006:$AE$1006,0)), HYPERLINK("#",""), HYPERLINK(CONCATENATE("#Metadata!", ADDRESS(INDEX($Q$2:$Q$1001,MATCH(ROWS($O$2:O169),$O$2:$O$1001,0),0), INDEX($V$1004:$AE$1004,1,MATCH(COLUMNS($V$1006:AA1006),$V$1006:$AE$1006,0)))),"Fix")))</f>
        <v>0</v>
      </c>
      <c r="H169" s="3">
        <f>IF(OR(INDEX($P$2:$P$1001,MATCH(ROWS($O$2:O169),$O$2:$O$1001,0),1)&gt;=100000,INDEX($V$1005:$AE$1005,1,MATCH(COLUMNS($V$1006:AB1006),$V$1006:$AE$1006,0))&gt;=100000), " ",IF(INDEX($V$2:$AE$1001,MATCH(ROWS($O$2:O169),$O$2:$O$1001,0),MATCH(COLUMNS($V$1006:AB1006),$V$1006:$AE$1006,0)), HYPERLINK("#",""), HYPERLINK(CONCATENATE("#Metadata!", ADDRESS(INDEX($Q$2:$Q$1001,MATCH(ROWS($O$2:O169),$O$2:$O$1001,0),0), INDEX($V$1004:$AE$1004,1,MATCH(COLUMNS($V$1006:AB1006),$V$1006:$AE$1006,0)))),"Fix")))</f>
        <v>0</v>
      </c>
      <c r="I169" s="3">
        <f>IF(OR(INDEX($P$2:$P$1001,MATCH(ROWS($O$2:O169),$O$2:$O$1001,0),1)&gt;=100000,INDEX($V$1005:$AE$1005,1,MATCH(COLUMNS($V$1006:AC1006),$V$1006:$AE$1006,0))&gt;=100000), " ",IF(INDEX($V$2:$AE$1001,MATCH(ROWS($O$2:O169),$O$2:$O$1001,0),MATCH(COLUMNS($V$1006:AC1006),$V$1006:$AE$1006,0)), HYPERLINK("#",""), HYPERLINK(CONCATENATE("#Metadata!", ADDRESS(INDEX($Q$2:$Q$1001,MATCH(ROWS($O$2:O169),$O$2:$O$1001,0),0), INDEX($V$1004:$AE$1004,1,MATCH(COLUMNS($V$1006:AC1006),$V$1006:$AE$1006,0)))),"Fix")))</f>
        <v>0</v>
      </c>
      <c r="J169" s="3">
        <f>IF(OR(INDEX($P$2:$P$1001,MATCH(ROWS($O$2:O169),$O$2:$O$1001,0),1)&gt;=100000,INDEX($V$1005:$AE$1005,1,MATCH(COLUMNS($V$1006:AD1006),$V$1006:$AE$1006,0))&gt;=100000), " ",IF(INDEX($V$2:$AE$1001,MATCH(ROWS($O$2:O169),$O$2:$O$1001,0),MATCH(COLUMNS($V$1006:AD1006),$V$1006:$AE$1006,0)), HYPERLINK("#",""), HYPERLINK(CONCATENATE("#Metadata!", ADDRESS(INDEX($Q$2:$Q$1001,MATCH(ROWS($O$2:O169),$O$2:$O$1001,0),0), INDEX($V$1004:$AE$1004,1,MATCH(COLUMNS($V$1006:AD1006),$V$1006:$AE$1006,0)))),"Fix")))</f>
        <v>0</v>
      </c>
      <c r="K169" s="3">
        <f>IF(OR(INDEX($P$2:$P$1001,MATCH(ROWS($O$2:O169),$O$2:$O$1001,0),1)&gt;=100000,INDEX($V$1005:$AE$1005,1,MATCH(COLUMNS($V$1006:AE1006),$V$1006:$AE$1006,0))&gt;=100000), " ",IF(INDEX($V$2:$AE$1001,MATCH(ROWS($O$2:O169),$O$2:$O$1001,0),MATCH(COLUMNS($V$1006:AE1006),$V$1006:$AE$1006,0)), HYPERLINK("#",""), HYPERLINK(CONCATENATE("#Metadata!", ADDRESS(INDEX($Q$2:$Q$1001,MATCH(ROWS($O$2:O169),$O$2:$O$1001,0),0), INDEX($V$1004:$AE$1004,1,MATCH(COLUMNS($V$1006:AE1006),$V$1006:$AE$1006,0)))),"Fix")))</f>
        <v>0</v>
      </c>
      <c r="O169">
        <v>0</v>
      </c>
      <c r="P169">
        <v>0</v>
      </c>
      <c r="Q169">
        <v>0</v>
      </c>
      <c r="R169">
        <f>IF(S169,TRUE,AND(V169:AE169))</f>
        <v>0</v>
      </c>
      <c r="S169">
        <f>COUNTBLANK(Metadata!B169:K169)=COLUMNS(Metadata!B169:K169)</f>
        <v>0</v>
      </c>
      <c r="T169">
        <v>0</v>
      </c>
      <c r="V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W169">
        <f>AND(IF(Metadata!C169="",FALSE,TRUE),exact(Metadata!C169,"animal secretion"))</f>
        <v>0</v>
      </c>
      <c r="X169">
        <f>AND(IF(Metadata!D169="",FALSE,TRUE),exact(Metadata!D169,"saliva"))</f>
        <v>0</v>
      </c>
      <c r="Y169">
        <f>AND(IF(Metadata!E169="",FALSE,TRUE),exact(Metadata!E169,"human-oral"))</f>
        <v>0</v>
      </c>
      <c r="Z169">
        <f>AND(IF(Metadata!F169="",FALSE,TRUE),exact(Metadata!F169,"UBERON:oral cavity"))</f>
        <v>0</v>
      </c>
      <c r="AA169">
        <f>AND(IF(Metadata!G169="",FALSE,TRUE),exact(Metadata!G169,"UBERON:saliva"))</f>
        <v>0</v>
      </c>
      <c r="AB169">
        <f>AND(IF(Metadata!H169="",FALSE,TRUE),exact(Metadata!H169,"UBERON:tongue"))</f>
        <v>0</v>
      </c>
      <c r="AC169">
        <f>AND(IF(Metadata!I169="",FALSE,TRUE),exact(Metadata!I169,"tongue"))</f>
        <v>0</v>
      </c>
      <c r="AD169">
        <f>AND(IF(Metadata!J169="",FALSE,TRUE),exact(Metadata!J169,"human oral metagenome"))</f>
        <v>0</v>
      </c>
      <c r="AE169">
        <f>AND(IF(Metadata!K169="",FALSE,TRUE),exact(Metadata!K169,"447426"))</f>
        <v>0</v>
      </c>
    </row>
    <row r="170" spans="1:31">
      <c r="A170" s="4">
        <f>IF(B170=" "," ",HYPERLINK(CONCATENATE("#metadata!",ADDRESS(INDEX($Q$2:$Q$1001,MATCH(ROWS($O$2:O170),$O$2:$O$1001,0),0),1)),INDEX($T$2:$T$1001,MATCH(ROWS($O$2:O170),$O$2:$O$1001,0),0)))</f>
        <v>0</v>
      </c>
      <c r="B170" s="3">
        <f>IF(OR(INDEX($P$2:$P$1001,MATCH(ROWS($O$2:O170),$O$2:$O$1001,0),1)&gt;=100000,INDEX($V$1005:$AE$1005,1,MATCH(COLUMNS($V$1006:V1006),$V$1006:$AE$1006,0))&gt;=100000), " ",IF(INDEX($V$2:$AE$1001,MATCH(ROWS($O$2:O170),$O$2:$O$1001,0),MATCH(COLUMNS($V$1006:V1006),$V$1006:$AE$1006,0)), HYPERLINK("#",""), HYPERLINK(CONCATENATE("#Metadata!", ADDRESS(INDEX($Q$2:$Q$1001,MATCH(ROWS($O$2:O170),$O$2:$O$1001,0),0), INDEX($V$1004:$AE$1004,1,MATCH(COLUMNS($V$1006:V1006),$V$1006:$AE$1006,0)))),"Fix")))</f>
        <v>0</v>
      </c>
      <c r="C170" s="3">
        <f>IF(OR(INDEX($P$2:$P$1001,MATCH(ROWS($O$2:O170),$O$2:$O$1001,0),1)&gt;=100000,INDEX($V$1005:$AE$1005,1,MATCH(COLUMNS($V$1006:W1006),$V$1006:$AE$1006,0))&gt;=100000), " ",IF(INDEX($V$2:$AE$1001,MATCH(ROWS($O$2:O170),$O$2:$O$1001,0),MATCH(COLUMNS($V$1006:W1006),$V$1006:$AE$1006,0)), HYPERLINK("#",""), HYPERLINK(CONCATENATE("#Metadata!", ADDRESS(INDEX($Q$2:$Q$1001,MATCH(ROWS($O$2:O170),$O$2:$O$1001,0),0), INDEX($V$1004:$AE$1004,1,MATCH(COLUMNS($V$1006:W1006),$V$1006:$AE$1006,0)))),"Fix")))</f>
        <v>0</v>
      </c>
      <c r="D170" s="3">
        <f>IF(OR(INDEX($P$2:$P$1001,MATCH(ROWS($O$2:O170),$O$2:$O$1001,0),1)&gt;=100000,INDEX($V$1005:$AE$1005,1,MATCH(COLUMNS($V$1006:X1006),$V$1006:$AE$1006,0))&gt;=100000), " ",IF(INDEX($V$2:$AE$1001,MATCH(ROWS($O$2:O170),$O$2:$O$1001,0),MATCH(COLUMNS($V$1006:X1006),$V$1006:$AE$1006,0)), HYPERLINK("#",""), HYPERLINK(CONCATENATE("#Metadata!", ADDRESS(INDEX($Q$2:$Q$1001,MATCH(ROWS($O$2:O170),$O$2:$O$1001,0),0), INDEX($V$1004:$AE$1004,1,MATCH(COLUMNS($V$1006:X1006),$V$1006:$AE$1006,0)))),"Fix")))</f>
        <v>0</v>
      </c>
      <c r="E170" s="3">
        <f>IF(OR(INDEX($P$2:$P$1001,MATCH(ROWS($O$2:O170),$O$2:$O$1001,0),1)&gt;=100000,INDEX($V$1005:$AE$1005,1,MATCH(COLUMNS($V$1006:Y1006),$V$1006:$AE$1006,0))&gt;=100000), " ",IF(INDEX($V$2:$AE$1001,MATCH(ROWS($O$2:O170),$O$2:$O$1001,0),MATCH(COLUMNS($V$1006:Y1006),$V$1006:$AE$1006,0)), HYPERLINK("#",""), HYPERLINK(CONCATENATE("#Metadata!", ADDRESS(INDEX($Q$2:$Q$1001,MATCH(ROWS($O$2:O170),$O$2:$O$1001,0),0), INDEX($V$1004:$AE$1004,1,MATCH(COLUMNS($V$1006:Y1006),$V$1006:$AE$1006,0)))),"Fix")))</f>
        <v>0</v>
      </c>
      <c r="F170" s="3">
        <f>IF(OR(INDEX($P$2:$P$1001,MATCH(ROWS($O$2:O170),$O$2:$O$1001,0),1)&gt;=100000,INDEX($V$1005:$AE$1005,1,MATCH(COLUMNS($V$1006:Z1006),$V$1006:$AE$1006,0))&gt;=100000), " ",IF(INDEX($V$2:$AE$1001,MATCH(ROWS($O$2:O170),$O$2:$O$1001,0),MATCH(COLUMNS($V$1006:Z1006),$V$1006:$AE$1006,0)), HYPERLINK("#",""), HYPERLINK(CONCATENATE("#Metadata!", ADDRESS(INDEX($Q$2:$Q$1001,MATCH(ROWS($O$2:O170),$O$2:$O$1001,0),0), INDEX($V$1004:$AE$1004,1,MATCH(COLUMNS($V$1006:Z1006),$V$1006:$AE$1006,0)))),"Fix")))</f>
        <v>0</v>
      </c>
      <c r="G170" s="3">
        <f>IF(OR(INDEX($P$2:$P$1001,MATCH(ROWS($O$2:O170),$O$2:$O$1001,0),1)&gt;=100000,INDEX($V$1005:$AE$1005,1,MATCH(COLUMNS($V$1006:AA1006),$V$1006:$AE$1006,0))&gt;=100000), " ",IF(INDEX($V$2:$AE$1001,MATCH(ROWS($O$2:O170),$O$2:$O$1001,0),MATCH(COLUMNS($V$1006:AA1006),$V$1006:$AE$1006,0)), HYPERLINK("#",""), HYPERLINK(CONCATENATE("#Metadata!", ADDRESS(INDEX($Q$2:$Q$1001,MATCH(ROWS($O$2:O170),$O$2:$O$1001,0),0), INDEX($V$1004:$AE$1004,1,MATCH(COLUMNS($V$1006:AA1006),$V$1006:$AE$1006,0)))),"Fix")))</f>
        <v>0</v>
      </c>
      <c r="H170" s="3">
        <f>IF(OR(INDEX($P$2:$P$1001,MATCH(ROWS($O$2:O170),$O$2:$O$1001,0),1)&gt;=100000,INDEX($V$1005:$AE$1005,1,MATCH(COLUMNS($V$1006:AB1006),$V$1006:$AE$1006,0))&gt;=100000), " ",IF(INDEX($V$2:$AE$1001,MATCH(ROWS($O$2:O170),$O$2:$O$1001,0),MATCH(COLUMNS($V$1006:AB1006),$V$1006:$AE$1006,0)), HYPERLINK("#",""), HYPERLINK(CONCATENATE("#Metadata!", ADDRESS(INDEX($Q$2:$Q$1001,MATCH(ROWS($O$2:O170),$O$2:$O$1001,0),0), INDEX($V$1004:$AE$1004,1,MATCH(COLUMNS($V$1006:AB1006),$V$1006:$AE$1006,0)))),"Fix")))</f>
        <v>0</v>
      </c>
      <c r="I170" s="3">
        <f>IF(OR(INDEX($P$2:$P$1001,MATCH(ROWS($O$2:O170),$O$2:$O$1001,0),1)&gt;=100000,INDEX($V$1005:$AE$1005,1,MATCH(COLUMNS($V$1006:AC1006),$V$1006:$AE$1006,0))&gt;=100000), " ",IF(INDEX($V$2:$AE$1001,MATCH(ROWS($O$2:O170),$O$2:$O$1001,0),MATCH(COLUMNS($V$1006:AC1006),$V$1006:$AE$1006,0)), HYPERLINK("#",""), HYPERLINK(CONCATENATE("#Metadata!", ADDRESS(INDEX($Q$2:$Q$1001,MATCH(ROWS($O$2:O170),$O$2:$O$1001,0),0), INDEX($V$1004:$AE$1004,1,MATCH(COLUMNS($V$1006:AC1006),$V$1006:$AE$1006,0)))),"Fix")))</f>
        <v>0</v>
      </c>
      <c r="J170" s="3">
        <f>IF(OR(INDEX($P$2:$P$1001,MATCH(ROWS($O$2:O170),$O$2:$O$1001,0),1)&gt;=100000,INDEX($V$1005:$AE$1005,1,MATCH(COLUMNS($V$1006:AD1006),$V$1006:$AE$1006,0))&gt;=100000), " ",IF(INDEX($V$2:$AE$1001,MATCH(ROWS($O$2:O170),$O$2:$O$1001,0),MATCH(COLUMNS($V$1006:AD1006),$V$1006:$AE$1006,0)), HYPERLINK("#",""), HYPERLINK(CONCATENATE("#Metadata!", ADDRESS(INDEX($Q$2:$Q$1001,MATCH(ROWS($O$2:O170),$O$2:$O$1001,0),0), INDEX($V$1004:$AE$1004,1,MATCH(COLUMNS($V$1006:AD1006),$V$1006:$AE$1006,0)))),"Fix")))</f>
        <v>0</v>
      </c>
      <c r="K170" s="3">
        <f>IF(OR(INDEX($P$2:$P$1001,MATCH(ROWS($O$2:O170),$O$2:$O$1001,0),1)&gt;=100000,INDEX($V$1005:$AE$1005,1,MATCH(COLUMNS($V$1006:AE1006),$V$1006:$AE$1006,0))&gt;=100000), " ",IF(INDEX($V$2:$AE$1001,MATCH(ROWS($O$2:O170),$O$2:$O$1001,0),MATCH(COLUMNS($V$1006:AE1006),$V$1006:$AE$1006,0)), HYPERLINK("#",""), HYPERLINK(CONCATENATE("#Metadata!", ADDRESS(INDEX($Q$2:$Q$1001,MATCH(ROWS($O$2:O170),$O$2:$O$1001,0),0), INDEX($V$1004:$AE$1004,1,MATCH(COLUMNS($V$1006:AE1006),$V$1006:$AE$1006,0)))),"Fix")))</f>
        <v>0</v>
      </c>
      <c r="O170">
        <v>0</v>
      </c>
      <c r="P170">
        <v>0</v>
      </c>
      <c r="Q170">
        <v>0</v>
      </c>
      <c r="R170">
        <f>IF(S170,TRUE,AND(V170:AE170))</f>
        <v>0</v>
      </c>
      <c r="S170">
        <f>COUNTBLANK(Metadata!B170:K170)=COLUMNS(Metadata!B170:K170)</f>
        <v>0</v>
      </c>
      <c r="T170">
        <v>0</v>
      </c>
      <c r="V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W170">
        <f>AND(IF(Metadata!C170="",FALSE,TRUE),exact(Metadata!C170,"animal secretion"))</f>
        <v>0</v>
      </c>
      <c r="X170">
        <f>AND(IF(Metadata!D170="",FALSE,TRUE),exact(Metadata!D170,"saliva"))</f>
        <v>0</v>
      </c>
      <c r="Y170">
        <f>AND(IF(Metadata!E170="",FALSE,TRUE),exact(Metadata!E170,"human-oral"))</f>
        <v>0</v>
      </c>
      <c r="Z170">
        <f>AND(IF(Metadata!F170="",FALSE,TRUE),exact(Metadata!F170,"UBERON:oral cavity"))</f>
        <v>0</v>
      </c>
      <c r="AA170">
        <f>AND(IF(Metadata!G170="",FALSE,TRUE),exact(Metadata!G170,"UBERON:saliva"))</f>
        <v>0</v>
      </c>
      <c r="AB170">
        <f>AND(IF(Metadata!H170="",FALSE,TRUE),exact(Metadata!H170,"UBERON:tongue"))</f>
        <v>0</v>
      </c>
      <c r="AC170">
        <f>AND(IF(Metadata!I170="",FALSE,TRUE),exact(Metadata!I170,"tongue"))</f>
        <v>0</v>
      </c>
      <c r="AD170">
        <f>AND(IF(Metadata!J170="",FALSE,TRUE),exact(Metadata!J170,"human oral metagenome"))</f>
        <v>0</v>
      </c>
      <c r="AE170">
        <f>AND(IF(Metadata!K170="",FALSE,TRUE),exact(Metadata!K170,"447426"))</f>
        <v>0</v>
      </c>
    </row>
    <row r="171" spans="1:31">
      <c r="A171" s="4">
        <f>IF(B171=" "," ",HYPERLINK(CONCATENATE("#metadata!",ADDRESS(INDEX($Q$2:$Q$1001,MATCH(ROWS($O$2:O171),$O$2:$O$1001,0),0),1)),INDEX($T$2:$T$1001,MATCH(ROWS($O$2:O171),$O$2:$O$1001,0),0)))</f>
        <v>0</v>
      </c>
      <c r="B171" s="3">
        <f>IF(OR(INDEX($P$2:$P$1001,MATCH(ROWS($O$2:O171),$O$2:$O$1001,0),1)&gt;=100000,INDEX($V$1005:$AE$1005,1,MATCH(COLUMNS($V$1006:V1006),$V$1006:$AE$1006,0))&gt;=100000), " ",IF(INDEX($V$2:$AE$1001,MATCH(ROWS($O$2:O171),$O$2:$O$1001,0),MATCH(COLUMNS($V$1006:V1006),$V$1006:$AE$1006,0)), HYPERLINK("#",""), HYPERLINK(CONCATENATE("#Metadata!", ADDRESS(INDEX($Q$2:$Q$1001,MATCH(ROWS($O$2:O171),$O$2:$O$1001,0),0), INDEX($V$1004:$AE$1004,1,MATCH(COLUMNS($V$1006:V1006),$V$1006:$AE$1006,0)))),"Fix")))</f>
        <v>0</v>
      </c>
      <c r="C171" s="3">
        <f>IF(OR(INDEX($P$2:$P$1001,MATCH(ROWS($O$2:O171),$O$2:$O$1001,0),1)&gt;=100000,INDEX($V$1005:$AE$1005,1,MATCH(COLUMNS($V$1006:W1006),$V$1006:$AE$1006,0))&gt;=100000), " ",IF(INDEX($V$2:$AE$1001,MATCH(ROWS($O$2:O171),$O$2:$O$1001,0),MATCH(COLUMNS($V$1006:W1006),$V$1006:$AE$1006,0)), HYPERLINK("#",""), HYPERLINK(CONCATENATE("#Metadata!", ADDRESS(INDEX($Q$2:$Q$1001,MATCH(ROWS($O$2:O171),$O$2:$O$1001,0),0), INDEX($V$1004:$AE$1004,1,MATCH(COLUMNS($V$1006:W1006),$V$1006:$AE$1006,0)))),"Fix")))</f>
        <v>0</v>
      </c>
      <c r="D171" s="3">
        <f>IF(OR(INDEX($P$2:$P$1001,MATCH(ROWS($O$2:O171),$O$2:$O$1001,0),1)&gt;=100000,INDEX($V$1005:$AE$1005,1,MATCH(COLUMNS($V$1006:X1006),$V$1006:$AE$1006,0))&gt;=100000), " ",IF(INDEX($V$2:$AE$1001,MATCH(ROWS($O$2:O171),$O$2:$O$1001,0),MATCH(COLUMNS($V$1006:X1006),$V$1006:$AE$1006,0)), HYPERLINK("#",""), HYPERLINK(CONCATENATE("#Metadata!", ADDRESS(INDEX($Q$2:$Q$1001,MATCH(ROWS($O$2:O171),$O$2:$O$1001,0),0), INDEX($V$1004:$AE$1004,1,MATCH(COLUMNS($V$1006:X1006),$V$1006:$AE$1006,0)))),"Fix")))</f>
        <v>0</v>
      </c>
      <c r="E171" s="3">
        <f>IF(OR(INDEX($P$2:$P$1001,MATCH(ROWS($O$2:O171),$O$2:$O$1001,0),1)&gt;=100000,INDEX($V$1005:$AE$1005,1,MATCH(COLUMNS($V$1006:Y1006),$V$1006:$AE$1006,0))&gt;=100000), " ",IF(INDEX($V$2:$AE$1001,MATCH(ROWS($O$2:O171),$O$2:$O$1001,0),MATCH(COLUMNS($V$1006:Y1006),$V$1006:$AE$1006,0)), HYPERLINK("#",""), HYPERLINK(CONCATENATE("#Metadata!", ADDRESS(INDEX($Q$2:$Q$1001,MATCH(ROWS($O$2:O171),$O$2:$O$1001,0),0), INDEX($V$1004:$AE$1004,1,MATCH(COLUMNS($V$1006:Y1006),$V$1006:$AE$1006,0)))),"Fix")))</f>
        <v>0</v>
      </c>
      <c r="F171" s="3">
        <f>IF(OR(INDEX($P$2:$P$1001,MATCH(ROWS($O$2:O171),$O$2:$O$1001,0),1)&gt;=100000,INDEX($V$1005:$AE$1005,1,MATCH(COLUMNS($V$1006:Z1006),$V$1006:$AE$1006,0))&gt;=100000), " ",IF(INDEX($V$2:$AE$1001,MATCH(ROWS($O$2:O171),$O$2:$O$1001,0),MATCH(COLUMNS($V$1006:Z1006),$V$1006:$AE$1006,0)), HYPERLINK("#",""), HYPERLINK(CONCATENATE("#Metadata!", ADDRESS(INDEX($Q$2:$Q$1001,MATCH(ROWS($O$2:O171),$O$2:$O$1001,0),0), INDEX($V$1004:$AE$1004,1,MATCH(COLUMNS($V$1006:Z1006),$V$1006:$AE$1006,0)))),"Fix")))</f>
        <v>0</v>
      </c>
      <c r="G171" s="3">
        <f>IF(OR(INDEX($P$2:$P$1001,MATCH(ROWS($O$2:O171),$O$2:$O$1001,0),1)&gt;=100000,INDEX($V$1005:$AE$1005,1,MATCH(COLUMNS($V$1006:AA1006),$V$1006:$AE$1006,0))&gt;=100000), " ",IF(INDEX($V$2:$AE$1001,MATCH(ROWS($O$2:O171),$O$2:$O$1001,0),MATCH(COLUMNS($V$1006:AA1006),$V$1006:$AE$1006,0)), HYPERLINK("#",""), HYPERLINK(CONCATENATE("#Metadata!", ADDRESS(INDEX($Q$2:$Q$1001,MATCH(ROWS($O$2:O171),$O$2:$O$1001,0),0), INDEX($V$1004:$AE$1004,1,MATCH(COLUMNS($V$1006:AA1006),$V$1006:$AE$1006,0)))),"Fix")))</f>
        <v>0</v>
      </c>
      <c r="H171" s="3">
        <f>IF(OR(INDEX($P$2:$P$1001,MATCH(ROWS($O$2:O171),$O$2:$O$1001,0),1)&gt;=100000,INDEX($V$1005:$AE$1005,1,MATCH(COLUMNS($V$1006:AB1006),$V$1006:$AE$1006,0))&gt;=100000), " ",IF(INDEX($V$2:$AE$1001,MATCH(ROWS($O$2:O171),$O$2:$O$1001,0),MATCH(COLUMNS($V$1006:AB1006),$V$1006:$AE$1006,0)), HYPERLINK("#",""), HYPERLINK(CONCATENATE("#Metadata!", ADDRESS(INDEX($Q$2:$Q$1001,MATCH(ROWS($O$2:O171),$O$2:$O$1001,0),0), INDEX($V$1004:$AE$1004,1,MATCH(COLUMNS($V$1006:AB1006),$V$1006:$AE$1006,0)))),"Fix")))</f>
        <v>0</v>
      </c>
      <c r="I171" s="3">
        <f>IF(OR(INDEX($P$2:$P$1001,MATCH(ROWS($O$2:O171),$O$2:$O$1001,0),1)&gt;=100000,INDEX($V$1005:$AE$1005,1,MATCH(COLUMNS($V$1006:AC1006),$V$1006:$AE$1006,0))&gt;=100000), " ",IF(INDEX($V$2:$AE$1001,MATCH(ROWS($O$2:O171),$O$2:$O$1001,0),MATCH(COLUMNS($V$1006:AC1006),$V$1006:$AE$1006,0)), HYPERLINK("#",""), HYPERLINK(CONCATENATE("#Metadata!", ADDRESS(INDEX($Q$2:$Q$1001,MATCH(ROWS($O$2:O171),$O$2:$O$1001,0),0), INDEX($V$1004:$AE$1004,1,MATCH(COLUMNS($V$1006:AC1006),$V$1006:$AE$1006,0)))),"Fix")))</f>
        <v>0</v>
      </c>
      <c r="J171" s="3">
        <f>IF(OR(INDEX($P$2:$P$1001,MATCH(ROWS($O$2:O171),$O$2:$O$1001,0),1)&gt;=100000,INDEX($V$1005:$AE$1005,1,MATCH(COLUMNS($V$1006:AD1006),$V$1006:$AE$1006,0))&gt;=100000), " ",IF(INDEX($V$2:$AE$1001,MATCH(ROWS($O$2:O171),$O$2:$O$1001,0),MATCH(COLUMNS($V$1006:AD1006),$V$1006:$AE$1006,0)), HYPERLINK("#",""), HYPERLINK(CONCATENATE("#Metadata!", ADDRESS(INDEX($Q$2:$Q$1001,MATCH(ROWS($O$2:O171),$O$2:$O$1001,0),0), INDEX($V$1004:$AE$1004,1,MATCH(COLUMNS($V$1006:AD1006),$V$1006:$AE$1006,0)))),"Fix")))</f>
        <v>0</v>
      </c>
      <c r="K171" s="3">
        <f>IF(OR(INDEX($P$2:$P$1001,MATCH(ROWS($O$2:O171),$O$2:$O$1001,0),1)&gt;=100000,INDEX($V$1005:$AE$1005,1,MATCH(COLUMNS($V$1006:AE1006),$V$1006:$AE$1006,0))&gt;=100000), " ",IF(INDEX($V$2:$AE$1001,MATCH(ROWS($O$2:O171),$O$2:$O$1001,0),MATCH(COLUMNS($V$1006:AE1006),$V$1006:$AE$1006,0)), HYPERLINK("#",""), HYPERLINK(CONCATENATE("#Metadata!", ADDRESS(INDEX($Q$2:$Q$1001,MATCH(ROWS($O$2:O171),$O$2:$O$1001,0),0), INDEX($V$1004:$AE$1004,1,MATCH(COLUMNS($V$1006:AE1006),$V$1006:$AE$1006,0)))),"Fix")))</f>
        <v>0</v>
      </c>
      <c r="O171">
        <v>0</v>
      </c>
      <c r="P171">
        <v>0</v>
      </c>
      <c r="Q171">
        <v>0</v>
      </c>
      <c r="R171">
        <f>IF(S171,TRUE,AND(V171:AE171))</f>
        <v>0</v>
      </c>
      <c r="S171">
        <f>COUNTBLANK(Metadata!B171:K171)=COLUMNS(Metadata!B171:K171)</f>
        <v>0</v>
      </c>
      <c r="T171">
        <v>0</v>
      </c>
      <c r="V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W171">
        <f>AND(IF(Metadata!C171="",FALSE,TRUE),exact(Metadata!C171,"animal secretion"))</f>
        <v>0</v>
      </c>
      <c r="X171">
        <f>AND(IF(Metadata!D171="",FALSE,TRUE),exact(Metadata!D171,"saliva"))</f>
        <v>0</v>
      </c>
      <c r="Y171">
        <f>AND(IF(Metadata!E171="",FALSE,TRUE),exact(Metadata!E171,"human-oral"))</f>
        <v>0</v>
      </c>
      <c r="Z171">
        <f>AND(IF(Metadata!F171="",FALSE,TRUE),exact(Metadata!F171,"UBERON:oral cavity"))</f>
        <v>0</v>
      </c>
      <c r="AA171">
        <f>AND(IF(Metadata!G171="",FALSE,TRUE),exact(Metadata!G171,"UBERON:saliva"))</f>
        <v>0</v>
      </c>
      <c r="AB171">
        <f>AND(IF(Metadata!H171="",FALSE,TRUE),exact(Metadata!H171,"UBERON:tongue"))</f>
        <v>0</v>
      </c>
      <c r="AC171">
        <f>AND(IF(Metadata!I171="",FALSE,TRUE),exact(Metadata!I171,"tongue"))</f>
        <v>0</v>
      </c>
      <c r="AD171">
        <f>AND(IF(Metadata!J171="",FALSE,TRUE),exact(Metadata!J171,"human oral metagenome"))</f>
        <v>0</v>
      </c>
      <c r="AE171">
        <f>AND(IF(Metadata!K171="",FALSE,TRUE),exact(Metadata!K171,"447426"))</f>
        <v>0</v>
      </c>
    </row>
    <row r="172" spans="1:31">
      <c r="A172" s="4">
        <f>IF(B172=" "," ",HYPERLINK(CONCATENATE("#metadata!",ADDRESS(INDEX($Q$2:$Q$1001,MATCH(ROWS($O$2:O172),$O$2:$O$1001,0),0),1)),INDEX($T$2:$T$1001,MATCH(ROWS($O$2:O172),$O$2:$O$1001,0),0)))</f>
        <v>0</v>
      </c>
      <c r="B172" s="3">
        <f>IF(OR(INDEX($P$2:$P$1001,MATCH(ROWS($O$2:O172),$O$2:$O$1001,0),1)&gt;=100000,INDEX($V$1005:$AE$1005,1,MATCH(COLUMNS($V$1006:V1006),$V$1006:$AE$1006,0))&gt;=100000), " ",IF(INDEX($V$2:$AE$1001,MATCH(ROWS($O$2:O172),$O$2:$O$1001,0),MATCH(COLUMNS($V$1006:V1006),$V$1006:$AE$1006,0)), HYPERLINK("#",""), HYPERLINK(CONCATENATE("#Metadata!", ADDRESS(INDEX($Q$2:$Q$1001,MATCH(ROWS($O$2:O172),$O$2:$O$1001,0),0), INDEX($V$1004:$AE$1004,1,MATCH(COLUMNS($V$1006:V1006),$V$1006:$AE$1006,0)))),"Fix")))</f>
        <v>0</v>
      </c>
      <c r="C172" s="3">
        <f>IF(OR(INDEX($P$2:$P$1001,MATCH(ROWS($O$2:O172),$O$2:$O$1001,0),1)&gt;=100000,INDEX($V$1005:$AE$1005,1,MATCH(COLUMNS($V$1006:W1006),$V$1006:$AE$1006,0))&gt;=100000), " ",IF(INDEX($V$2:$AE$1001,MATCH(ROWS($O$2:O172),$O$2:$O$1001,0),MATCH(COLUMNS($V$1006:W1006),$V$1006:$AE$1006,0)), HYPERLINK("#",""), HYPERLINK(CONCATENATE("#Metadata!", ADDRESS(INDEX($Q$2:$Q$1001,MATCH(ROWS($O$2:O172),$O$2:$O$1001,0),0), INDEX($V$1004:$AE$1004,1,MATCH(COLUMNS($V$1006:W1006),$V$1006:$AE$1006,0)))),"Fix")))</f>
        <v>0</v>
      </c>
      <c r="D172" s="3">
        <f>IF(OR(INDEX($P$2:$P$1001,MATCH(ROWS($O$2:O172),$O$2:$O$1001,0),1)&gt;=100000,INDEX($V$1005:$AE$1005,1,MATCH(COLUMNS($V$1006:X1006),$V$1006:$AE$1006,0))&gt;=100000), " ",IF(INDEX($V$2:$AE$1001,MATCH(ROWS($O$2:O172),$O$2:$O$1001,0),MATCH(COLUMNS($V$1006:X1006),$V$1006:$AE$1006,0)), HYPERLINK("#",""), HYPERLINK(CONCATENATE("#Metadata!", ADDRESS(INDEX($Q$2:$Q$1001,MATCH(ROWS($O$2:O172),$O$2:$O$1001,0),0), INDEX($V$1004:$AE$1004,1,MATCH(COLUMNS($V$1006:X1006),$V$1006:$AE$1006,0)))),"Fix")))</f>
        <v>0</v>
      </c>
      <c r="E172" s="3">
        <f>IF(OR(INDEX($P$2:$P$1001,MATCH(ROWS($O$2:O172),$O$2:$O$1001,0),1)&gt;=100000,INDEX($V$1005:$AE$1005,1,MATCH(COLUMNS($V$1006:Y1006),$V$1006:$AE$1006,0))&gt;=100000), " ",IF(INDEX($V$2:$AE$1001,MATCH(ROWS($O$2:O172),$O$2:$O$1001,0),MATCH(COLUMNS($V$1006:Y1006),$V$1006:$AE$1006,0)), HYPERLINK("#",""), HYPERLINK(CONCATENATE("#Metadata!", ADDRESS(INDEX($Q$2:$Q$1001,MATCH(ROWS($O$2:O172),$O$2:$O$1001,0),0), INDEX($V$1004:$AE$1004,1,MATCH(COLUMNS($V$1006:Y1006),$V$1006:$AE$1006,0)))),"Fix")))</f>
        <v>0</v>
      </c>
      <c r="F172" s="3">
        <f>IF(OR(INDEX($P$2:$P$1001,MATCH(ROWS($O$2:O172),$O$2:$O$1001,0),1)&gt;=100000,INDEX($V$1005:$AE$1005,1,MATCH(COLUMNS($V$1006:Z1006),$V$1006:$AE$1006,0))&gt;=100000), " ",IF(INDEX($V$2:$AE$1001,MATCH(ROWS($O$2:O172),$O$2:$O$1001,0),MATCH(COLUMNS($V$1006:Z1006),$V$1006:$AE$1006,0)), HYPERLINK("#",""), HYPERLINK(CONCATENATE("#Metadata!", ADDRESS(INDEX($Q$2:$Q$1001,MATCH(ROWS($O$2:O172),$O$2:$O$1001,0),0), INDEX($V$1004:$AE$1004,1,MATCH(COLUMNS($V$1006:Z1006),$V$1006:$AE$1006,0)))),"Fix")))</f>
        <v>0</v>
      </c>
      <c r="G172" s="3">
        <f>IF(OR(INDEX($P$2:$P$1001,MATCH(ROWS($O$2:O172),$O$2:$O$1001,0),1)&gt;=100000,INDEX($V$1005:$AE$1005,1,MATCH(COLUMNS($V$1006:AA1006),$V$1006:$AE$1006,0))&gt;=100000), " ",IF(INDEX($V$2:$AE$1001,MATCH(ROWS($O$2:O172),$O$2:$O$1001,0),MATCH(COLUMNS($V$1006:AA1006),$V$1006:$AE$1006,0)), HYPERLINK("#",""), HYPERLINK(CONCATENATE("#Metadata!", ADDRESS(INDEX($Q$2:$Q$1001,MATCH(ROWS($O$2:O172),$O$2:$O$1001,0),0), INDEX($V$1004:$AE$1004,1,MATCH(COLUMNS($V$1006:AA1006),$V$1006:$AE$1006,0)))),"Fix")))</f>
        <v>0</v>
      </c>
      <c r="H172" s="3">
        <f>IF(OR(INDEX($P$2:$P$1001,MATCH(ROWS($O$2:O172),$O$2:$O$1001,0),1)&gt;=100000,INDEX($V$1005:$AE$1005,1,MATCH(COLUMNS($V$1006:AB1006),$V$1006:$AE$1006,0))&gt;=100000), " ",IF(INDEX($V$2:$AE$1001,MATCH(ROWS($O$2:O172),$O$2:$O$1001,0),MATCH(COLUMNS($V$1006:AB1006),$V$1006:$AE$1006,0)), HYPERLINK("#",""), HYPERLINK(CONCATENATE("#Metadata!", ADDRESS(INDEX($Q$2:$Q$1001,MATCH(ROWS($O$2:O172),$O$2:$O$1001,0),0), INDEX($V$1004:$AE$1004,1,MATCH(COLUMNS($V$1006:AB1006),$V$1006:$AE$1006,0)))),"Fix")))</f>
        <v>0</v>
      </c>
      <c r="I172" s="3">
        <f>IF(OR(INDEX($P$2:$P$1001,MATCH(ROWS($O$2:O172),$O$2:$O$1001,0),1)&gt;=100000,INDEX($V$1005:$AE$1005,1,MATCH(COLUMNS($V$1006:AC1006),$V$1006:$AE$1006,0))&gt;=100000), " ",IF(INDEX($V$2:$AE$1001,MATCH(ROWS($O$2:O172),$O$2:$O$1001,0),MATCH(COLUMNS($V$1006:AC1006),$V$1006:$AE$1006,0)), HYPERLINK("#",""), HYPERLINK(CONCATENATE("#Metadata!", ADDRESS(INDEX($Q$2:$Q$1001,MATCH(ROWS($O$2:O172),$O$2:$O$1001,0),0), INDEX($V$1004:$AE$1004,1,MATCH(COLUMNS($V$1006:AC1006),$V$1006:$AE$1006,0)))),"Fix")))</f>
        <v>0</v>
      </c>
      <c r="J172" s="3">
        <f>IF(OR(INDEX($P$2:$P$1001,MATCH(ROWS($O$2:O172),$O$2:$O$1001,0),1)&gt;=100000,INDEX($V$1005:$AE$1005,1,MATCH(COLUMNS($V$1006:AD1006),$V$1006:$AE$1006,0))&gt;=100000), " ",IF(INDEX($V$2:$AE$1001,MATCH(ROWS($O$2:O172),$O$2:$O$1001,0),MATCH(COLUMNS($V$1006:AD1006),$V$1006:$AE$1006,0)), HYPERLINK("#",""), HYPERLINK(CONCATENATE("#Metadata!", ADDRESS(INDEX($Q$2:$Q$1001,MATCH(ROWS($O$2:O172),$O$2:$O$1001,0),0), INDEX($V$1004:$AE$1004,1,MATCH(COLUMNS($V$1006:AD1006),$V$1006:$AE$1006,0)))),"Fix")))</f>
        <v>0</v>
      </c>
      <c r="K172" s="3">
        <f>IF(OR(INDEX($P$2:$P$1001,MATCH(ROWS($O$2:O172),$O$2:$O$1001,0),1)&gt;=100000,INDEX($V$1005:$AE$1005,1,MATCH(COLUMNS($V$1006:AE1006),$V$1006:$AE$1006,0))&gt;=100000), " ",IF(INDEX($V$2:$AE$1001,MATCH(ROWS($O$2:O172),$O$2:$O$1001,0),MATCH(COLUMNS($V$1006:AE1006),$V$1006:$AE$1006,0)), HYPERLINK("#",""), HYPERLINK(CONCATENATE("#Metadata!", ADDRESS(INDEX($Q$2:$Q$1001,MATCH(ROWS($O$2:O172),$O$2:$O$1001,0),0), INDEX($V$1004:$AE$1004,1,MATCH(COLUMNS($V$1006:AE1006),$V$1006:$AE$1006,0)))),"Fix")))</f>
        <v>0</v>
      </c>
      <c r="O172">
        <v>0</v>
      </c>
      <c r="P172">
        <v>0</v>
      </c>
      <c r="Q172">
        <v>0</v>
      </c>
      <c r="R172">
        <f>IF(S172,TRUE,AND(V172:AE172))</f>
        <v>0</v>
      </c>
      <c r="S172">
        <f>COUNTBLANK(Metadata!B172:K172)=COLUMNS(Metadata!B172:K172)</f>
        <v>0</v>
      </c>
      <c r="T172">
        <v>0</v>
      </c>
      <c r="V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W172">
        <f>AND(IF(Metadata!C172="",FALSE,TRUE),exact(Metadata!C172,"animal secretion"))</f>
        <v>0</v>
      </c>
      <c r="X172">
        <f>AND(IF(Metadata!D172="",FALSE,TRUE),exact(Metadata!D172,"saliva"))</f>
        <v>0</v>
      </c>
      <c r="Y172">
        <f>AND(IF(Metadata!E172="",FALSE,TRUE),exact(Metadata!E172,"human-oral"))</f>
        <v>0</v>
      </c>
      <c r="Z172">
        <f>AND(IF(Metadata!F172="",FALSE,TRUE),exact(Metadata!F172,"UBERON:oral cavity"))</f>
        <v>0</v>
      </c>
      <c r="AA172">
        <f>AND(IF(Metadata!G172="",FALSE,TRUE),exact(Metadata!G172,"UBERON:saliva"))</f>
        <v>0</v>
      </c>
      <c r="AB172">
        <f>AND(IF(Metadata!H172="",FALSE,TRUE),exact(Metadata!H172,"UBERON:tongue"))</f>
        <v>0</v>
      </c>
      <c r="AC172">
        <f>AND(IF(Metadata!I172="",FALSE,TRUE),exact(Metadata!I172,"tongue"))</f>
        <v>0</v>
      </c>
      <c r="AD172">
        <f>AND(IF(Metadata!J172="",FALSE,TRUE),exact(Metadata!J172,"human oral metagenome"))</f>
        <v>0</v>
      </c>
      <c r="AE172">
        <f>AND(IF(Metadata!K172="",FALSE,TRUE),exact(Metadata!K172,"447426"))</f>
        <v>0</v>
      </c>
    </row>
    <row r="173" spans="1:31">
      <c r="A173" s="4">
        <f>IF(B173=" "," ",HYPERLINK(CONCATENATE("#metadata!",ADDRESS(INDEX($Q$2:$Q$1001,MATCH(ROWS($O$2:O173),$O$2:$O$1001,0),0),1)),INDEX($T$2:$T$1001,MATCH(ROWS($O$2:O173),$O$2:$O$1001,0),0)))</f>
        <v>0</v>
      </c>
      <c r="B173" s="3">
        <f>IF(OR(INDEX($P$2:$P$1001,MATCH(ROWS($O$2:O173),$O$2:$O$1001,0),1)&gt;=100000,INDEX($V$1005:$AE$1005,1,MATCH(COLUMNS($V$1006:V1006),$V$1006:$AE$1006,0))&gt;=100000), " ",IF(INDEX($V$2:$AE$1001,MATCH(ROWS($O$2:O173),$O$2:$O$1001,0),MATCH(COLUMNS($V$1006:V1006),$V$1006:$AE$1006,0)), HYPERLINK("#",""), HYPERLINK(CONCATENATE("#Metadata!", ADDRESS(INDEX($Q$2:$Q$1001,MATCH(ROWS($O$2:O173),$O$2:$O$1001,0),0), INDEX($V$1004:$AE$1004,1,MATCH(COLUMNS($V$1006:V1006),$V$1006:$AE$1006,0)))),"Fix")))</f>
        <v>0</v>
      </c>
      <c r="C173" s="3">
        <f>IF(OR(INDEX($P$2:$P$1001,MATCH(ROWS($O$2:O173),$O$2:$O$1001,0),1)&gt;=100000,INDEX($V$1005:$AE$1005,1,MATCH(COLUMNS($V$1006:W1006),$V$1006:$AE$1006,0))&gt;=100000), " ",IF(INDEX($V$2:$AE$1001,MATCH(ROWS($O$2:O173),$O$2:$O$1001,0),MATCH(COLUMNS($V$1006:W1006),$V$1006:$AE$1006,0)), HYPERLINK("#",""), HYPERLINK(CONCATENATE("#Metadata!", ADDRESS(INDEX($Q$2:$Q$1001,MATCH(ROWS($O$2:O173),$O$2:$O$1001,0),0), INDEX($V$1004:$AE$1004,1,MATCH(COLUMNS($V$1006:W1006),$V$1006:$AE$1006,0)))),"Fix")))</f>
        <v>0</v>
      </c>
      <c r="D173" s="3">
        <f>IF(OR(INDEX($P$2:$P$1001,MATCH(ROWS($O$2:O173),$O$2:$O$1001,0),1)&gt;=100000,INDEX($V$1005:$AE$1005,1,MATCH(COLUMNS($V$1006:X1006),$V$1006:$AE$1006,0))&gt;=100000), " ",IF(INDEX($V$2:$AE$1001,MATCH(ROWS($O$2:O173),$O$2:$O$1001,0),MATCH(COLUMNS($V$1006:X1006),$V$1006:$AE$1006,0)), HYPERLINK("#",""), HYPERLINK(CONCATENATE("#Metadata!", ADDRESS(INDEX($Q$2:$Q$1001,MATCH(ROWS($O$2:O173),$O$2:$O$1001,0),0), INDEX($V$1004:$AE$1004,1,MATCH(COLUMNS($V$1006:X1006),$V$1006:$AE$1006,0)))),"Fix")))</f>
        <v>0</v>
      </c>
      <c r="E173" s="3">
        <f>IF(OR(INDEX($P$2:$P$1001,MATCH(ROWS($O$2:O173),$O$2:$O$1001,0),1)&gt;=100000,INDEX($V$1005:$AE$1005,1,MATCH(COLUMNS($V$1006:Y1006),$V$1006:$AE$1006,0))&gt;=100000), " ",IF(INDEX($V$2:$AE$1001,MATCH(ROWS($O$2:O173),$O$2:$O$1001,0),MATCH(COLUMNS($V$1006:Y1006),$V$1006:$AE$1006,0)), HYPERLINK("#",""), HYPERLINK(CONCATENATE("#Metadata!", ADDRESS(INDEX($Q$2:$Q$1001,MATCH(ROWS($O$2:O173),$O$2:$O$1001,0),0), INDEX($V$1004:$AE$1004,1,MATCH(COLUMNS($V$1006:Y1006),$V$1006:$AE$1006,0)))),"Fix")))</f>
        <v>0</v>
      </c>
      <c r="F173" s="3">
        <f>IF(OR(INDEX($P$2:$P$1001,MATCH(ROWS($O$2:O173),$O$2:$O$1001,0),1)&gt;=100000,INDEX($V$1005:$AE$1005,1,MATCH(COLUMNS($V$1006:Z1006),$V$1006:$AE$1006,0))&gt;=100000), " ",IF(INDEX($V$2:$AE$1001,MATCH(ROWS($O$2:O173),$O$2:$O$1001,0),MATCH(COLUMNS($V$1006:Z1006),$V$1006:$AE$1006,0)), HYPERLINK("#",""), HYPERLINK(CONCATENATE("#Metadata!", ADDRESS(INDEX($Q$2:$Q$1001,MATCH(ROWS($O$2:O173),$O$2:$O$1001,0),0), INDEX($V$1004:$AE$1004,1,MATCH(COLUMNS($V$1006:Z1006),$V$1006:$AE$1006,0)))),"Fix")))</f>
        <v>0</v>
      </c>
      <c r="G173" s="3">
        <f>IF(OR(INDEX($P$2:$P$1001,MATCH(ROWS($O$2:O173),$O$2:$O$1001,0),1)&gt;=100000,INDEX($V$1005:$AE$1005,1,MATCH(COLUMNS($V$1006:AA1006),$V$1006:$AE$1006,0))&gt;=100000), " ",IF(INDEX($V$2:$AE$1001,MATCH(ROWS($O$2:O173),$O$2:$O$1001,0),MATCH(COLUMNS($V$1006:AA1006),$V$1006:$AE$1006,0)), HYPERLINK("#",""), HYPERLINK(CONCATENATE("#Metadata!", ADDRESS(INDEX($Q$2:$Q$1001,MATCH(ROWS($O$2:O173),$O$2:$O$1001,0),0), INDEX($V$1004:$AE$1004,1,MATCH(COLUMNS($V$1006:AA1006),$V$1006:$AE$1006,0)))),"Fix")))</f>
        <v>0</v>
      </c>
      <c r="H173" s="3">
        <f>IF(OR(INDEX($P$2:$P$1001,MATCH(ROWS($O$2:O173),$O$2:$O$1001,0),1)&gt;=100000,INDEX($V$1005:$AE$1005,1,MATCH(COLUMNS($V$1006:AB1006),$V$1006:$AE$1006,0))&gt;=100000), " ",IF(INDEX($V$2:$AE$1001,MATCH(ROWS($O$2:O173),$O$2:$O$1001,0),MATCH(COLUMNS($V$1006:AB1006),$V$1006:$AE$1006,0)), HYPERLINK("#",""), HYPERLINK(CONCATENATE("#Metadata!", ADDRESS(INDEX($Q$2:$Q$1001,MATCH(ROWS($O$2:O173),$O$2:$O$1001,0),0), INDEX($V$1004:$AE$1004,1,MATCH(COLUMNS($V$1006:AB1006),$V$1006:$AE$1006,0)))),"Fix")))</f>
        <v>0</v>
      </c>
      <c r="I173" s="3">
        <f>IF(OR(INDEX($P$2:$P$1001,MATCH(ROWS($O$2:O173),$O$2:$O$1001,0),1)&gt;=100000,INDEX($V$1005:$AE$1005,1,MATCH(COLUMNS($V$1006:AC1006),$V$1006:$AE$1006,0))&gt;=100000), " ",IF(INDEX($V$2:$AE$1001,MATCH(ROWS($O$2:O173),$O$2:$O$1001,0),MATCH(COLUMNS($V$1006:AC1006),$V$1006:$AE$1006,0)), HYPERLINK("#",""), HYPERLINK(CONCATENATE("#Metadata!", ADDRESS(INDEX($Q$2:$Q$1001,MATCH(ROWS($O$2:O173),$O$2:$O$1001,0),0), INDEX($V$1004:$AE$1004,1,MATCH(COLUMNS($V$1006:AC1006),$V$1006:$AE$1006,0)))),"Fix")))</f>
        <v>0</v>
      </c>
      <c r="J173" s="3">
        <f>IF(OR(INDEX($P$2:$P$1001,MATCH(ROWS($O$2:O173),$O$2:$O$1001,0),1)&gt;=100000,INDEX($V$1005:$AE$1005,1,MATCH(COLUMNS($V$1006:AD1006),$V$1006:$AE$1006,0))&gt;=100000), " ",IF(INDEX($V$2:$AE$1001,MATCH(ROWS($O$2:O173),$O$2:$O$1001,0),MATCH(COLUMNS($V$1006:AD1006),$V$1006:$AE$1006,0)), HYPERLINK("#",""), HYPERLINK(CONCATENATE("#Metadata!", ADDRESS(INDEX($Q$2:$Q$1001,MATCH(ROWS($O$2:O173),$O$2:$O$1001,0),0), INDEX($V$1004:$AE$1004,1,MATCH(COLUMNS($V$1006:AD1006),$V$1006:$AE$1006,0)))),"Fix")))</f>
        <v>0</v>
      </c>
      <c r="K173" s="3">
        <f>IF(OR(INDEX($P$2:$P$1001,MATCH(ROWS($O$2:O173),$O$2:$O$1001,0),1)&gt;=100000,INDEX($V$1005:$AE$1005,1,MATCH(COLUMNS($V$1006:AE1006),$V$1006:$AE$1006,0))&gt;=100000), " ",IF(INDEX($V$2:$AE$1001,MATCH(ROWS($O$2:O173),$O$2:$O$1001,0),MATCH(COLUMNS($V$1006:AE1006),$V$1006:$AE$1006,0)), HYPERLINK("#",""), HYPERLINK(CONCATENATE("#Metadata!", ADDRESS(INDEX($Q$2:$Q$1001,MATCH(ROWS($O$2:O173),$O$2:$O$1001,0),0), INDEX($V$1004:$AE$1004,1,MATCH(COLUMNS($V$1006:AE1006),$V$1006:$AE$1006,0)))),"Fix")))</f>
        <v>0</v>
      </c>
      <c r="O173">
        <v>0</v>
      </c>
      <c r="P173">
        <v>0</v>
      </c>
      <c r="Q173">
        <v>0</v>
      </c>
      <c r="R173">
        <f>IF(S173,TRUE,AND(V173:AE173))</f>
        <v>0</v>
      </c>
      <c r="S173">
        <f>COUNTBLANK(Metadata!B173:K173)=COLUMNS(Metadata!B173:K173)</f>
        <v>0</v>
      </c>
      <c r="T173">
        <v>0</v>
      </c>
      <c r="V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W173">
        <f>AND(IF(Metadata!C173="",FALSE,TRUE),exact(Metadata!C173,"animal secretion"))</f>
        <v>0</v>
      </c>
      <c r="X173">
        <f>AND(IF(Metadata!D173="",FALSE,TRUE),exact(Metadata!D173,"saliva"))</f>
        <v>0</v>
      </c>
      <c r="Y173">
        <f>AND(IF(Metadata!E173="",FALSE,TRUE),exact(Metadata!E173,"human-oral"))</f>
        <v>0</v>
      </c>
      <c r="Z173">
        <f>AND(IF(Metadata!F173="",FALSE,TRUE),exact(Metadata!F173,"UBERON:oral cavity"))</f>
        <v>0</v>
      </c>
      <c r="AA173">
        <f>AND(IF(Metadata!G173="",FALSE,TRUE),exact(Metadata!G173,"UBERON:saliva"))</f>
        <v>0</v>
      </c>
      <c r="AB173">
        <f>AND(IF(Metadata!H173="",FALSE,TRUE),exact(Metadata!H173,"UBERON:tongue"))</f>
        <v>0</v>
      </c>
      <c r="AC173">
        <f>AND(IF(Metadata!I173="",FALSE,TRUE),exact(Metadata!I173,"tongue"))</f>
        <v>0</v>
      </c>
      <c r="AD173">
        <f>AND(IF(Metadata!J173="",FALSE,TRUE),exact(Metadata!J173,"human oral metagenome"))</f>
        <v>0</v>
      </c>
      <c r="AE173">
        <f>AND(IF(Metadata!K173="",FALSE,TRUE),exact(Metadata!K173,"447426"))</f>
        <v>0</v>
      </c>
    </row>
    <row r="174" spans="1:31">
      <c r="A174" s="4">
        <f>IF(B174=" "," ",HYPERLINK(CONCATENATE("#metadata!",ADDRESS(INDEX($Q$2:$Q$1001,MATCH(ROWS($O$2:O174),$O$2:$O$1001,0),0),1)),INDEX($T$2:$T$1001,MATCH(ROWS($O$2:O174),$O$2:$O$1001,0),0)))</f>
        <v>0</v>
      </c>
      <c r="B174" s="3">
        <f>IF(OR(INDEX($P$2:$P$1001,MATCH(ROWS($O$2:O174),$O$2:$O$1001,0),1)&gt;=100000,INDEX($V$1005:$AE$1005,1,MATCH(COLUMNS($V$1006:V1006),$V$1006:$AE$1006,0))&gt;=100000), " ",IF(INDEX($V$2:$AE$1001,MATCH(ROWS($O$2:O174),$O$2:$O$1001,0),MATCH(COLUMNS($V$1006:V1006),$V$1006:$AE$1006,0)), HYPERLINK("#",""), HYPERLINK(CONCATENATE("#Metadata!", ADDRESS(INDEX($Q$2:$Q$1001,MATCH(ROWS($O$2:O174),$O$2:$O$1001,0),0), INDEX($V$1004:$AE$1004,1,MATCH(COLUMNS($V$1006:V1006),$V$1006:$AE$1006,0)))),"Fix")))</f>
        <v>0</v>
      </c>
      <c r="C174" s="3">
        <f>IF(OR(INDEX($P$2:$P$1001,MATCH(ROWS($O$2:O174),$O$2:$O$1001,0),1)&gt;=100000,INDEX($V$1005:$AE$1005,1,MATCH(COLUMNS($V$1006:W1006),$V$1006:$AE$1006,0))&gt;=100000), " ",IF(INDEX($V$2:$AE$1001,MATCH(ROWS($O$2:O174),$O$2:$O$1001,0),MATCH(COLUMNS($V$1006:W1006),$V$1006:$AE$1006,0)), HYPERLINK("#",""), HYPERLINK(CONCATENATE("#Metadata!", ADDRESS(INDEX($Q$2:$Q$1001,MATCH(ROWS($O$2:O174),$O$2:$O$1001,0),0), INDEX($V$1004:$AE$1004,1,MATCH(COLUMNS($V$1006:W1006),$V$1006:$AE$1006,0)))),"Fix")))</f>
        <v>0</v>
      </c>
      <c r="D174" s="3">
        <f>IF(OR(INDEX($P$2:$P$1001,MATCH(ROWS($O$2:O174),$O$2:$O$1001,0),1)&gt;=100000,INDEX($V$1005:$AE$1005,1,MATCH(COLUMNS($V$1006:X1006),$V$1006:$AE$1006,0))&gt;=100000), " ",IF(INDEX($V$2:$AE$1001,MATCH(ROWS($O$2:O174),$O$2:$O$1001,0),MATCH(COLUMNS($V$1006:X1006),$V$1006:$AE$1006,0)), HYPERLINK("#",""), HYPERLINK(CONCATENATE("#Metadata!", ADDRESS(INDEX($Q$2:$Q$1001,MATCH(ROWS($O$2:O174),$O$2:$O$1001,0),0), INDEX($V$1004:$AE$1004,1,MATCH(COLUMNS($V$1006:X1006),$V$1006:$AE$1006,0)))),"Fix")))</f>
        <v>0</v>
      </c>
      <c r="E174" s="3">
        <f>IF(OR(INDEX($P$2:$P$1001,MATCH(ROWS($O$2:O174),$O$2:$O$1001,0),1)&gt;=100000,INDEX($V$1005:$AE$1005,1,MATCH(COLUMNS($V$1006:Y1006),$V$1006:$AE$1006,0))&gt;=100000), " ",IF(INDEX($V$2:$AE$1001,MATCH(ROWS($O$2:O174),$O$2:$O$1001,0),MATCH(COLUMNS($V$1006:Y1006),$V$1006:$AE$1006,0)), HYPERLINK("#",""), HYPERLINK(CONCATENATE("#Metadata!", ADDRESS(INDEX($Q$2:$Q$1001,MATCH(ROWS($O$2:O174),$O$2:$O$1001,0),0), INDEX($V$1004:$AE$1004,1,MATCH(COLUMNS($V$1006:Y1006),$V$1006:$AE$1006,0)))),"Fix")))</f>
        <v>0</v>
      </c>
      <c r="F174" s="3">
        <f>IF(OR(INDEX($P$2:$P$1001,MATCH(ROWS($O$2:O174),$O$2:$O$1001,0),1)&gt;=100000,INDEX($V$1005:$AE$1005,1,MATCH(COLUMNS($V$1006:Z1006),$V$1006:$AE$1006,0))&gt;=100000), " ",IF(INDEX($V$2:$AE$1001,MATCH(ROWS($O$2:O174),$O$2:$O$1001,0),MATCH(COLUMNS($V$1006:Z1006),$V$1006:$AE$1006,0)), HYPERLINK("#",""), HYPERLINK(CONCATENATE("#Metadata!", ADDRESS(INDEX($Q$2:$Q$1001,MATCH(ROWS($O$2:O174),$O$2:$O$1001,0),0), INDEX($V$1004:$AE$1004,1,MATCH(COLUMNS($V$1006:Z1006),$V$1006:$AE$1006,0)))),"Fix")))</f>
        <v>0</v>
      </c>
      <c r="G174" s="3">
        <f>IF(OR(INDEX($P$2:$P$1001,MATCH(ROWS($O$2:O174),$O$2:$O$1001,0),1)&gt;=100000,INDEX($V$1005:$AE$1005,1,MATCH(COLUMNS($V$1006:AA1006),$V$1006:$AE$1006,0))&gt;=100000), " ",IF(INDEX($V$2:$AE$1001,MATCH(ROWS($O$2:O174),$O$2:$O$1001,0),MATCH(COLUMNS($V$1006:AA1006),$V$1006:$AE$1006,0)), HYPERLINK("#",""), HYPERLINK(CONCATENATE("#Metadata!", ADDRESS(INDEX($Q$2:$Q$1001,MATCH(ROWS($O$2:O174),$O$2:$O$1001,0),0), INDEX($V$1004:$AE$1004,1,MATCH(COLUMNS($V$1006:AA1006),$V$1006:$AE$1006,0)))),"Fix")))</f>
        <v>0</v>
      </c>
      <c r="H174" s="3">
        <f>IF(OR(INDEX($P$2:$P$1001,MATCH(ROWS($O$2:O174),$O$2:$O$1001,0),1)&gt;=100000,INDEX($V$1005:$AE$1005,1,MATCH(COLUMNS($V$1006:AB1006),$V$1006:$AE$1006,0))&gt;=100000), " ",IF(INDEX($V$2:$AE$1001,MATCH(ROWS($O$2:O174),$O$2:$O$1001,0),MATCH(COLUMNS($V$1006:AB1006),$V$1006:$AE$1006,0)), HYPERLINK("#",""), HYPERLINK(CONCATENATE("#Metadata!", ADDRESS(INDEX($Q$2:$Q$1001,MATCH(ROWS($O$2:O174),$O$2:$O$1001,0),0), INDEX($V$1004:$AE$1004,1,MATCH(COLUMNS($V$1006:AB1006),$V$1006:$AE$1006,0)))),"Fix")))</f>
        <v>0</v>
      </c>
      <c r="I174" s="3">
        <f>IF(OR(INDEX($P$2:$P$1001,MATCH(ROWS($O$2:O174),$O$2:$O$1001,0),1)&gt;=100000,INDEX($V$1005:$AE$1005,1,MATCH(COLUMNS($V$1006:AC1006),$V$1006:$AE$1006,0))&gt;=100000), " ",IF(INDEX($V$2:$AE$1001,MATCH(ROWS($O$2:O174),$O$2:$O$1001,0),MATCH(COLUMNS($V$1006:AC1006),$V$1006:$AE$1006,0)), HYPERLINK("#",""), HYPERLINK(CONCATENATE("#Metadata!", ADDRESS(INDEX($Q$2:$Q$1001,MATCH(ROWS($O$2:O174),$O$2:$O$1001,0),0), INDEX($V$1004:$AE$1004,1,MATCH(COLUMNS($V$1006:AC1006),$V$1006:$AE$1006,0)))),"Fix")))</f>
        <v>0</v>
      </c>
      <c r="J174" s="3">
        <f>IF(OR(INDEX($P$2:$P$1001,MATCH(ROWS($O$2:O174),$O$2:$O$1001,0),1)&gt;=100000,INDEX($V$1005:$AE$1005,1,MATCH(COLUMNS($V$1006:AD1006),$V$1006:$AE$1006,0))&gt;=100000), " ",IF(INDEX($V$2:$AE$1001,MATCH(ROWS($O$2:O174),$O$2:$O$1001,0),MATCH(COLUMNS($V$1006:AD1006),$V$1006:$AE$1006,0)), HYPERLINK("#",""), HYPERLINK(CONCATENATE("#Metadata!", ADDRESS(INDEX($Q$2:$Q$1001,MATCH(ROWS($O$2:O174),$O$2:$O$1001,0),0), INDEX($V$1004:$AE$1004,1,MATCH(COLUMNS($V$1006:AD1006),$V$1006:$AE$1006,0)))),"Fix")))</f>
        <v>0</v>
      </c>
      <c r="K174" s="3">
        <f>IF(OR(INDEX($P$2:$P$1001,MATCH(ROWS($O$2:O174),$O$2:$O$1001,0),1)&gt;=100000,INDEX($V$1005:$AE$1005,1,MATCH(COLUMNS($V$1006:AE1006),$V$1006:$AE$1006,0))&gt;=100000), " ",IF(INDEX($V$2:$AE$1001,MATCH(ROWS($O$2:O174),$O$2:$O$1001,0),MATCH(COLUMNS($V$1006:AE1006),$V$1006:$AE$1006,0)), HYPERLINK("#",""), HYPERLINK(CONCATENATE("#Metadata!", ADDRESS(INDEX($Q$2:$Q$1001,MATCH(ROWS($O$2:O174),$O$2:$O$1001,0),0), INDEX($V$1004:$AE$1004,1,MATCH(COLUMNS($V$1006:AE1006),$V$1006:$AE$1006,0)))),"Fix")))</f>
        <v>0</v>
      </c>
      <c r="O174">
        <v>0</v>
      </c>
      <c r="P174">
        <v>0</v>
      </c>
      <c r="Q174">
        <v>0</v>
      </c>
      <c r="R174">
        <f>IF(S174,TRUE,AND(V174:AE174))</f>
        <v>0</v>
      </c>
      <c r="S174">
        <f>COUNTBLANK(Metadata!B174:K174)=COLUMNS(Metadata!B174:K174)</f>
        <v>0</v>
      </c>
      <c r="T174">
        <v>0</v>
      </c>
      <c r="V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W174">
        <f>AND(IF(Metadata!C174="",FALSE,TRUE),exact(Metadata!C174,"animal secretion"))</f>
        <v>0</v>
      </c>
      <c r="X174">
        <f>AND(IF(Metadata!D174="",FALSE,TRUE),exact(Metadata!D174,"saliva"))</f>
        <v>0</v>
      </c>
      <c r="Y174">
        <f>AND(IF(Metadata!E174="",FALSE,TRUE),exact(Metadata!E174,"human-oral"))</f>
        <v>0</v>
      </c>
      <c r="Z174">
        <f>AND(IF(Metadata!F174="",FALSE,TRUE),exact(Metadata!F174,"UBERON:oral cavity"))</f>
        <v>0</v>
      </c>
      <c r="AA174">
        <f>AND(IF(Metadata!G174="",FALSE,TRUE),exact(Metadata!G174,"UBERON:saliva"))</f>
        <v>0</v>
      </c>
      <c r="AB174">
        <f>AND(IF(Metadata!H174="",FALSE,TRUE),exact(Metadata!H174,"UBERON:tongue"))</f>
        <v>0</v>
      </c>
      <c r="AC174">
        <f>AND(IF(Metadata!I174="",FALSE,TRUE),exact(Metadata!I174,"tongue"))</f>
        <v>0</v>
      </c>
      <c r="AD174">
        <f>AND(IF(Metadata!J174="",FALSE,TRUE),exact(Metadata!J174,"human oral metagenome"))</f>
        <v>0</v>
      </c>
      <c r="AE174">
        <f>AND(IF(Metadata!K174="",FALSE,TRUE),exact(Metadata!K174,"447426"))</f>
        <v>0</v>
      </c>
    </row>
    <row r="175" spans="1:31">
      <c r="A175" s="4">
        <f>IF(B175=" "," ",HYPERLINK(CONCATENATE("#metadata!",ADDRESS(INDEX($Q$2:$Q$1001,MATCH(ROWS($O$2:O175),$O$2:$O$1001,0),0),1)),INDEX($T$2:$T$1001,MATCH(ROWS($O$2:O175),$O$2:$O$1001,0),0)))</f>
        <v>0</v>
      </c>
      <c r="B175" s="3">
        <f>IF(OR(INDEX($P$2:$P$1001,MATCH(ROWS($O$2:O175),$O$2:$O$1001,0),1)&gt;=100000,INDEX($V$1005:$AE$1005,1,MATCH(COLUMNS($V$1006:V1006),$V$1006:$AE$1006,0))&gt;=100000), " ",IF(INDEX($V$2:$AE$1001,MATCH(ROWS($O$2:O175),$O$2:$O$1001,0),MATCH(COLUMNS($V$1006:V1006),$V$1006:$AE$1006,0)), HYPERLINK("#",""), HYPERLINK(CONCATENATE("#Metadata!", ADDRESS(INDEX($Q$2:$Q$1001,MATCH(ROWS($O$2:O175),$O$2:$O$1001,0),0), INDEX($V$1004:$AE$1004,1,MATCH(COLUMNS($V$1006:V1006),$V$1006:$AE$1006,0)))),"Fix")))</f>
        <v>0</v>
      </c>
      <c r="C175" s="3">
        <f>IF(OR(INDEX($P$2:$P$1001,MATCH(ROWS($O$2:O175),$O$2:$O$1001,0),1)&gt;=100000,INDEX($V$1005:$AE$1005,1,MATCH(COLUMNS($V$1006:W1006),$V$1006:$AE$1006,0))&gt;=100000), " ",IF(INDEX($V$2:$AE$1001,MATCH(ROWS($O$2:O175),$O$2:$O$1001,0),MATCH(COLUMNS($V$1006:W1006),$V$1006:$AE$1006,0)), HYPERLINK("#",""), HYPERLINK(CONCATENATE("#Metadata!", ADDRESS(INDEX($Q$2:$Q$1001,MATCH(ROWS($O$2:O175),$O$2:$O$1001,0),0), INDEX($V$1004:$AE$1004,1,MATCH(COLUMNS($V$1006:W1006),$V$1006:$AE$1006,0)))),"Fix")))</f>
        <v>0</v>
      </c>
      <c r="D175" s="3">
        <f>IF(OR(INDEX($P$2:$P$1001,MATCH(ROWS($O$2:O175),$O$2:$O$1001,0),1)&gt;=100000,INDEX($V$1005:$AE$1005,1,MATCH(COLUMNS($V$1006:X1006),$V$1006:$AE$1006,0))&gt;=100000), " ",IF(INDEX($V$2:$AE$1001,MATCH(ROWS($O$2:O175),$O$2:$O$1001,0),MATCH(COLUMNS($V$1006:X1006),$V$1006:$AE$1006,0)), HYPERLINK("#",""), HYPERLINK(CONCATENATE("#Metadata!", ADDRESS(INDEX($Q$2:$Q$1001,MATCH(ROWS($O$2:O175),$O$2:$O$1001,0),0), INDEX($V$1004:$AE$1004,1,MATCH(COLUMNS($V$1006:X1006),$V$1006:$AE$1006,0)))),"Fix")))</f>
        <v>0</v>
      </c>
      <c r="E175" s="3">
        <f>IF(OR(INDEX($P$2:$P$1001,MATCH(ROWS($O$2:O175),$O$2:$O$1001,0),1)&gt;=100000,INDEX($V$1005:$AE$1005,1,MATCH(COLUMNS($V$1006:Y1006),$V$1006:$AE$1006,0))&gt;=100000), " ",IF(INDEX($V$2:$AE$1001,MATCH(ROWS($O$2:O175),$O$2:$O$1001,0),MATCH(COLUMNS($V$1006:Y1006),$V$1006:$AE$1006,0)), HYPERLINK("#",""), HYPERLINK(CONCATENATE("#Metadata!", ADDRESS(INDEX($Q$2:$Q$1001,MATCH(ROWS($O$2:O175),$O$2:$O$1001,0),0), INDEX($V$1004:$AE$1004,1,MATCH(COLUMNS($V$1006:Y1006),$V$1006:$AE$1006,0)))),"Fix")))</f>
        <v>0</v>
      </c>
      <c r="F175" s="3">
        <f>IF(OR(INDEX($P$2:$P$1001,MATCH(ROWS($O$2:O175),$O$2:$O$1001,0),1)&gt;=100000,INDEX($V$1005:$AE$1005,1,MATCH(COLUMNS($V$1006:Z1006),$V$1006:$AE$1006,0))&gt;=100000), " ",IF(INDEX($V$2:$AE$1001,MATCH(ROWS($O$2:O175),$O$2:$O$1001,0),MATCH(COLUMNS($V$1006:Z1006),$V$1006:$AE$1006,0)), HYPERLINK("#",""), HYPERLINK(CONCATENATE("#Metadata!", ADDRESS(INDEX($Q$2:$Q$1001,MATCH(ROWS($O$2:O175),$O$2:$O$1001,0),0), INDEX($V$1004:$AE$1004,1,MATCH(COLUMNS($V$1006:Z1006),$V$1006:$AE$1006,0)))),"Fix")))</f>
        <v>0</v>
      </c>
      <c r="G175" s="3">
        <f>IF(OR(INDEX($P$2:$P$1001,MATCH(ROWS($O$2:O175),$O$2:$O$1001,0),1)&gt;=100000,INDEX($V$1005:$AE$1005,1,MATCH(COLUMNS($V$1006:AA1006),$V$1006:$AE$1006,0))&gt;=100000), " ",IF(INDEX($V$2:$AE$1001,MATCH(ROWS($O$2:O175),$O$2:$O$1001,0),MATCH(COLUMNS($V$1006:AA1006),$V$1006:$AE$1006,0)), HYPERLINK("#",""), HYPERLINK(CONCATENATE("#Metadata!", ADDRESS(INDEX($Q$2:$Q$1001,MATCH(ROWS($O$2:O175),$O$2:$O$1001,0),0), INDEX($V$1004:$AE$1004,1,MATCH(COLUMNS($V$1006:AA1006),$V$1006:$AE$1006,0)))),"Fix")))</f>
        <v>0</v>
      </c>
      <c r="H175" s="3">
        <f>IF(OR(INDEX($P$2:$P$1001,MATCH(ROWS($O$2:O175),$O$2:$O$1001,0),1)&gt;=100000,INDEX($V$1005:$AE$1005,1,MATCH(COLUMNS($V$1006:AB1006),$V$1006:$AE$1006,0))&gt;=100000), " ",IF(INDEX($V$2:$AE$1001,MATCH(ROWS($O$2:O175),$O$2:$O$1001,0),MATCH(COLUMNS($V$1006:AB1006),$V$1006:$AE$1006,0)), HYPERLINK("#",""), HYPERLINK(CONCATENATE("#Metadata!", ADDRESS(INDEX($Q$2:$Q$1001,MATCH(ROWS($O$2:O175),$O$2:$O$1001,0),0), INDEX($V$1004:$AE$1004,1,MATCH(COLUMNS($V$1006:AB1006),$V$1006:$AE$1006,0)))),"Fix")))</f>
        <v>0</v>
      </c>
      <c r="I175" s="3">
        <f>IF(OR(INDEX($P$2:$P$1001,MATCH(ROWS($O$2:O175),$O$2:$O$1001,0),1)&gt;=100000,INDEX($V$1005:$AE$1005,1,MATCH(COLUMNS($V$1006:AC1006),$V$1006:$AE$1006,0))&gt;=100000), " ",IF(INDEX($V$2:$AE$1001,MATCH(ROWS($O$2:O175),$O$2:$O$1001,0),MATCH(COLUMNS($V$1006:AC1006),$V$1006:$AE$1006,0)), HYPERLINK("#",""), HYPERLINK(CONCATENATE("#Metadata!", ADDRESS(INDEX($Q$2:$Q$1001,MATCH(ROWS($O$2:O175),$O$2:$O$1001,0),0), INDEX($V$1004:$AE$1004,1,MATCH(COLUMNS($V$1006:AC1006),$V$1006:$AE$1006,0)))),"Fix")))</f>
        <v>0</v>
      </c>
      <c r="J175" s="3">
        <f>IF(OR(INDEX($P$2:$P$1001,MATCH(ROWS($O$2:O175),$O$2:$O$1001,0),1)&gt;=100000,INDEX($V$1005:$AE$1005,1,MATCH(COLUMNS($V$1006:AD1006),$V$1006:$AE$1006,0))&gt;=100000), " ",IF(INDEX($V$2:$AE$1001,MATCH(ROWS($O$2:O175),$O$2:$O$1001,0),MATCH(COLUMNS($V$1006:AD1006),$V$1006:$AE$1006,0)), HYPERLINK("#",""), HYPERLINK(CONCATENATE("#Metadata!", ADDRESS(INDEX($Q$2:$Q$1001,MATCH(ROWS($O$2:O175),$O$2:$O$1001,0),0), INDEX($V$1004:$AE$1004,1,MATCH(COLUMNS($V$1006:AD1006),$V$1006:$AE$1006,0)))),"Fix")))</f>
        <v>0</v>
      </c>
      <c r="K175" s="3">
        <f>IF(OR(INDEX($P$2:$P$1001,MATCH(ROWS($O$2:O175),$O$2:$O$1001,0),1)&gt;=100000,INDEX($V$1005:$AE$1005,1,MATCH(COLUMNS($V$1006:AE1006),$V$1006:$AE$1006,0))&gt;=100000), " ",IF(INDEX($V$2:$AE$1001,MATCH(ROWS($O$2:O175),$O$2:$O$1001,0),MATCH(COLUMNS($V$1006:AE1006),$V$1006:$AE$1006,0)), HYPERLINK("#",""), HYPERLINK(CONCATENATE("#Metadata!", ADDRESS(INDEX($Q$2:$Q$1001,MATCH(ROWS($O$2:O175),$O$2:$O$1001,0),0), INDEX($V$1004:$AE$1004,1,MATCH(COLUMNS($V$1006:AE1006),$V$1006:$AE$1006,0)))),"Fix")))</f>
        <v>0</v>
      </c>
      <c r="O175">
        <v>0</v>
      </c>
      <c r="P175">
        <v>0</v>
      </c>
      <c r="Q175">
        <v>0</v>
      </c>
      <c r="R175">
        <f>IF(S175,TRUE,AND(V175:AE175))</f>
        <v>0</v>
      </c>
      <c r="S175">
        <f>COUNTBLANK(Metadata!B175:K175)=COLUMNS(Metadata!B175:K175)</f>
        <v>0</v>
      </c>
      <c r="T175">
        <v>0</v>
      </c>
      <c r="V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W175">
        <f>AND(IF(Metadata!C175="",FALSE,TRUE),exact(Metadata!C175,"animal secretion"))</f>
        <v>0</v>
      </c>
      <c r="X175">
        <f>AND(IF(Metadata!D175="",FALSE,TRUE),exact(Metadata!D175,"saliva"))</f>
        <v>0</v>
      </c>
      <c r="Y175">
        <f>AND(IF(Metadata!E175="",FALSE,TRUE),exact(Metadata!E175,"human-oral"))</f>
        <v>0</v>
      </c>
      <c r="Z175">
        <f>AND(IF(Metadata!F175="",FALSE,TRUE),exact(Metadata!F175,"UBERON:oral cavity"))</f>
        <v>0</v>
      </c>
      <c r="AA175">
        <f>AND(IF(Metadata!G175="",FALSE,TRUE),exact(Metadata!G175,"UBERON:saliva"))</f>
        <v>0</v>
      </c>
      <c r="AB175">
        <f>AND(IF(Metadata!H175="",FALSE,TRUE),exact(Metadata!H175,"UBERON:tongue"))</f>
        <v>0</v>
      </c>
      <c r="AC175">
        <f>AND(IF(Metadata!I175="",FALSE,TRUE),exact(Metadata!I175,"tongue"))</f>
        <v>0</v>
      </c>
      <c r="AD175">
        <f>AND(IF(Metadata!J175="",FALSE,TRUE),exact(Metadata!J175,"human oral metagenome"))</f>
        <v>0</v>
      </c>
      <c r="AE175">
        <f>AND(IF(Metadata!K175="",FALSE,TRUE),exact(Metadata!K175,"447426"))</f>
        <v>0</v>
      </c>
    </row>
    <row r="176" spans="1:31">
      <c r="A176" s="4">
        <f>IF(B176=" "," ",HYPERLINK(CONCATENATE("#metadata!",ADDRESS(INDEX($Q$2:$Q$1001,MATCH(ROWS($O$2:O176),$O$2:$O$1001,0),0),1)),INDEX($T$2:$T$1001,MATCH(ROWS($O$2:O176),$O$2:$O$1001,0),0)))</f>
        <v>0</v>
      </c>
      <c r="B176" s="3">
        <f>IF(OR(INDEX($P$2:$P$1001,MATCH(ROWS($O$2:O176),$O$2:$O$1001,0),1)&gt;=100000,INDEX($V$1005:$AE$1005,1,MATCH(COLUMNS($V$1006:V1006),$V$1006:$AE$1006,0))&gt;=100000), " ",IF(INDEX($V$2:$AE$1001,MATCH(ROWS($O$2:O176),$O$2:$O$1001,0),MATCH(COLUMNS($V$1006:V1006),$V$1006:$AE$1006,0)), HYPERLINK("#",""), HYPERLINK(CONCATENATE("#Metadata!", ADDRESS(INDEX($Q$2:$Q$1001,MATCH(ROWS($O$2:O176),$O$2:$O$1001,0),0), INDEX($V$1004:$AE$1004,1,MATCH(COLUMNS($V$1006:V1006),$V$1006:$AE$1006,0)))),"Fix")))</f>
        <v>0</v>
      </c>
      <c r="C176" s="3">
        <f>IF(OR(INDEX($P$2:$P$1001,MATCH(ROWS($O$2:O176),$O$2:$O$1001,0),1)&gt;=100000,INDEX($V$1005:$AE$1005,1,MATCH(COLUMNS($V$1006:W1006),$V$1006:$AE$1006,0))&gt;=100000), " ",IF(INDEX($V$2:$AE$1001,MATCH(ROWS($O$2:O176),$O$2:$O$1001,0),MATCH(COLUMNS($V$1006:W1006),$V$1006:$AE$1006,0)), HYPERLINK("#",""), HYPERLINK(CONCATENATE("#Metadata!", ADDRESS(INDEX($Q$2:$Q$1001,MATCH(ROWS($O$2:O176),$O$2:$O$1001,0),0), INDEX($V$1004:$AE$1004,1,MATCH(COLUMNS($V$1006:W1006),$V$1006:$AE$1006,0)))),"Fix")))</f>
        <v>0</v>
      </c>
      <c r="D176" s="3">
        <f>IF(OR(INDEX($P$2:$P$1001,MATCH(ROWS($O$2:O176),$O$2:$O$1001,0),1)&gt;=100000,INDEX($V$1005:$AE$1005,1,MATCH(COLUMNS($V$1006:X1006),$V$1006:$AE$1006,0))&gt;=100000), " ",IF(INDEX($V$2:$AE$1001,MATCH(ROWS($O$2:O176),$O$2:$O$1001,0),MATCH(COLUMNS($V$1006:X1006),$V$1006:$AE$1006,0)), HYPERLINK("#",""), HYPERLINK(CONCATENATE("#Metadata!", ADDRESS(INDEX($Q$2:$Q$1001,MATCH(ROWS($O$2:O176),$O$2:$O$1001,0),0), INDEX($V$1004:$AE$1004,1,MATCH(COLUMNS($V$1006:X1006),$V$1006:$AE$1006,0)))),"Fix")))</f>
        <v>0</v>
      </c>
      <c r="E176" s="3">
        <f>IF(OR(INDEX($P$2:$P$1001,MATCH(ROWS($O$2:O176),$O$2:$O$1001,0),1)&gt;=100000,INDEX($V$1005:$AE$1005,1,MATCH(COLUMNS($V$1006:Y1006),$V$1006:$AE$1006,0))&gt;=100000), " ",IF(INDEX($V$2:$AE$1001,MATCH(ROWS($O$2:O176),$O$2:$O$1001,0),MATCH(COLUMNS($V$1006:Y1006),$V$1006:$AE$1006,0)), HYPERLINK("#",""), HYPERLINK(CONCATENATE("#Metadata!", ADDRESS(INDEX($Q$2:$Q$1001,MATCH(ROWS($O$2:O176),$O$2:$O$1001,0),0), INDEX($V$1004:$AE$1004,1,MATCH(COLUMNS($V$1006:Y1006),$V$1006:$AE$1006,0)))),"Fix")))</f>
        <v>0</v>
      </c>
      <c r="F176" s="3">
        <f>IF(OR(INDEX($P$2:$P$1001,MATCH(ROWS($O$2:O176),$O$2:$O$1001,0),1)&gt;=100000,INDEX($V$1005:$AE$1005,1,MATCH(COLUMNS($V$1006:Z1006),$V$1006:$AE$1006,0))&gt;=100000), " ",IF(INDEX($V$2:$AE$1001,MATCH(ROWS($O$2:O176),$O$2:$O$1001,0),MATCH(COLUMNS($V$1006:Z1006),$V$1006:$AE$1006,0)), HYPERLINK("#",""), HYPERLINK(CONCATENATE("#Metadata!", ADDRESS(INDEX($Q$2:$Q$1001,MATCH(ROWS($O$2:O176),$O$2:$O$1001,0),0), INDEX($V$1004:$AE$1004,1,MATCH(COLUMNS($V$1006:Z1006),$V$1006:$AE$1006,0)))),"Fix")))</f>
        <v>0</v>
      </c>
      <c r="G176" s="3">
        <f>IF(OR(INDEX($P$2:$P$1001,MATCH(ROWS($O$2:O176),$O$2:$O$1001,0),1)&gt;=100000,INDEX($V$1005:$AE$1005,1,MATCH(COLUMNS($V$1006:AA1006),$V$1006:$AE$1006,0))&gt;=100000), " ",IF(INDEX($V$2:$AE$1001,MATCH(ROWS($O$2:O176),$O$2:$O$1001,0),MATCH(COLUMNS($V$1006:AA1006),$V$1006:$AE$1006,0)), HYPERLINK("#",""), HYPERLINK(CONCATENATE("#Metadata!", ADDRESS(INDEX($Q$2:$Q$1001,MATCH(ROWS($O$2:O176),$O$2:$O$1001,0),0), INDEX($V$1004:$AE$1004,1,MATCH(COLUMNS($V$1006:AA1006),$V$1006:$AE$1006,0)))),"Fix")))</f>
        <v>0</v>
      </c>
      <c r="H176" s="3">
        <f>IF(OR(INDEX($P$2:$P$1001,MATCH(ROWS($O$2:O176),$O$2:$O$1001,0),1)&gt;=100000,INDEX($V$1005:$AE$1005,1,MATCH(COLUMNS($V$1006:AB1006),$V$1006:$AE$1006,0))&gt;=100000), " ",IF(INDEX($V$2:$AE$1001,MATCH(ROWS($O$2:O176),$O$2:$O$1001,0),MATCH(COLUMNS($V$1006:AB1006),$V$1006:$AE$1006,0)), HYPERLINK("#",""), HYPERLINK(CONCATENATE("#Metadata!", ADDRESS(INDEX($Q$2:$Q$1001,MATCH(ROWS($O$2:O176),$O$2:$O$1001,0),0), INDEX($V$1004:$AE$1004,1,MATCH(COLUMNS($V$1006:AB1006),$V$1006:$AE$1006,0)))),"Fix")))</f>
        <v>0</v>
      </c>
      <c r="I176" s="3">
        <f>IF(OR(INDEX($P$2:$P$1001,MATCH(ROWS($O$2:O176),$O$2:$O$1001,0),1)&gt;=100000,INDEX($V$1005:$AE$1005,1,MATCH(COLUMNS($V$1006:AC1006),$V$1006:$AE$1006,0))&gt;=100000), " ",IF(INDEX($V$2:$AE$1001,MATCH(ROWS($O$2:O176),$O$2:$O$1001,0),MATCH(COLUMNS($V$1006:AC1006),$V$1006:$AE$1006,0)), HYPERLINK("#",""), HYPERLINK(CONCATENATE("#Metadata!", ADDRESS(INDEX($Q$2:$Q$1001,MATCH(ROWS($O$2:O176),$O$2:$O$1001,0),0), INDEX($V$1004:$AE$1004,1,MATCH(COLUMNS($V$1006:AC1006),$V$1006:$AE$1006,0)))),"Fix")))</f>
        <v>0</v>
      </c>
      <c r="J176" s="3">
        <f>IF(OR(INDEX($P$2:$P$1001,MATCH(ROWS($O$2:O176),$O$2:$O$1001,0),1)&gt;=100000,INDEX($V$1005:$AE$1005,1,MATCH(COLUMNS($V$1006:AD1006),$V$1006:$AE$1006,0))&gt;=100000), " ",IF(INDEX($V$2:$AE$1001,MATCH(ROWS($O$2:O176),$O$2:$O$1001,0),MATCH(COLUMNS($V$1006:AD1006),$V$1006:$AE$1006,0)), HYPERLINK("#",""), HYPERLINK(CONCATENATE("#Metadata!", ADDRESS(INDEX($Q$2:$Q$1001,MATCH(ROWS($O$2:O176),$O$2:$O$1001,0),0), INDEX($V$1004:$AE$1004,1,MATCH(COLUMNS($V$1006:AD1006),$V$1006:$AE$1006,0)))),"Fix")))</f>
        <v>0</v>
      </c>
      <c r="K176" s="3">
        <f>IF(OR(INDEX($P$2:$P$1001,MATCH(ROWS($O$2:O176),$O$2:$O$1001,0),1)&gt;=100000,INDEX($V$1005:$AE$1005,1,MATCH(COLUMNS($V$1006:AE1006),$V$1006:$AE$1006,0))&gt;=100000), " ",IF(INDEX($V$2:$AE$1001,MATCH(ROWS($O$2:O176),$O$2:$O$1001,0),MATCH(COLUMNS($V$1006:AE1006),$V$1006:$AE$1006,0)), HYPERLINK("#",""), HYPERLINK(CONCATENATE("#Metadata!", ADDRESS(INDEX($Q$2:$Q$1001,MATCH(ROWS($O$2:O176),$O$2:$O$1001,0),0), INDEX($V$1004:$AE$1004,1,MATCH(COLUMNS($V$1006:AE1006),$V$1006:$AE$1006,0)))),"Fix")))</f>
        <v>0</v>
      </c>
      <c r="O176">
        <v>0</v>
      </c>
      <c r="P176">
        <v>0</v>
      </c>
      <c r="Q176">
        <v>0</v>
      </c>
      <c r="R176">
        <f>IF(S176,TRUE,AND(V176:AE176))</f>
        <v>0</v>
      </c>
      <c r="S176">
        <f>COUNTBLANK(Metadata!B176:K176)=COLUMNS(Metadata!B176:K176)</f>
        <v>0</v>
      </c>
      <c r="T176">
        <v>0</v>
      </c>
      <c r="V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W176">
        <f>AND(IF(Metadata!C176="",FALSE,TRUE),exact(Metadata!C176,"animal secretion"))</f>
        <v>0</v>
      </c>
      <c r="X176">
        <f>AND(IF(Metadata!D176="",FALSE,TRUE),exact(Metadata!D176,"saliva"))</f>
        <v>0</v>
      </c>
      <c r="Y176">
        <f>AND(IF(Metadata!E176="",FALSE,TRUE),exact(Metadata!E176,"human-oral"))</f>
        <v>0</v>
      </c>
      <c r="Z176">
        <f>AND(IF(Metadata!F176="",FALSE,TRUE),exact(Metadata!F176,"UBERON:oral cavity"))</f>
        <v>0</v>
      </c>
      <c r="AA176">
        <f>AND(IF(Metadata!G176="",FALSE,TRUE),exact(Metadata!G176,"UBERON:saliva"))</f>
        <v>0</v>
      </c>
      <c r="AB176">
        <f>AND(IF(Metadata!H176="",FALSE,TRUE),exact(Metadata!H176,"UBERON:tongue"))</f>
        <v>0</v>
      </c>
      <c r="AC176">
        <f>AND(IF(Metadata!I176="",FALSE,TRUE),exact(Metadata!I176,"tongue"))</f>
        <v>0</v>
      </c>
      <c r="AD176">
        <f>AND(IF(Metadata!J176="",FALSE,TRUE),exact(Metadata!J176,"human oral metagenome"))</f>
        <v>0</v>
      </c>
      <c r="AE176">
        <f>AND(IF(Metadata!K176="",FALSE,TRUE),exact(Metadata!K176,"447426"))</f>
        <v>0</v>
      </c>
    </row>
    <row r="177" spans="1:31">
      <c r="A177" s="4">
        <f>IF(B177=" "," ",HYPERLINK(CONCATENATE("#metadata!",ADDRESS(INDEX($Q$2:$Q$1001,MATCH(ROWS($O$2:O177),$O$2:$O$1001,0),0),1)),INDEX($T$2:$T$1001,MATCH(ROWS($O$2:O177),$O$2:$O$1001,0),0)))</f>
        <v>0</v>
      </c>
      <c r="B177" s="3">
        <f>IF(OR(INDEX($P$2:$P$1001,MATCH(ROWS($O$2:O177),$O$2:$O$1001,0),1)&gt;=100000,INDEX($V$1005:$AE$1005,1,MATCH(COLUMNS($V$1006:V1006),$V$1006:$AE$1006,0))&gt;=100000), " ",IF(INDEX($V$2:$AE$1001,MATCH(ROWS($O$2:O177),$O$2:$O$1001,0),MATCH(COLUMNS($V$1006:V1006),$V$1006:$AE$1006,0)), HYPERLINK("#",""), HYPERLINK(CONCATENATE("#Metadata!", ADDRESS(INDEX($Q$2:$Q$1001,MATCH(ROWS($O$2:O177),$O$2:$O$1001,0),0), INDEX($V$1004:$AE$1004,1,MATCH(COLUMNS($V$1006:V1006),$V$1006:$AE$1006,0)))),"Fix")))</f>
        <v>0</v>
      </c>
      <c r="C177" s="3">
        <f>IF(OR(INDEX($P$2:$P$1001,MATCH(ROWS($O$2:O177),$O$2:$O$1001,0),1)&gt;=100000,INDEX($V$1005:$AE$1005,1,MATCH(COLUMNS($V$1006:W1006),$V$1006:$AE$1006,0))&gt;=100000), " ",IF(INDEX($V$2:$AE$1001,MATCH(ROWS($O$2:O177),$O$2:$O$1001,0),MATCH(COLUMNS($V$1006:W1006),$V$1006:$AE$1006,0)), HYPERLINK("#",""), HYPERLINK(CONCATENATE("#Metadata!", ADDRESS(INDEX($Q$2:$Q$1001,MATCH(ROWS($O$2:O177),$O$2:$O$1001,0),0), INDEX($V$1004:$AE$1004,1,MATCH(COLUMNS($V$1006:W1006),$V$1006:$AE$1006,0)))),"Fix")))</f>
        <v>0</v>
      </c>
      <c r="D177" s="3">
        <f>IF(OR(INDEX($P$2:$P$1001,MATCH(ROWS($O$2:O177),$O$2:$O$1001,0),1)&gt;=100000,INDEX($V$1005:$AE$1005,1,MATCH(COLUMNS($V$1006:X1006),$V$1006:$AE$1006,0))&gt;=100000), " ",IF(INDEX($V$2:$AE$1001,MATCH(ROWS($O$2:O177),$O$2:$O$1001,0),MATCH(COLUMNS($V$1006:X1006),$V$1006:$AE$1006,0)), HYPERLINK("#",""), HYPERLINK(CONCATENATE("#Metadata!", ADDRESS(INDEX($Q$2:$Q$1001,MATCH(ROWS($O$2:O177),$O$2:$O$1001,0),0), INDEX($V$1004:$AE$1004,1,MATCH(COLUMNS($V$1006:X1006),$V$1006:$AE$1006,0)))),"Fix")))</f>
        <v>0</v>
      </c>
      <c r="E177" s="3">
        <f>IF(OR(INDEX($P$2:$P$1001,MATCH(ROWS($O$2:O177),$O$2:$O$1001,0),1)&gt;=100000,INDEX($V$1005:$AE$1005,1,MATCH(COLUMNS($V$1006:Y1006),$V$1006:$AE$1006,0))&gt;=100000), " ",IF(INDEX($V$2:$AE$1001,MATCH(ROWS($O$2:O177),$O$2:$O$1001,0),MATCH(COLUMNS($V$1006:Y1006),$V$1006:$AE$1006,0)), HYPERLINK("#",""), HYPERLINK(CONCATENATE("#Metadata!", ADDRESS(INDEX($Q$2:$Q$1001,MATCH(ROWS($O$2:O177),$O$2:$O$1001,0),0), INDEX($V$1004:$AE$1004,1,MATCH(COLUMNS($V$1006:Y1006),$V$1006:$AE$1006,0)))),"Fix")))</f>
        <v>0</v>
      </c>
      <c r="F177" s="3">
        <f>IF(OR(INDEX($P$2:$P$1001,MATCH(ROWS($O$2:O177),$O$2:$O$1001,0),1)&gt;=100000,INDEX($V$1005:$AE$1005,1,MATCH(COLUMNS($V$1006:Z1006),$V$1006:$AE$1006,0))&gt;=100000), " ",IF(INDEX($V$2:$AE$1001,MATCH(ROWS($O$2:O177),$O$2:$O$1001,0),MATCH(COLUMNS($V$1006:Z1006),$V$1006:$AE$1006,0)), HYPERLINK("#",""), HYPERLINK(CONCATENATE("#Metadata!", ADDRESS(INDEX($Q$2:$Q$1001,MATCH(ROWS($O$2:O177),$O$2:$O$1001,0),0), INDEX($V$1004:$AE$1004,1,MATCH(COLUMNS($V$1006:Z1006),$V$1006:$AE$1006,0)))),"Fix")))</f>
        <v>0</v>
      </c>
      <c r="G177" s="3">
        <f>IF(OR(INDEX($P$2:$P$1001,MATCH(ROWS($O$2:O177),$O$2:$O$1001,0),1)&gt;=100000,INDEX($V$1005:$AE$1005,1,MATCH(COLUMNS($V$1006:AA1006),$V$1006:$AE$1006,0))&gt;=100000), " ",IF(INDEX($V$2:$AE$1001,MATCH(ROWS($O$2:O177),$O$2:$O$1001,0),MATCH(COLUMNS($V$1006:AA1006),$V$1006:$AE$1006,0)), HYPERLINK("#",""), HYPERLINK(CONCATENATE("#Metadata!", ADDRESS(INDEX($Q$2:$Q$1001,MATCH(ROWS($O$2:O177),$O$2:$O$1001,0),0), INDEX($V$1004:$AE$1004,1,MATCH(COLUMNS($V$1006:AA1006),$V$1006:$AE$1006,0)))),"Fix")))</f>
        <v>0</v>
      </c>
      <c r="H177" s="3">
        <f>IF(OR(INDEX($P$2:$P$1001,MATCH(ROWS($O$2:O177),$O$2:$O$1001,0),1)&gt;=100000,INDEX($V$1005:$AE$1005,1,MATCH(COLUMNS($V$1006:AB1006),$V$1006:$AE$1006,0))&gt;=100000), " ",IF(INDEX($V$2:$AE$1001,MATCH(ROWS($O$2:O177),$O$2:$O$1001,0),MATCH(COLUMNS($V$1006:AB1006),$V$1006:$AE$1006,0)), HYPERLINK("#",""), HYPERLINK(CONCATENATE("#Metadata!", ADDRESS(INDEX($Q$2:$Q$1001,MATCH(ROWS($O$2:O177),$O$2:$O$1001,0),0), INDEX($V$1004:$AE$1004,1,MATCH(COLUMNS($V$1006:AB1006),$V$1006:$AE$1006,0)))),"Fix")))</f>
        <v>0</v>
      </c>
      <c r="I177" s="3">
        <f>IF(OR(INDEX($P$2:$P$1001,MATCH(ROWS($O$2:O177),$O$2:$O$1001,0),1)&gt;=100000,INDEX($V$1005:$AE$1005,1,MATCH(COLUMNS($V$1006:AC1006),$V$1006:$AE$1006,0))&gt;=100000), " ",IF(INDEX($V$2:$AE$1001,MATCH(ROWS($O$2:O177),$O$2:$O$1001,0),MATCH(COLUMNS($V$1006:AC1006),$V$1006:$AE$1006,0)), HYPERLINK("#",""), HYPERLINK(CONCATENATE("#Metadata!", ADDRESS(INDEX($Q$2:$Q$1001,MATCH(ROWS($O$2:O177),$O$2:$O$1001,0),0), INDEX($V$1004:$AE$1004,1,MATCH(COLUMNS($V$1006:AC1006),$V$1006:$AE$1006,0)))),"Fix")))</f>
        <v>0</v>
      </c>
      <c r="J177" s="3">
        <f>IF(OR(INDEX($P$2:$P$1001,MATCH(ROWS($O$2:O177),$O$2:$O$1001,0),1)&gt;=100000,INDEX($V$1005:$AE$1005,1,MATCH(COLUMNS($V$1006:AD1006),$V$1006:$AE$1006,0))&gt;=100000), " ",IF(INDEX($V$2:$AE$1001,MATCH(ROWS($O$2:O177),$O$2:$O$1001,0),MATCH(COLUMNS($V$1006:AD1006),$V$1006:$AE$1006,0)), HYPERLINK("#",""), HYPERLINK(CONCATENATE("#Metadata!", ADDRESS(INDEX($Q$2:$Q$1001,MATCH(ROWS($O$2:O177),$O$2:$O$1001,0),0), INDEX($V$1004:$AE$1004,1,MATCH(COLUMNS($V$1006:AD1006),$V$1006:$AE$1006,0)))),"Fix")))</f>
        <v>0</v>
      </c>
      <c r="K177" s="3">
        <f>IF(OR(INDEX($P$2:$P$1001,MATCH(ROWS($O$2:O177),$O$2:$O$1001,0),1)&gt;=100000,INDEX($V$1005:$AE$1005,1,MATCH(COLUMNS($V$1006:AE1006),$V$1006:$AE$1006,0))&gt;=100000), " ",IF(INDEX($V$2:$AE$1001,MATCH(ROWS($O$2:O177),$O$2:$O$1001,0),MATCH(COLUMNS($V$1006:AE1006),$V$1006:$AE$1006,0)), HYPERLINK("#",""), HYPERLINK(CONCATENATE("#Metadata!", ADDRESS(INDEX($Q$2:$Q$1001,MATCH(ROWS($O$2:O177),$O$2:$O$1001,0),0), INDEX($V$1004:$AE$1004,1,MATCH(COLUMNS($V$1006:AE1006),$V$1006:$AE$1006,0)))),"Fix")))</f>
        <v>0</v>
      </c>
      <c r="O177">
        <v>0</v>
      </c>
      <c r="P177">
        <v>0</v>
      </c>
      <c r="Q177">
        <v>0</v>
      </c>
      <c r="R177">
        <f>IF(S177,TRUE,AND(V177:AE177))</f>
        <v>0</v>
      </c>
      <c r="S177">
        <f>COUNTBLANK(Metadata!B177:K177)=COLUMNS(Metadata!B177:K177)</f>
        <v>0</v>
      </c>
      <c r="T177">
        <v>0</v>
      </c>
      <c r="V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W177">
        <f>AND(IF(Metadata!C177="",FALSE,TRUE),exact(Metadata!C177,"animal secretion"))</f>
        <v>0</v>
      </c>
      <c r="X177">
        <f>AND(IF(Metadata!D177="",FALSE,TRUE),exact(Metadata!D177,"saliva"))</f>
        <v>0</v>
      </c>
      <c r="Y177">
        <f>AND(IF(Metadata!E177="",FALSE,TRUE),exact(Metadata!E177,"human-oral"))</f>
        <v>0</v>
      </c>
      <c r="Z177">
        <f>AND(IF(Metadata!F177="",FALSE,TRUE),exact(Metadata!F177,"UBERON:oral cavity"))</f>
        <v>0</v>
      </c>
      <c r="AA177">
        <f>AND(IF(Metadata!G177="",FALSE,TRUE),exact(Metadata!G177,"UBERON:saliva"))</f>
        <v>0</v>
      </c>
      <c r="AB177">
        <f>AND(IF(Metadata!H177="",FALSE,TRUE),exact(Metadata!H177,"UBERON:tongue"))</f>
        <v>0</v>
      </c>
      <c r="AC177">
        <f>AND(IF(Metadata!I177="",FALSE,TRUE),exact(Metadata!I177,"tongue"))</f>
        <v>0</v>
      </c>
      <c r="AD177">
        <f>AND(IF(Metadata!J177="",FALSE,TRUE),exact(Metadata!J177,"human oral metagenome"))</f>
        <v>0</v>
      </c>
      <c r="AE177">
        <f>AND(IF(Metadata!K177="",FALSE,TRUE),exact(Metadata!K177,"447426"))</f>
        <v>0</v>
      </c>
    </row>
    <row r="178" spans="1:31">
      <c r="A178" s="4">
        <f>IF(B178=" "," ",HYPERLINK(CONCATENATE("#metadata!",ADDRESS(INDEX($Q$2:$Q$1001,MATCH(ROWS($O$2:O178),$O$2:$O$1001,0),0),1)),INDEX($T$2:$T$1001,MATCH(ROWS($O$2:O178),$O$2:$O$1001,0),0)))</f>
        <v>0</v>
      </c>
      <c r="B178" s="3">
        <f>IF(OR(INDEX($P$2:$P$1001,MATCH(ROWS($O$2:O178),$O$2:$O$1001,0),1)&gt;=100000,INDEX($V$1005:$AE$1005,1,MATCH(COLUMNS($V$1006:V1006),$V$1006:$AE$1006,0))&gt;=100000), " ",IF(INDEX($V$2:$AE$1001,MATCH(ROWS($O$2:O178),$O$2:$O$1001,0),MATCH(COLUMNS($V$1006:V1006),$V$1006:$AE$1006,0)), HYPERLINK("#",""), HYPERLINK(CONCATENATE("#Metadata!", ADDRESS(INDEX($Q$2:$Q$1001,MATCH(ROWS($O$2:O178),$O$2:$O$1001,0),0), INDEX($V$1004:$AE$1004,1,MATCH(COLUMNS($V$1006:V1006),$V$1006:$AE$1006,0)))),"Fix")))</f>
        <v>0</v>
      </c>
      <c r="C178" s="3">
        <f>IF(OR(INDEX($P$2:$P$1001,MATCH(ROWS($O$2:O178),$O$2:$O$1001,0),1)&gt;=100000,INDEX($V$1005:$AE$1005,1,MATCH(COLUMNS($V$1006:W1006),$V$1006:$AE$1006,0))&gt;=100000), " ",IF(INDEX($V$2:$AE$1001,MATCH(ROWS($O$2:O178),$O$2:$O$1001,0),MATCH(COLUMNS($V$1006:W1006),$V$1006:$AE$1006,0)), HYPERLINK("#",""), HYPERLINK(CONCATENATE("#Metadata!", ADDRESS(INDEX($Q$2:$Q$1001,MATCH(ROWS($O$2:O178),$O$2:$O$1001,0),0), INDEX($V$1004:$AE$1004,1,MATCH(COLUMNS($V$1006:W1006),$V$1006:$AE$1006,0)))),"Fix")))</f>
        <v>0</v>
      </c>
      <c r="D178" s="3">
        <f>IF(OR(INDEX($P$2:$P$1001,MATCH(ROWS($O$2:O178),$O$2:$O$1001,0),1)&gt;=100000,INDEX($V$1005:$AE$1005,1,MATCH(COLUMNS($V$1006:X1006),$V$1006:$AE$1006,0))&gt;=100000), " ",IF(INDEX($V$2:$AE$1001,MATCH(ROWS($O$2:O178),$O$2:$O$1001,0),MATCH(COLUMNS($V$1006:X1006),$V$1006:$AE$1006,0)), HYPERLINK("#",""), HYPERLINK(CONCATENATE("#Metadata!", ADDRESS(INDEX($Q$2:$Q$1001,MATCH(ROWS($O$2:O178),$O$2:$O$1001,0),0), INDEX($V$1004:$AE$1004,1,MATCH(COLUMNS($V$1006:X1006),$V$1006:$AE$1006,0)))),"Fix")))</f>
        <v>0</v>
      </c>
      <c r="E178" s="3">
        <f>IF(OR(INDEX($P$2:$P$1001,MATCH(ROWS($O$2:O178),$O$2:$O$1001,0),1)&gt;=100000,INDEX($V$1005:$AE$1005,1,MATCH(COLUMNS($V$1006:Y1006),$V$1006:$AE$1006,0))&gt;=100000), " ",IF(INDEX($V$2:$AE$1001,MATCH(ROWS($O$2:O178),$O$2:$O$1001,0),MATCH(COLUMNS($V$1006:Y1006),$V$1006:$AE$1006,0)), HYPERLINK("#",""), HYPERLINK(CONCATENATE("#Metadata!", ADDRESS(INDEX($Q$2:$Q$1001,MATCH(ROWS($O$2:O178),$O$2:$O$1001,0),0), INDEX($V$1004:$AE$1004,1,MATCH(COLUMNS($V$1006:Y1006),$V$1006:$AE$1006,0)))),"Fix")))</f>
        <v>0</v>
      </c>
      <c r="F178" s="3">
        <f>IF(OR(INDEX($P$2:$P$1001,MATCH(ROWS($O$2:O178),$O$2:$O$1001,0),1)&gt;=100000,INDEX($V$1005:$AE$1005,1,MATCH(COLUMNS($V$1006:Z1006),$V$1006:$AE$1006,0))&gt;=100000), " ",IF(INDEX($V$2:$AE$1001,MATCH(ROWS($O$2:O178),$O$2:$O$1001,0),MATCH(COLUMNS($V$1006:Z1006),$V$1006:$AE$1006,0)), HYPERLINK("#",""), HYPERLINK(CONCATENATE("#Metadata!", ADDRESS(INDEX($Q$2:$Q$1001,MATCH(ROWS($O$2:O178),$O$2:$O$1001,0),0), INDEX($V$1004:$AE$1004,1,MATCH(COLUMNS($V$1006:Z1006),$V$1006:$AE$1006,0)))),"Fix")))</f>
        <v>0</v>
      </c>
      <c r="G178" s="3">
        <f>IF(OR(INDEX($P$2:$P$1001,MATCH(ROWS($O$2:O178),$O$2:$O$1001,0),1)&gt;=100000,INDEX($V$1005:$AE$1005,1,MATCH(COLUMNS($V$1006:AA1006),$V$1006:$AE$1006,0))&gt;=100000), " ",IF(INDEX($V$2:$AE$1001,MATCH(ROWS($O$2:O178),$O$2:$O$1001,0),MATCH(COLUMNS($V$1006:AA1006),$V$1006:$AE$1006,0)), HYPERLINK("#",""), HYPERLINK(CONCATENATE("#Metadata!", ADDRESS(INDEX($Q$2:$Q$1001,MATCH(ROWS($O$2:O178),$O$2:$O$1001,0),0), INDEX($V$1004:$AE$1004,1,MATCH(COLUMNS($V$1006:AA1006),$V$1006:$AE$1006,0)))),"Fix")))</f>
        <v>0</v>
      </c>
      <c r="H178" s="3">
        <f>IF(OR(INDEX($P$2:$P$1001,MATCH(ROWS($O$2:O178),$O$2:$O$1001,0),1)&gt;=100000,INDEX($V$1005:$AE$1005,1,MATCH(COLUMNS($V$1006:AB1006),$V$1006:$AE$1006,0))&gt;=100000), " ",IF(INDEX($V$2:$AE$1001,MATCH(ROWS($O$2:O178),$O$2:$O$1001,0),MATCH(COLUMNS($V$1006:AB1006),$V$1006:$AE$1006,0)), HYPERLINK("#",""), HYPERLINK(CONCATENATE("#Metadata!", ADDRESS(INDEX($Q$2:$Q$1001,MATCH(ROWS($O$2:O178),$O$2:$O$1001,0),0), INDEX($V$1004:$AE$1004,1,MATCH(COLUMNS($V$1006:AB1006),$V$1006:$AE$1006,0)))),"Fix")))</f>
        <v>0</v>
      </c>
      <c r="I178" s="3">
        <f>IF(OR(INDEX($P$2:$P$1001,MATCH(ROWS($O$2:O178),$O$2:$O$1001,0),1)&gt;=100000,INDEX($V$1005:$AE$1005,1,MATCH(COLUMNS($V$1006:AC1006),$V$1006:$AE$1006,0))&gt;=100000), " ",IF(INDEX($V$2:$AE$1001,MATCH(ROWS($O$2:O178),$O$2:$O$1001,0),MATCH(COLUMNS($V$1006:AC1006),$V$1006:$AE$1006,0)), HYPERLINK("#",""), HYPERLINK(CONCATENATE("#Metadata!", ADDRESS(INDEX($Q$2:$Q$1001,MATCH(ROWS($O$2:O178),$O$2:$O$1001,0),0), INDEX($V$1004:$AE$1004,1,MATCH(COLUMNS($V$1006:AC1006),$V$1006:$AE$1006,0)))),"Fix")))</f>
        <v>0</v>
      </c>
      <c r="J178" s="3">
        <f>IF(OR(INDEX($P$2:$P$1001,MATCH(ROWS($O$2:O178),$O$2:$O$1001,0),1)&gt;=100000,INDEX($V$1005:$AE$1005,1,MATCH(COLUMNS($V$1006:AD1006),$V$1006:$AE$1006,0))&gt;=100000), " ",IF(INDEX($V$2:$AE$1001,MATCH(ROWS($O$2:O178),$O$2:$O$1001,0),MATCH(COLUMNS($V$1006:AD1006),$V$1006:$AE$1006,0)), HYPERLINK("#",""), HYPERLINK(CONCATENATE("#Metadata!", ADDRESS(INDEX($Q$2:$Q$1001,MATCH(ROWS($O$2:O178),$O$2:$O$1001,0),0), INDEX($V$1004:$AE$1004,1,MATCH(COLUMNS($V$1006:AD1006),$V$1006:$AE$1006,0)))),"Fix")))</f>
        <v>0</v>
      </c>
      <c r="K178" s="3">
        <f>IF(OR(INDEX($P$2:$P$1001,MATCH(ROWS($O$2:O178),$O$2:$O$1001,0),1)&gt;=100000,INDEX($V$1005:$AE$1005,1,MATCH(COLUMNS($V$1006:AE1006),$V$1006:$AE$1006,0))&gt;=100000), " ",IF(INDEX($V$2:$AE$1001,MATCH(ROWS($O$2:O178),$O$2:$O$1001,0),MATCH(COLUMNS($V$1006:AE1006),$V$1006:$AE$1006,0)), HYPERLINK("#",""), HYPERLINK(CONCATENATE("#Metadata!", ADDRESS(INDEX($Q$2:$Q$1001,MATCH(ROWS($O$2:O178),$O$2:$O$1001,0),0), INDEX($V$1004:$AE$1004,1,MATCH(COLUMNS($V$1006:AE1006),$V$1006:$AE$1006,0)))),"Fix")))</f>
        <v>0</v>
      </c>
      <c r="O178">
        <v>0</v>
      </c>
      <c r="P178">
        <v>0</v>
      </c>
      <c r="Q178">
        <v>0</v>
      </c>
      <c r="R178">
        <f>IF(S178,TRUE,AND(V178:AE178))</f>
        <v>0</v>
      </c>
      <c r="S178">
        <f>COUNTBLANK(Metadata!B178:K178)=COLUMNS(Metadata!B178:K178)</f>
        <v>0</v>
      </c>
      <c r="T178">
        <v>0</v>
      </c>
      <c r="V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W178">
        <f>AND(IF(Metadata!C178="",FALSE,TRUE),exact(Metadata!C178,"animal secretion"))</f>
        <v>0</v>
      </c>
      <c r="X178">
        <f>AND(IF(Metadata!D178="",FALSE,TRUE),exact(Metadata!D178,"saliva"))</f>
        <v>0</v>
      </c>
      <c r="Y178">
        <f>AND(IF(Metadata!E178="",FALSE,TRUE),exact(Metadata!E178,"human-oral"))</f>
        <v>0</v>
      </c>
      <c r="Z178">
        <f>AND(IF(Metadata!F178="",FALSE,TRUE),exact(Metadata!F178,"UBERON:oral cavity"))</f>
        <v>0</v>
      </c>
      <c r="AA178">
        <f>AND(IF(Metadata!G178="",FALSE,TRUE),exact(Metadata!G178,"UBERON:saliva"))</f>
        <v>0</v>
      </c>
      <c r="AB178">
        <f>AND(IF(Metadata!H178="",FALSE,TRUE),exact(Metadata!H178,"UBERON:tongue"))</f>
        <v>0</v>
      </c>
      <c r="AC178">
        <f>AND(IF(Metadata!I178="",FALSE,TRUE),exact(Metadata!I178,"tongue"))</f>
        <v>0</v>
      </c>
      <c r="AD178">
        <f>AND(IF(Metadata!J178="",FALSE,TRUE),exact(Metadata!J178,"human oral metagenome"))</f>
        <v>0</v>
      </c>
      <c r="AE178">
        <f>AND(IF(Metadata!K178="",FALSE,TRUE),exact(Metadata!K178,"447426"))</f>
        <v>0</v>
      </c>
    </row>
    <row r="179" spans="1:31">
      <c r="A179" s="4">
        <f>IF(B179=" "," ",HYPERLINK(CONCATENATE("#metadata!",ADDRESS(INDEX($Q$2:$Q$1001,MATCH(ROWS($O$2:O179),$O$2:$O$1001,0),0),1)),INDEX($T$2:$T$1001,MATCH(ROWS($O$2:O179),$O$2:$O$1001,0),0)))</f>
        <v>0</v>
      </c>
      <c r="B179" s="3">
        <f>IF(OR(INDEX($P$2:$P$1001,MATCH(ROWS($O$2:O179),$O$2:$O$1001,0),1)&gt;=100000,INDEX($V$1005:$AE$1005,1,MATCH(COLUMNS($V$1006:V1006),$V$1006:$AE$1006,0))&gt;=100000), " ",IF(INDEX($V$2:$AE$1001,MATCH(ROWS($O$2:O179),$O$2:$O$1001,0),MATCH(COLUMNS($V$1006:V1006),$V$1006:$AE$1006,0)), HYPERLINK("#",""), HYPERLINK(CONCATENATE("#Metadata!", ADDRESS(INDEX($Q$2:$Q$1001,MATCH(ROWS($O$2:O179),$O$2:$O$1001,0),0), INDEX($V$1004:$AE$1004,1,MATCH(COLUMNS($V$1006:V1006),$V$1006:$AE$1006,0)))),"Fix")))</f>
        <v>0</v>
      </c>
      <c r="C179" s="3">
        <f>IF(OR(INDEX($P$2:$P$1001,MATCH(ROWS($O$2:O179),$O$2:$O$1001,0),1)&gt;=100000,INDEX($V$1005:$AE$1005,1,MATCH(COLUMNS($V$1006:W1006),$V$1006:$AE$1006,0))&gt;=100000), " ",IF(INDEX($V$2:$AE$1001,MATCH(ROWS($O$2:O179),$O$2:$O$1001,0),MATCH(COLUMNS($V$1006:W1006),$V$1006:$AE$1006,0)), HYPERLINK("#",""), HYPERLINK(CONCATENATE("#Metadata!", ADDRESS(INDEX($Q$2:$Q$1001,MATCH(ROWS($O$2:O179),$O$2:$O$1001,0),0), INDEX($V$1004:$AE$1004,1,MATCH(COLUMNS($V$1006:W1006),$V$1006:$AE$1006,0)))),"Fix")))</f>
        <v>0</v>
      </c>
      <c r="D179" s="3">
        <f>IF(OR(INDEX($P$2:$P$1001,MATCH(ROWS($O$2:O179),$O$2:$O$1001,0),1)&gt;=100000,INDEX($V$1005:$AE$1005,1,MATCH(COLUMNS($V$1006:X1006),$V$1006:$AE$1006,0))&gt;=100000), " ",IF(INDEX($V$2:$AE$1001,MATCH(ROWS($O$2:O179),$O$2:$O$1001,0),MATCH(COLUMNS($V$1006:X1006),$V$1006:$AE$1006,0)), HYPERLINK("#",""), HYPERLINK(CONCATENATE("#Metadata!", ADDRESS(INDEX($Q$2:$Q$1001,MATCH(ROWS($O$2:O179),$O$2:$O$1001,0),0), INDEX($V$1004:$AE$1004,1,MATCH(COLUMNS($V$1006:X1006),$V$1006:$AE$1006,0)))),"Fix")))</f>
        <v>0</v>
      </c>
      <c r="E179" s="3">
        <f>IF(OR(INDEX($P$2:$P$1001,MATCH(ROWS($O$2:O179),$O$2:$O$1001,0),1)&gt;=100000,INDEX($V$1005:$AE$1005,1,MATCH(COLUMNS($V$1006:Y1006),$V$1006:$AE$1006,0))&gt;=100000), " ",IF(INDEX($V$2:$AE$1001,MATCH(ROWS($O$2:O179),$O$2:$O$1001,0),MATCH(COLUMNS($V$1006:Y1006),$V$1006:$AE$1006,0)), HYPERLINK("#",""), HYPERLINK(CONCATENATE("#Metadata!", ADDRESS(INDEX($Q$2:$Q$1001,MATCH(ROWS($O$2:O179),$O$2:$O$1001,0),0), INDEX($V$1004:$AE$1004,1,MATCH(COLUMNS($V$1006:Y1006),$V$1006:$AE$1006,0)))),"Fix")))</f>
        <v>0</v>
      </c>
      <c r="F179" s="3">
        <f>IF(OR(INDEX($P$2:$P$1001,MATCH(ROWS($O$2:O179),$O$2:$O$1001,0),1)&gt;=100000,INDEX($V$1005:$AE$1005,1,MATCH(COLUMNS($V$1006:Z1006),$V$1006:$AE$1006,0))&gt;=100000), " ",IF(INDEX($V$2:$AE$1001,MATCH(ROWS($O$2:O179),$O$2:$O$1001,0),MATCH(COLUMNS($V$1006:Z1006),$V$1006:$AE$1006,0)), HYPERLINK("#",""), HYPERLINK(CONCATENATE("#Metadata!", ADDRESS(INDEX($Q$2:$Q$1001,MATCH(ROWS($O$2:O179),$O$2:$O$1001,0),0), INDEX($V$1004:$AE$1004,1,MATCH(COLUMNS($V$1006:Z1006),$V$1006:$AE$1006,0)))),"Fix")))</f>
        <v>0</v>
      </c>
      <c r="G179" s="3">
        <f>IF(OR(INDEX($P$2:$P$1001,MATCH(ROWS($O$2:O179),$O$2:$O$1001,0),1)&gt;=100000,INDEX($V$1005:$AE$1005,1,MATCH(COLUMNS($V$1006:AA1006),$V$1006:$AE$1006,0))&gt;=100000), " ",IF(INDEX($V$2:$AE$1001,MATCH(ROWS($O$2:O179),$O$2:$O$1001,0),MATCH(COLUMNS($V$1006:AA1006),$V$1006:$AE$1006,0)), HYPERLINK("#",""), HYPERLINK(CONCATENATE("#Metadata!", ADDRESS(INDEX($Q$2:$Q$1001,MATCH(ROWS($O$2:O179),$O$2:$O$1001,0),0), INDEX($V$1004:$AE$1004,1,MATCH(COLUMNS($V$1006:AA1006),$V$1006:$AE$1006,0)))),"Fix")))</f>
        <v>0</v>
      </c>
      <c r="H179" s="3">
        <f>IF(OR(INDEX($P$2:$P$1001,MATCH(ROWS($O$2:O179),$O$2:$O$1001,0),1)&gt;=100000,INDEX($V$1005:$AE$1005,1,MATCH(COLUMNS($V$1006:AB1006),$V$1006:$AE$1006,0))&gt;=100000), " ",IF(INDEX($V$2:$AE$1001,MATCH(ROWS($O$2:O179),$O$2:$O$1001,0),MATCH(COLUMNS($V$1006:AB1006),$V$1006:$AE$1006,0)), HYPERLINK("#",""), HYPERLINK(CONCATENATE("#Metadata!", ADDRESS(INDEX($Q$2:$Q$1001,MATCH(ROWS($O$2:O179),$O$2:$O$1001,0),0), INDEX($V$1004:$AE$1004,1,MATCH(COLUMNS($V$1006:AB1006),$V$1006:$AE$1006,0)))),"Fix")))</f>
        <v>0</v>
      </c>
      <c r="I179" s="3">
        <f>IF(OR(INDEX($P$2:$P$1001,MATCH(ROWS($O$2:O179),$O$2:$O$1001,0),1)&gt;=100000,INDEX($V$1005:$AE$1005,1,MATCH(COLUMNS($V$1006:AC1006),$V$1006:$AE$1006,0))&gt;=100000), " ",IF(INDEX($V$2:$AE$1001,MATCH(ROWS($O$2:O179),$O$2:$O$1001,0),MATCH(COLUMNS($V$1006:AC1006),$V$1006:$AE$1006,0)), HYPERLINK("#",""), HYPERLINK(CONCATENATE("#Metadata!", ADDRESS(INDEX($Q$2:$Q$1001,MATCH(ROWS($O$2:O179),$O$2:$O$1001,0),0), INDEX($V$1004:$AE$1004,1,MATCH(COLUMNS($V$1006:AC1006),$V$1006:$AE$1006,0)))),"Fix")))</f>
        <v>0</v>
      </c>
      <c r="J179" s="3">
        <f>IF(OR(INDEX($P$2:$P$1001,MATCH(ROWS($O$2:O179),$O$2:$O$1001,0),1)&gt;=100000,INDEX($V$1005:$AE$1005,1,MATCH(COLUMNS($V$1006:AD1006),$V$1006:$AE$1006,0))&gt;=100000), " ",IF(INDEX($V$2:$AE$1001,MATCH(ROWS($O$2:O179),$O$2:$O$1001,0),MATCH(COLUMNS($V$1006:AD1006),$V$1006:$AE$1006,0)), HYPERLINK("#",""), HYPERLINK(CONCATENATE("#Metadata!", ADDRESS(INDEX($Q$2:$Q$1001,MATCH(ROWS($O$2:O179),$O$2:$O$1001,0),0), INDEX($V$1004:$AE$1004,1,MATCH(COLUMNS($V$1006:AD1006),$V$1006:$AE$1006,0)))),"Fix")))</f>
        <v>0</v>
      </c>
      <c r="K179" s="3">
        <f>IF(OR(INDEX($P$2:$P$1001,MATCH(ROWS($O$2:O179),$O$2:$O$1001,0),1)&gt;=100000,INDEX($V$1005:$AE$1005,1,MATCH(COLUMNS($V$1006:AE1006),$V$1006:$AE$1006,0))&gt;=100000), " ",IF(INDEX($V$2:$AE$1001,MATCH(ROWS($O$2:O179),$O$2:$O$1001,0),MATCH(COLUMNS($V$1006:AE1006),$V$1006:$AE$1006,0)), HYPERLINK("#",""), HYPERLINK(CONCATENATE("#Metadata!", ADDRESS(INDEX($Q$2:$Q$1001,MATCH(ROWS($O$2:O179),$O$2:$O$1001,0),0), INDEX($V$1004:$AE$1004,1,MATCH(COLUMNS($V$1006:AE1006),$V$1006:$AE$1006,0)))),"Fix")))</f>
        <v>0</v>
      </c>
      <c r="O179">
        <v>0</v>
      </c>
      <c r="P179">
        <v>0</v>
      </c>
      <c r="Q179">
        <v>0</v>
      </c>
      <c r="R179">
        <f>IF(S179,TRUE,AND(V179:AE179))</f>
        <v>0</v>
      </c>
      <c r="S179">
        <f>COUNTBLANK(Metadata!B179:K179)=COLUMNS(Metadata!B179:K179)</f>
        <v>0</v>
      </c>
      <c r="T179">
        <v>0</v>
      </c>
      <c r="V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W179">
        <f>AND(IF(Metadata!C179="",FALSE,TRUE),exact(Metadata!C179,"animal secretion"))</f>
        <v>0</v>
      </c>
      <c r="X179">
        <f>AND(IF(Metadata!D179="",FALSE,TRUE),exact(Metadata!D179,"saliva"))</f>
        <v>0</v>
      </c>
      <c r="Y179">
        <f>AND(IF(Metadata!E179="",FALSE,TRUE),exact(Metadata!E179,"human-oral"))</f>
        <v>0</v>
      </c>
      <c r="Z179">
        <f>AND(IF(Metadata!F179="",FALSE,TRUE),exact(Metadata!F179,"UBERON:oral cavity"))</f>
        <v>0</v>
      </c>
      <c r="AA179">
        <f>AND(IF(Metadata!G179="",FALSE,TRUE),exact(Metadata!G179,"UBERON:saliva"))</f>
        <v>0</v>
      </c>
      <c r="AB179">
        <f>AND(IF(Metadata!H179="",FALSE,TRUE),exact(Metadata!H179,"UBERON:tongue"))</f>
        <v>0</v>
      </c>
      <c r="AC179">
        <f>AND(IF(Metadata!I179="",FALSE,TRUE),exact(Metadata!I179,"tongue"))</f>
        <v>0</v>
      </c>
      <c r="AD179">
        <f>AND(IF(Metadata!J179="",FALSE,TRUE),exact(Metadata!J179,"human oral metagenome"))</f>
        <v>0</v>
      </c>
      <c r="AE179">
        <f>AND(IF(Metadata!K179="",FALSE,TRUE),exact(Metadata!K179,"447426"))</f>
        <v>0</v>
      </c>
    </row>
    <row r="180" spans="1:31">
      <c r="A180" s="4">
        <f>IF(B180=" "," ",HYPERLINK(CONCATENATE("#metadata!",ADDRESS(INDEX($Q$2:$Q$1001,MATCH(ROWS($O$2:O180),$O$2:$O$1001,0),0),1)),INDEX($T$2:$T$1001,MATCH(ROWS($O$2:O180),$O$2:$O$1001,0),0)))</f>
        <v>0</v>
      </c>
      <c r="B180" s="3">
        <f>IF(OR(INDEX($P$2:$P$1001,MATCH(ROWS($O$2:O180),$O$2:$O$1001,0),1)&gt;=100000,INDEX($V$1005:$AE$1005,1,MATCH(COLUMNS($V$1006:V1006),$V$1006:$AE$1006,0))&gt;=100000), " ",IF(INDEX($V$2:$AE$1001,MATCH(ROWS($O$2:O180),$O$2:$O$1001,0),MATCH(COLUMNS($V$1006:V1006),$V$1006:$AE$1006,0)), HYPERLINK("#",""), HYPERLINK(CONCATENATE("#Metadata!", ADDRESS(INDEX($Q$2:$Q$1001,MATCH(ROWS($O$2:O180),$O$2:$O$1001,0),0), INDEX($V$1004:$AE$1004,1,MATCH(COLUMNS($V$1006:V1006),$V$1006:$AE$1006,0)))),"Fix")))</f>
        <v>0</v>
      </c>
      <c r="C180" s="3">
        <f>IF(OR(INDEX($P$2:$P$1001,MATCH(ROWS($O$2:O180),$O$2:$O$1001,0),1)&gt;=100000,INDEX($V$1005:$AE$1005,1,MATCH(COLUMNS($V$1006:W1006),$V$1006:$AE$1006,0))&gt;=100000), " ",IF(INDEX($V$2:$AE$1001,MATCH(ROWS($O$2:O180),$O$2:$O$1001,0),MATCH(COLUMNS($V$1006:W1006),$V$1006:$AE$1006,0)), HYPERLINK("#",""), HYPERLINK(CONCATENATE("#Metadata!", ADDRESS(INDEX($Q$2:$Q$1001,MATCH(ROWS($O$2:O180),$O$2:$O$1001,0),0), INDEX($V$1004:$AE$1004,1,MATCH(COLUMNS($V$1006:W1006),$V$1006:$AE$1006,0)))),"Fix")))</f>
        <v>0</v>
      </c>
      <c r="D180" s="3">
        <f>IF(OR(INDEX($P$2:$P$1001,MATCH(ROWS($O$2:O180),$O$2:$O$1001,0),1)&gt;=100000,INDEX($V$1005:$AE$1005,1,MATCH(COLUMNS($V$1006:X1006),$V$1006:$AE$1006,0))&gt;=100000), " ",IF(INDEX($V$2:$AE$1001,MATCH(ROWS($O$2:O180),$O$2:$O$1001,0),MATCH(COLUMNS($V$1006:X1006),$V$1006:$AE$1006,0)), HYPERLINK("#",""), HYPERLINK(CONCATENATE("#Metadata!", ADDRESS(INDEX($Q$2:$Q$1001,MATCH(ROWS($O$2:O180),$O$2:$O$1001,0),0), INDEX($V$1004:$AE$1004,1,MATCH(COLUMNS($V$1006:X1006),$V$1006:$AE$1006,0)))),"Fix")))</f>
        <v>0</v>
      </c>
      <c r="E180" s="3">
        <f>IF(OR(INDEX($P$2:$P$1001,MATCH(ROWS($O$2:O180),$O$2:$O$1001,0),1)&gt;=100000,INDEX($V$1005:$AE$1005,1,MATCH(COLUMNS($V$1006:Y1006),$V$1006:$AE$1006,0))&gt;=100000), " ",IF(INDEX($V$2:$AE$1001,MATCH(ROWS($O$2:O180),$O$2:$O$1001,0),MATCH(COLUMNS($V$1006:Y1006),$V$1006:$AE$1006,0)), HYPERLINK("#",""), HYPERLINK(CONCATENATE("#Metadata!", ADDRESS(INDEX($Q$2:$Q$1001,MATCH(ROWS($O$2:O180),$O$2:$O$1001,0),0), INDEX($V$1004:$AE$1004,1,MATCH(COLUMNS($V$1006:Y1006),$V$1006:$AE$1006,0)))),"Fix")))</f>
        <v>0</v>
      </c>
      <c r="F180" s="3">
        <f>IF(OR(INDEX($P$2:$P$1001,MATCH(ROWS($O$2:O180),$O$2:$O$1001,0),1)&gt;=100000,INDEX($V$1005:$AE$1005,1,MATCH(COLUMNS($V$1006:Z1006),$V$1006:$AE$1006,0))&gt;=100000), " ",IF(INDEX($V$2:$AE$1001,MATCH(ROWS($O$2:O180),$O$2:$O$1001,0),MATCH(COLUMNS($V$1006:Z1006),$V$1006:$AE$1006,0)), HYPERLINK("#",""), HYPERLINK(CONCATENATE("#Metadata!", ADDRESS(INDEX($Q$2:$Q$1001,MATCH(ROWS($O$2:O180),$O$2:$O$1001,0),0), INDEX($V$1004:$AE$1004,1,MATCH(COLUMNS($V$1006:Z1006),$V$1006:$AE$1006,0)))),"Fix")))</f>
        <v>0</v>
      </c>
      <c r="G180" s="3">
        <f>IF(OR(INDEX($P$2:$P$1001,MATCH(ROWS($O$2:O180),$O$2:$O$1001,0),1)&gt;=100000,INDEX($V$1005:$AE$1005,1,MATCH(COLUMNS($V$1006:AA1006),$V$1006:$AE$1006,0))&gt;=100000), " ",IF(INDEX($V$2:$AE$1001,MATCH(ROWS($O$2:O180),$O$2:$O$1001,0),MATCH(COLUMNS($V$1006:AA1006),$V$1006:$AE$1006,0)), HYPERLINK("#",""), HYPERLINK(CONCATENATE("#Metadata!", ADDRESS(INDEX($Q$2:$Q$1001,MATCH(ROWS($O$2:O180),$O$2:$O$1001,0),0), INDEX($V$1004:$AE$1004,1,MATCH(COLUMNS($V$1006:AA1006),$V$1006:$AE$1006,0)))),"Fix")))</f>
        <v>0</v>
      </c>
      <c r="H180" s="3">
        <f>IF(OR(INDEX($P$2:$P$1001,MATCH(ROWS($O$2:O180),$O$2:$O$1001,0),1)&gt;=100000,INDEX($V$1005:$AE$1005,1,MATCH(COLUMNS($V$1006:AB1006),$V$1006:$AE$1006,0))&gt;=100000), " ",IF(INDEX($V$2:$AE$1001,MATCH(ROWS($O$2:O180),$O$2:$O$1001,0),MATCH(COLUMNS($V$1006:AB1006),$V$1006:$AE$1006,0)), HYPERLINK("#",""), HYPERLINK(CONCATENATE("#Metadata!", ADDRESS(INDEX($Q$2:$Q$1001,MATCH(ROWS($O$2:O180),$O$2:$O$1001,0),0), INDEX($V$1004:$AE$1004,1,MATCH(COLUMNS($V$1006:AB1006),$V$1006:$AE$1006,0)))),"Fix")))</f>
        <v>0</v>
      </c>
      <c r="I180" s="3">
        <f>IF(OR(INDEX($P$2:$P$1001,MATCH(ROWS($O$2:O180),$O$2:$O$1001,0),1)&gt;=100000,INDEX($V$1005:$AE$1005,1,MATCH(COLUMNS($V$1006:AC1006),$V$1006:$AE$1006,0))&gt;=100000), " ",IF(INDEX($V$2:$AE$1001,MATCH(ROWS($O$2:O180),$O$2:$O$1001,0),MATCH(COLUMNS($V$1006:AC1006),$V$1006:$AE$1006,0)), HYPERLINK("#",""), HYPERLINK(CONCATENATE("#Metadata!", ADDRESS(INDEX($Q$2:$Q$1001,MATCH(ROWS($O$2:O180),$O$2:$O$1001,0),0), INDEX($V$1004:$AE$1004,1,MATCH(COLUMNS($V$1006:AC1006),$V$1006:$AE$1006,0)))),"Fix")))</f>
        <v>0</v>
      </c>
      <c r="J180" s="3">
        <f>IF(OR(INDEX($P$2:$P$1001,MATCH(ROWS($O$2:O180),$O$2:$O$1001,0),1)&gt;=100000,INDEX($V$1005:$AE$1005,1,MATCH(COLUMNS($V$1006:AD1006),$V$1006:$AE$1006,0))&gt;=100000), " ",IF(INDEX($V$2:$AE$1001,MATCH(ROWS($O$2:O180),$O$2:$O$1001,0),MATCH(COLUMNS($V$1006:AD1006),$V$1006:$AE$1006,0)), HYPERLINK("#",""), HYPERLINK(CONCATENATE("#Metadata!", ADDRESS(INDEX($Q$2:$Q$1001,MATCH(ROWS($O$2:O180),$O$2:$O$1001,0),0), INDEX($V$1004:$AE$1004,1,MATCH(COLUMNS($V$1006:AD1006),$V$1006:$AE$1006,0)))),"Fix")))</f>
        <v>0</v>
      </c>
      <c r="K180" s="3">
        <f>IF(OR(INDEX($P$2:$P$1001,MATCH(ROWS($O$2:O180),$O$2:$O$1001,0),1)&gt;=100000,INDEX($V$1005:$AE$1005,1,MATCH(COLUMNS($V$1006:AE1006),$V$1006:$AE$1006,0))&gt;=100000), " ",IF(INDEX($V$2:$AE$1001,MATCH(ROWS($O$2:O180),$O$2:$O$1001,0),MATCH(COLUMNS($V$1006:AE1006),$V$1006:$AE$1006,0)), HYPERLINK("#",""), HYPERLINK(CONCATENATE("#Metadata!", ADDRESS(INDEX($Q$2:$Q$1001,MATCH(ROWS($O$2:O180),$O$2:$O$1001,0),0), INDEX($V$1004:$AE$1004,1,MATCH(COLUMNS($V$1006:AE1006),$V$1006:$AE$1006,0)))),"Fix")))</f>
        <v>0</v>
      </c>
      <c r="O180">
        <v>0</v>
      </c>
      <c r="P180">
        <v>0</v>
      </c>
      <c r="Q180">
        <v>0</v>
      </c>
      <c r="R180">
        <f>IF(S180,TRUE,AND(V180:AE180))</f>
        <v>0</v>
      </c>
      <c r="S180">
        <f>COUNTBLANK(Metadata!B180:K180)=COLUMNS(Metadata!B180:K180)</f>
        <v>0</v>
      </c>
      <c r="T180">
        <v>0</v>
      </c>
      <c r="V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W180">
        <f>AND(IF(Metadata!C180="",FALSE,TRUE),exact(Metadata!C180,"animal secretion"))</f>
        <v>0</v>
      </c>
      <c r="X180">
        <f>AND(IF(Metadata!D180="",FALSE,TRUE),exact(Metadata!D180,"saliva"))</f>
        <v>0</v>
      </c>
      <c r="Y180">
        <f>AND(IF(Metadata!E180="",FALSE,TRUE),exact(Metadata!E180,"human-oral"))</f>
        <v>0</v>
      </c>
      <c r="Z180">
        <f>AND(IF(Metadata!F180="",FALSE,TRUE),exact(Metadata!F180,"UBERON:oral cavity"))</f>
        <v>0</v>
      </c>
      <c r="AA180">
        <f>AND(IF(Metadata!G180="",FALSE,TRUE),exact(Metadata!G180,"UBERON:saliva"))</f>
        <v>0</v>
      </c>
      <c r="AB180">
        <f>AND(IF(Metadata!H180="",FALSE,TRUE),exact(Metadata!H180,"UBERON:tongue"))</f>
        <v>0</v>
      </c>
      <c r="AC180">
        <f>AND(IF(Metadata!I180="",FALSE,TRUE),exact(Metadata!I180,"tongue"))</f>
        <v>0</v>
      </c>
      <c r="AD180">
        <f>AND(IF(Metadata!J180="",FALSE,TRUE),exact(Metadata!J180,"human oral metagenome"))</f>
        <v>0</v>
      </c>
      <c r="AE180">
        <f>AND(IF(Metadata!K180="",FALSE,TRUE),exact(Metadata!K180,"447426"))</f>
        <v>0</v>
      </c>
    </row>
    <row r="181" spans="1:31">
      <c r="A181" s="4">
        <f>IF(B181=" "," ",HYPERLINK(CONCATENATE("#metadata!",ADDRESS(INDEX($Q$2:$Q$1001,MATCH(ROWS($O$2:O181),$O$2:$O$1001,0),0),1)),INDEX($T$2:$T$1001,MATCH(ROWS($O$2:O181),$O$2:$O$1001,0),0)))</f>
        <v>0</v>
      </c>
      <c r="B181" s="3">
        <f>IF(OR(INDEX($P$2:$P$1001,MATCH(ROWS($O$2:O181),$O$2:$O$1001,0),1)&gt;=100000,INDEX($V$1005:$AE$1005,1,MATCH(COLUMNS($V$1006:V1006),$V$1006:$AE$1006,0))&gt;=100000), " ",IF(INDEX($V$2:$AE$1001,MATCH(ROWS($O$2:O181),$O$2:$O$1001,0),MATCH(COLUMNS($V$1006:V1006),$V$1006:$AE$1006,0)), HYPERLINK("#",""), HYPERLINK(CONCATENATE("#Metadata!", ADDRESS(INDEX($Q$2:$Q$1001,MATCH(ROWS($O$2:O181),$O$2:$O$1001,0),0), INDEX($V$1004:$AE$1004,1,MATCH(COLUMNS($V$1006:V1006),$V$1006:$AE$1006,0)))),"Fix")))</f>
        <v>0</v>
      </c>
      <c r="C181" s="3">
        <f>IF(OR(INDEX($P$2:$P$1001,MATCH(ROWS($O$2:O181),$O$2:$O$1001,0),1)&gt;=100000,INDEX($V$1005:$AE$1005,1,MATCH(COLUMNS($V$1006:W1006),$V$1006:$AE$1006,0))&gt;=100000), " ",IF(INDEX($V$2:$AE$1001,MATCH(ROWS($O$2:O181),$O$2:$O$1001,0),MATCH(COLUMNS($V$1006:W1006),$V$1006:$AE$1006,0)), HYPERLINK("#",""), HYPERLINK(CONCATENATE("#Metadata!", ADDRESS(INDEX($Q$2:$Q$1001,MATCH(ROWS($O$2:O181),$O$2:$O$1001,0),0), INDEX($V$1004:$AE$1004,1,MATCH(COLUMNS($V$1006:W1006),$V$1006:$AE$1006,0)))),"Fix")))</f>
        <v>0</v>
      </c>
      <c r="D181" s="3">
        <f>IF(OR(INDEX($P$2:$P$1001,MATCH(ROWS($O$2:O181),$O$2:$O$1001,0),1)&gt;=100000,INDEX($V$1005:$AE$1005,1,MATCH(COLUMNS($V$1006:X1006),$V$1006:$AE$1006,0))&gt;=100000), " ",IF(INDEX($V$2:$AE$1001,MATCH(ROWS($O$2:O181),$O$2:$O$1001,0),MATCH(COLUMNS($V$1006:X1006),$V$1006:$AE$1006,0)), HYPERLINK("#",""), HYPERLINK(CONCATENATE("#Metadata!", ADDRESS(INDEX($Q$2:$Q$1001,MATCH(ROWS($O$2:O181),$O$2:$O$1001,0),0), INDEX($V$1004:$AE$1004,1,MATCH(COLUMNS($V$1006:X1006),$V$1006:$AE$1006,0)))),"Fix")))</f>
        <v>0</v>
      </c>
      <c r="E181" s="3">
        <f>IF(OR(INDEX($P$2:$P$1001,MATCH(ROWS($O$2:O181),$O$2:$O$1001,0),1)&gt;=100000,INDEX($V$1005:$AE$1005,1,MATCH(COLUMNS($V$1006:Y1006),$V$1006:$AE$1006,0))&gt;=100000), " ",IF(INDEX($V$2:$AE$1001,MATCH(ROWS($O$2:O181),$O$2:$O$1001,0),MATCH(COLUMNS($V$1006:Y1006),$V$1006:$AE$1006,0)), HYPERLINK("#",""), HYPERLINK(CONCATENATE("#Metadata!", ADDRESS(INDEX($Q$2:$Q$1001,MATCH(ROWS($O$2:O181),$O$2:$O$1001,0),0), INDEX($V$1004:$AE$1004,1,MATCH(COLUMNS($V$1006:Y1006),$V$1006:$AE$1006,0)))),"Fix")))</f>
        <v>0</v>
      </c>
      <c r="F181" s="3">
        <f>IF(OR(INDEX($P$2:$P$1001,MATCH(ROWS($O$2:O181),$O$2:$O$1001,0),1)&gt;=100000,INDEX($V$1005:$AE$1005,1,MATCH(COLUMNS($V$1006:Z1006),$V$1006:$AE$1006,0))&gt;=100000), " ",IF(INDEX($V$2:$AE$1001,MATCH(ROWS($O$2:O181),$O$2:$O$1001,0),MATCH(COLUMNS($V$1006:Z1006),$V$1006:$AE$1006,0)), HYPERLINK("#",""), HYPERLINK(CONCATENATE("#Metadata!", ADDRESS(INDEX($Q$2:$Q$1001,MATCH(ROWS($O$2:O181),$O$2:$O$1001,0),0), INDEX($V$1004:$AE$1004,1,MATCH(COLUMNS($V$1006:Z1006),$V$1006:$AE$1006,0)))),"Fix")))</f>
        <v>0</v>
      </c>
      <c r="G181" s="3">
        <f>IF(OR(INDEX($P$2:$P$1001,MATCH(ROWS($O$2:O181),$O$2:$O$1001,0),1)&gt;=100000,INDEX($V$1005:$AE$1005,1,MATCH(COLUMNS($V$1006:AA1006),$V$1006:$AE$1006,0))&gt;=100000), " ",IF(INDEX($V$2:$AE$1001,MATCH(ROWS($O$2:O181),$O$2:$O$1001,0),MATCH(COLUMNS($V$1006:AA1006),$V$1006:$AE$1006,0)), HYPERLINK("#",""), HYPERLINK(CONCATENATE("#Metadata!", ADDRESS(INDEX($Q$2:$Q$1001,MATCH(ROWS($O$2:O181),$O$2:$O$1001,0),0), INDEX($V$1004:$AE$1004,1,MATCH(COLUMNS($V$1006:AA1006),$V$1006:$AE$1006,0)))),"Fix")))</f>
        <v>0</v>
      </c>
      <c r="H181" s="3">
        <f>IF(OR(INDEX($P$2:$P$1001,MATCH(ROWS($O$2:O181),$O$2:$O$1001,0),1)&gt;=100000,INDEX($V$1005:$AE$1005,1,MATCH(COLUMNS($V$1006:AB1006),$V$1006:$AE$1006,0))&gt;=100000), " ",IF(INDEX($V$2:$AE$1001,MATCH(ROWS($O$2:O181),$O$2:$O$1001,0),MATCH(COLUMNS($V$1006:AB1006),$V$1006:$AE$1006,0)), HYPERLINK("#",""), HYPERLINK(CONCATENATE("#Metadata!", ADDRESS(INDEX($Q$2:$Q$1001,MATCH(ROWS($O$2:O181),$O$2:$O$1001,0),0), INDEX($V$1004:$AE$1004,1,MATCH(COLUMNS($V$1006:AB1006),$V$1006:$AE$1006,0)))),"Fix")))</f>
        <v>0</v>
      </c>
      <c r="I181" s="3">
        <f>IF(OR(INDEX($P$2:$P$1001,MATCH(ROWS($O$2:O181),$O$2:$O$1001,0),1)&gt;=100000,INDEX($V$1005:$AE$1005,1,MATCH(COLUMNS($V$1006:AC1006),$V$1006:$AE$1006,0))&gt;=100000), " ",IF(INDEX($V$2:$AE$1001,MATCH(ROWS($O$2:O181),$O$2:$O$1001,0),MATCH(COLUMNS($V$1006:AC1006),$V$1006:$AE$1006,0)), HYPERLINK("#",""), HYPERLINK(CONCATENATE("#Metadata!", ADDRESS(INDEX($Q$2:$Q$1001,MATCH(ROWS($O$2:O181),$O$2:$O$1001,0),0), INDEX($V$1004:$AE$1004,1,MATCH(COLUMNS($V$1006:AC1006),$V$1006:$AE$1006,0)))),"Fix")))</f>
        <v>0</v>
      </c>
      <c r="J181" s="3">
        <f>IF(OR(INDEX($P$2:$P$1001,MATCH(ROWS($O$2:O181),$O$2:$O$1001,0),1)&gt;=100000,INDEX($V$1005:$AE$1005,1,MATCH(COLUMNS($V$1006:AD1006),$V$1006:$AE$1006,0))&gt;=100000), " ",IF(INDEX($V$2:$AE$1001,MATCH(ROWS($O$2:O181),$O$2:$O$1001,0),MATCH(COLUMNS($V$1006:AD1006),$V$1006:$AE$1006,0)), HYPERLINK("#",""), HYPERLINK(CONCATENATE("#Metadata!", ADDRESS(INDEX($Q$2:$Q$1001,MATCH(ROWS($O$2:O181),$O$2:$O$1001,0),0), INDEX($V$1004:$AE$1004,1,MATCH(COLUMNS($V$1006:AD1006),$V$1006:$AE$1006,0)))),"Fix")))</f>
        <v>0</v>
      </c>
      <c r="K181" s="3">
        <f>IF(OR(INDEX($P$2:$P$1001,MATCH(ROWS($O$2:O181),$O$2:$O$1001,0),1)&gt;=100000,INDEX($V$1005:$AE$1005,1,MATCH(COLUMNS($V$1006:AE1006),$V$1006:$AE$1006,0))&gt;=100000), " ",IF(INDEX($V$2:$AE$1001,MATCH(ROWS($O$2:O181),$O$2:$O$1001,0),MATCH(COLUMNS($V$1006:AE1006),$V$1006:$AE$1006,0)), HYPERLINK("#",""), HYPERLINK(CONCATENATE("#Metadata!", ADDRESS(INDEX($Q$2:$Q$1001,MATCH(ROWS($O$2:O181),$O$2:$O$1001,0),0), INDEX($V$1004:$AE$1004,1,MATCH(COLUMNS($V$1006:AE1006),$V$1006:$AE$1006,0)))),"Fix")))</f>
        <v>0</v>
      </c>
      <c r="O181">
        <v>0</v>
      </c>
      <c r="P181">
        <v>0</v>
      </c>
      <c r="Q181">
        <v>0</v>
      </c>
      <c r="R181">
        <f>IF(S181,TRUE,AND(V181:AE181))</f>
        <v>0</v>
      </c>
      <c r="S181">
        <f>COUNTBLANK(Metadata!B181:K181)=COLUMNS(Metadata!B181:K181)</f>
        <v>0</v>
      </c>
      <c r="T181">
        <v>0</v>
      </c>
      <c r="V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W181">
        <f>AND(IF(Metadata!C181="",FALSE,TRUE),exact(Metadata!C181,"animal secretion"))</f>
        <v>0</v>
      </c>
      <c r="X181">
        <f>AND(IF(Metadata!D181="",FALSE,TRUE),exact(Metadata!D181,"saliva"))</f>
        <v>0</v>
      </c>
      <c r="Y181">
        <f>AND(IF(Metadata!E181="",FALSE,TRUE),exact(Metadata!E181,"human-oral"))</f>
        <v>0</v>
      </c>
      <c r="Z181">
        <f>AND(IF(Metadata!F181="",FALSE,TRUE),exact(Metadata!F181,"UBERON:oral cavity"))</f>
        <v>0</v>
      </c>
      <c r="AA181">
        <f>AND(IF(Metadata!G181="",FALSE,TRUE),exact(Metadata!G181,"UBERON:saliva"))</f>
        <v>0</v>
      </c>
      <c r="AB181">
        <f>AND(IF(Metadata!H181="",FALSE,TRUE),exact(Metadata!H181,"UBERON:tongue"))</f>
        <v>0</v>
      </c>
      <c r="AC181">
        <f>AND(IF(Metadata!I181="",FALSE,TRUE),exact(Metadata!I181,"tongue"))</f>
        <v>0</v>
      </c>
      <c r="AD181">
        <f>AND(IF(Metadata!J181="",FALSE,TRUE),exact(Metadata!J181,"human oral metagenome"))</f>
        <v>0</v>
      </c>
      <c r="AE181">
        <f>AND(IF(Metadata!K181="",FALSE,TRUE),exact(Metadata!K181,"447426"))</f>
        <v>0</v>
      </c>
    </row>
    <row r="182" spans="1:31">
      <c r="A182" s="4">
        <f>IF(B182=" "," ",HYPERLINK(CONCATENATE("#metadata!",ADDRESS(INDEX($Q$2:$Q$1001,MATCH(ROWS($O$2:O182),$O$2:$O$1001,0),0),1)),INDEX($T$2:$T$1001,MATCH(ROWS($O$2:O182),$O$2:$O$1001,0),0)))</f>
        <v>0</v>
      </c>
      <c r="B182" s="3">
        <f>IF(OR(INDEX($P$2:$P$1001,MATCH(ROWS($O$2:O182),$O$2:$O$1001,0),1)&gt;=100000,INDEX($V$1005:$AE$1005,1,MATCH(COLUMNS($V$1006:V1006),$V$1006:$AE$1006,0))&gt;=100000), " ",IF(INDEX($V$2:$AE$1001,MATCH(ROWS($O$2:O182),$O$2:$O$1001,0),MATCH(COLUMNS($V$1006:V1006),$V$1006:$AE$1006,0)), HYPERLINK("#",""), HYPERLINK(CONCATENATE("#Metadata!", ADDRESS(INDEX($Q$2:$Q$1001,MATCH(ROWS($O$2:O182),$O$2:$O$1001,0),0), INDEX($V$1004:$AE$1004,1,MATCH(COLUMNS($V$1006:V1006),$V$1006:$AE$1006,0)))),"Fix")))</f>
        <v>0</v>
      </c>
      <c r="C182" s="3">
        <f>IF(OR(INDEX($P$2:$P$1001,MATCH(ROWS($O$2:O182),$O$2:$O$1001,0),1)&gt;=100000,INDEX($V$1005:$AE$1005,1,MATCH(COLUMNS($V$1006:W1006),$V$1006:$AE$1006,0))&gt;=100000), " ",IF(INDEX($V$2:$AE$1001,MATCH(ROWS($O$2:O182),$O$2:$O$1001,0),MATCH(COLUMNS($V$1006:W1006),$V$1006:$AE$1006,0)), HYPERLINK("#",""), HYPERLINK(CONCATENATE("#Metadata!", ADDRESS(INDEX($Q$2:$Q$1001,MATCH(ROWS($O$2:O182),$O$2:$O$1001,0),0), INDEX($V$1004:$AE$1004,1,MATCH(COLUMNS($V$1006:W1006),$V$1006:$AE$1006,0)))),"Fix")))</f>
        <v>0</v>
      </c>
      <c r="D182" s="3">
        <f>IF(OR(INDEX($P$2:$P$1001,MATCH(ROWS($O$2:O182),$O$2:$O$1001,0),1)&gt;=100000,INDEX($V$1005:$AE$1005,1,MATCH(COLUMNS($V$1006:X1006),$V$1006:$AE$1006,0))&gt;=100000), " ",IF(INDEX($V$2:$AE$1001,MATCH(ROWS($O$2:O182),$O$2:$O$1001,0),MATCH(COLUMNS($V$1006:X1006),$V$1006:$AE$1006,0)), HYPERLINK("#",""), HYPERLINK(CONCATENATE("#Metadata!", ADDRESS(INDEX($Q$2:$Q$1001,MATCH(ROWS($O$2:O182),$O$2:$O$1001,0),0), INDEX($V$1004:$AE$1004,1,MATCH(COLUMNS($V$1006:X1006),$V$1006:$AE$1006,0)))),"Fix")))</f>
        <v>0</v>
      </c>
      <c r="E182" s="3">
        <f>IF(OR(INDEX($P$2:$P$1001,MATCH(ROWS($O$2:O182),$O$2:$O$1001,0),1)&gt;=100000,INDEX($V$1005:$AE$1005,1,MATCH(COLUMNS($V$1006:Y1006),$V$1006:$AE$1006,0))&gt;=100000), " ",IF(INDEX($V$2:$AE$1001,MATCH(ROWS($O$2:O182),$O$2:$O$1001,0),MATCH(COLUMNS($V$1006:Y1006),$V$1006:$AE$1006,0)), HYPERLINK("#",""), HYPERLINK(CONCATENATE("#Metadata!", ADDRESS(INDEX($Q$2:$Q$1001,MATCH(ROWS($O$2:O182),$O$2:$O$1001,0),0), INDEX($V$1004:$AE$1004,1,MATCH(COLUMNS($V$1006:Y1006),$V$1006:$AE$1006,0)))),"Fix")))</f>
        <v>0</v>
      </c>
      <c r="F182" s="3">
        <f>IF(OR(INDEX($P$2:$P$1001,MATCH(ROWS($O$2:O182),$O$2:$O$1001,0),1)&gt;=100000,INDEX($V$1005:$AE$1005,1,MATCH(COLUMNS($V$1006:Z1006),$V$1006:$AE$1006,0))&gt;=100000), " ",IF(INDEX($V$2:$AE$1001,MATCH(ROWS($O$2:O182),$O$2:$O$1001,0),MATCH(COLUMNS($V$1006:Z1006),$V$1006:$AE$1006,0)), HYPERLINK("#",""), HYPERLINK(CONCATENATE("#Metadata!", ADDRESS(INDEX($Q$2:$Q$1001,MATCH(ROWS($O$2:O182),$O$2:$O$1001,0),0), INDEX($V$1004:$AE$1004,1,MATCH(COLUMNS($V$1006:Z1006),$V$1006:$AE$1006,0)))),"Fix")))</f>
        <v>0</v>
      </c>
      <c r="G182" s="3">
        <f>IF(OR(INDEX($P$2:$P$1001,MATCH(ROWS($O$2:O182),$O$2:$O$1001,0),1)&gt;=100000,INDEX($V$1005:$AE$1005,1,MATCH(COLUMNS($V$1006:AA1006),$V$1006:$AE$1006,0))&gt;=100000), " ",IF(INDEX($V$2:$AE$1001,MATCH(ROWS($O$2:O182),$O$2:$O$1001,0),MATCH(COLUMNS($V$1006:AA1006),$V$1006:$AE$1006,0)), HYPERLINK("#",""), HYPERLINK(CONCATENATE("#Metadata!", ADDRESS(INDEX($Q$2:$Q$1001,MATCH(ROWS($O$2:O182),$O$2:$O$1001,0),0), INDEX($V$1004:$AE$1004,1,MATCH(COLUMNS($V$1006:AA1006),$V$1006:$AE$1006,0)))),"Fix")))</f>
        <v>0</v>
      </c>
      <c r="H182" s="3">
        <f>IF(OR(INDEX($P$2:$P$1001,MATCH(ROWS($O$2:O182),$O$2:$O$1001,0),1)&gt;=100000,INDEX($V$1005:$AE$1005,1,MATCH(COLUMNS($V$1006:AB1006),$V$1006:$AE$1006,0))&gt;=100000), " ",IF(INDEX($V$2:$AE$1001,MATCH(ROWS($O$2:O182),$O$2:$O$1001,0),MATCH(COLUMNS($V$1006:AB1006),$V$1006:$AE$1006,0)), HYPERLINK("#",""), HYPERLINK(CONCATENATE("#Metadata!", ADDRESS(INDEX($Q$2:$Q$1001,MATCH(ROWS($O$2:O182),$O$2:$O$1001,0),0), INDEX($V$1004:$AE$1004,1,MATCH(COLUMNS($V$1006:AB1006),$V$1006:$AE$1006,0)))),"Fix")))</f>
        <v>0</v>
      </c>
      <c r="I182" s="3">
        <f>IF(OR(INDEX($P$2:$P$1001,MATCH(ROWS($O$2:O182),$O$2:$O$1001,0),1)&gt;=100000,INDEX($V$1005:$AE$1005,1,MATCH(COLUMNS($V$1006:AC1006),$V$1006:$AE$1006,0))&gt;=100000), " ",IF(INDEX($V$2:$AE$1001,MATCH(ROWS($O$2:O182),$O$2:$O$1001,0),MATCH(COLUMNS($V$1006:AC1006),$V$1006:$AE$1006,0)), HYPERLINK("#",""), HYPERLINK(CONCATENATE("#Metadata!", ADDRESS(INDEX($Q$2:$Q$1001,MATCH(ROWS($O$2:O182),$O$2:$O$1001,0),0), INDEX($V$1004:$AE$1004,1,MATCH(COLUMNS($V$1006:AC1006),$V$1006:$AE$1006,0)))),"Fix")))</f>
        <v>0</v>
      </c>
      <c r="J182" s="3">
        <f>IF(OR(INDEX($P$2:$P$1001,MATCH(ROWS($O$2:O182),$O$2:$O$1001,0),1)&gt;=100000,INDEX($V$1005:$AE$1005,1,MATCH(COLUMNS($V$1006:AD1006),$V$1006:$AE$1006,0))&gt;=100000), " ",IF(INDEX($V$2:$AE$1001,MATCH(ROWS($O$2:O182),$O$2:$O$1001,0),MATCH(COLUMNS($V$1006:AD1006),$V$1006:$AE$1006,0)), HYPERLINK("#",""), HYPERLINK(CONCATENATE("#Metadata!", ADDRESS(INDEX($Q$2:$Q$1001,MATCH(ROWS($O$2:O182),$O$2:$O$1001,0),0), INDEX($V$1004:$AE$1004,1,MATCH(COLUMNS($V$1006:AD1006),$V$1006:$AE$1006,0)))),"Fix")))</f>
        <v>0</v>
      </c>
      <c r="K182" s="3">
        <f>IF(OR(INDEX($P$2:$P$1001,MATCH(ROWS($O$2:O182),$O$2:$O$1001,0),1)&gt;=100000,INDEX($V$1005:$AE$1005,1,MATCH(COLUMNS($V$1006:AE1006),$V$1006:$AE$1006,0))&gt;=100000), " ",IF(INDEX($V$2:$AE$1001,MATCH(ROWS($O$2:O182),$O$2:$O$1001,0),MATCH(COLUMNS($V$1006:AE1006),$V$1006:$AE$1006,0)), HYPERLINK("#",""), HYPERLINK(CONCATENATE("#Metadata!", ADDRESS(INDEX($Q$2:$Q$1001,MATCH(ROWS($O$2:O182),$O$2:$O$1001,0),0), INDEX($V$1004:$AE$1004,1,MATCH(COLUMNS($V$1006:AE1006),$V$1006:$AE$1006,0)))),"Fix")))</f>
        <v>0</v>
      </c>
      <c r="O182">
        <v>0</v>
      </c>
      <c r="P182">
        <v>0</v>
      </c>
      <c r="Q182">
        <v>0</v>
      </c>
      <c r="R182">
        <f>IF(S182,TRUE,AND(V182:AE182))</f>
        <v>0</v>
      </c>
      <c r="S182">
        <f>COUNTBLANK(Metadata!B182:K182)=COLUMNS(Metadata!B182:K182)</f>
        <v>0</v>
      </c>
      <c r="T182">
        <v>0</v>
      </c>
      <c r="V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W182">
        <f>AND(IF(Metadata!C182="",FALSE,TRUE),exact(Metadata!C182,"animal secretion"))</f>
        <v>0</v>
      </c>
      <c r="X182">
        <f>AND(IF(Metadata!D182="",FALSE,TRUE),exact(Metadata!D182,"saliva"))</f>
        <v>0</v>
      </c>
      <c r="Y182">
        <f>AND(IF(Metadata!E182="",FALSE,TRUE),exact(Metadata!E182,"human-oral"))</f>
        <v>0</v>
      </c>
      <c r="Z182">
        <f>AND(IF(Metadata!F182="",FALSE,TRUE),exact(Metadata!F182,"UBERON:oral cavity"))</f>
        <v>0</v>
      </c>
      <c r="AA182">
        <f>AND(IF(Metadata!G182="",FALSE,TRUE),exact(Metadata!G182,"UBERON:saliva"))</f>
        <v>0</v>
      </c>
      <c r="AB182">
        <f>AND(IF(Metadata!H182="",FALSE,TRUE),exact(Metadata!H182,"UBERON:tongue"))</f>
        <v>0</v>
      </c>
      <c r="AC182">
        <f>AND(IF(Metadata!I182="",FALSE,TRUE),exact(Metadata!I182,"tongue"))</f>
        <v>0</v>
      </c>
      <c r="AD182">
        <f>AND(IF(Metadata!J182="",FALSE,TRUE),exact(Metadata!J182,"human oral metagenome"))</f>
        <v>0</v>
      </c>
      <c r="AE182">
        <f>AND(IF(Metadata!K182="",FALSE,TRUE),exact(Metadata!K182,"447426"))</f>
        <v>0</v>
      </c>
    </row>
    <row r="183" spans="1:31">
      <c r="A183" s="4">
        <f>IF(B183=" "," ",HYPERLINK(CONCATENATE("#metadata!",ADDRESS(INDEX($Q$2:$Q$1001,MATCH(ROWS($O$2:O183),$O$2:$O$1001,0),0),1)),INDEX($T$2:$T$1001,MATCH(ROWS($O$2:O183),$O$2:$O$1001,0),0)))</f>
        <v>0</v>
      </c>
      <c r="B183" s="3">
        <f>IF(OR(INDEX($P$2:$P$1001,MATCH(ROWS($O$2:O183),$O$2:$O$1001,0),1)&gt;=100000,INDEX($V$1005:$AE$1005,1,MATCH(COLUMNS($V$1006:V1006),$V$1006:$AE$1006,0))&gt;=100000), " ",IF(INDEX($V$2:$AE$1001,MATCH(ROWS($O$2:O183),$O$2:$O$1001,0),MATCH(COLUMNS($V$1006:V1006),$V$1006:$AE$1006,0)), HYPERLINK("#",""), HYPERLINK(CONCATENATE("#Metadata!", ADDRESS(INDEX($Q$2:$Q$1001,MATCH(ROWS($O$2:O183),$O$2:$O$1001,0),0), INDEX($V$1004:$AE$1004,1,MATCH(COLUMNS($V$1006:V1006),$V$1006:$AE$1006,0)))),"Fix")))</f>
        <v>0</v>
      </c>
      <c r="C183" s="3">
        <f>IF(OR(INDEX($P$2:$P$1001,MATCH(ROWS($O$2:O183),$O$2:$O$1001,0),1)&gt;=100000,INDEX($V$1005:$AE$1005,1,MATCH(COLUMNS($V$1006:W1006),$V$1006:$AE$1006,0))&gt;=100000), " ",IF(INDEX($V$2:$AE$1001,MATCH(ROWS($O$2:O183),$O$2:$O$1001,0),MATCH(COLUMNS($V$1006:W1006),$V$1006:$AE$1006,0)), HYPERLINK("#",""), HYPERLINK(CONCATENATE("#Metadata!", ADDRESS(INDEX($Q$2:$Q$1001,MATCH(ROWS($O$2:O183),$O$2:$O$1001,0),0), INDEX($V$1004:$AE$1004,1,MATCH(COLUMNS($V$1006:W1006),$V$1006:$AE$1006,0)))),"Fix")))</f>
        <v>0</v>
      </c>
      <c r="D183" s="3">
        <f>IF(OR(INDEX($P$2:$P$1001,MATCH(ROWS($O$2:O183),$O$2:$O$1001,0),1)&gt;=100000,INDEX($V$1005:$AE$1005,1,MATCH(COLUMNS($V$1006:X1006),$V$1006:$AE$1006,0))&gt;=100000), " ",IF(INDEX($V$2:$AE$1001,MATCH(ROWS($O$2:O183),$O$2:$O$1001,0),MATCH(COLUMNS($V$1006:X1006),$V$1006:$AE$1006,0)), HYPERLINK("#",""), HYPERLINK(CONCATENATE("#Metadata!", ADDRESS(INDEX($Q$2:$Q$1001,MATCH(ROWS($O$2:O183),$O$2:$O$1001,0),0), INDEX($V$1004:$AE$1004,1,MATCH(COLUMNS($V$1006:X1006),$V$1006:$AE$1006,0)))),"Fix")))</f>
        <v>0</v>
      </c>
      <c r="E183" s="3">
        <f>IF(OR(INDEX($P$2:$P$1001,MATCH(ROWS($O$2:O183),$O$2:$O$1001,0),1)&gt;=100000,INDEX($V$1005:$AE$1005,1,MATCH(COLUMNS($V$1006:Y1006),$V$1006:$AE$1006,0))&gt;=100000), " ",IF(INDEX($V$2:$AE$1001,MATCH(ROWS($O$2:O183),$O$2:$O$1001,0),MATCH(COLUMNS($V$1006:Y1006),$V$1006:$AE$1006,0)), HYPERLINK("#",""), HYPERLINK(CONCATENATE("#Metadata!", ADDRESS(INDEX($Q$2:$Q$1001,MATCH(ROWS($O$2:O183),$O$2:$O$1001,0),0), INDEX($V$1004:$AE$1004,1,MATCH(COLUMNS($V$1006:Y1006),$V$1006:$AE$1006,0)))),"Fix")))</f>
        <v>0</v>
      </c>
      <c r="F183" s="3">
        <f>IF(OR(INDEX($P$2:$P$1001,MATCH(ROWS($O$2:O183),$O$2:$O$1001,0),1)&gt;=100000,INDEX($V$1005:$AE$1005,1,MATCH(COLUMNS($V$1006:Z1006),$V$1006:$AE$1006,0))&gt;=100000), " ",IF(INDEX($V$2:$AE$1001,MATCH(ROWS($O$2:O183),$O$2:$O$1001,0),MATCH(COLUMNS($V$1006:Z1006),$V$1006:$AE$1006,0)), HYPERLINK("#",""), HYPERLINK(CONCATENATE("#Metadata!", ADDRESS(INDEX($Q$2:$Q$1001,MATCH(ROWS($O$2:O183),$O$2:$O$1001,0),0), INDEX($V$1004:$AE$1004,1,MATCH(COLUMNS($V$1006:Z1006),$V$1006:$AE$1006,0)))),"Fix")))</f>
        <v>0</v>
      </c>
      <c r="G183" s="3">
        <f>IF(OR(INDEX($P$2:$P$1001,MATCH(ROWS($O$2:O183),$O$2:$O$1001,0),1)&gt;=100000,INDEX($V$1005:$AE$1005,1,MATCH(COLUMNS($V$1006:AA1006),$V$1006:$AE$1006,0))&gt;=100000), " ",IF(INDEX($V$2:$AE$1001,MATCH(ROWS($O$2:O183),$O$2:$O$1001,0),MATCH(COLUMNS($V$1006:AA1006),$V$1006:$AE$1006,0)), HYPERLINK("#",""), HYPERLINK(CONCATENATE("#Metadata!", ADDRESS(INDEX($Q$2:$Q$1001,MATCH(ROWS($O$2:O183),$O$2:$O$1001,0),0), INDEX($V$1004:$AE$1004,1,MATCH(COLUMNS($V$1006:AA1006),$V$1006:$AE$1006,0)))),"Fix")))</f>
        <v>0</v>
      </c>
      <c r="H183" s="3">
        <f>IF(OR(INDEX($P$2:$P$1001,MATCH(ROWS($O$2:O183),$O$2:$O$1001,0),1)&gt;=100000,INDEX($V$1005:$AE$1005,1,MATCH(COLUMNS($V$1006:AB1006),$V$1006:$AE$1006,0))&gt;=100000), " ",IF(INDEX($V$2:$AE$1001,MATCH(ROWS($O$2:O183),$O$2:$O$1001,0),MATCH(COLUMNS($V$1006:AB1006),$V$1006:$AE$1006,0)), HYPERLINK("#",""), HYPERLINK(CONCATENATE("#Metadata!", ADDRESS(INDEX($Q$2:$Q$1001,MATCH(ROWS($O$2:O183),$O$2:$O$1001,0),0), INDEX($V$1004:$AE$1004,1,MATCH(COLUMNS($V$1006:AB1006),$V$1006:$AE$1006,0)))),"Fix")))</f>
        <v>0</v>
      </c>
      <c r="I183" s="3">
        <f>IF(OR(INDEX($P$2:$P$1001,MATCH(ROWS($O$2:O183),$O$2:$O$1001,0),1)&gt;=100000,INDEX($V$1005:$AE$1005,1,MATCH(COLUMNS($V$1006:AC1006),$V$1006:$AE$1006,0))&gt;=100000), " ",IF(INDEX($V$2:$AE$1001,MATCH(ROWS($O$2:O183),$O$2:$O$1001,0),MATCH(COLUMNS($V$1006:AC1006),$V$1006:$AE$1006,0)), HYPERLINK("#",""), HYPERLINK(CONCATENATE("#Metadata!", ADDRESS(INDEX($Q$2:$Q$1001,MATCH(ROWS($O$2:O183),$O$2:$O$1001,0),0), INDEX($V$1004:$AE$1004,1,MATCH(COLUMNS($V$1006:AC1006),$V$1006:$AE$1006,0)))),"Fix")))</f>
        <v>0</v>
      </c>
      <c r="J183" s="3">
        <f>IF(OR(INDEX($P$2:$P$1001,MATCH(ROWS($O$2:O183),$O$2:$O$1001,0),1)&gt;=100000,INDEX($V$1005:$AE$1005,1,MATCH(COLUMNS($V$1006:AD1006),$V$1006:$AE$1006,0))&gt;=100000), " ",IF(INDEX($V$2:$AE$1001,MATCH(ROWS($O$2:O183),$O$2:$O$1001,0),MATCH(COLUMNS($V$1006:AD1006),$V$1006:$AE$1006,0)), HYPERLINK("#",""), HYPERLINK(CONCATENATE("#Metadata!", ADDRESS(INDEX($Q$2:$Q$1001,MATCH(ROWS($O$2:O183),$O$2:$O$1001,0),0), INDEX($V$1004:$AE$1004,1,MATCH(COLUMNS($V$1006:AD1006),$V$1006:$AE$1006,0)))),"Fix")))</f>
        <v>0</v>
      </c>
      <c r="K183" s="3">
        <f>IF(OR(INDEX($P$2:$P$1001,MATCH(ROWS($O$2:O183),$O$2:$O$1001,0),1)&gt;=100000,INDEX($V$1005:$AE$1005,1,MATCH(COLUMNS($V$1006:AE1006),$V$1006:$AE$1006,0))&gt;=100000), " ",IF(INDEX($V$2:$AE$1001,MATCH(ROWS($O$2:O183),$O$2:$O$1001,0),MATCH(COLUMNS($V$1006:AE1006),$V$1006:$AE$1006,0)), HYPERLINK("#",""), HYPERLINK(CONCATENATE("#Metadata!", ADDRESS(INDEX($Q$2:$Q$1001,MATCH(ROWS($O$2:O183),$O$2:$O$1001,0),0), INDEX($V$1004:$AE$1004,1,MATCH(COLUMNS($V$1006:AE1006),$V$1006:$AE$1006,0)))),"Fix")))</f>
        <v>0</v>
      </c>
      <c r="O183">
        <v>0</v>
      </c>
      <c r="P183">
        <v>0</v>
      </c>
      <c r="Q183">
        <v>0</v>
      </c>
      <c r="R183">
        <f>IF(S183,TRUE,AND(V183:AE183))</f>
        <v>0</v>
      </c>
      <c r="S183">
        <f>COUNTBLANK(Metadata!B183:K183)=COLUMNS(Metadata!B183:K183)</f>
        <v>0</v>
      </c>
      <c r="T183">
        <v>0</v>
      </c>
      <c r="V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W183">
        <f>AND(IF(Metadata!C183="",FALSE,TRUE),exact(Metadata!C183,"animal secretion"))</f>
        <v>0</v>
      </c>
      <c r="X183">
        <f>AND(IF(Metadata!D183="",FALSE,TRUE),exact(Metadata!D183,"saliva"))</f>
        <v>0</v>
      </c>
      <c r="Y183">
        <f>AND(IF(Metadata!E183="",FALSE,TRUE),exact(Metadata!E183,"human-oral"))</f>
        <v>0</v>
      </c>
      <c r="Z183">
        <f>AND(IF(Metadata!F183="",FALSE,TRUE),exact(Metadata!F183,"UBERON:oral cavity"))</f>
        <v>0</v>
      </c>
      <c r="AA183">
        <f>AND(IF(Metadata!G183="",FALSE,TRUE),exact(Metadata!G183,"UBERON:saliva"))</f>
        <v>0</v>
      </c>
      <c r="AB183">
        <f>AND(IF(Metadata!H183="",FALSE,TRUE),exact(Metadata!H183,"UBERON:tongue"))</f>
        <v>0</v>
      </c>
      <c r="AC183">
        <f>AND(IF(Metadata!I183="",FALSE,TRUE),exact(Metadata!I183,"tongue"))</f>
        <v>0</v>
      </c>
      <c r="AD183">
        <f>AND(IF(Metadata!J183="",FALSE,TRUE),exact(Metadata!J183,"human oral metagenome"))</f>
        <v>0</v>
      </c>
      <c r="AE183">
        <f>AND(IF(Metadata!K183="",FALSE,TRUE),exact(Metadata!K183,"447426"))</f>
        <v>0</v>
      </c>
    </row>
    <row r="184" spans="1:31">
      <c r="A184" s="4">
        <f>IF(B184=" "," ",HYPERLINK(CONCATENATE("#metadata!",ADDRESS(INDEX($Q$2:$Q$1001,MATCH(ROWS($O$2:O184),$O$2:$O$1001,0),0),1)),INDEX($T$2:$T$1001,MATCH(ROWS($O$2:O184),$O$2:$O$1001,0),0)))</f>
        <v>0</v>
      </c>
      <c r="B184" s="3">
        <f>IF(OR(INDEX($P$2:$P$1001,MATCH(ROWS($O$2:O184),$O$2:$O$1001,0),1)&gt;=100000,INDEX($V$1005:$AE$1005,1,MATCH(COLUMNS($V$1006:V1006),$V$1006:$AE$1006,0))&gt;=100000), " ",IF(INDEX($V$2:$AE$1001,MATCH(ROWS($O$2:O184),$O$2:$O$1001,0),MATCH(COLUMNS($V$1006:V1006),$V$1006:$AE$1006,0)), HYPERLINK("#",""), HYPERLINK(CONCATENATE("#Metadata!", ADDRESS(INDEX($Q$2:$Q$1001,MATCH(ROWS($O$2:O184),$O$2:$O$1001,0),0), INDEX($V$1004:$AE$1004,1,MATCH(COLUMNS($V$1006:V1006),$V$1006:$AE$1006,0)))),"Fix")))</f>
        <v>0</v>
      </c>
      <c r="C184" s="3">
        <f>IF(OR(INDEX($P$2:$P$1001,MATCH(ROWS($O$2:O184),$O$2:$O$1001,0),1)&gt;=100000,INDEX($V$1005:$AE$1005,1,MATCH(COLUMNS($V$1006:W1006),$V$1006:$AE$1006,0))&gt;=100000), " ",IF(INDEX($V$2:$AE$1001,MATCH(ROWS($O$2:O184),$O$2:$O$1001,0),MATCH(COLUMNS($V$1006:W1006),$V$1006:$AE$1006,0)), HYPERLINK("#",""), HYPERLINK(CONCATENATE("#Metadata!", ADDRESS(INDEX($Q$2:$Q$1001,MATCH(ROWS($O$2:O184),$O$2:$O$1001,0),0), INDEX($V$1004:$AE$1004,1,MATCH(COLUMNS($V$1006:W1006),$V$1006:$AE$1006,0)))),"Fix")))</f>
        <v>0</v>
      </c>
      <c r="D184" s="3">
        <f>IF(OR(INDEX($P$2:$P$1001,MATCH(ROWS($O$2:O184),$O$2:$O$1001,0),1)&gt;=100000,INDEX($V$1005:$AE$1005,1,MATCH(COLUMNS($V$1006:X1006),$V$1006:$AE$1006,0))&gt;=100000), " ",IF(INDEX($V$2:$AE$1001,MATCH(ROWS($O$2:O184),$O$2:$O$1001,0),MATCH(COLUMNS($V$1006:X1006),$V$1006:$AE$1006,0)), HYPERLINK("#",""), HYPERLINK(CONCATENATE("#Metadata!", ADDRESS(INDEX($Q$2:$Q$1001,MATCH(ROWS($O$2:O184),$O$2:$O$1001,0),0), INDEX($V$1004:$AE$1004,1,MATCH(COLUMNS($V$1006:X1006),$V$1006:$AE$1006,0)))),"Fix")))</f>
        <v>0</v>
      </c>
      <c r="E184" s="3">
        <f>IF(OR(INDEX($P$2:$P$1001,MATCH(ROWS($O$2:O184),$O$2:$O$1001,0),1)&gt;=100000,INDEX($V$1005:$AE$1005,1,MATCH(COLUMNS($V$1006:Y1006),$V$1006:$AE$1006,0))&gt;=100000), " ",IF(INDEX($V$2:$AE$1001,MATCH(ROWS($O$2:O184),$O$2:$O$1001,0),MATCH(COLUMNS($V$1006:Y1006),$V$1006:$AE$1006,0)), HYPERLINK("#",""), HYPERLINK(CONCATENATE("#Metadata!", ADDRESS(INDEX($Q$2:$Q$1001,MATCH(ROWS($O$2:O184),$O$2:$O$1001,0),0), INDEX($V$1004:$AE$1004,1,MATCH(COLUMNS($V$1006:Y1006),$V$1006:$AE$1006,0)))),"Fix")))</f>
        <v>0</v>
      </c>
      <c r="F184" s="3">
        <f>IF(OR(INDEX($P$2:$P$1001,MATCH(ROWS($O$2:O184),$O$2:$O$1001,0),1)&gt;=100000,INDEX($V$1005:$AE$1005,1,MATCH(COLUMNS($V$1006:Z1006),$V$1006:$AE$1006,0))&gt;=100000), " ",IF(INDEX($V$2:$AE$1001,MATCH(ROWS($O$2:O184),$O$2:$O$1001,0),MATCH(COLUMNS($V$1006:Z1006),$V$1006:$AE$1006,0)), HYPERLINK("#",""), HYPERLINK(CONCATENATE("#Metadata!", ADDRESS(INDEX($Q$2:$Q$1001,MATCH(ROWS($O$2:O184),$O$2:$O$1001,0),0), INDEX($V$1004:$AE$1004,1,MATCH(COLUMNS($V$1006:Z1006),$V$1006:$AE$1006,0)))),"Fix")))</f>
        <v>0</v>
      </c>
      <c r="G184" s="3">
        <f>IF(OR(INDEX($P$2:$P$1001,MATCH(ROWS($O$2:O184),$O$2:$O$1001,0),1)&gt;=100000,INDEX($V$1005:$AE$1005,1,MATCH(COLUMNS($V$1006:AA1006),$V$1006:$AE$1006,0))&gt;=100000), " ",IF(INDEX($V$2:$AE$1001,MATCH(ROWS($O$2:O184),$O$2:$O$1001,0),MATCH(COLUMNS($V$1006:AA1006),$V$1006:$AE$1006,0)), HYPERLINK("#",""), HYPERLINK(CONCATENATE("#Metadata!", ADDRESS(INDEX($Q$2:$Q$1001,MATCH(ROWS($O$2:O184),$O$2:$O$1001,0),0), INDEX($V$1004:$AE$1004,1,MATCH(COLUMNS($V$1006:AA1006),$V$1006:$AE$1006,0)))),"Fix")))</f>
        <v>0</v>
      </c>
      <c r="H184" s="3">
        <f>IF(OR(INDEX($P$2:$P$1001,MATCH(ROWS($O$2:O184),$O$2:$O$1001,0),1)&gt;=100000,INDEX($V$1005:$AE$1005,1,MATCH(COLUMNS($V$1006:AB1006),$V$1006:$AE$1006,0))&gt;=100000), " ",IF(INDEX($V$2:$AE$1001,MATCH(ROWS($O$2:O184),$O$2:$O$1001,0),MATCH(COLUMNS($V$1006:AB1006),$V$1006:$AE$1006,0)), HYPERLINK("#",""), HYPERLINK(CONCATENATE("#Metadata!", ADDRESS(INDEX($Q$2:$Q$1001,MATCH(ROWS($O$2:O184),$O$2:$O$1001,0),0), INDEX($V$1004:$AE$1004,1,MATCH(COLUMNS($V$1006:AB1006),$V$1006:$AE$1006,0)))),"Fix")))</f>
        <v>0</v>
      </c>
      <c r="I184" s="3">
        <f>IF(OR(INDEX($P$2:$P$1001,MATCH(ROWS($O$2:O184),$O$2:$O$1001,0),1)&gt;=100000,INDEX($V$1005:$AE$1005,1,MATCH(COLUMNS($V$1006:AC1006),$V$1006:$AE$1006,0))&gt;=100000), " ",IF(INDEX($V$2:$AE$1001,MATCH(ROWS($O$2:O184),$O$2:$O$1001,0),MATCH(COLUMNS($V$1006:AC1006),$V$1006:$AE$1006,0)), HYPERLINK("#",""), HYPERLINK(CONCATENATE("#Metadata!", ADDRESS(INDEX($Q$2:$Q$1001,MATCH(ROWS($O$2:O184),$O$2:$O$1001,0),0), INDEX($V$1004:$AE$1004,1,MATCH(COLUMNS($V$1006:AC1006),$V$1006:$AE$1006,0)))),"Fix")))</f>
        <v>0</v>
      </c>
      <c r="J184" s="3">
        <f>IF(OR(INDEX($P$2:$P$1001,MATCH(ROWS($O$2:O184),$O$2:$O$1001,0),1)&gt;=100000,INDEX($V$1005:$AE$1005,1,MATCH(COLUMNS($V$1006:AD1006),$V$1006:$AE$1006,0))&gt;=100000), " ",IF(INDEX($V$2:$AE$1001,MATCH(ROWS($O$2:O184),$O$2:$O$1001,0),MATCH(COLUMNS($V$1006:AD1006),$V$1006:$AE$1006,0)), HYPERLINK("#",""), HYPERLINK(CONCATENATE("#Metadata!", ADDRESS(INDEX($Q$2:$Q$1001,MATCH(ROWS($O$2:O184),$O$2:$O$1001,0),0), INDEX($V$1004:$AE$1004,1,MATCH(COLUMNS($V$1006:AD1006),$V$1006:$AE$1006,0)))),"Fix")))</f>
        <v>0</v>
      </c>
      <c r="K184" s="3">
        <f>IF(OR(INDEX($P$2:$P$1001,MATCH(ROWS($O$2:O184),$O$2:$O$1001,0),1)&gt;=100000,INDEX($V$1005:$AE$1005,1,MATCH(COLUMNS($V$1006:AE1006),$V$1006:$AE$1006,0))&gt;=100000), " ",IF(INDEX($V$2:$AE$1001,MATCH(ROWS($O$2:O184),$O$2:$O$1001,0),MATCH(COLUMNS($V$1006:AE1006),$V$1006:$AE$1006,0)), HYPERLINK("#",""), HYPERLINK(CONCATENATE("#Metadata!", ADDRESS(INDEX($Q$2:$Q$1001,MATCH(ROWS($O$2:O184),$O$2:$O$1001,0),0), INDEX($V$1004:$AE$1004,1,MATCH(COLUMNS($V$1006:AE1006),$V$1006:$AE$1006,0)))),"Fix")))</f>
        <v>0</v>
      </c>
      <c r="O184">
        <v>0</v>
      </c>
      <c r="P184">
        <v>0</v>
      </c>
      <c r="Q184">
        <v>0</v>
      </c>
      <c r="R184">
        <f>IF(S184,TRUE,AND(V184:AE184))</f>
        <v>0</v>
      </c>
      <c r="S184">
        <f>COUNTBLANK(Metadata!B184:K184)=COLUMNS(Metadata!B184:K184)</f>
        <v>0</v>
      </c>
      <c r="T184">
        <v>0</v>
      </c>
      <c r="V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W184">
        <f>AND(IF(Metadata!C184="",FALSE,TRUE),exact(Metadata!C184,"animal secretion"))</f>
        <v>0</v>
      </c>
      <c r="X184">
        <f>AND(IF(Metadata!D184="",FALSE,TRUE),exact(Metadata!D184,"saliva"))</f>
        <v>0</v>
      </c>
      <c r="Y184">
        <f>AND(IF(Metadata!E184="",FALSE,TRUE),exact(Metadata!E184,"human-oral"))</f>
        <v>0</v>
      </c>
      <c r="Z184">
        <f>AND(IF(Metadata!F184="",FALSE,TRUE),exact(Metadata!F184,"UBERON:oral cavity"))</f>
        <v>0</v>
      </c>
      <c r="AA184">
        <f>AND(IF(Metadata!G184="",FALSE,TRUE),exact(Metadata!G184,"UBERON:saliva"))</f>
        <v>0</v>
      </c>
      <c r="AB184">
        <f>AND(IF(Metadata!H184="",FALSE,TRUE),exact(Metadata!H184,"UBERON:tongue"))</f>
        <v>0</v>
      </c>
      <c r="AC184">
        <f>AND(IF(Metadata!I184="",FALSE,TRUE),exact(Metadata!I184,"tongue"))</f>
        <v>0</v>
      </c>
      <c r="AD184">
        <f>AND(IF(Metadata!J184="",FALSE,TRUE),exact(Metadata!J184,"human oral metagenome"))</f>
        <v>0</v>
      </c>
      <c r="AE184">
        <f>AND(IF(Metadata!K184="",FALSE,TRUE),exact(Metadata!K184,"447426"))</f>
        <v>0</v>
      </c>
    </row>
    <row r="185" spans="1:31">
      <c r="A185" s="4">
        <f>IF(B185=" "," ",HYPERLINK(CONCATENATE("#metadata!",ADDRESS(INDEX($Q$2:$Q$1001,MATCH(ROWS($O$2:O185),$O$2:$O$1001,0),0),1)),INDEX($T$2:$T$1001,MATCH(ROWS($O$2:O185),$O$2:$O$1001,0),0)))</f>
        <v>0</v>
      </c>
      <c r="B185" s="3">
        <f>IF(OR(INDEX($P$2:$P$1001,MATCH(ROWS($O$2:O185),$O$2:$O$1001,0),1)&gt;=100000,INDEX($V$1005:$AE$1005,1,MATCH(COLUMNS($V$1006:V1006),$V$1006:$AE$1006,0))&gt;=100000), " ",IF(INDEX($V$2:$AE$1001,MATCH(ROWS($O$2:O185),$O$2:$O$1001,0),MATCH(COLUMNS($V$1006:V1006),$V$1006:$AE$1006,0)), HYPERLINK("#",""), HYPERLINK(CONCATENATE("#Metadata!", ADDRESS(INDEX($Q$2:$Q$1001,MATCH(ROWS($O$2:O185),$O$2:$O$1001,0),0), INDEX($V$1004:$AE$1004,1,MATCH(COLUMNS($V$1006:V1006),$V$1006:$AE$1006,0)))),"Fix")))</f>
        <v>0</v>
      </c>
      <c r="C185" s="3">
        <f>IF(OR(INDEX($P$2:$P$1001,MATCH(ROWS($O$2:O185),$O$2:$O$1001,0),1)&gt;=100000,INDEX($V$1005:$AE$1005,1,MATCH(COLUMNS($V$1006:W1006),$V$1006:$AE$1006,0))&gt;=100000), " ",IF(INDEX($V$2:$AE$1001,MATCH(ROWS($O$2:O185),$O$2:$O$1001,0),MATCH(COLUMNS($V$1006:W1006),$V$1006:$AE$1006,0)), HYPERLINK("#",""), HYPERLINK(CONCATENATE("#Metadata!", ADDRESS(INDEX($Q$2:$Q$1001,MATCH(ROWS($O$2:O185),$O$2:$O$1001,0),0), INDEX($V$1004:$AE$1004,1,MATCH(COLUMNS($V$1006:W1006),$V$1006:$AE$1006,0)))),"Fix")))</f>
        <v>0</v>
      </c>
      <c r="D185" s="3">
        <f>IF(OR(INDEX($P$2:$P$1001,MATCH(ROWS($O$2:O185),$O$2:$O$1001,0),1)&gt;=100000,INDEX($V$1005:$AE$1005,1,MATCH(COLUMNS($V$1006:X1006),$V$1006:$AE$1006,0))&gt;=100000), " ",IF(INDEX($V$2:$AE$1001,MATCH(ROWS($O$2:O185),$O$2:$O$1001,0),MATCH(COLUMNS($V$1006:X1006),$V$1006:$AE$1006,0)), HYPERLINK("#",""), HYPERLINK(CONCATENATE("#Metadata!", ADDRESS(INDEX($Q$2:$Q$1001,MATCH(ROWS($O$2:O185),$O$2:$O$1001,0),0), INDEX($V$1004:$AE$1004,1,MATCH(COLUMNS($V$1006:X1006),$V$1006:$AE$1006,0)))),"Fix")))</f>
        <v>0</v>
      </c>
      <c r="E185" s="3">
        <f>IF(OR(INDEX($P$2:$P$1001,MATCH(ROWS($O$2:O185),$O$2:$O$1001,0),1)&gt;=100000,INDEX($V$1005:$AE$1005,1,MATCH(COLUMNS($V$1006:Y1006),$V$1006:$AE$1006,0))&gt;=100000), " ",IF(INDEX($V$2:$AE$1001,MATCH(ROWS($O$2:O185),$O$2:$O$1001,0),MATCH(COLUMNS($V$1006:Y1006),$V$1006:$AE$1006,0)), HYPERLINK("#",""), HYPERLINK(CONCATENATE("#Metadata!", ADDRESS(INDEX($Q$2:$Q$1001,MATCH(ROWS($O$2:O185),$O$2:$O$1001,0),0), INDEX($V$1004:$AE$1004,1,MATCH(COLUMNS($V$1006:Y1006),$V$1006:$AE$1006,0)))),"Fix")))</f>
        <v>0</v>
      </c>
      <c r="F185" s="3">
        <f>IF(OR(INDEX($P$2:$P$1001,MATCH(ROWS($O$2:O185),$O$2:$O$1001,0),1)&gt;=100000,INDEX($V$1005:$AE$1005,1,MATCH(COLUMNS($V$1006:Z1006),$V$1006:$AE$1006,0))&gt;=100000), " ",IF(INDEX($V$2:$AE$1001,MATCH(ROWS($O$2:O185),$O$2:$O$1001,0),MATCH(COLUMNS($V$1006:Z1006),$V$1006:$AE$1006,0)), HYPERLINK("#",""), HYPERLINK(CONCATENATE("#Metadata!", ADDRESS(INDEX($Q$2:$Q$1001,MATCH(ROWS($O$2:O185),$O$2:$O$1001,0),0), INDEX($V$1004:$AE$1004,1,MATCH(COLUMNS($V$1006:Z1006),$V$1006:$AE$1006,0)))),"Fix")))</f>
        <v>0</v>
      </c>
      <c r="G185" s="3">
        <f>IF(OR(INDEX($P$2:$P$1001,MATCH(ROWS($O$2:O185),$O$2:$O$1001,0),1)&gt;=100000,INDEX($V$1005:$AE$1005,1,MATCH(COLUMNS($V$1006:AA1006),$V$1006:$AE$1006,0))&gt;=100000), " ",IF(INDEX($V$2:$AE$1001,MATCH(ROWS($O$2:O185),$O$2:$O$1001,0),MATCH(COLUMNS($V$1006:AA1006),$V$1006:$AE$1006,0)), HYPERLINK("#",""), HYPERLINK(CONCATENATE("#Metadata!", ADDRESS(INDEX($Q$2:$Q$1001,MATCH(ROWS($O$2:O185),$O$2:$O$1001,0),0), INDEX($V$1004:$AE$1004,1,MATCH(COLUMNS($V$1006:AA1006),$V$1006:$AE$1006,0)))),"Fix")))</f>
        <v>0</v>
      </c>
      <c r="H185" s="3">
        <f>IF(OR(INDEX($P$2:$P$1001,MATCH(ROWS($O$2:O185),$O$2:$O$1001,0),1)&gt;=100000,INDEX($V$1005:$AE$1005,1,MATCH(COLUMNS($V$1006:AB1006),$V$1006:$AE$1006,0))&gt;=100000), " ",IF(INDEX($V$2:$AE$1001,MATCH(ROWS($O$2:O185),$O$2:$O$1001,0),MATCH(COLUMNS($V$1006:AB1006),$V$1006:$AE$1006,0)), HYPERLINK("#",""), HYPERLINK(CONCATENATE("#Metadata!", ADDRESS(INDEX($Q$2:$Q$1001,MATCH(ROWS($O$2:O185),$O$2:$O$1001,0),0), INDEX($V$1004:$AE$1004,1,MATCH(COLUMNS($V$1006:AB1006),$V$1006:$AE$1006,0)))),"Fix")))</f>
        <v>0</v>
      </c>
      <c r="I185" s="3">
        <f>IF(OR(INDEX($P$2:$P$1001,MATCH(ROWS($O$2:O185),$O$2:$O$1001,0),1)&gt;=100000,INDEX($V$1005:$AE$1005,1,MATCH(COLUMNS($V$1006:AC1006),$V$1006:$AE$1006,0))&gt;=100000), " ",IF(INDEX($V$2:$AE$1001,MATCH(ROWS($O$2:O185),$O$2:$O$1001,0),MATCH(COLUMNS($V$1006:AC1006),$V$1006:$AE$1006,0)), HYPERLINK("#",""), HYPERLINK(CONCATENATE("#Metadata!", ADDRESS(INDEX($Q$2:$Q$1001,MATCH(ROWS($O$2:O185),$O$2:$O$1001,0),0), INDEX($V$1004:$AE$1004,1,MATCH(COLUMNS($V$1006:AC1006),$V$1006:$AE$1006,0)))),"Fix")))</f>
        <v>0</v>
      </c>
      <c r="J185" s="3">
        <f>IF(OR(INDEX($P$2:$P$1001,MATCH(ROWS($O$2:O185),$O$2:$O$1001,0),1)&gt;=100000,INDEX($V$1005:$AE$1005,1,MATCH(COLUMNS($V$1006:AD1006),$V$1006:$AE$1006,0))&gt;=100000), " ",IF(INDEX($V$2:$AE$1001,MATCH(ROWS($O$2:O185),$O$2:$O$1001,0),MATCH(COLUMNS($V$1006:AD1006),$V$1006:$AE$1006,0)), HYPERLINK("#",""), HYPERLINK(CONCATENATE("#Metadata!", ADDRESS(INDEX($Q$2:$Q$1001,MATCH(ROWS($O$2:O185),$O$2:$O$1001,0),0), INDEX($V$1004:$AE$1004,1,MATCH(COLUMNS($V$1006:AD1006),$V$1006:$AE$1006,0)))),"Fix")))</f>
        <v>0</v>
      </c>
      <c r="K185" s="3">
        <f>IF(OR(INDEX($P$2:$P$1001,MATCH(ROWS($O$2:O185),$O$2:$O$1001,0),1)&gt;=100000,INDEX($V$1005:$AE$1005,1,MATCH(COLUMNS($V$1006:AE1006),$V$1006:$AE$1006,0))&gt;=100000), " ",IF(INDEX($V$2:$AE$1001,MATCH(ROWS($O$2:O185),$O$2:$O$1001,0),MATCH(COLUMNS($V$1006:AE1006),$V$1006:$AE$1006,0)), HYPERLINK("#",""), HYPERLINK(CONCATENATE("#Metadata!", ADDRESS(INDEX($Q$2:$Q$1001,MATCH(ROWS($O$2:O185),$O$2:$O$1001,0),0), INDEX($V$1004:$AE$1004,1,MATCH(COLUMNS($V$1006:AE1006),$V$1006:$AE$1006,0)))),"Fix")))</f>
        <v>0</v>
      </c>
      <c r="O185">
        <v>0</v>
      </c>
      <c r="P185">
        <v>0</v>
      </c>
      <c r="Q185">
        <v>0</v>
      </c>
      <c r="R185">
        <f>IF(S185,TRUE,AND(V185:AE185))</f>
        <v>0</v>
      </c>
      <c r="S185">
        <f>COUNTBLANK(Metadata!B185:K185)=COLUMNS(Metadata!B185:K185)</f>
        <v>0</v>
      </c>
      <c r="T185">
        <v>0</v>
      </c>
      <c r="V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W185">
        <f>AND(IF(Metadata!C185="",FALSE,TRUE),exact(Metadata!C185,"animal secretion"))</f>
        <v>0</v>
      </c>
      <c r="X185">
        <f>AND(IF(Metadata!D185="",FALSE,TRUE),exact(Metadata!D185,"saliva"))</f>
        <v>0</v>
      </c>
      <c r="Y185">
        <f>AND(IF(Metadata!E185="",FALSE,TRUE),exact(Metadata!E185,"human-oral"))</f>
        <v>0</v>
      </c>
      <c r="Z185">
        <f>AND(IF(Metadata!F185="",FALSE,TRUE),exact(Metadata!F185,"UBERON:oral cavity"))</f>
        <v>0</v>
      </c>
      <c r="AA185">
        <f>AND(IF(Metadata!G185="",FALSE,TRUE),exact(Metadata!G185,"UBERON:saliva"))</f>
        <v>0</v>
      </c>
      <c r="AB185">
        <f>AND(IF(Metadata!H185="",FALSE,TRUE),exact(Metadata!H185,"UBERON:tongue"))</f>
        <v>0</v>
      </c>
      <c r="AC185">
        <f>AND(IF(Metadata!I185="",FALSE,TRUE),exact(Metadata!I185,"tongue"))</f>
        <v>0</v>
      </c>
      <c r="AD185">
        <f>AND(IF(Metadata!J185="",FALSE,TRUE),exact(Metadata!J185,"human oral metagenome"))</f>
        <v>0</v>
      </c>
      <c r="AE185">
        <f>AND(IF(Metadata!K185="",FALSE,TRUE),exact(Metadata!K185,"447426"))</f>
        <v>0</v>
      </c>
    </row>
    <row r="186" spans="1:31">
      <c r="A186" s="4">
        <f>IF(B186=" "," ",HYPERLINK(CONCATENATE("#metadata!",ADDRESS(INDEX($Q$2:$Q$1001,MATCH(ROWS($O$2:O186),$O$2:$O$1001,0),0),1)),INDEX($T$2:$T$1001,MATCH(ROWS($O$2:O186),$O$2:$O$1001,0),0)))</f>
        <v>0</v>
      </c>
      <c r="B186" s="3">
        <f>IF(OR(INDEX($P$2:$P$1001,MATCH(ROWS($O$2:O186),$O$2:$O$1001,0),1)&gt;=100000,INDEX($V$1005:$AE$1005,1,MATCH(COLUMNS($V$1006:V1006),$V$1006:$AE$1006,0))&gt;=100000), " ",IF(INDEX($V$2:$AE$1001,MATCH(ROWS($O$2:O186),$O$2:$O$1001,0),MATCH(COLUMNS($V$1006:V1006),$V$1006:$AE$1006,0)), HYPERLINK("#",""), HYPERLINK(CONCATENATE("#Metadata!", ADDRESS(INDEX($Q$2:$Q$1001,MATCH(ROWS($O$2:O186),$O$2:$O$1001,0),0), INDEX($V$1004:$AE$1004,1,MATCH(COLUMNS($V$1006:V1006),$V$1006:$AE$1006,0)))),"Fix")))</f>
        <v>0</v>
      </c>
      <c r="C186" s="3">
        <f>IF(OR(INDEX($P$2:$P$1001,MATCH(ROWS($O$2:O186),$O$2:$O$1001,0),1)&gt;=100000,INDEX($V$1005:$AE$1005,1,MATCH(COLUMNS($V$1006:W1006),$V$1006:$AE$1006,0))&gt;=100000), " ",IF(INDEX($V$2:$AE$1001,MATCH(ROWS($O$2:O186),$O$2:$O$1001,0),MATCH(COLUMNS($V$1006:W1006),$V$1006:$AE$1006,0)), HYPERLINK("#",""), HYPERLINK(CONCATENATE("#Metadata!", ADDRESS(INDEX($Q$2:$Q$1001,MATCH(ROWS($O$2:O186),$O$2:$O$1001,0),0), INDEX($V$1004:$AE$1004,1,MATCH(COLUMNS($V$1006:W1006),$V$1006:$AE$1006,0)))),"Fix")))</f>
        <v>0</v>
      </c>
      <c r="D186" s="3">
        <f>IF(OR(INDEX($P$2:$P$1001,MATCH(ROWS($O$2:O186),$O$2:$O$1001,0),1)&gt;=100000,INDEX($V$1005:$AE$1005,1,MATCH(COLUMNS($V$1006:X1006),$V$1006:$AE$1006,0))&gt;=100000), " ",IF(INDEX($V$2:$AE$1001,MATCH(ROWS($O$2:O186),$O$2:$O$1001,0),MATCH(COLUMNS($V$1006:X1006),$V$1006:$AE$1006,0)), HYPERLINK("#",""), HYPERLINK(CONCATENATE("#Metadata!", ADDRESS(INDEX($Q$2:$Q$1001,MATCH(ROWS($O$2:O186),$O$2:$O$1001,0),0), INDEX($V$1004:$AE$1004,1,MATCH(COLUMNS($V$1006:X1006),$V$1006:$AE$1006,0)))),"Fix")))</f>
        <v>0</v>
      </c>
      <c r="E186" s="3">
        <f>IF(OR(INDEX($P$2:$P$1001,MATCH(ROWS($O$2:O186),$O$2:$O$1001,0),1)&gt;=100000,INDEX($V$1005:$AE$1005,1,MATCH(COLUMNS($V$1006:Y1006),$V$1006:$AE$1006,0))&gt;=100000), " ",IF(INDEX($V$2:$AE$1001,MATCH(ROWS($O$2:O186),$O$2:$O$1001,0),MATCH(COLUMNS($V$1006:Y1006),$V$1006:$AE$1006,0)), HYPERLINK("#",""), HYPERLINK(CONCATENATE("#Metadata!", ADDRESS(INDEX($Q$2:$Q$1001,MATCH(ROWS($O$2:O186),$O$2:$O$1001,0),0), INDEX($V$1004:$AE$1004,1,MATCH(COLUMNS($V$1006:Y1006),$V$1006:$AE$1006,0)))),"Fix")))</f>
        <v>0</v>
      </c>
      <c r="F186" s="3">
        <f>IF(OR(INDEX($P$2:$P$1001,MATCH(ROWS($O$2:O186),$O$2:$O$1001,0),1)&gt;=100000,INDEX($V$1005:$AE$1005,1,MATCH(COLUMNS($V$1006:Z1006),$V$1006:$AE$1006,0))&gt;=100000), " ",IF(INDEX($V$2:$AE$1001,MATCH(ROWS($O$2:O186),$O$2:$O$1001,0),MATCH(COLUMNS($V$1006:Z1006),$V$1006:$AE$1006,0)), HYPERLINK("#",""), HYPERLINK(CONCATENATE("#Metadata!", ADDRESS(INDEX($Q$2:$Q$1001,MATCH(ROWS($O$2:O186),$O$2:$O$1001,0),0), INDEX($V$1004:$AE$1004,1,MATCH(COLUMNS($V$1006:Z1006),$V$1006:$AE$1006,0)))),"Fix")))</f>
        <v>0</v>
      </c>
      <c r="G186" s="3">
        <f>IF(OR(INDEX($P$2:$P$1001,MATCH(ROWS($O$2:O186),$O$2:$O$1001,0),1)&gt;=100000,INDEX($V$1005:$AE$1005,1,MATCH(COLUMNS($V$1006:AA1006),$V$1006:$AE$1006,0))&gt;=100000), " ",IF(INDEX($V$2:$AE$1001,MATCH(ROWS($O$2:O186),$O$2:$O$1001,0),MATCH(COLUMNS($V$1006:AA1006),$V$1006:$AE$1006,0)), HYPERLINK("#",""), HYPERLINK(CONCATENATE("#Metadata!", ADDRESS(INDEX($Q$2:$Q$1001,MATCH(ROWS($O$2:O186),$O$2:$O$1001,0),0), INDEX($V$1004:$AE$1004,1,MATCH(COLUMNS($V$1006:AA1006),$V$1006:$AE$1006,0)))),"Fix")))</f>
        <v>0</v>
      </c>
      <c r="H186" s="3">
        <f>IF(OR(INDEX($P$2:$P$1001,MATCH(ROWS($O$2:O186),$O$2:$O$1001,0),1)&gt;=100000,INDEX($V$1005:$AE$1005,1,MATCH(COLUMNS($V$1006:AB1006),$V$1006:$AE$1006,0))&gt;=100000), " ",IF(INDEX($V$2:$AE$1001,MATCH(ROWS($O$2:O186),$O$2:$O$1001,0),MATCH(COLUMNS($V$1006:AB1006),$V$1006:$AE$1006,0)), HYPERLINK("#",""), HYPERLINK(CONCATENATE("#Metadata!", ADDRESS(INDEX($Q$2:$Q$1001,MATCH(ROWS($O$2:O186),$O$2:$O$1001,0),0), INDEX($V$1004:$AE$1004,1,MATCH(COLUMNS($V$1006:AB1006),$V$1006:$AE$1006,0)))),"Fix")))</f>
        <v>0</v>
      </c>
      <c r="I186" s="3">
        <f>IF(OR(INDEX($P$2:$P$1001,MATCH(ROWS($O$2:O186),$O$2:$O$1001,0),1)&gt;=100000,INDEX($V$1005:$AE$1005,1,MATCH(COLUMNS($V$1006:AC1006),$V$1006:$AE$1006,0))&gt;=100000), " ",IF(INDEX($V$2:$AE$1001,MATCH(ROWS($O$2:O186),$O$2:$O$1001,0),MATCH(COLUMNS($V$1006:AC1006),$V$1006:$AE$1006,0)), HYPERLINK("#",""), HYPERLINK(CONCATENATE("#Metadata!", ADDRESS(INDEX($Q$2:$Q$1001,MATCH(ROWS($O$2:O186),$O$2:$O$1001,0),0), INDEX($V$1004:$AE$1004,1,MATCH(COLUMNS($V$1006:AC1006),$V$1006:$AE$1006,0)))),"Fix")))</f>
        <v>0</v>
      </c>
      <c r="J186" s="3">
        <f>IF(OR(INDEX($P$2:$P$1001,MATCH(ROWS($O$2:O186),$O$2:$O$1001,0),1)&gt;=100000,INDEX($V$1005:$AE$1005,1,MATCH(COLUMNS($V$1006:AD1006),$V$1006:$AE$1006,0))&gt;=100000), " ",IF(INDEX($V$2:$AE$1001,MATCH(ROWS($O$2:O186),$O$2:$O$1001,0),MATCH(COLUMNS($V$1006:AD1006),$V$1006:$AE$1006,0)), HYPERLINK("#",""), HYPERLINK(CONCATENATE("#Metadata!", ADDRESS(INDEX($Q$2:$Q$1001,MATCH(ROWS($O$2:O186),$O$2:$O$1001,0),0), INDEX($V$1004:$AE$1004,1,MATCH(COLUMNS($V$1006:AD1006),$V$1006:$AE$1006,0)))),"Fix")))</f>
        <v>0</v>
      </c>
      <c r="K186" s="3">
        <f>IF(OR(INDEX($P$2:$P$1001,MATCH(ROWS($O$2:O186),$O$2:$O$1001,0),1)&gt;=100000,INDEX($V$1005:$AE$1005,1,MATCH(COLUMNS($V$1006:AE1006),$V$1006:$AE$1006,0))&gt;=100000), " ",IF(INDEX($V$2:$AE$1001,MATCH(ROWS($O$2:O186),$O$2:$O$1001,0),MATCH(COLUMNS($V$1006:AE1006),$V$1006:$AE$1006,0)), HYPERLINK("#",""), HYPERLINK(CONCATENATE("#Metadata!", ADDRESS(INDEX($Q$2:$Q$1001,MATCH(ROWS($O$2:O186),$O$2:$O$1001,0),0), INDEX($V$1004:$AE$1004,1,MATCH(COLUMNS($V$1006:AE1006),$V$1006:$AE$1006,0)))),"Fix")))</f>
        <v>0</v>
      </c>
      <c r="O186">
        <v>0</v>
      </c>
      <c r="P186">
        <v>0</v>
      </c>
      <c r="Q186">
        <v>0</v>
      </c>
      <c r="R186">
        <f>IF(S186,TRUE,AND(V186:AE186))</f>
        <v>0</v>
      </c>
      <c r="S186">
        <f>COUNTBLANK(Metadata!B186:K186)=COLUMNS(Metadata!B186:K186)</f>
        <v>0</v>
      </c>
      <c r="T186">
        <v>0</v>
      </c>
      <c r="V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W186">
        <f>AND(IF(Metadata!C186="",FALSE,TRUE),exact(Metadata!C186,"animal secretion"))</f>
        <v>0</v>
      </c>
      <c r="X186">
        <f>AND(IF(Metadata!D186="",FALSE,TRUE),exact(Metadata!D186,"saliva"))</f>
        <v>0</v>
      </c>
      <c r="Y186">
        <f>AND(IF(Metadata!E186="",FALSE,TRUE),exact(Metadata!E186,"human-oral"))</f>
        <v>0</v>
      </c>
      <c r="Z186">
        <f>AND(IF(Metadata!F186="",FALSE,TRUE),exact(Metadata!F186,"UBERON:oral cavity"))</f>
        <v>0</v>
      </c>
      <c r="AA186">
        <f>AND(IF(Metadata!G186="",FALSE,TRUE),exact(Metadata!G186,"UBERON:saliva"))</f>
        <v>0</v>
      </c>
      <c r="AB186">
        <f>AND(IF(Metadata!H186="",FALSE,TRUE),exact(Metadata!H186,"UBERON:tongue"))</f>
        <v>0</v>
      </c>
      <c r="AC186">
        <f>AND(IF(Metadata!I186="",FALSE,TRUE),exact(Metadata!I186,"tongue"))</f>
        <v>0</v>
      </c>
      <c r="AD186">
        <f>AND(IF(Metadata!J186="",FALSE,TRUE),exact(Metadata!J186,"human oral metagenome"))</f>
        <v>0</v>
      </c>
      <c r="AE186">
        <f>AND(IF(Metadata!K186="",FALSE,TRUE),exact(Metadata!K186,"447426"))</f>
        <v>0</v>
      </c>
    </row>
    <row r="187" spans="1:31">
      <c r="A187" s="4">
        <f>IF(B187=" "," ",HYPERLINK(CONCATENATE("#metadata!",ADDRESS(INDEX($Q$2:$Q$1001,MATCH(ROWS($O$2:O187),$O$2:$O$1001,0),0),1)),INDEX($T$2:$T$1001,MATCH(ROWS($O$2:O187),$O$2:$O$1001,0),0)))</f>
        <v>0</v>
      </c>
      <c r="B187" s="3">
        <f>IF(OR(INDEX($P$2:$P$1001,MATCH(ROWS($O$2:O187),$O$2:$O$1001,0),1)&gt;=100000,INDEX($V$1005:$AE$1005,1,MATCH(COLUMNS($V$1006:V1006),$V$1006:$AE$1006,0))&gt;=100000), " ",IF(INDEX($V$2:$AE$1001,MATCH(ROWS($O$2:O187),$O$2:$O$1001,0),MATCH(COLUMNS($V$1006:V1006),$V$1006:$AE$1006,0)), HYPERLINK("#",""), HYPERLINK(CONCATENATE("#Metadata!", ADDRESS(INDEX($Q$2:$Q$1001,MATCH(ROWS($O$2:O187),$O$2:$O$1001,0),0), INDEX($V$1004:$AE$1004,1,MATCH(COLUMNS($V$1006:V1006),$V$1006:$AE$1006,0)))),"Fix")))</f>
        <v>0</v>
      </c>
      <c r="C187" s="3">
        <f>IF(OR(INDEX($P$2:$P$1001,MATCH(ROWS($O$2:O187),$O$2:$O$1001,0),1)&gt;=100000,INDEX($V$1005:$AE$1005,1,MATCH(COLUMNS($V$1006:W1006),$V$1006:$AE$1006,0))&gt;=100000), " ",IF(INDEX($V$2:$AE$1001,MATCH(ROWS($O$2:O187),$O$2:$O$1001,0),MATCH(COLUMNS($V$1006:W1006),$V$1006:$AE$1006,0)), HYPERLINK("#",""), HYPERLINK(CONCATENATE("#Metadata!", ADDRESS(INDEX($Q$2:$Q$1001,MATCH(ROWS($O$2:O187),$O$2:$O$1001,0),0), INDEX($V$1004:$AE$1004,1,MATCH(COLUMNS($V$1006:W1006),$V$1006:$AE$1006,0)))),"Fix")))</f>
        <v>0</v>
      </c>
      <c r="D187" s="3">
        <f>IF(OR(INDEX($P$2:$P$1001,MATCH(ROWS($O$2:O187),$O$2:$O$1001,0),1)&gt;=100000,INDEX($V$1005:$AE$1005,1,MATCH(COLUMNS($V$1006:X1006),$V$1006:$AE$1006,0))&gt;=100000), " ",IF(INDEX($V$2:$AE$1001,MATCH(ROWS($O$2:O187),$O$2:$O$1001,0),MATCH(COLUMNS($V$1006:X1006),$V$1006:$AE$1006,0)), HYPERLINK("#",""), HYPERLINK(CONCATENATE("#Metadata!", ADDRESS(INDEX($Q$2:$Q$1001,MATCH(ROWS($O$2:O187),$O$2:$O$1001,0),0), INDEX($V$1004:$AE$1004,1,MATCH(COLUMNS($V$1006:X1006),$V$1006:$AE$1006,0)))),"Fix")))</f>
        <v>0</v>
      </c>
      <c r="E187" s="3">
        <f>IF(OR(INDEX($P$2:$P$1001,MATCH(ROWS($O$2:O187),$O$2:$O$1001,0),1)&gt;=100000,INDEX($V$1005:$AE$1005,1,MATCH(COLUMNS($V$1006:Y1006),$V$1006:$AE$1006,0))&gt;=100000), " ",IF(INDEX($V$2:$AE$1001,MATCH(ROWS($O$2:O187),$O$2:$O$1001,0),MATCH(COLUMNS($V$1006:Y1006),$V$1006:$AE$1006,0)), HYPERLINK("#",""), HYPERLINK(CONCATENATE("#Metadata!", ADDRESS(INDEX($Q$2:$Q$1001,MATCH(ROWS($O$2:O187),$O$2:$O$1001,0),0), INDEX($V$1004:$AE$1004,1,MATCH(COLUMNS($V$1006:Y1006),$V$1006:$AE$1006,0)))),"Fix")))</f>
        <v>0</v>
      </c>
      <c r="F187" s="3">
        <f>IF(OR(INDEX($P$2:$P$1001,MATCH(ROWS($O$2:O187),$O$2:$O$1001,0),1)&gt;=100000,INDEX($V$1005:$AE$1005,1,MATCH(COLUMNS($V$1006:Z1006),$V$1006:$AE$1006,0))&gt;=100000), " ",IF(INDEX($V$2:$AE$1001,MATCH(ROWS($O$2:O187),$O$2:$O$1001,0),MATCH(COLUMNS($V$1006:Z1006),$V$1006:$AE$1006,0)), HYPERLINK("#",""), HYPERLINK(CONCATENATE("#Metadata!", ADDRESS(INDEX($Q$2:$Q$1001,MATCH(ROWS($O$2:O187),$O$2:$O$1001,0),0), INDEX($V$1004:$AE$1004,1,MATCH(COLUMNS($V$1006:Z1006),$V$1006:$AE$1006,0)))),"Fix")))</f>
        <v>0</v>
      </c>
      <c r="G187" s="3">
        <f>IF(OR(INDEX($P$2:$P$1001,MATCH(ROWS($O$2:O187),$O$2:$O$1001,0),1)&gt;=100000,INDEX($V$1005:$AE$1005,1,MATCH(COLUMNS($V$1006:AA1006),$V$1006:$AE$1006,0))&gt;=100000), " ",IF(INDEX($V$2:$AE$1001,MATCH(ROWS($O$2:O187),$O$2:$O$1001,0),MATCH(COLUMNS($V$1006:AA1006),$V$1006:$AE$1006,0)), HYPERLINK("#",""), HYPERLINK(CONCATENATE("#Metadata!", ADDRESS(INDEX($Q$2:$Q$1001,MATCH(ROWS($O$2:O187),$O$2:$O$1001,0),0), INDEX($V$1004:$AE$1004,1,MATCH(COLUMNS($V$1006:AA1006),$V$1006:$AE$1006,0)))),"Fix")))</f>
        <v>0</v>
      </c>
      <c r="H187" s="3">
        <f>IF(OR(INDEX($P$2:$P$1001,MATCH(ROWS($O$2:O187),$O$2:$O$1001,0),1)&gt;=100000,INDEX($V$1005:$AE$1005,1,MATCH(COLUMNS($V$1006:AB1006),$V$1006:$AE$1006,0))&gt;=100000), " ",IF(INDEX($V$2:$AE$1001,MATCH(ROWS($O$2:O187),$O$2:$O$1001,0),MATCH(COLUMNS($V$1006:AB1006),$V$1006:$AE$1006,0)), HYPERLINK("#",""), HYPERLINK(CONCATENATE("#Metadata!", ADDRESS(INDEX($Q$2:$Q$1001,MATCH(ROWS($O$2:O187),$O$2:$O$1001,0),0), INDEX($V$1004:$AE$1004,1,MATCH(COLUMNS($V$1006:AB1006),$V$1006:$AE$1006,0)))),"Fix")))</f>
        <v>0</v>
      </c>
      <c r="I187" s="3">
        <f>IF(OR(INDEX($P$2:$P$1001,MATCH(ROWS($O$2:O187),$O$2:$O$1001,0),1)&gt;=100000,INDEX($V$1005:$AE$1005,1,MATCH(COLUMNS($V$1006:AC1006),$V$1006:$AE$1006,0))&gt;=100000), " ",IF(INDEX($V$2:$AE$1001,MATCH(ROWS($O$2:O187),$O$2:$O$1001,0),MATCH(COLUMNS($V$1006:AC1006),$V$1006:$AE$1006,0)), HYPERLINK("#",""), HYPERLINK(CONCATENATE("#Metadata!", ADDRESS(INDEX($Q$2:$Q$1001,MATCH(ROWS($O$2:O187),$O$2:$O$1001,0),0), INDEX($V$1004:$AE$1004,1,MATCH(COLUMNS($V$1006:AC1006),$V$1006:$AE$1006,0)))),"Fix")))</f>
        <v>0</v>
      </c>
      <c r="J187" s="3">
        <f>IF(OR(INDEX($P$2:$P$1001,MATCH(ROWS($O$2:O187),$O$2:$O$1001,0),1)&gt;=100000,INDEX($V$1005:$AE$1005,1,MATCH(COLUMNS($V$1006:AD1006),$V$1006:$AE$1006,0))&gt;=100000), " ",IF(INDEX($V$2:$AE$1001,MATCH(ROWS($O$2:O187),$O$2:$O$1001,0),MATCH(COLUMNS($V$1006:AD1006),$V$1006:$AE$1006,0)), HYPERLINK("#",""), HYPERLINK(CONCATENATE("#Metadata!", ADDRESS(INDEX($Q$2:$Q$1001,MATCH(ROWS($O$2:O187),$O$2:$O$1001,0),0), INDEX($V$1004:$AE$1004,1,MATCH(COLUMNS($V$1006:AD1006),$V$1006:$AE$1006,0)))),"Fix")))</f>
        <v>0</v>
      </c>
      <c r="K187" s="3">
        <f>IF(OR(INDEX($P$2:$P$1001,MATCH(ROWS($O$2:O187),$O$2:$O$1001,0),1)&gt;=100000,INDEX($V$1005:$AE$1005,1,MATCH(COLUMNS($V$1006:AE1006),$V$1006:$AE$1006,0))&gt;=100000), " ",IF(INDEX($V$2:$AE$1001,MATCH(ROWS($O$2:O187),$O$2:$O$1001,0),MATCH(COLUMNS($V$1006:AE1006),$V$1006:$AE$1006,0)), HYPERLINK("#",""), HYPERLINK(CONCATENATE("#Metadata!", ADDRESS(INDEX($Q$2:$Q$1001,MATCH(ROWS($O$2:O187),$O$2:$O$1001,0),0), INDEX($V$1004:$AE$1004,1,MATCH(COLUMNS($V$1006:AE1006),$V$1006:$AE$1006,0)))),"Fix")))</f>
        <v>0</v>
      </c>
      <c r="O187">
        <v>0</v>
      </c>
      <c r="P187">
        <v>0</v>
      </c>
      <c r="Q187">
        <v>0</v>
      </c>
      <c r="R187">
        <f>IF(S187,TRUE,AND(V187:AE187))</f>
        <v>0</v>
      </c>
      <c r="S187">
        <f>COUNTBLANK(Metadata!B187:K187)=COLUMNS(Metadata!B187:K187)</f>
        <v>0</v>
      </c>
      <c r="T187">
        <v>0</v>
      </c>
      <c r="V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W187">
        <f>AND(IF(Metadata!C187="",FALSE,TRUE),exact(Metadata!C187,"animal secretion"))</f>
        <v>0</v>
      </c>
      <c r="X187">
        <f>AND(IF(Metadata!D187="",FALSE,TRUE),exact(Metadata!D187,"saliva"))</f>
        <v>0</v>
      </c>
      <c r="Y187">
        <f>AND(IF(Metadata!E187="",FALSE,TRUE),exact(Metadata!E187,"human-oral"))</f>
        <v>0</v>
      </c>
      <c r="Z187">
        <f>AND(IF(Metadata!F187="",FALSE,TRUE),exact(Metadata!F187,"UBERON:oral cavity"))</f>
        <v>0</v>
      </c>
      <c r="AA187">
        <f>AND(IF(Metadata!G187="",FALSE,TRUE),exact(Metadata!G187,"UBERON:saliva"))</f>
        <v>0</v>
      </c>
      <c r="AB187">
        <f>AND(IF(Metadata!H187="",FALSE,TRUE),exact(Metadata!H187,"UBERON:tongue"))</f>
        <v>0</v>
      </c>
      <c r="AC187">
        <f>AND(IF(Metadata!I187="",FALSE,TRUE),exact(Metadata!I187,"tongue"))</f>
        <v>0</v>
      </c>
      <c r="AD187">
        <f>AND(IF(Metadata!J187="",FALSE,TRUE),exact(Metadata!J187,"human oral metagenome"))</f>
        <v>0</v>
      </c>
      <c r="AE187">
        <f>AND(IF(Metadata!K187="",FALSE,TRUE),exact(Metadata!K187,"447426"))</f>
        <v>0</v>
      </c>
    </row>
    <row r="188" spans="1:31">
      <c r="A188" s="4">
        <f>IF(B188=" "," ",HYPERLINK(CONCATENATE("#metadata!",ADDRESS(INDEX($Q$2:$Q$1001,MATCH(ROWS($O$2:O188),$O$2:$O$1001,0),0),1)),INDEX($T$2:$T$1001,MATCH(ROWS($O$2:O188),$O$2:$O$1001,0),0)))</f>
        <v>0</v>
      </c>
      <c r="B188" s="3">
        <f>IF(OR(INDEX($P$2:$P$1001,MATCH(ROWS($O$2:O188),$O$2:$O$1001,0),1)&gt;=100000,INDEX($V$1005:$AE$1005,1,MATCH(COLUMNS($V$1006:V1006),$V$1006:$AE$1006,0))&gt;=100000), " ",IF(INDEX($V$2:$AE$1001,MATCH(ROWS($O$2:O188),$O$2:$O$1001,0),MATCH(COLUMNS($V$1006:V1006),$V$1006:$AE$1006,0)), HYPERLINK("#",""), HYPERLINK(CONCATENATE("#Metadata!", ADDRESS(INDEX($Q$2:$Q$1001,MATCH(ROWS($O$2:O188),$O$2:$O$1001,0),0), INDEX($V$1004:$AE$1004,1,MATCH(COLUMNS($V$1006:V1006),$V$1006:$AE$1006,0)))),"Fix")))</f>
        <v>0</v>
      </c>
      <c r="C188" s="3">
        <f>IF(OR(INDEX($P$2:$P$1001,MATCH(ROWS($O$2:O188),$O$2:$O$1001,0),1)&gt;=100000,INDEX($V$1005:$AE$1005,1,MATCH(COLUMNS($V$1006:W1006),$V$1006:$AE$1006,0))&gt;=100000), " ",IF(INDEX($V$2:$AE$1001,MATCH(ROWS($O$2:O188),$O$2:$O$1001,0),MATCH(COLUMNS($V$1006:W1006),$V$1006:$AE$1006,0)), HYPERLINK("#",""), HYPERLINK(CONCATENATE("#Metadata!", ADDRESS(INDEX($Q$2:$Q$1001,MATCH(ROWS($O$2:O188),$O$2:$O$1001,0),0), INDEX($V$1004:$AE$1004,1,MATCH(COLUMNS($V$1006:W1006),$V$1006:$AE$1006,0)))),"Fix")))</f>
        <v>0</v>
      </c>
      <c r="D188" s="3">
        <f>IF(OR(INDEX($P$2:$P$1001,MATCH(ROWS($O$2:O188),$O$2:$O$1001,0),1)&gt;=100000,INDEX($V$1005:$AE$1005,1,MATCH(COLUMNS($V$1006:X1006),$V$1006:$AE$1006,0))&gt;=100000), " ",IF(INDEX($V$2:$AE$1001,MATCH(ROWS($O$2:O188),$O$2:$O$1001,0),MATCH(COLUMNS($V$1006:X1006),$V$1006:$AE$1006,0)), HYPERLINK("#",""), HYPERLINK(CONCATENATE("#Metadata!", ADDRESS(INDEX($Q$2:$Q$1001,MATCH(ROWS($O$2:O188),$O$2:$O$1001,0),0), INDEX($V$1004:$AE$1004,1,MATCH(COLUMNS($V$1006:X1006),$V$1006:$AE$1006,0)))),"Fix")))</f>
        <v>0</v>
      </c>
      <c r="E188" s="3">
        <f>IF(OR(INDEX($P$2:$P$1001,MATCH(ROWS($O$2:O188),$O$2:$O$1001,0),1)&gt;=100000,INDEX($V$1005:$AE$1005,1,MATCH(COLUMNS($V$1006:Y1006),$V$1006:$AE$1006,0))&gt;=100000), " ",IF(INDEX($V$2:$AE$1001,MATCH(ROWS($O$2:O188),$O$2:$O$1001,0),MATCH(COLUMNS($V$1006:Y1006),$V$1006:$AE$1006,0)), HYPERLINK("#",""), HYPERLINK(CONCATENATE("#Metadata!", ADDRESS(INDEX($Q$2:$Q$1001,MATCH(ROWS($O$2:O188),$O$2:$O$1001,0),0), INDEX($V$1004:$AE$1004,1,MATCH(COLUMNS($V$1006:Y1006),$V$1006:$AE$1006,0)))),"Fix")))</f>
        <v>0</v>
      </c>
      <c r="F188" s="3">
        <f>IF(OR(INDEX($P$2:$P$1001,MATCH(ROWS($O$2:O188),$O$2:$O$1001,0),1)&gt;=100000,INDEX($V$1005:$AE$1005,1,MATCH(COLUMNS($V$1006:Z1006),$V$1006:$AE$1006,0))&gt;=100000), " ",IF(INDEX($V$2:$AE$1001,MATCH(ROWS($O$2:O188),$O$2:$O$1001,0),MATCH(COLUMNS($V$1006:Z1006),$V$1006:$AE$1006,0)), HYPERLINK("#",""), HYPERLINK(CONCATENATE("#Metadata!", ADDRESS(INDEX($Q$2:$Q$1001,MATCH(ROWS($O$2:O188),$O$2:$O$1001,0),0), INDEX($V$1004:$AE$1004,1,MATCH(COLUMNS($V$1006:Z1006),$V$1006:$AE$1006,0)))),"Fix")))</f>
        <v>0</v>
      </c>
      <c r="G188" s="3">
        <f>IF(OR(INDEX($P$2:$P$1001,MATCH(ROWS($O$2:O188),$O$2:$O$1001,0),1)&gt;=100000,INDEX($V$1005:$AE$1005,1,MATCH(COLUMNS($V$1006:AA1006),$V$1006:$AE$1006,0))&gt;=100000), " ",IF(INDEX($V$2:$AE$1001,MATCH(ROWS($O$2:O188),$O$2:$O$1001,0),MATCH(COLUMNS($V$1006:AA1006),$V$1006:$AE$1006,0)), HYPERLINK("#",""), HYPERLINK(CONCATENATE("#Metadata!", ADDRESS(INDEX($Q$2:$Q$1001,MATCH(ROWS($O$2:O188),$O$2:$O$1001,0),0), INDEX($V$1004:$AE$1004,1,MATCH(COLUMNS($V$1006:AA1006),$V$1006:$AE$1006,0)))),"Fix")))</f>
        <v>0</v>
      </c>
      <c r="H188" s="3">
        <f>IF(OR(INDEX($P$2:$P$1001,MATCH(ROWS($O$2:O188),$O$2:$O$1001,0),1)&gt;=100000,INDEX($V$1005:$AE$1005,1,MATCH(COLUMNS($V$1006:AB1006),$V$1006:$AE$1006,0))&gt;=100000), " ",IF(INDEX($V$2:$AE$1001,MATCH(ROWS($O$2:O188),$O$2:$O$1001,0),MATCH(COLUMNS($V$1006:AB1006),$V$1006:$AE$1006,0)), HYPERLINK("#",""), HYPERLINK(CONCATENATE("#Metadata!", ADDRESS(INDEX($Q$2:$Q$1001,MATCH(ROWS($O$2:O188),$O$2:$O$1001,0),0), INDEX($V$1004:$AE$1004,1,MATCH(COLUMNS($V$1006:AB1006),$V$1006:$AE$1006,0)))),"Fix")))</f>
        <v>0</v>
      </c>
      <c r="I188" s="3">
        <f>IF(OR(INDEX($P$2:$P$1001,MATCH(ROWS($O$2:O188),$O$2:$O$1001,0),1)&gt;=100000,INDEX($V$1005:$AE$1005,1,MATCH(COLUMNS($V$1006:AC1006),$V$1006:$AE$1006,0))&gt;=100000), " ",IF(INDEX($V$2:$AE$1001,MATCH(ROWS($O$2:O188),$O$2:$O$1001,0),MATCH(COLUMNS($V$1006:AC1006),$V$1006:$AE$1006,0)), HYPERLINK("#",""), HYPERLINK(CONCATENATE("#Metadata!", ADDRESS(INDEX($Q$2:$Q$1001,MATCH(ROWS($O$2:O188),$O$2:$O$1001,0),0), INDEX($V$1004:$AE$1004,1,MATCH(COLUMNS($V$1006:AC1006),$V$1006:$AE$1006,0)))),"Fix")))</f>
        <v>0</v>
      </c>
      <c r="J188" s="3">
        <f>IF(OR(INDEX($P$2:$P$1001,MATCH(ROWS($O$2:O188),$O$2:$O$1001,0),1)&gt;=100000,INDEX($V$1005:$AE$1005,1,MATCH(COLUMNS($V$1006:AD1006),$V$1006:$AE$1006,0))&gt;=100000), " ",IF(INDEX($V$2:$AE$1001,MATCH(ROWS($O$2:O188),$O$2:$O$1001,0),MATCH(COLUMNS($V$1006:AD1006),$V$1006:$AE$1006,0)), HYPERLINK("#",""), HYPERLINK(CONCATENATE("#Metadata!", ADDRESS(INDEX($Q$2:$Q$1001,MATCH(ROWS($O$2:O188),$O$2:$O$1001,0),0), INDEX($V$1004:$AE$1004,1,MATCH(COLUMNS($V$1006:AD1006),$V$1006:$AE$1006,0)))),"Fix")))</f>
        <v>0</v>
      </c>
      <c r="K188" s="3">
        <f>IF(OR(INDEX($P$2:$P$1001,MATCH(ROWS($O$2:O188),$O$2:$O$1001,0),1)&gt;=100000,INDEX($V$1005:$AE$1005,1,MATCH(COLUMNS($V$1006:AE1006),$V$1006:$AE$1006,0))&gt;=100000), " ",IF(INDEX($V$2:$AE$1001,MATCH(ROWS($O$2:O188),$O$2:$O$1001,0),MATCH(COLUMNS($V$1006:AE1006),$V$1006:$AE$1006,0)), HYPERLINK("#",""), HYPERLINK(CONCATENATE("#Metadata!", ADDRESS(INDEX($Q$2:$Q$1001,MATCH(ROWS($O$2:O188),$O$2:$O$1001,0),0), INDEX($V$1004:$AE$1004,1,MATCH(COLUMNS($V$1006:AE1006),$V$1006:$AE$1006,0)))),"Fix")))</f>
        <v>0</v>
      </c>
      <c r="O188">
        <v>0</v>
      </c>
      <c r="P188">
        <v>0</v>
      </c>
      <c r="Q188">
        <v>0</v>
      </c>
      <c r="R188">
        <f>IF(S188,TRUE,AND(V188:AE188))</f>
        <v>0</v>
      </c>
      <c r="S188">
        <f>COUNTBLANK(Metadata!B188:K188)=COLUMNS(Metadata!B188:K188)</f>
        <v>0</v>
      </c>
      <c r="T188">
        <v>0</v>
      </c>
      <c r="V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W188">
        <f>AND(IF(Metadata!C188="",FALSE,TRUE),exact(Metadata!C188,"animal secretion"))</f>
        <v>0</v>
      </c>
      <c r="X188">
        <f>AND(IF(Metadata!D188="",FALSE,TRUE),exact(Metadata!D188,"saliva"))</f>
        <v>0</v>
      </c>
      <c r="Y188">
        <f>AND(IF(Metadata!E188="",FALSE,TRUE),exact(Metadata!E188,"human-oral"))</f>
        <v>0</v>
      </c>
      <c r="Z188">
        <f>AND(IF(Metadata!F188="",FALSE,TRUE),exact(Metadata!F188,"UBERON:oral cavity"))</f>
        <v>0</v>
      </c>
      <c r="AA188">
        <f>AND(IF(Metadata!G188="",FALSE,TRUE),exact(Metadata!G188,"UBERON:saliva"))</f>
        <v>0</v>
      </c>
      <c r="AB188">
        <f>AND(IF(Metadata!H188="",FALSE,TRUE),exact(Metadata!H188,"UBERON:tongue"))</f>
        <v>0</v>
      </c>
      <c r="AC188">
        <f>AND(IF(Metadata!I188="",FALSE,TRUE),exact(Metadata!I188,"tongue"))</f>
        <v>0</v>
      </c>
      <c r="AD188">
        <f>AND(IF(Metadata!J188="",FALSE,TRUE),exact(Metadata!J188,"human oral metagenome"))</f>
        <v>0</v>
      </c>
      <c r="AE188">
        <f>AND(IF(Metadata!K188="",FALSE,TRUE),exact(Metadata!K188,"447426"))</f>
        <v>0</v>
      </c>
    </row>
    <row r="189" spans="1:31">
      <c r="A189" s="4">
        <f>IF(B189=" "," ",HYPERLINK(CONCATENATE("#metadata!",ADDRESS(INDEX($Q$2:$Q$1001,MATCH(ROWS($O$2:O189),$O$2:$O$1001,0),0),1)),INDEX($T$2:$T$1001,MATCH(ROWS($O$2:O189),$O$2:$O$1001,0),0)))</f>
        <v>0</v>
      </c>
      <c r="B189" s="3">
        <f>IF(OR(INDEX($P$2:$P$1001,MATCH(ROWS($O$2:O189),$O$2:$O$1001,0),1)&gt;=100000,INDEX($V$1005:$AE$1005,1,MATCH(COLUMNS($V$1006:V1006),$V$1006:$AE$1006,0))&gt;=100000), " ",IF(INDEX($V$2:$AE$1001,MATCH(ROWS($O$2:O189),$O$2:$O$1001,0),MATCH(COLUMNS($V$1006:V1006),$V$1006:$AE$1006,0)), HYPERLINK("#",""), HYPERLINK(CONCATENATE("#Metadata!", ADDRESS(INDEX($Q$2:$Q$1001,MATCH(ROWS($O$2:O189),$O$2:$O$1001,0),0), INDEX($V$1004:$AE$1004,1,MATCH(COLUMNS($V$1006:V1006),$V$1006:$AE$1006,0)))),"Fix")))</f>
        <v>0</v>
      </c>
      <c r="C189" s="3">
        <f>IF(OR(INDEX($P$2:$P$1001,MATCH(ROWS($O$2:O189),$O$2:$O$1001,0),1)&gt;=100000,INDEX($V$1005:$AE$1005,1,MATCH(COLUMNS($V$1006:W1006),$V$1006:$AE$1006,0))&gt;=100000), " ",IF(INDEX($V$2:$AE$1001,MATCH(ROWS($O$2:O189),$O$2:$O$1001,0),MATCH(COLUMNS($V$1006:W1006),$V$1006:$AE$1006,0)), HYPERLINK("#",""), HYPERLINK(CONCATENATE("#Metadata!", ADDRESS(INDEX($Q$2:$Q$1001,MATCH(ROWS($O$2:O189),$O$2:$O$1001,0),0), INDEX($V$1004:$AE$1004,1,MATCH(COLUMNS($V$1006:W1006),$V$1006:$AE$1006,0)))),"Fix")))</f>
        <v>0</v>
      </c>
      <c r="D189" s="3">
        <f>IF(OR(INDEX($P$2:$P$1001,MATCH(ROWS($O$2:O189),$O$2:$O$1001,0),1)&gt;=100000,INDEX($V$1005:$AE$1005,1,MATCH(COLUMNS($V$1006:X1006),$V$1006:$AE$1006,0))&gt;=100000), " ",IF(INDEX($V$2:$AE$1001,MATCH(ROWS($O$2:O189),$O$2:$O$1001,0),MATCH(COLUMNS($V$1006:X1006),$V$1006:$AE$1006,0)), HYPERLINK("#",""), HYPERLINK(CONCATENATE("#Metadata!", ADDRESS(INDEX($Q$2:$Q$1001,MATCH(ROWS($O$2:O189),$O$2:$O$1001,0),0), INDEX($V$1004:$AE$1004,1,MATCH(COLUMNS($V$1006:X1006),$V$1006:$AE$1006,0)))),"Fix")))</f>
        <v>0</v>
      </c>
      <c r="E189" s="3">
        <f>IF(OR(INDEX($P$2:$P$1001,MATCH(ROWS($O$2:O189),$O$2:$O$1001,0),1)&gt;=100000,INDEX($V$1005:$AE$1005,1,MATCH(COLUMNS($V$1006:Y1006),$V$1006:$AE$1006,0))&gt;=100000), " ",IF(INDEX($V$2:$AE$1001,MATCH(ROWS($O$2:O189),$O$2:$O$1001,0),MATCH(COLUMNS($V$1006:Y1006),$V$1006:$AE$1006,0)), HYPERLINK("#",""), HYPERLINK(CONCATENATE("#Metadata!", ADDRESS(INDEX($Q$2:$Q$1001,MATCH(ROWS($O$2:O189),$O$2:$O$1001,0),0), INDEX($V$1004:$AE$1004,1,MATCH(COLUMNS($V$1006:Y1006),$V$1006:$AE$1006,0)))),"Fix")))</f>
        <v>0</v>
      </c>
      <c r="F189" s="3">
        <f>IF(OR(INDEX($P$2:$P$1001,MATCH(ROWS($O$2:O189),$O$2:$O$1001,0),1)&gt;=100000,INDEX($V$1005:$AE$1005,1,MATCH(COLUMNS($V$1006:Z1006),$V$1006:$AE$1006,0))&gt;=100000), " ",IF(INDEX($V$2:$AE$1001,MATCH(ROWS($O$2:O189),$O$2:$O$1001,0),MATCH(COLUMNS($V$1006:Z1006),$V$1006:$AE$1006,0)), HYPERLINK("#",""), HYPERLINK(CONCATENATE("#Metadata!", ADDRESS(INDEX($Q$2:$Q$1001,MATCH(ROWS($O$2:O189),$O$2:$O$1001,0),0), INDEX($V$1004:$AE$1004,1,MATCH(COLUMNS($V$1006:Z1006),$V$1006:$AE$1006,0)))),"Fix")))</f>
        <v>0</v>
      </c>
      <c r="G189" s="3">
        <f>IF(OR(INDEX($P$2:$P$1001,MATCH(ROWS($O$2:O189),$O$2:$O$1001,0),1)&gt;=100000,INDEX($V$1005:$AE$1005,1,MATCH(COLUMNS($V$1006:AA1006),$V$1006:$AE$1006,0))&gt;=100000), " ",IF(INDEX($V$2:$AE$1001,MATCH(ROWS($O$2:O189),$O$2:$O$1001,0),MATCH(COLUMNS($V$1006:AA1006),$V$1006:$AE$1006,0)), HYPERLINK("#",""), HYPERLINK(CONCATENATE("#Metadata!", ADDRESS(INDEX($Q$2:$Q$1001,MATCH(ROWS($O$2:O189),$O$2:$O$1001,0),0), INDEX($V$1004:$AE$1004,1,MATCH(COLUMNS($V$1006:AA1006),$V$1006:$AE$1006,0)))),"Fix")))</f>
        <v>0</v>
      </c>
      <c r="H189" s="3">
        <f>IF(OR(INDEX($P$2:$P$1001,MATCH(ROWS($O$2:O189),$O$2:$O$1001,0),1)&gt;=100000,INDEX($V$1005:$AE$1005,1,MATCH(COLUMNS($V$1006:AB1006),$V$1006:$AE$1006,0))&gt;=100000), " ",IF(INDEX($V$2:$AE$1001,MATCH(ROWS($O$2:O189),$O$2:$O$1001,0),MATCH(COLUMNS($V$1006:AB1006),$V$1006:$AE$1006,0)), HYPERLINK("#",""), HYPERLINK(CONCATENATE("#Metadata!", ADDRESS(INDEX($Q$2:$Q$1001,MATCH(ROWS($O$2:O189),$O$2:$O$1001,0),0), INDEX($V$1004:$AE$1004,1,MATCH(COLUMNS($V$1006:AB1006),$V$1006:$AE$1006,0)))),"Fix")))</f>
        <v>0</v>
      </c>
      <c r="I189" s="3">
        <f>IF(OR(INDEX($P$2:$P$1001,MATCH(ROWS($O$2:O189),$O$2:$O$1001,0),1)&gt;=100000,INDEX($V$1005:$AE$1005,1,MATCH(COLUMNS($V$1006:AC1006),$V$1006:$AE$1006,0))&gt;=100000), " ",IF(INDEX($V$2:$AE$1001,MATCH(ROWS($O$2:O189),$O$2:$O$1001,0),MATCH(COLUMNS($V$1006:AC1006),$V$1006:$AE$1006,0)), HYPERLINK("#",""), HYPERLINK(CONCATENATE("#Metadata!", ADDRESS(INDEX($Q$2:$Q$1001,MATCH(ROWS($O$2:O189),$O$2:$O$1001,0),0), INDEX($V$1004:$AE$1004,1,MATCH(COLUMNS($V$1006:AC1006),$V$1006:$AE$1006,0)))),"Fix")))</f>
        <v>0</v>
      </c>
      <c r="J189" s="3">
        <f>IF(OR(INDEX($P$2:$P$1001,MATCH(ROWS($O$2:O189),$O$2:$O$1001,0),1)&gt;=100000,INDEX($V$1005:$AE$1005,1,MATCH(COLUMNS($V$1006:AD1006),$V$1006:$AE$1006,0))&gt;=100000), " ",IF(INDEX($V$2:$AE$1001,MATCH(ROWS($O$2:O189),$O$2:$O$1001,0),MATCH(COLUMNS($V$1006:AD1006),$V$1006:$AE$1006,0)), HYPERLINK("#",""), HYPERLINK(CONCATENATE("#Metadata!", ADDRESS(INDEX($Q$2:$Q$1001,MATCH(ROWS($O$2:O189),$O$2:$O$1001,0),0), INDEX($V$1004:$AE$1004,1,MATCH(COLUMNS($V$1006:AD1006),$V$1006:$AE$1006,0)))),"Fix")))</f>
        <v>0</v>
      </c>
      <c r="K189" s="3">
        <f>IF(OR(INDEX($P$2:$P$1001,MATCH(ROWS($O$2:O189),$O$2:$O$1001,0),1)&gt;=100000,INDEX($V$1005:$AE$1005,1,MATCH(COLUMNS($V$1006:AE1006),$V$1006:$AE$1006,0))&gt;=100000), " ",IF(INDEX($V$2:$AE$1001,MATCH(ROWS($O$2:O189),$O$2:$O$1001,0),MATCH(COLUMNS($V$1006:AE1006),$V$1006:$AE$1006,0)), HYPERLINK("#",""), HYPERLINK(CONCATENATE("#Metadata!", ADDRESS(INDEX($Q$2:$Q$1001,MATCH(ROWS($O$2:O189),$O$2:$O$1001,0),0), INDEX($V$1004:$AE$1004,1,MATCH(COLUMNS($V$1006:AE1006),$V$1006:$AE$1006,0)))),"Fix")))</f>
        <v>0</v>
      </c>
      <c r="O189">
        <v>0</v>
      </c>
      <c r="P189">
        <v>0</v>
      </c>
      <c r="Q189">
        <v>0</v>
      </c>
      <c r="R189">
        <f>IF(S189,TRUE,AND(V189:AE189))</f>
        <v>0</v>
      </c>
      <c r="S189">
        <f>COUNTBLANK(Metadata!B189:K189)=COLUMNS(Metadata!B189:K189)</f>
        <v>0</v>
      </c>
      <c r="T189">
        <v>0</v>
      </c>
      <c r="V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W189">
        <f>AND(IF(Metadata!C189="",FALSE,TRUE),exact(Metadata!C189,"animal secretion"))</f>
        <v>0</v>
      </c>
      <c r="X189">
        <f>AND(IF(Metadata!D189="",FALSE,TRUE),exact(Metadata!D189,"saliva"))</f>
        <v>0</v>
      </c>
      <c r="Y189">
        <f>AND(IF(Metadata!E189="",FALSE,TRUE),exact(Metadata!E189,"human-oral"))</f>
        <v>0</v>
      </c>
      <c r="Z189">
        <f>AND(IF(Metadata!F189="",FALSE,TRUE),exact(Metadata!F189,"UBERON:oral cavity"))</f>
        <v>0</v>
      </c>
      <c r="AA189">
        <f>AND(IF(Metadata!G189="",FALSE,TRUE),exact(Metadata!G189,"UBERON:saliva"))</f>
        <v>0</v>
      </c>
      <c r="AB189">
        <f>AND(IF(Metadata!H189="",FALSE,TRUE),exact(Metadata!H189,"UBERON:tongue"))</f>
        <v>0</v>
      </c>
      <c r="AC189">
        <f>AND(IF(Metadata!I189="",FALSE,TRUE),exact(Metadata!I189,"tongue"))</f>
        <v>0</v>
      </c>
      <c r="AD189">
        <f>AND(IF(Metadata!J189="",FALSE,TRUE),exact(Metadata!J189,"human oral metagenome"))</f>
        <v>0</v>
      </c>
      <c r="AE189">
        <f>AND(IF(Metadata!K189="",FALSE,TRUE),exact(Metadata!K189,"447426"))</f>
        <v>0</v>
      </c>
    </row>
    <row r="190" spans="1:31">
      <c r="A190" s="4">
        <f>IF(B190=" "," ",HYPERLINK(CONCATENATE("#metadata!",ADDRESS(INDEX($Q$2:$Q$1001,MATCH(ROWS($O$2:O190),$O$2:$O$1001,0),0),1)),INDEX($T$2:$T$1001,MATCH(ROWS($O$2:O190),$O$2:$O$1001,0),0)))</f>
        <v>0</v>
      </c>
      <c r="B190" s="3">
        <f>IF(OR(INDEX($P$2:$P$1001,MATCH(ROWS($O$2:O190),$O$2:$O$1001,0),1)&gt;=100000,INDEX($V$1005:$AE$1005,1,MATCH(COLUMNS($V$1006:V1006),$V$1006:$AE$1006,0))&gt;=100000), " ",IF(INDEX($V$2:$AE$1001,MATCH(ROWS($O$2:O190),$O$2:$O$1001,0),MATCH(COLUMNS($V$1006:V1006),$V$1006:$AE$1006,0)), HYPERLINK("#",""), HYPERLINK(CONCATENATE("#Metadata!", ADDRESS(INDEX($Q$2:$Q$1001,MATCH(ROWS($O$2:O190),$O$2:$O$1001,0),0), INDEX($V$1004:$AE$1004,1,MATCH(COLUMNS($V$1006:V1006),$V$1006:$AE$1006,0)))),"Fix")))</f>
        <v>0</v>
      </c>
      <c r="C190" s="3">
        <f>IF(OR(INDEX($P$2:$P$1001,MATCH(ROWS($O$2:O190),$O$2:$O$1001,0),1)&gt;=100000,INDEX($V$1005:$AE$1005,1,MATCH(COLUMNS($V$1006:W1006),$V$1006:$AE$1006,0))&gt;=100000), " ",IF(INDEX($V$2:$AE$1001,MATCH(ROWS($O$2:O190),$O$2:$O$1001,0),MATCH(COLUMNS($V$1006:W1006),$V$1006:$AE$1006,0)), HYPERLINK("#",""), HYPERLINK(CONCATENATE("#Metadata!", ADDRESS(INDEX($Q$2:$Q$1001,MATCH(ROWS($O$2:O190),$O$2:$O$1001,0),0), INDEX($V$1004:$AE$1004,1,MATCH(COLUMNS($V$1006:W1006),$V$1006:$AE$1006,0)))),"Fix")))</f>
        <v>0</v>
      </c>
      <c r="D190" s="3">
        <f>IF(OR(INDEX($P$2:$P$1001,MATCH(ROWS($O$2:O190),$O$2:$O$1001,0),1)&gt;=100000,INDEX($V$1005:$AE$1005,1,MATCH(COLUMNS($V$1006:X1006),$V$1006:$AE$1006,0))&gt;=100000), " ",IF(INDEX($V$2:$AE$1001,MATCH(ROWS($O$2:O190),$O$2:$O$1001,0),MATCH(COLUMNS($V$1006:X1006),$V$1006:$AE$1006,0)), HYPERLINK("#",""), HYPERLINK(CONCATENATE("#Metadata!", ADDRESS(INDEX($Q$2:$Q$1001,MATCH(ROWS($O$2:O190),$O$2:$O$1001,0),0), INDEX($V$1004:$AE$1004,1,MATCH(COLUMNS($V$1006:X1006),$V$1006:$AE$1006,0)))),"Fix")))</f>
        <v>0</v>
      </c>
      <c r="E190" s="3">
        <f>IF(OR(INDEX($P$2:$P$1001,MATCH(ROWS($O$2:O190),$O$2:$O$1001,0),1)&gt;=100000,INDEX($V$1005:$AE$1005,1,MATCH(COLUMNS($V$1006:Y1006),$V$1006:$AE$1006,0))&gt;=100000), " ",IF(INDEX($V$2:$AE$1001,MATCH(ROWS($O$2:O190),$O$2:$O$1001,0),MATCH(COLUMNS($V$1006:Y1006),$V$1006:$AE$1006,0)), HYPERLINK("#",""), HYPERLINK(CONCATENATE("#Metadata!", ADDRESS(INDEX($Q$2:$Q$1001,MATCH(ROWS($O$2:O190),$O$2:$O$1001,0),0), INDEX($V$1004:$AE$1004,1,MATCH(COLUMNS($V$1006:Y1006),$V$1006:$AE$1006,0)))),"Fix")))</f>
        <v>0</v>
      </c>
      <c r="F190" s="3">
        <f>IF(OR(INDEX($P$2:$P$1001,MATCH(ROWS($O$2:O190),$O$2:$O$1001,0),1)&gt;=100000,INDEX($V$1005:$AE$1005,1,MATCH(COLUMNS($V$1006:Z1006),$V$1006:$AE$1006,0))&gt;=100000), " ",IF(INDEX($V$2:$AE$1001,MATCH(ROWS($O$2:O190),$O$2:$O$1001,0),MATCH(COLUMNS($V$1006:Z1006),$V$1006:$AE$1006,0)), HYPERLINK("#",""), HYPERLINK(CONCATENATE("#Metadata!", ADDRESS(INDEX($Q$2:$Q$1001,MATCH(ROWS($O$2:O190),$O$2:$O$1001,0),0), INDEX($V$1004:$AE$1004,1,MATCH(COLUMNS($V$1006:Z1006),$V$1006:$AE$1006,0)))),"Fix")))</f>
        <v>0</v>
      </c>
      <c r="G190" s="3">
        <f>IF(OR(INDEX($P$2:$P$1001,MATCH(ROWS($O$2:O190),$O$2:$O$1001,0),1)&gt;=100000,INDEX($V$1005:$AE$1005,1,MATCH(COLUMNS($V$1006:AA1006),$V$1006:$AE$1006,0))&gt;=100000), " ",IF(INDEX($V$2:$AE$1001,MATCH(ROWS($O$2:O190),$O$2:$O$1001,0),MATCH(COLUMNS($V$1006:AA1006),$V$1006:$AE$1006,0)), HYPERLINK("#",""), HYPERLINK(CONCATENATE("#Metadata!", ADDRESS(INDEX($Q$2:$Q$1001,MATCH(ROWS($O$2:O190),$O$2:$O$1001,0),0), INDEX($V$1004:$AE$1004,1,MATCH(COLUMNS($V$1006:AA1006),$V$1006:$AE$1006,0)))),"Fix")))</f>
        <v>0</v>
      </c>
      <c r="H190" s="3">
        <f>IF(OR(INDEX($P$2:$P$1001,MATCH(ROWS($O$2:O190),$O$2:$O$1001,0),1)&gt;=100000,INDEX($V$1005:$AE$1005,1,MATCH(COLUMNS($V$1006:AB1006),$V$1006:$AE$1006,0))&gt;=100000), " ",IF(INDEX($V$2:$AE$1001,MATCH(ROWS($O$2:O190),$O$2:$O$1001,0),MATCH(COLUMNS($V$1006:AB1006),$V$1006:$AE$1006,0)), HYPERLINK("#",""), HYPERLINK(CONCATENATE("#Metadata!", ADDRESS(INDEX($Q$2:$Q$1001,MATCH(ROWS($O$2:O190),$O$2:$O$1001,0),0), INDEX($V$1004:$AE$1004,1,MATCH(COLUMNS($V$1006:AB1006),$V$1006:$AE$1006,0)))),"Fix")))</f>
        <v>0</v>
      </c>
      <c r="I190" s="3">
        <f>IF(OR(INDEX($P$2:$P$1001,MATCH(ROWS($O$2:O190),$O$2:$O$1001,0),1)&gt;=100000,INDEX($V$1005:$AE$1005,1,MATCH(COLUMNS($V$1006:AC1006),$V$1006:$AE$1006,0))&gt;=100000), " ",IF(INDEX($V$2:$AE$1001,MATCH(ROWS($O$2:O190),$O$2:$O$1001,0),MATCH(COLUMNS($V$1006:AC1006),$V$1006:$AE$1006,0)), HYPERLINK("#",""), HYPERLINK(CONCATENATE("#Metadata!", ADDRESS(INDEX($Q$2:$Q$1001,MATCH(ROWS($O$2:O190),$O$2:$O$1001,0),0), INDEX($V$1004:$AE$1004,1,MATCH(COLUMNS($V$1006:AC1006),$V$1006:$AE$1006,0)))),"Fix")))</f>
        <v>0</v>
      </c>
      <c r="J190" s="3">
        <f>IF(OR(INDEX($P$2:$P$1001,MATCH(ROWS($O$2:O190),$O$2:$O$1001,0),1)&gt;=100000,INDEX($V$1005:$AE$1005,1,MATCH(COLUMNS($V$1006:AD1006),$V$1006:$AE$1006,0))&gt;=100000), " ",IF(INDEX($V$2:$AE$1001,MATCH(ROWS($O$2:O190),$O$2:$O$1001,0),MATCH(COLUMNS($V$1006:AD1006),$V$1006:$AE$1006,0)), HYPERLINK("#",""), HYPERLINK(CONCATENATE("#Metadata!", ADDRESS(INDEX($Q$2:$Q$1001,MATCH(ROWS($O$2:O190),$O$2:$O$1001,0),0), INDEX($V$1004:$AE$1004,1,MATCH(COLUMNS($V$1006:AD1006),$V$1006:$AE$1006,0)))),"Fix")))</f>
        <v>0</v>
      </c>
      <c r="K190" s="3">
        <f>IF(OR(INDEX($P$2:$P$1001,MATCH(ROWS($O$2:O190),$O$2:$O$1001,0),1)&gt;=100000,INDEX($V$1005:$AE$1005,1,MATCH(COLUMNS($V$1006:AE1006),$V$1006:$AE$1006,0))&gt;=100000), " ",IF(INDEX($V$2:$AE$1001,MATCH(ROWS($O$2:O190),$O$2:$O$1001,0),MATCH(COLUMNS($V$1006:AE1006),$V$1006:$AE$1006,0)), HYPERLINK("#",""), HYPERLINK(CONCATENATE("#Metadata!", ADDRESS(INDEX($Q$2:$Q$1001,MATCH(ROWS($O$2:O190),$O$2:$O$1001,0),0), INDEX($V$1004:$AE$1004,1,MATCH(COLUMNS($V$1006:AE1006),$V$1006:$AE$1006,0)))),"Fix")))</f>
        <v>0</v>
      </c>
      <c r="O190">
        <v>0</v>
      </c>
      <c r="P190">
        <v>0</v>
      </c>
      <c r="Q190">
        <v>0</v>
      </c>
      <c r="R190">
        <f>IF(S190,TRUE,AND(V190:AE190))</f>
        <v>0</v>
      </c>
      <c r="S190">
        <f>COUNTBLANK(Metadata!B190:K190)=COLUMNS(Metadata!B190:K190)</f>
        <v>0</v>
      </c>
      <c r="T190">
        <v>0</v>
      </c>
      <c r="V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W190">
        <f>AND(IF(Metadata!C190="",FALSE,TRUE),exact(Metadata!C190,"animal secretion"))</f>
        <v>0</v>
      </c>
      <c r="X190">
        <f>AND(IF(Metadata!D190="",FALSE,TRUE),exact(Metadata!D190,"saliva"))</f>
        <v>0</v>
      </c>
      <c r="Y190">
        <f>AND(IF(Metadata!E190="",FALSE,TRUE),exact(Metadata!E190,"human-oral"))</f>
        <v>0</v>
      </c>
      <c r="Z190">
        <f>AND(IF(Metadata!F190="",FALSE,TRUE),exact(Metadata!F190,"UBERON:oral cavity"))</f>
        <v>0</v>
      </c>
      <c r="AA190">
        <f>AND(IF(Metadata!G190="",FALSE,TRUE),exact(Metadata!G190,"UBERON:saliva"))</f>
        <v>0</v>
      </c>
      <c r="AB190">
        <f>AND(IF(Metadata!H190="",FALSE,TRUE),exact(Metadata!H190,"UBERON:tongue"))</f>
        <v>0</v>
      </c>
      <c r="AC190">
        <f>AND(IF(Metadata!I190="",FALSE,TRUE),exact(Metadata!I190,"tongue"))</f>
        <v>0</v>
      </c>
      <c r="AD190">
        <f>AND(IF(Metadata!J190="",FALSE,TRUE),exact(Metadata!J190,"human oral metagenome"))</f>
        <v>0</v>
      </c>
      <c r="AE190">
        <f>AND(IF(Metadata!K190="",FALSE,TRUE),exact(Metadata!K190,"447426"))</f>
        <v>0</v>
      </c>
    </row>
    <row r="191" spans="1:31">
      <c r="A191" s="4">
        <f>IF(B191=" "," ",HYPERLINK(CONCATENATE("#metadata!",ADDRESS(INDEX($Q$2:$Q$1001,MATCH(ROWS($O$2:O191),$O$2:$O$1001,0),0),1)),INDEX($T$2:$T$1001,MATCH(ROWS($O$2:O191),$O$2:$O$1001,0),0)))</f>
        <v>0</v>
      </c>
      <c r="B191" s="3">
        <f>IF(OR(INDEX($P$2:$P$1001,MATCH(ROWS($O$2:O191),$O$2:$O$1001,0),1)&gt;=100000,INDEX($V$1005:$AE$1005,1,MATCH(COLUMNS($V$1006:V1006),$V$1006:$AE$1006,0))&gt;=100000), " ",IF(INDEX($V$2:$AE$1001,MATCH(ROWS($O$2:O191),$O$2:$O$1001,0),MATCH(COLUMNS($V$1006:V1006),$V$1006:$AE$1006,0)), HYPERLINK("#",""), HYPERLINK(CONCATENATE("#Metadata!", ADDRESS(INDEX($Q$2:$Q$1001,MATCH(ROWS($O$2:O191),$O$2:$O$1001,0),0), INDEX($V$1004:$AE$1004,1,MATCH(COLUMNS($V$1006:V1006),$V$1006:$AE$1006,0)))),"Fix")))</f>
        <v>0</v>
      </c>
      <c r="C191" s="3">
        <f>IF(OR(INDEX($P$2:$P$1001,MATCH(ROWS($O$2:O191),$O$2:$O$1001,0),1)&gt;=100000,INDEX($V$1005:$AE$1005,1,MATCH(COLUMNS($V$1006:W1006),$V$1006:$AE$1006,0))&gt;=100000), " ",IF(INDEX($V$2:$AE$1001,MATCH(ROWS($O$2:O191),$O$2:$O$1001,0),MATCH(COLUMNS($V$1006:W1006),$V$1006:$AE$1006,0)), HYPERLINK("#",""), HYPERLINK(CONCATENATE("#Metadata!", ADDRESS(INDEX($Q$2:$Q$1001,MATCH(ROWS($O$2:O191),$O$2:$O$1001,0),0), INDEX($V$1004:$AE$1004,1,MATCH(COLUMNS($V$1006:W1006),$V$1006:$AE$1006,0)))),"Fix")))</f>
        <v>0</v>
      </c>
      <c r="D191" s="3">
        <f>IF(OR(INDEX($P$2:$P$1001,MATCH(ROWS($O$2:O191),$O$2:$O$1001,0),1)&gt;=100000,INDEX($V$1005:$AE$1005,1,MATCH(COLUMNS($V$1006:X1006),$V$1006:$AE$1006,0))&gt;=100000), " ",IF(INDEX($V$2:$AE$1001,MATCH(ROWS($O$2:O191),$O$2:$O$1001,0),MATCH(COLUMNS($V$1006:X1006),$V$1006:$AE$1006,0)), HYPERLINK("#",""), HYPERLINK(CONCATENATE("#Metadata!", ADDRESS(INDEX($Q$2:$Q$1001,MATCH(ROWS($O$2:O191),$O$2:$O$1001,0),0), INDEX($V$1004:$AE$1004,1,MATCH(COLUMNS($V$1006:X1006),$V$1006:$AE$1006,0)))),"Fix")))</f>
        <v>0</v>
      </c>
      <c r="E191" s="3">
        <f>IF(OR(INDEX($P$2:$P$1001,MATCH(ROWS($O$2:O191),$O$2:$O$1001,0),1)&gt;=100000,INDEX($V$1005:$AE$1005,1,MATCH(COLUMNS($V$1006:Y1006),$V$1006:$AE$1006,0))&gt;=100000), " ",IF(INDEX($V$2:$AE$1001,MATCH(ROWS($O$2:O191),$O$2:$O$1001,0),MATCH(COLUMNS($V$1006:Y1006),$V$1006:$AE$1006,0)), HYPERLINK("#",""), HYPERLINK(CONCATENATE("#Metadata!", ADDRESS(INDEX($Q$2:$Q$1001,MATCH(ROWS($O$2:O191),$O$2:$O$1001,0),0), INDEX($V$1004:$AE$1004,1,MATCH(COLUMNS($V$1006:Y1006),$V$1006:$AE$1006,0)))),"Fix")))</f>
        <v>0</v>
      </c>
      <c r="F191" s="3">
        <f>IF(OR(INDEX($P$2:$P$1001,MATCH(ROWS($O$2:O191),$O$2:$O$1001,0),1)&gt;=100000,INDEX($V$1005:$AE$1005,1,MATCH(COLUMNS($V$1006:Z1006),$V$1006:$AE$1006,0))&gt;=100000), " ",IF(INDEX($V$2:$AE$1001,MATCH(ROWS($O$2:O191),$O$2:$O$1001,0),MATCH(COLUMNS($V$1006:Z1006),$V$1006:$AE$1006,0)), HYPERLINK("#",""), HYPERLINK(CONCATENATE("#Metadata!", ADDRESS(INDEX($Q$2:$Q$1001,MATCH(ROWS($O$2:O191),$O$2:$O$1001,0),0), INDEX($V$1004:$AE$1004,1,MATCH(COLUMNS($V$1006:Z1006),$V$1006:$AE$1006,0)))),"Fix")))</f>
        <v>0</v>
      </c>
      <c r="G191" s="3">
        <f>IF(OR(INDEX($P$2:$P$1001,MATCH(ROWS($O$2:O191),$O$2:$O$1001,0),1)&gt;=100000,INDEX($V$1005:$AE$1005,1,MATCH(COLUMNS($V$1006:AA1006),$V$1006:$AE$1006,0))&gt;=100000), " ",IF(INDEX($V$2:$AE$1001,MATCH(ROWS($O$2:O191),$O$2:$O$1001,0),MATCH(COLUMNS($V$1006:AA1006),$V$1006:$AE$1006,0)), HYPERLINK("#",""), HYPERLINK(CONCATENATE("#Metadata!", ADDRESS(INDEX($Q$2:$Q$1001,MATCH(ROWS($O$2:O191),$O$2:$O$1001,0),0), INDEX($V$1004:$AE$1004,1,MATCH(COLUMNS($V$1006:AA1006),$V$1006:$AE$1006,0)))),"Fix")))</f>
        <v>0</v>
      </c>
      <c r="H191" s="3">
        <f>IF(OR(INDEX($P$2:$P$1001,MATCH(ROWS($O$2:O191),$O$2:$O$1001,0),1)&gt;=100000,INDEX($V$1005:$AE$1005,1,MATCH(COLUMNS($V$1006:AB1006),$V$1006:$AE$1006,0))&gt;=100000), " ",IF(INDEX($V$2:$AE$1001,MATCH(ROWS($O$2:O191),$O$2:$O$1001,0),MATCH(COLUMNS($V$1006:AB1006),$V$1006:$AE$1006,0)), HYPERLINK("#",""), HYPERLINK(CONCATENATE("#Metadata!", ADDRESS(INDEX($Q$2:$Q$1001,MATCH(ROWS($O$2:O191),$O$2:$O$1001,0),0), INDEX($V$1004:$AE$1004,1,MATCH(COLUMNS($V$1006:AB1006),$V$1006:$AE$1006,0)))),"Fix")))</f>
        <v>0</v>
      </c>
      <c r="I191" s="3">
        <f>IF(OR(INDEX($P$2:$P$1001,MATCH(ROWS($O$2:O191),$O$2:$O$1001,0),1)&gt;=100000,INDEX($V$1005:$AE$1005,1,MATCH(COLUMNS($V$1006:AC1006),$V$1006:$AE$1006,0))&gt;=100000), " ",IF(INDEX($V$2:$AE$1001,MATCH(ROWS($O$2:O191),$O$2:$O$1001,0),MATCH(COLUMNS($V$1006:AC1006),$V$1006:$AE$1006,0)), HYPERLINK("#",""), HYPERLINK(CONCATENATE("#Metadata!", ADDRESS(INDEX($Q$2:$Q$1001,MATCH(ROWS($O$2:O191),$O$2:$O$1001,0),0), INDEX($V$1004:$AE$1004,1,MATCH(COLUMNS($V$1006:AC1006),$V$1006:$AE$1006,0)))),"Fix")))</f>
        <v>0</v>
      </c>
      <c r="J191" s="3">
        <f>IF(OR(INDEX($P$2:$P$1001,MATCH(ROWS($O$2:O191),$O$2:$O$1001,0),1)&gt;=100000,INDEX($V$1005:$AE$1005,1,MATCH(COLUMNS($V$1006:AD1006),$V$1006:$AE$1006,0))&gt;=100000), " ",IF(INDEX($V$2:$AE$1001,MATCH(ROWS($O$2:O191),$O$2:$O$1001,0),MATCH(COLUMNS($V$1006:AD1006),$V$1006:$AE$1006,0)), HYPERLINK("#",""), HYPERLINK(CONCATENATE("#Metadata!", ADDRESS(INDEX($Q$2:$Q$1001,MATCH(ROWS($O$2:O191),$O$2:$O$1001,0),0), INDEX($V$1004:$AE$1004,1,MATCH(COLUMNS($V$1006:AD1006),$V$1006:$AE$1006,0)))),"Fix")))</f>
        <v>0</v>
      </c>
      <c r="K191" s="3">
        <f>IF(OR(INDEX($P$2:$P$1001,MATCH(ROWS($O$2:O191),$O$2:$O$1001,0),1)&gt;=100000,INDEX($V$1005:$AE$1005,1,MATCH(COLUMNS($V$1006:AE1006),$V$1006:$AE$1006,0))&gt;=100000), " ",IF(INDEX($V$2:$AE$1001,MATCH(ROWS($O$2:O191),$O$2:$O$1001,0),MATCH(COLUMNS($V$1006:AE1006),$V$1006:$AE$1006,0)), HYPERLINK("#",""), HYPERLINK(CONCATENATE("#Metadata!", ADDRESS(INDEX($Q$2:$Q$1001,MATCH(ROWS($O$2:O191),$O$2:$O$1001,0),0), INDEX($V$1004:$AE$1004,1,MATCH(COLUMNS($V$1006:AE1006),$V$1006:$AE$1006,0)))),"Fix")))</f>
        <v>0</v>
      </c>
      <c r="O191">
        <v>0</v>
      </c>
      <c r="P191">
        <v>0</v>
      </c>
      <c r="Q191">
        <v>0</v>
      </c>
      <c r="R191">
        <f>IF(S191,TRUE,AND(V191:AE191))</f>
        <v>0</v>
      </c>
      <c r="S191">
        <f>COUNTBLANK(Metadata!B191:K191)=COLUMNS(Metadata!B191:K191)</f>
        <v>0</v>
      </c>
      <c r="T191">
        <v>0</v>
      </c>
      <c r="V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W191">
        <f>AND(IF(Metadata!C191="",FALSE,TRUE),exact(Metadata!C191,"animal secretion"))</f>
        <v>0</v>
      </c>
      <c r="X191">
        <f>AND(IF(Metadata!D191="",FALSE,TRUE),exact(Metadata!D191,"saliva"))</f>
        <v>0</v>
      </c>
      <c r="Y191">
        <f>AND(IF(Metadata!E191="",FALSE,TRUE),exact(Metadata!E191,"human-oral"))</f>
        <v>0</v>
      </c>
      <c r="Z191">
        <f>AND(IF(Metadata!F191="",FALSE,TRUE),exact(Metadata!F191,"UBERON:oral cavity"))</f>
        <v>0</v>
      </c>
      <c r="AA191">
        <f>AND(IF(Metadata!G191="",FALSE,TRUE),exact(Metadata!G191,"UBERON:saliva"))</f>
        <v>0</v>
      </c>
      <c r="AB191">
        <f>AND(IF(Metadata!H191="",FALSE,TRUE),exact(Metadata!H191,"UBERON:tongue"))</f>
        <v>0</v>
      </c>
      <c r="AC191">
        <f>AND(IF(Metadata!I191="",FALSE,TRUE),exact(Metadata!I191,"tongue"))</f>
        <v>0</v>
      </c>
      <c r="AD191">
        <f>AND(IF(Metadata!J191="",FALSE,TRUE),exact(Metadata!J191,"human oral metagenome"))</f>
        <v>0</v>
      </c>
      <c r="AE191">
        <f>AND(IF(Metadata!K191="",FALSE,TRUE),exact(Metadata!K191,"447426"))</f>
        <v>0</v>
      </c>
    </row>
    <row r="192" spans="1:31">
      <c r="A192" s="4">
        <f>IF(B192=" "," ",HYPERLINK(CONCATENATE("#metadata!",ADDRESS(INDEX($Q$2:$Q$1001,MATCH(ROWS($O$2:O192),$O$2:$O$1001,0),0),1)),INDEX($T$2:$T$1001,MATCH(ROWS($O$2:O192),$O$2:$O$1001,0),0)))</f>
        <v>0</v>
      </c>
      <c r="B192" s="3">
        <f>IF(OR(INDEX($P$2:$P$1001,MATCH(ROWS($O$2:O192),$O$2:$O$1001,0),1)&gt;=100000,INDEX($V$1005:$AE$1005,1,MATCH(COLUMNS($V$1006:V1006),$V$1006:$AE$1006,0))&gt;=100000), " ",IF(INDEX($V$2:$AE$1001,MATCH(ROWS($O$2:O192),$O$2:$O$1001,0),MATCH(COLUMNS($V$1006:V1006),$V$1006:$AE$1006,0)), HYPERLINK("#",""), HYPERLINK(CONCATENATE("#Metadata!", ADDRESS(INDEX($Q$2:$Q$1001,MATCH(ROWS($O$2:O192),$O$2:$O$1001,0),0), INDEX($V$1004:$AE$1004,1,MATCH(COLUMNS($V$1006:V1006),$V$1006:$AE$1006,0)))),"Fix")))</f>
        <v>0</v>
      </c>
      <c r="C192" s="3">
        <f>IF(OR(INDEX($P$2:$P$1001,MATCH(ROWS($O$2:O192),$O$2:$O$1001,0),1)&gt;=100000,INDEX($V$1005:$AE$1005,1,MATCH(COLUMNS($V$1006:W1006),$V$1006:$AE$1006,0))&gt;=100000), " ",IF(INDEX($V$2:$AE$1001,MATCH(ROWS($O$2:O192),$O$2:$O$1001,0),MATCH(COLUMNS($V$1006:W1006),$V$1006:$AE$1006,0)), HYPERLINK("#",""), HYPERLINK(CONCATENATE("#Metadata!", ADDRESS(INDEX($Q$2:$Q$1001,MATCH(ROWS($O$2:O192),$O$2:$O$1001,0),0), INDEX($V$1004:$AE$1004,1,MATCH(COLUMNS($V$1006:W1006),$V$1006:$AE$1006,0)))),"Fix")))</f>
        <v>0</v>
      </c>
      <c r="D192" s="3">
        <f>IF(OR(INDEX($P$2:$P$1001,MATCH(ROWS($O$2:O192),$O$2:$O$1001,0),1)&gt;=100000,INDEX($V$1005:$AE$1005,1,MATCH(COLUMNS($V$1006:X1006),$V$1006:$AE$1006,0))&gt;=100000), " ",IF(INDEX($V$2:$AE$1001,MATCH(ROWS($O$2:O192),$O$2:$O$1001,0),MATCH(COLUMNS($V$1006:X1006),$V$1006:$AE$1006,0)), HYPERLINK("#",""), HYPERLINK(CONCATENATE("#Metadata!", ADDRESS(INDEX($Q$2:$Q$1001,MATCH(ROWS($O$2:O192),$O$2:$O$1001,0),0), INDEX($V$1004:$AE$1004,1,MATCH(COLUMNS($V$1006:X1006),$V$1006:$AE$1006,0)))),"Fix")))</f>
        <v>0</v>
      </c>
      <c r="E192" s="3">
        <f>IF(OR(INDEX($P$2:$P$1001,MATCH(ROWS($O$2:O192),$O$2:$O$1001,0),1)&gt;=100000,INDEX($V$1005:$AE$1005,1,MATCH(COLUMNS($V$1006:Y1006),$V$1006:$AE$1006,0))&gt;=100000), " ",IF(INDEX($V$2:$AE$1001,MATCH(ROWS($O$2:O192),$O$2:$O$1001,0),MATCH(COLUMNS($V$1006:Y1006),$V$1006:$AE$1006,0)), HYPERLINK("#",""), HYPERLINK(CONCATENATE("#Metadata!", ADDRESS(INDEX($Q$2:$Q$1001,MATCH(ROWS($O$2:O192),$O$2:$O$1001,0),0), INDEX($V$1004:$AE$1004,1,MATCH(COLUMNS($V$1006:Y1006),$V$1006:$AE$1006,0)))),"Fix")))</f>
        <v>0</v>
      </c>
      <c r="F192" s="3">
        <f>IF(OR(INDEX($P$2:$P$1001,MATCH(ROWS($O$2:O192),$O$2:$O$1001,0),1)&gt;=100000,INDEX($V$1005:$AE$1005,1,MATCH(COLUMNS($V$1006:Z1006),$V$1006:$AE$1006,0))&gt;=100000), " ",IF(INDEX($V$2:$AE$1001,MATCH(ROWS($O$2:O192),$O$2:$O$1001,0),MATCH(COLUMNS($V$1006:Z1006),$V$1006:$AE$1006,0)), HYPERLINK("#",""), HYPERLINK(CONCATENATE("#Metadata!", ADDRESS(INDEX($Q$2:$Q$1001,MATCH(ROWS($O$2:O192),$O$2:$O$1001,0),0), INDEX($V$1004:$AE$1004,1,MATCH(COLUMNS($V$1006:Z1006),$V$1006:$AE$1006,0)))),"Fix")))</f>
        <v>0</v>
      </c>
      <c r="G192" s="3">
        <f>IF(OR(INDEX($P$2:$P$1001,MATCH(ROWS($O$2:O192),$O$2:$O$1001,0),1)&gt;=100000,INDEX($V$1005:$AE$1005,1,MATCH(COLUMNS($V$1006:AA1006),$V$1006:$AE$1006,0))&gt;=100000), " ",IF(INDEX($V$2:$AE$1001,MATCH(ROWS($O$2:O192),$O$2:$O$1001,0),MATCH(COLUMNS($V$1006:AA1006),$V$1006:$AE$1006,0)), HYPERLINK("#",""), HYPERLINK(CONCATENATE("#Metadata!", ADDRESS(INDEX($Q$2:$Q$1001,MATCH(ROWS($O$2:O192),$O$2:$O$1001,0),0), INDEX($V$1004:$AE$1004,1,MATCH(COLUMNS($V$1006:AA1006),$V$1006:$AE$1006,0)))),"Fix")))</f>
        <v>0</v>
      </c>
      <c r="H192" s="3">
        <f>IF(OR(INDEX($P$2:$P$1001,MATCH(ROWS($O$2:O192),$O$2:$O$1001,0),1)&gt;=100000,INDEX($V$1005:$AE$1005,1,MATCH(COLUMNS($V$1006:AB1006),$V$1006:$AE$1006,0))&gt;=100000), " ",IF(INDEX($V$2:$AE$1001,MATCH(ROWS($O$2:O192),$O$2:$O$1001,0),MATCH(COLUMNS($V$1006:AB1006),$V$1006:$AE$1006,0)), HYPERLINK("#",""), HYPERLINK(CONCATENATE("#Metadata!", ADDRESS(INDEX($Q$2:$Q$1001,MATCH(ROWS($O$2:O192),$O$2:$O$1001,0),0), INDEX($V$1004:$AE$1004,1,MATCH(COLUMNS($V$1006:AB1006),$V$1006:$AE$1006,0)))),"Fix")))</f>
        <v>0</v>
      </c>
      <c r="I192" s="3">
        <f>IF(OR(INDEX($P$2:$P$1001,MATCH(ROWS($O$2:O192),$O$2:$O$1001,0),1)&gt;=100000,INDEX($V$1005:$AE$1005,1,MATCH(COLUMNS($V$1006:AC1006),$V$1006:$AE$1006,0))&gt;=100000), " ",IF(INDEX($V$2:$AE$1001,MATCH(ROWS($O$2:O192),$O$2:$O$1001,0),MATCH(COLUMNS($V$1006:AC1006),$V$1006:$AE$1006,0)), HYPERLINK("#",""), HYPERLINK(CONCATENATE("#Metadata!", ADDRESS(INDEX($Q$2:$Q$1001,MATCH(ROWS($O$2:O192),$O$2:$O$1001,0),0), INDEX($V$1004:$AE$1004,1,MATCH(COLUMNS($V$1006:AC1006),$V$1006:$AE$1006,0)))),"Fix")))</f>
        <v>0</v>
      </c>
      <c r="J192" s="3">
        <f>IF(OR(INDEX($P$2:$P$1001,MATCH(ROWS($O$2:O192),$O$2:$O$1001,0),1)&gt;=100000,INDEX($V$1005:$AE$1005,1,MATCH(COLUMNS($V$1006:AD1006),$V$1006:$AE$1006,0))&gt;=100000), " ",IF(INDEX($V$2:$AE$1001,MATCH(ROWS($O$2:O192),$O$2:$O$1001,0),MATCH(COLUMNS($V$1006:AD1006),$V$1006:$AE$1006,0)), HYPERLINK("#",""), HYPERLINK(CONCATENATE("#Metadata!", ADDRESS(INDEX($Q$2:$Q$1001,MATCH(ROWS($O$2:O192),$O$2:$O$1001,0),0), INDEX($V$1004:$AE$1004,1,MATCH(COLUMNS($V$1006:AD1006),$V$1006:$AE$1006,0)))),"Fix")))</f>
        <v>0</v>
      </c>
      <c r="K192" s="3">
        <f>IF(OR(INDEX($P$2:$P$1001,MATCH(ROWS($O$2:O192),$O$2:$O$1001,0),1)&gt;=100000,INDEX($V$1005:$AE$1005,1,MATCH(COLUMNS($V$1006:AE1006),$V$1006:$AE$1006,0))&gt;=100000), " ",IF(INDEX($V$2:$AE$1001,MATCH(ROWS($O$2:O192),$O$2:$O$1001,0),MATCH(COLUMNS($V$1006:AE1006),$V$1006:$AE$1006,0)), HYPERLINK("#",""), HYPERLINK(CONCATENATE("#Metadata!", ADDRESS(INDEX($Q$2:$Q$1001,MATCH(ROWS($O$2:O192),$O$2:$O$1001,0),0), INDEX($V$1004:$AE$1004,1,MATCH(COLUMNS($V$1006:AE1006),$V$1006:$AE$1006,0)))),"Fix")))</f>
        <v>0</v>
      </c>
      <c r="O192">
        <v>0</v>
      </c>
      <c r="P192">
        <v>0</v>
      </c>
      <c r="Q192">
        <v>0</v>
      </c>
      <c r="R192">
        <f>IF(S192,TRUE,AND(V192:AE192))</f>
        <v>0</v>
      </c>
      <c r="S192">
        <f>COUNTBLANK(Metadata!B192:K192)=COLUMNS(Metadata!B192:K192)</f>
        <v>0</v>
      </c>
      <c r="T192">
        <v>0</v>
      </c>
      <c r="V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W192">
        <f>AND(IF(Metadata!C192="",FALSE,TRUE),exact(Metadata!C192,"animal secretion"))</f>
        <v>0</v>
      </c>
      <c r="X192">
        <f>AND(IF(Metadata!D192="",FALSE,TRUE),exact(Metadata!D192,"saliva"))</f>
        <v>0</v>
      </c>
      <c r="Y192">
        <f>AND(IF(Metadata!E192="",FALSE,TRUE),exact(Metadata!E192,"human-oral"))</f>
        <v>0</v>
      </c>
      <c r="Z192">
        <f>AND(IF(Metadata!F192="",FALSE,TRUE),exact(Metadata!F192,"UBERON:oral cavity"))</f>
        <v>0</v>
      </c>
      <c r="AA192">
        <f>AND(IF(Metadata!G192="",FALSE,TRUE),exact(Metadata!G192,"UBERON:saliva"))</f>
        <v>0</v>
      </c>
      <c r="AB192">
        <f>AND(IF(Metadata!H192="",FALSE,TRUE),exact(Metadata!H192,"UBERON:tongue"))</f>
        <v>0</v>
      </c>
      <c r="AC192">
        <f>AND(IF(Metadata!I192="",FALSE,TRUE),exact(Metadata!I192,"tongue"))</f>
        <v>0</v>
      </c>
      <c r="AD192">
        <f>AND(IF(Metadata!J192="",FALSE,TRUE),exact(Metadata!J192,"human oral metagenome"))</f>
        <v>0</v>
      </c>
      <c r="AE192">
        <f>AND(IF(Metadata!K192="",FALSE,TRUE),exact(Metadata!K192,"447426"))</f>
        <v>0</v>
      </c>
    </row>
    <row r="193" spans="1:31">
      <c r="A193" s="4">
        <f>IF(B193=" "," ",HYPERLINK(CONCATENATE("#metadata!",ADDRESS(INDEX($Q$2:$Q$1001,MATCH(ROWS($O$2:O193),$O$2:$O$1001,0),0),1)),INDEX($T$2:$T$1001,MATCH(ROWS($O$2:O193),$O$2:$O$1001,0),0)))</f>
        <v>0</v>
      </c>
      <c r="B193" s="3">
        <f>IF(OR(INDEX($P$2:$P$1001,MATCH(ROWS($O$2:O193),$O$2:$O$1001,0),1)&gt;=100000,INDEX($V$1005:$AE$1005,1,MATCH(COLUMNS($V$1006:V1006),$V$1006:$AE$1006,0))&gt;=100000), " ",IF(INDEX($V$2:$AE$1001,MATCH(ROWS($O$2:O193),$O$2:$O$1001,0),MATCH(COLUMNS($V$1006:V1006),$V$1006:$AE$1006,0)), HYPERLINK("#",""), HYPERLINK(CONCATENATE("#Metadata!", ADDRESS(INDEX($Q$2:$Q$1001,MATCH(ROWS($O$2:O193),$O$2:$O$1001,0),0), INDEX($V$1004:$AE$1004,1,MATCH(COLUMNS($V$1006:V1006),$V$1006:$AE$1006,0)))),"Fix")))</f>
        <v>0</v>
      </c>
      <c r="C193" s="3">
        <f>IF(OR(INDEX($P$2:$P$1001,MATCH(ROWS($O$2:O193),$O$2:$O$1001,0),1)&gt;=100000,INDEX($V$1005:$AE$1005,1,MATCH(COLUMNS($V$1006:W1006),$V$1006:$AE$1006,0))&gt;=100000), " ",IF(INDEX($V$2:$AE$1001,MATCH(ROWS($O$2:O193),$O$2:$O$1001,0),MATCH(COLUMNS($V$1006:W1006),$V$1006:$AE$1006,0)), HYPERLINK("#",""), HYPERLINK(CONCATENATE("#Metadata!", ADDRESS(INDEX($Q$2:$Q$1001,MATCH(ROWS($O$2:O193),$O$2:$O$1001,0),0), INDEX($V$1004:$AE$1004,1,MATCH(COLUMNS($V$1006:W1006),$V$1006:$AE$1006,0)))),"Fix")))</f>
        <v>0</v>
      </c>
      <c r="D193" s="3">
        <f>IF(OR(INDEX($P$2:$P$1001,MATCH(ROWS($O$2:O193),$O$2:$O$1001,0),1)&gt;=100000,INDEX($V$1005:$AE$1005,1,MATCH(COLUMNS($V$1006:X1006),$V$1006:$AE$1006,0))&gt;=100000), " ",IF(INDEX($V$2:$AE$1001,MATCH(ROWS($O$2:O193),$O$2:$O$1001,0),MATCH(COLUMNS($V$1006:X1006),$V$1006:$AE$1006,0)), HYPERLINK("#",""), HYPERLINK(CONCATENATE("#Metadata!", ADDRESS(INDEX($Q$2:$Q$1001,MATCH(ROWS($O$2:O193),$O$2:$O$1001,0),0), INDEX($V$1004:$AE$1004,1,MATCH(COLUMNS($V$1006:X1006),$V$1006:$AE$1006,0)))),"Fix")))</f>
        <v>0</v>
      </c>
      <c r="E193" s="3">
        <f>IF(OR(INDEX($P$2:$P$1001,MATCH(ROWS($O$2:O193),$O$2:$O$1001,0),1)&gt;=100000,INDEX($V$1005:$AE$1005,1,MATCH(COLUMNS($V$1006:Y1006),$V$1006:$AE$1006,0))&gt;=100000), " ",IF(INDEX($V$2:$AE$1001,MATCH(ROWS($O$2:O193),$O$2:$O$1001,0),MATCH(COLUMNS($V$1006:Y1006),$V$1006:$AE$1006,0)), HYPERLINK("#",""), HYPERLINK(CONCATENATE("#Metadata!", ADDRESS(INDEX($Q$2:$Q$1001,MATCH(ROWS($O$2:O193),$O$2:$O$1001,0),0), INDEX($V$1004:$AE$1004,1,MATCH(COLUMNS($V$1006:Y1006),$V$1006:$AE$1006,0)))),"Fix")))</f>
        <v>0</v>
      </c>
      <c r="F193" s="3">
        <f>IF(OR(INDEX($P$2:$P$1001,MATCH(ROWS($O$2:O193),$O$2:$O$1001,0),1)&gt;=100000,INDEX($V$1005:$AE$1005,1,MATCH(COLUMNS($V$1006:Z1006),$V$1006:$AE$1006,0))&gt;=100000), " ",IF(INDEX($V$2:$AE$1001,MATCH(ROWS($O$2:O193),$O$2:$O$1001,0),MATCH(COLUMNS($V$1006:Z1006),$V$1006:$AE$1006,0)), HYPERLINK("#",""), HYPERLINK(CONCATENATE("#Metadata!", ADDRESS(INDEX($Q$2:$Q$1001,MATCH(ROWS($O$2:O193),$O$2:$O$1001,0),0), INDEX($V$1004:$AE$1004,1,MATCH(COLUMNS($V$1006:Z1006),$V$1006:$AE$1006,0)))),"Fix")))</f>
        <v>0</v>
      </c>
      <c r="G193" s="3">
        <f>IF(OR(INDEX($P$2:$P$1001,MATCH(ROWS($O$2:O193),$O$2:$O$1001,0),1)&gt;=100000,INDEX($V$1005:$AE$1005,1,MATCH(COLUMNS($V$1006:AA1006),$V$1006:$AE$1006,0))&gt;=100000), " ",IF(INDEX($V$2:$AE$1001,MATCH(ROWS($O$2:O193),$O$2:$O$1001,0),MATCH(COLUMNS($V$1006:AA1006),$V$1006:$AE$1006,0)), HYPERLINK("#",""), HYPERLINK(CONCATENATE("#Metadata!", ADDRESS(INDEX($Q$2:$Q$1001,MATCH(ROWS($O$2:O193),$O$2:$O$1001,0),0), INDEX($V$1004:$AE$1004,1,MATCH(COLUMNS($V$1006:AA1006),$V$1006:$AE$1006,0)))),"Fix")))</f>
        <v>0</v>
      </c>
      <c r="H193" s="3">
        <f>IF(OR(INDEX($P$2:$P$1001,MATCH(ROWS($O$2:O193),$O$2:$O$1001,0),1)&gt;=100000,INDEX($V$1005:$AE$1005,1,MATCH(COLUMNS($V$1006:AB1006),$V$1006:$AE$1006,0))&gt;=100000), " ",IF(INDEX($V$2:$AE$1001,MATCH(ROWS($O$2:O193),$O$2:$O$1001,0),MATCH(COLUMNS($V$1006:AB1006),$V$1006:$AE$1006,0)), HYPERLINK("#",""), HYPERLINK(CONCATENATE("#Metadata!", ADDRESS(INDEX($Q$2:$Q$1001,MATCH(ROWS($O$2:O193),$O$2:$O$1001,0),0), INDEX($V$1004:$AE$1004,1,MATCH(COLUMNS($V$1006:AB1006),$V$1006:$AE$1006,0)))),"Fix")))</f>
        <v>0</v>
      </c>
      <c r="I193" s="3">
        <f>IF(OR(INDEX($P$2:$P$1001,MATCH(ROWS($O$2:O193),$O$2:$O$1001,0),1)&gt;=100000,INDEX($V$1005:$AE$1005,1,MATCH(COLUMNS($V$1006:AC1006),$V$1006:$AE$1006,0))&gt;=100000), " ",IF(INDEX($V$2:$AE$1001,MATCH(ROWS($O$2:O193),$O$2:$O$1001,0),MATCH(COLUMNS($V$1006:AC1006),$V$1006:$AE$1006,0)), HYPERLINK("#",""), HYPERLINK(CONCATENATE("#Metadata!", ADDRESS(INDEX($Q$2:$Q$1001,MATCH(ROWS($O$2:O193),$O$2:$O$1001,0),0), INDEX($V$1004:$AE$1004,1,MATCH(COLUMNS($V$1006:AC1006),$V$1006:$AE$1006,0)))),"Fix")))</f>
        <v>0</v>
      </c>
      <c r="J193" s="3">
        <f>IF(OR(INDEX($P$2:$P$1001,MATCH(ROWS($O$2:O193),$O$2:$O$1001,0),1)&gt;=100000,INDEX($V$1005:$AE$1005,1,MATCH(COLUMNS($V$1006:AD1006),$V$1006:$AE$1006,0))&gt;=100000), " ",IF(INDEX($V$2:$AE$1001,MATCH(ROWS($O$2:O193),$O$2:$O$1001,0),MATCH(COLUMNS($V$1006:AD1006),$V$1006:$AE$1006,0)), HYPERLINK("#",""), HYPERLINK(CONCATENATE("#Metadata!", ADDRESS(INDEX($Q$2:$Q$1001,MATCH(ROWS($O$2:O193),$O$2:$O$1001,0),0), INDEX($V$1004:$AE$1004,1,MATCH(COLUMNS($V$1006:AD1006),$V$1006:$AE$1006,0)))),"Fix")))</f>
        <v>0</v>
      </c>
      <c r="K193" s="3">
        <f>IF(OR(INDEX($P$2:$P$1001,MATCH(ROWS($O$2:O193),$O$2:$O$1001,0),1)&gt;=100000,INDEX($V$1005:$AE$1005,1,MATCH(COLUMNS($V$1006:AE1006),$V$1006:$AE$1006,0))&gt;=100000), " ",IF(INDEX($V$2:$AE$1001,MATCH(ROWS($O$2:O193),$O$2:$O$1001,0),MATCH(COLUMNS($V$1006:AE1006),$V$1006:$AE$1006,0)), HYPERLINK("#",""), HYPERLINK(CONCATENATE("#Metadata!", ADDRESS(INDEX($Q$2:$Q$1001,MATCH(ROWS($O$2:O193),$O$2:$O$1001,0),0), INDEX($V$1004:$AE$1004,1,MATCH(COLUMNS($V$1006:AE1006),$V$1006:$AE$1006,0)))),"Fix")))</f>
        <v>0</v>
      </c>
      <c r="O193">
        <v>0</v>
      </c>
      <c r="P193">
        <v>0</v>
      </c>
      <c r="Q193">
        <v>0</v>
      </c>
      <c r="R193">
        <f>IF(S193,TRUE,AND(V193:AE193))</f>
        <v>0</v>
      </c>
      <c r="S193">
        <f>COUNTBLANK(Metadata!B193:K193)=COLUMNS(Metadata!B193:K193)</f>
        <v>0</v>
      </c>
      <c r="T193">
        <v>0</v>
      </c>
      <c r="V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W193">
        <f>AND(IF(Metadata!C193="",FALSE,TRUE),exact(Metadata!C193,"animal secretion"))</f>
        <v>0</v>
      </c>
      <c r="X193">
        <f>AND(IF(Metadata!D193="",FALSE,TRUE),exact(Metadata!D193,"saliva"))</f>
        <v>0</v>
      </c>
      <c r="Y193">
        <f>AND(IF(Metadata!E193="",FALSE,TRUE),exact(Metadata!E193,"human-oral"))</f>
        <v>0</v>
      </c>
      <c r="Z193">
        <f>AND(IF(Metadata!F193="",FALSE,TRUE),exact(Metadata!F193,"UBERON:oral cavity"))</f>
        <v>0</v>
      </c>
      <c r="AA193">
        <f>AND(IF(Metadata!G193="",FALSE,TRUE),exact(Metadata!G193,"UBERON:saliva"))</f>
        <v>0</v>
      </c>
      <c r="AB193">
        <f>AND(IF(Metadata!H193="",FALSE,TRUE),exact(Metadata!H193,"UBERON:tongue"))</f>
        <v>0</v>
      </c>
      <c r="AC193">
        <f>AND(IF(Metadata!I193="",FALSE,TRUE),exact(Metadata!I193,"tongue"))</f>
        <v>0</v>
      </c>
      <c r="AD193">
        <f>AND(IF(Metadata!J193="",FALSE,TRUE),exact(Metadata!J193,"human oral metagenome"))</f>
        <v>0</v>
      </c>
      <c r="AE193">
        <f>AND(IF(Metadata!K193="",FALSE,TRUE),exact(Metadata!K193,"447426"))</f>
        <v>0</v>
      </c>
    </row>
    <row r="194" spans="1:31">
      <c r="A194" s="4">
        <f>IF(B194=" "," ",HYPERLINK(CONCATENATE("#metadata!",ADDRESS(INDEX($Q$2:$Q$1001,MATCH(ROWS($O$2:O194),$O$2:$O$1001,0),0),1)),INDEX($T$2:$T$1001,MATCH(ROWS($O$2:O194),$O$2:$O$1001,0),0)))</f>
        <v>0</v>
      </c>
      <c r="B194" s="3">
        <f>IF(OR(INDEX($P$2:$P$1001,MATCH(ROWS($O$2:O194),$O$2:$O$1001,0),1)&gt;=100000,INDEX($V$1005:$AE$1005,1,MATCH(COLUMNS($V$1006:V1006),$V$1006:$AE$1006,0))&gt;=100000), " ",IF(INDEX($V$2:$AE$1001,MATCH(ROWS($O$2:O194),$O$2:$O$1001,0),MATCH(COLUMNS($V$1006:V1006),$V$1006:$AE$1006,0)), HYPERLINK("#",""), HYPERLINK(CONCATENATE("#Metadata!", ADDRESS(INDEX($Q$2:$Q$1001,MATCH(ROWS($O$2:O194),$O$2:$O$1001,0),0), INDEX($V$1004:$AE$1004,1,MATCH(COLUMNS($V$1006:V1006),$V$1006:$AE$1006,0)))),"Fix")))</f>
        <v>0</v>
      </c>
      <c r="C194" s="3">
        <f>IF(OR(INDEX($P$2:$P$1001,MATCH(ROWS($O$2:O194),$O$2:$O$1001,0),1)&gt;=100000,INDEX($V$1005:$AE$1005,1,MATCH(COLUMNS($V$1006:W1006),$V$1006:$AE$1006,0))&gt;=100000), " ",IF(INDEX($V$2:$AE$1001,MATCH(ROWS($O$2:O194),$O$2:$O$1001,0),MATCH(COLUMNS($V$1006:W1006),$V$1006:$AE$1006,0)), HYPERLINK("#",""), HYPERLINK(CONCATENATE("#Metadata!", ADDRESS(INDEX($Q$2:$Q$1001,MATCH(ROWS($O$2:O194),$O$2:$O$1001,0),0), INDEX($V$1004:$AE$1004,1,MATCH(COLUMNS($V$1006:W1006),$V$1006:$AE$1006,0)))),"Fix")))</f>
        <v>0</v>
      </c>
      <c r="D194" s="3">
        <f>IF(OR(INDEX($P$2:$P$1001,MATCH(ROWS($O$2:O194),$O$2:$O$1001,0),1)&gt;=100000,INDEX($V$1005:$AE$1005,1,MATCH(COLUMNS($V$1006:X1006),$V$1006:$AE$1006,0))&gt;=100000), " ",IF(INDEX($V$2:$AE$1001,MATCH(ROWS($O$2:O194),$O$2:$O$1001,0),MATCH(COLUMNS($V$1006:X1006),$V$1006:$AE$1006,0)), HYPERLINK("#",""), HYPERLINK(CONCATENATE("#Metadata!", ADDRESS(INDEX($Q$2:$Q$1001,MATCH(ROWS($O$2:O194),$O$2:$O$1001,0),0), INDEX($V$1004:$AE$1004,1,MATCH(COLUMNS($V$1006:X1006),$V$1006:$AE$1006,0)))),"Fix")))</f>
        <v>0</v>
      </c>
      <c r="E194" s="3">
        <f>IF(OR(INDEX($P$2:$P$1001,MATCH(ROWS($O$2:O194),$O$2:$O$1001,0),1)&gt;=100000,INDEX($V$1005:$AE$1005,1,MATCH(COLUMNS($V$1006:Y1006),$V$1006:$AE$1006,0))&gt;=100000), " ",IF(INDEX($V$2:$AE$1001,MATCH(ROWS($O$2:O194),$O$2:$O$1001,0),MATCH(COLUMNS($V$1006:Y1006),$V$1006:$AE$1006,0)), HYPERLINK("#",""), HYPERLINK(CONCATENATE("#Metadata!", ADDRESS(INDEX($Q$2:$Q$1001,MATCH(ROWS($O$2:O194),$O$2:$O$1001,0),0), INDEX($V$1004:$AE$1004,1,MATCH(COLUMNS($V$1006:Y1006),$V$1006:$AE$1006,0)))),"Fix")))</f>
        <v>0</v>
      </c>
      <c r="F194" s="3">
        <f>IF(OR(INDEX($P$2:$P$1001,MATCH(ROWS($O$2:O194),$O$2:$O$1001,0),1)&gt;=100000,INDEX($V$1005:$AE$1005,1,MATCH(COLUMNS($V$1006:Z1006),$V$1006:$AE$1006,0))&gt;=100000), " ",IF(INDEX($V$2:$AE$1001,MATCH(ROWS($O$2:O194),$O$2:$O$1001,0),MATCH(COLUMNS($V$1006:Z1006),$V$1006:$AE$1006,0)), HYPERLINK("#",""), HYPERLINK(CONCATENATE("#Metadata!", ADDRESS(INDEX($Q$2:$Q$1001,MATCH(ROWS($O$2:O194),$O$2:$O$1001,0),0), INDEX($V$1004:$AE$1004,1,MATCH(COLUMNS($V$1006:Z1006),$V$1006:$AE$1006,0)))),"Fix")))</f>
        <v>0</v>
      </c>
      <c r="G194" s="3">
        <f>IF(OR(INDEX($P$2:$P$1001,MATCH(ROWS($O$2:O194),$O$2:$O$1001,0),1)&gt;=100000,INDEX($V$1005:$AE$1005,1,MATCH(COLUMNS($V$1006:AA1006),$V$1006:$AE$1006,0))&gt;=100000), " ",IF(INDEX($V$2:$AE$1001,MATCH(ROWS($O$2:O194),$O$2:$O$1001,0),MATCH(COLUMNS($V$1006:AA1006),$V$1006:$AE$1006,0)), HYPERLINK("#",""), HYPERLINK(CONCATENATE("#Metadata!", ADDRESS(INDEX($Q$2:$Q$1001,MATCH(ROWS($O$2:O194),$O$2:$O$1001,0),0), INDEX($V$1004:$AE$1004,1,MATCH(COLUMNS($V$1006:AA1006),$V$1006:$AE$1006,0)))),"Fix")))</f>
        <v>0</v>
      </c>
      <c r="H194" s="3">
        <f>IF(OR(INDEX($P$2:$P$1001,MATCH(ROWS($O$2:O194),$O$2:$O$1001,0),1)&gt;=100000,INDEX($V$1005:$AE$1005,1,MATCH(COLUMNS($V$1006:AB1006),$V$1006:$AE$1006,0))&gt;=100000), " ",IF(INDEX($V$2:$AE$1001,MATCH(ROWS($O$2:O194),$O$2:$O$1001,0),MATCH(COLUMNS($V$1006:AB1006),$V$1006:$AE$1006,0)), HYPERLINK("#",""), HYPERLINK(CONCATENATE("#Metadata!", ADDRESS(INDEX($Q$2:$Q$1001,MATCH(ROWS($O$2:O194),$O$2:$O$1001,0),0), INDEX($V$1004:$AE$1004,1,MATCH(COLUMNS($V$1006:AB1006),$V$1006:$AE$1006,0)))),"Fix")))</f>
        <v>0</v>
      </c>
      <c r="I194" s="3">
        <f>IF(OR(INDEX($P$2:$P$1001,MATCH(ROWS($O$2:O194),$O$2:$O$1001,0),1)&gt;=100000,INDEX($V$1005:$AE$1005,1,MATCH(COLUMNS($V$1006:AC1006),$V$1006:$AE$1006,0))&gt;=100000), " ",IF(INDEX($V$2:$AE$1001,MATCH(ROWS($O$2:O194),$O$2:$O$1001,0),MATCH(COLUMNS($V$1006:AC1006),$V$1006:$AE$1006,0)), HYPERLINK("#",""), HYPERLINK(CONCATENATE("#Metadata!", ADDRESS(INDEX($Q$2:$Q$1001,MATCH(ROWS($O$2:O194),$O$2:$O$1001,0),0), INDEX($V$1004:$AE$1004,1,MATCH(COLUMNS($V$1006:AC1006),$V$1006:$AE$1006,0)))),"Fix")))</f>
        <v>0</v>
      </c>
      <c r="J194" s="3">
        <f>IF(OR(INDEX($P$2:$P$1001,MATCH(ROWS($O$2:O194),$O$2:$O$1001,0),1)&gt;=100000,INDEX($V$1005:$AE$1005,1,MATCH(COLUMNS($V$1006:AD1006),$V$1006:$AE$1006,0))&gt;=100000), " ",IF(INDEX($V$2:$AE$1001,MATCH(ROWS($O$2:O194),$O$2:$O$1001,0),MATCH(COLUMNS($V$1006:AD1006),$V$1006:$AE$1006,0)), HYPERLINK("#",""), HYPERLINK(CONCATENATE("#Metadata!", ADDRESS(INDEX($Q$2:$Q$1001,MATCH(ROWS($O$2:O194),$O$2:$O$1001,0),0), INDEX($V$1004:$AE$1004,1,MATCH(COLUMNS($V$1006:AD1006),$V$1006:$AE$1006,0)))),"Fix")))</f>
        <v>0</v>
      </c>
      <c r="K194" s="3">
        <f>IF(OR(INDEX($P$2:$P$1001,MATCH(ROWS($O$2:O194),$O$2:$O$1001,0),1)&gt;=100000,INDEX($V$1005:$AE$1005,1,MATCH(COLUMNS($V$1006:AE1006),$V$1006:$AE$1006,0))&gt;=100000), " ",IF(INDEX($V$2:$AE$1001,MATCH(ROWS($O$2:O194),$O$2:$O$1001,0),MATCH(COLUMNS($V$1006:AE1006),$V$1006:$AE$1006,0)), HYPERLINK("#",""), HYPERLINK(CONCATENATE("#Metadata!", ADDRESS(INDEX($Q$2:$Q$1001,MATCH(ROWS($O$2:O194),$O$2:$O$1001,0),0), INDEX($V$1004:$AE$1004,1,MATCH(COLUMNS($V$1006:AE1006),$V$1006:$AE$1006,0)))),"Fix")))</f>
        <v>0</v>
      </c>
      <c r="O194">
        <v>0</v>
      </c>
      <c r="P194">
        <v>0</v>
      </c>
      <c r="Q194">
        <v>0</v>
      </c>
      <c r="R194">
        <f>IF(S194,TRUE,AND(V194:AE194))</f>
        <v>0</v>
      </c>
      <c r="S194">
        <f>COUNTBLANK(Metadata!B194:K194)=COLUMNS(Metadata!B194:K194)</f>
        <v>0</v>
      </c>
      <c r="T194">
        <v>0</v>
      </c>
      <c r="V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W194">
        <f>AND(IF(Metadata!C194="",FALSE,TRUE),exact(Metadata!C194,"animal secretion"))</f>
        <v>0</v>
      </c>
      <c r="X194">
        <f>AND(IF(Metadata!D194="",FALSE,TRUE),exact(Metadata!D194,"saliva"))</f>
        <v>0</v>
      </c>
      <c r="Y194">
        <f>AND(IF(Metadata!E194="",FALSE,TRUE),exact(Metadata!E194,"human-oral"))</f>
        <v>0</v>
      </c>
      <c r="Z194">
        <f>AND(IF(Metadata!F194="",FALSE,TRUE),exact(Metadata!F194,"UBERON:oral cavity"))</f>
        <v>0</v>
      </c>
      <c r="AA194">
        <f>AND(IF(Metadata!G194="",FALSE,TRUE),exact(Metadata!G194,"UBERON:saliva"))</f>
        <v>0</v>
      </c>
      <c r="AB194">
        <f>AND(IF(Metadata!H194="",FALSE,TRUE),exact(Metadata!H194,"UBERON:tongue"))</f>
        <v>0</v>
      </c>
      <c r="AC194">
        <f>AND(IF(Metadata!I194="",FALSE,TRUE),exact(Metadata!I194,"tongue"))</f>
        <v>0</v>
      </c>
      <c r="AD194">
        <f>AND(IF(Metadata!J194="",FALSE,TRUE),exact(Metadata!J194,"human oral metagenome"))</f>
        <v>0</v>
      </c>
      <c r="AE194">
        <f>AND(IF(Metadata!K194="",FALSE,TRUE),exact(Metadata!K194,"447426"))</f>
        <v>0</v>
      </c>
    </row>
    <row r="195" spans="1:31">
      <c r="A195" s="4">
        <f>IF(B195=" "," ",HYPERLINK(CONCATENATE("#metadata!",ADDRESS(INDEX($Q$2:$Q$1001,MATCH(ROWS($O$2:O195),$O$2:$O$1001,0),0),1)),INDEX($T$2:$T$1001,MATCH(ROWS($O$2:O195),$O$2:$O$1001,0),0)))</f>
        <v>0</v>
      </c>
      <c r="B195" s="3">
        <f>IF(OR(INDEX($P$2:$P$1001,MATCH(ROWS($O$2:O195),$O$2:$O$1001,0),1)&gt;=100000,INDEX($V$1005:$AE$1005,1,MATCH(COLUMNS($V$1006:V1006),$V$1006:$AE$1006,0))&gt;=100000), " ",IF(INDEX($V$2:$AE$1001,MATCH(ROWS($O$2:O195),$O$2:$O$1001,0),MATCH(COLUMNS($V$1006:V1006),$V$1006:$AE$1006,0)), HYPERLINK("#",""), HYPERLINK(CONCATENATE("#Metadata!", ADDRESS(INDEX($Q$2:$Q$1001,MATCH(ROWS($O$2:O195),$O$2:$O$1001,0),0), INDEX($V$1004:$AE$1004,1,MATCH(COLUMNS($V$1006:V1006),$V$1006:$AE$1006,0)))),"Fix")))</f>
        <v>0</v>
      </c>
      <c r="C195" s="3">
        <f>IF(OR(INDEX($P$2:$P$1001,MATCH(ROWS($O$2:O195),$O$2:$O$1001,0),1)&gt;=100000,INDEX($V$1005:$AE$1005,1,MATCH(COLUMNS($V$1006:W1006),$V$1006:$AE$1006,0))&gt;=100000), " ",IF(INDEX($V$2:$AE$1001,MATCH(ROWS($O$2:O195),$O$2:$O$1001,0),MATCH(COLUMNS($V$1006:W1006),$V$1006:$AE$1006,0)), HYPERLINK("#",""), HYPERLINK(CONCATENATE("#Metadata!", ADDRESS(INDEX($Q$2:$Q$1001,MATCH(ROWS($O$2:O195),$O$2:$O$1001,0),0), INDEX($V$1004:$AE$1004,1,MATCH(COLUMNS($V$1006:W1006),$V$1006:$AE$1006,0)))),"Fix")))</f>
        <v>0</v>
      </c>
      <c r="D195" s="3">
        <f>IF(OR(INDEX($P$2:$P$1001,MATCH(ROWS($O$2:O195),$O$2:$O$1001,0),1)&gt;=100000,INDEX($V$1005:$AE$1005,1,MATCH(COLUMNS($V$1006:X1006),$V$1006:$AE$1006,0))&gt;=100000), " ",IF(INDEX($V$2:$AE$1001,MATCH(ROWS($O$2:O195),$O$2:$O$1001,0),MATCH(COLUMNS($V$1006:X1006),$V$1006:$AE$1006,0)), HYPERLINK("#",""), HYPERLINK(CONCATENATE("#Metadata!", ADDRESS(INDEX($Q$2:$Q$1001,MATCH(ROWS($O$2:O195),$O$2:$O$1001,0),0), INDEX($V$1004:$AE$1004,1,MATCH(COLUMNS($V$1006:X1006),$V$1006:$AE$1006,0)))),"Fix")))</f>
        <v>0</v>
      </c>
      <c r="E195" s="3">
        <f>IF(OR(INDEX($P$2:$P$1001,MATCH(ROWS($O$2:O195),$O$2:$O$1001,0),1)&gt;=100000,INDEX($V$1005:$AE$1005,1,MATCH(COLUMNS($V$1006:Y1006),$V$1006:$AE$1006,0))&gt;=100000), " ",IF(INDEX($V$2:$AE$1001,MATCH(ROWS($O$2:O195),$O$2:$O$1001,0),MATCH(COLUMNS($V$1006:Y1006),$V$1006:$AE$1006,0)), HYPERLINK("#",""), HYPERLINK(CONCATENATE("#Metadata!", ADDRESS(INDEX($Q$2:$Q$1001,MATCH(ROWS($O$2:O195),$O$2:$O$1001,0),0), INDEX($V$1004:$AE$1004,1,MATCH(COLUMNS($V$1006:Y1006),$V$1006:$AE$1006,0)))),"Fix")))</f>
        <v>0</v>
      </c>
      <c r="F195" s="3">
        <f>IF(OR(INDEX($P$2:$P$1001,MATCH(ROWS($O$2:O195),$O$2:$O$1001,0),1)&gt;=100000,INDEX($V$1005:$AE$1005,1,MATCH(COLUMNS($V$1006:Z1006),$V$1006:$AE$1006,0))&gt;=100000), " ",IF(INDEX($V$2:$AE$1001,MATCH(ROWS($O$2:O195),$O$2:$O$1001,0),MATCH(COLUMNS($V$1006:Z1006),$V$1006:$AE$1006,0)), HYPERLINK("#",""), HYPERLINK(CONCATENATE("#Metadata!", ADDRESS(INDEX($Q$2:$Q$1001,MATCH(ROWS($O$2:O195),$O$2:$O$1001,0),0), INDEX($V$1004:$AE$1004,1,MATCH(COLUMNS($V$1006:Z1006),$V$1006:$AE$1006,0)))),"Fix")))</f>
        <v>0</v>
      </c>
      <c r="G195" s="3">
        <f>IF(OR(INDEX($P$2:$P$1001,MATCH(ROWS($O$2:O195),$O$2:$O$1001,0),1)&gt;=100000,INDEX($V$1005:$AE$1005,1,MATCH(COLUMNS($V$1006:AA1006),$V$1006:$AE$1006,0))&gt;=100000), " ",IF(INDEX($V$2:$AE$1001,MATCH(ROWS($O$2:O195),$O$2:$O$1001,0),MATCH(COLUMNS($V$1006:AA1006),$V$1006:$AE$1006,0)), HYPERLINK("#",""), HYPERLINK(CONCATENATE("#Metadata!", ADDRESS(INDEX($Q$2:$Q$1001,MATCH(ROWS($O$2:O195),$O$2:$O$1001,0),0), INDEX($V$1004:$AE$1004,1,MATCH(COLUMNS($V$1006:AA1006),$V$1006:$AE$1006,0)))),"Fix")))</f>
        <v>0</v>
      </c>
      <c r="H195" s="3">
        <f>IF(OR(INDEX($P$2:$P$1001,MATCH(ROWS($O$2:O195),$O$2:$O$1001,0),1)&gt;=100000,INDEX($V$1005:$AE$1005,1,MATCH(COLUMNS($V$1006:AB1006),$V$1006:$AE$1006,0))&gt;=100000), " ",IF(INDEX($V$2:$AE$1001,MATCH(ROWS($O$2:O195),$O$2:$O$1001,0),MATCH(COLUMNS($V$1006:AB1006),$V$1006:$AE$1006,0)), HYPERLINK("#",""), HYPERLINK(CONCATENATE("#Metadata!", ADDRESS(INDEX($Q$2:$Q$1001,MATCH(ROWS($O$2:O195),$O$2:$O$1001,0),0), INDEX($V$1004:$AE$1004,1,MATCH(COLUMNS($V$1006:AB1006),$V$1006:$AE$1006,0)))),"Fix")))</f>
        <v>0</v>
      </c>
      <c r="I195" s="3">
        <f>IF(OR(INDEX($P$2:$P$1001,MATCH(ROWS($O$2:O195),$O$2:$O$1001,0),1)&gt;=100000,INDEX($V$1005:$AE$1005,1,MATCH(COLUMNS($V$1006:AC1006),$V$1006:$AE$1006,0))&gt;=100000), " ",IF(INDEX($V$2:$AE$1001,MATCH(ROWS($O$2:O195),$O$2:$O$1001,0),MATCH(COLUMNS($V$1006:AC1006),$V$1006:$AE$1006,0)), HYPERLINK("#",""), HYPERLINK(CONCATENATE("#Metadata!", ADDRESS(INDEX($Q$2:$Q$1001,MATCH(ROWS($O$2:O195),$O$2:$O$1001,0),0), INDEX($V$1004:$AE$1004,1,MATCH(COLUMNS($V$1006:AC1006),$V$1006:$AE$1006,0)))),"Fix")))</f>
        <v>0</v>
      </c>
      <c r="J195" s="3">
        <f>IF(OR(INDEX($P$2:$P$1001,MATCH(ROWS($O$2:O195),$O$2:$O$1001,0),1)&gt;=100000,INDEX($V$1005:$AE$1005,1,MATCH(COLUMNS($V$1006:AD1006),$V$1006:$AE$1006,0))&gt;=100000), " ",IF(INDEX($V$2:$AE$1001,MATCH(ROWS($O$2:O195),$O$2:$O$1001,0),MATCH(COLUMNS($V$1006:AD1006),$V$1006:$AE$1006,0)), HYPERLINK("#",""), HYPERLINK(CONCATENATE("#Metadata!", ADDRESS(INDEX($Q$2:$Q$1001,MATCH(ROWS($O$2:O195),$O$2:$O$1001,0),0), INDEX($V$1004:$AE$1004,1,MATCH(COLUMNS($V$1006:AD1006),$V$1006:$AE$1006,0)))),"Fix")))</f>
        <v>0</v>
      </c>
      <c r="K195" s="3">
        <f>IF(OR(INDEX($P$2:$P$1001,MATCH(ROWS($O$2:O195),$O$2:$O$1001,0),1)&gt;=100000,INDEX($V$1005:$AE$1005,1,MATCH(COLUMNS($V$1006:AE1006),$V$1006:$AE$1006,0))&gt;=100000), " ",IF(INDEX($V$2:$AE$1001,MATCH(ROWS($O$2:O195),$O$2:$O$1001,0),MATCH(COLUMNS($V$1006:AE1006),$V$1006:$AE$1006,0)), HYPERLINK("#",""), HYPERLINK(CONCATENATE("#Metadata!", ADDRESS(INDEX($Q$2:$Q$1001,MATCH(ROWS($O$2:O195),$O$2:$O$1001,0),0), INDEX($V$1004:$AE$1004,1,MATCH(COLUMNS($V$1006:AE1006),$V$1006:$AE$1006,0)))),"Fix")))</f>
        <v>0</v>
      </c>
      <c r="O195">
        <v>0</v>
      </c>
      <c r="P195">
        <v>0</v>
      </c>
      <c r="Q195">
        <v>0</v>
      </c>
      <c r="R195">
        <f>IF(S195,TRUE,AND(V195:AE195))</f>
        <v>0</v>
      </c>
      <c r="S195">
        <f>COUNTBLANK(Metadata!B195:K195)=COLUMNS(Metadata!B195:K195)</f>
        <v>0</v>
      </c>
      <c r="T195">
        <v>0</v>
      </c>
      <c r="V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W195">
        <f>AND(IF(Metadata!C195="",FALSE,TRUE),exact(Metadata!C195,"animal secretion"))</f>
        <v>0</v>
      </c>
      <c r="X195">
        <f>AND(IF(Metadata!D195="",FALSE,TRUE),exact(Metadata!D195,"saliva"))</f>
        <v>0</v>
      </c>
      <c r="Y195">
        <f>AND(IF(Metadata!E195="",FALSE,TRUE),exact(Metadata!E195,"human-oral"))</f>
        <v>0</v>
      </c>
      <c r="Z195">
        <f>AND(IF(Metadata!F195="",FALSE,TRUE),exact(Metadata!F195,"UBERON:oral cavity"))</f>
        <v>0</v>
      </c>
      <c r="AA195">
        <f>AND(IF(Metadata!G195="",FALSE,TRUE),exact(Metadata!G195,"UBERON:saliva"))</f>
        <v>0</v>
      </c>
      <c r="AB195">
        <f>AND(IF(Metadata!H195="",FALSE,TRUE),exact(Metadata!H195,"UBERON:tongue"))</f>
        <v>0</v>
      </c>
      <c r="AC195">
        <f>AND(IF(Metadata!I195="",FALSE,TRUE),exact(Metadata!I195,"tongue"))</f>
        <v>0</v>
      </c>
      <c r="AD195">
        <f>AND(IF(Metadata!J195="",FALSE,TRUE),exact(Metadata!J195,"human oral metagenome"))</f>
        <v>0</v>
      </c>
      <c r="AE195">
        <f>AND(IF(Metadata!K195="",FALSE,TRUE),exact(Metadata!K195,"447426"))</f>
        <v>0</v>
      </c>
    </row>
    <row r="196" spans="1:31">
      <c r="A196" s="4">
        <f>IF(B196=" "," ",HYPERLINK(CONCATENATE("#metadata!",ADDRESS(INDEX($Q$2:$Q$1001,MATCH(ROWS($O$2:O196),$O$2:$O$1001,0),0),1)),INDEX($T$2:$T$1001,MATCH(ROWS($O$2:O196),$O$2:$O$1001,0),0)))</f>
        <v>0</v>
      </c>
      <c r="B196" s="3">
        <f>IF(OR(INDEX($P$2:$P$1001,MATCH(ROWS($O$2:O196),$O$2:$O$1001,0),1)&gt;=100000,INDEX($V$1005:$AE$1005,1,MATCH(COLUMNS($V$1006:V1006),$V$1006:$AE$1006,0))&gt;=100000), " ",IF(INDEX($V$2:$AE$1001,MATCH(ROWS($O$2:O196),$O$2:$O$1001,0),MATCH(COLUMNS($V$1006:V1006),$V$1006:$AE$1006,0)), HYPERLINK("#",""), HYPERLINK(CONCATENATE("#Metadata!", ADDRESS(INDEX($Q$2:$Q$1001,MATCH(ROWS($O$2:O196),$O$2:$O$1001,0),0), INDEX($V$1004:$AE$1004,1,MATCH(COLUMNS($V$1006:V1006),$V$1006:$AE$1006,0)))),"Fix")))</f>
        <v>0</v>
      </c>
      <c r="C196" s="3">
        <f>IF(OR(INDEX($P$2:$P$1001,MATCH(ROWS($O$2:O196),$O$2:$O$1001,0),1)&gt;=100000,INDEX($V$1005:$AE$1005,1,MATCH(COLUMNS($V$1006:W1006),$V$1006:$AE$1006,0))&gt;=100000), " ",IF(INDEX($V$2:$AE$1001,MATCH(ROWS($O$2:O196),$O$2:$O$1001,0),MATCH(COLUMNS($V$1006:W1006),$V$1006:$AE$1006,0)), HYPERLINK("#",""), HYPERLINK(CONCATENATE("#Metadata!", ADDRESS(INDEX($Q$2:$Q$1001,MATCH(ROWS($O$2:O196),$O$2:$O$1001,0),0), INDEX($V$1004:$AE$1004,1,MATCH(COLUMNS($V$1006:W1006),$V$1006:$AE$1006,0)))),"Fix")))</f>
        <v>0</v>
      </c>
      <c r="D196" s="3">
        <f>IF(OR(INDEX($P$2:$P$1001,MATCH(ROWS($O$2:O196),$O$2:$O$1001,0),1)&gt;=100000,INDEX($V$1005:$AE$1005,1,MATCH(COLUMNS($V$1006:X1006),$V$1006:$AE$1006,0))&gt;=100000), " ",IF(INDEX($V$2:$AE$1001,MATCH(ROWS($O$2:O196),$O$2:$O$1001,0),MATCH(COLUMNS($V$1006:X1006),$V$1006:$AE$1006,0)), HYPERLINK("#",""), HYPERLINK(CONCATENATE("#Metadata!", ADDRESS(INDEX($Q$2:$Q$1001,MATCH(ROWS($O$2:O196),$O$2:$O$1001,0),0), INDEX($V$1004:$AE$1004,1,MATCH(COLUMNS($V$1006:X1006),$V$1006:$AE$1006,0)))),"Fix")))</f>
        <v>0</v>
      </c>
      <c r="E196" s="3">
        <f>IF(OR(INDEX($P$2:$P$1001,MATCH(ROWS($O$2:O196),$O$2:$O$1001,0),1)&gt;=100000,INDEX($V$1005:$AE$1005,1,MATCH(COLUMNS($V$1006:Y1006),$V$1006:$AE$1006,0))&gt;=100000), " ",IF(INDEX($V$2:$AE$1001,MATCH(ROWS($O$2:O196),$O$2:$O$1001,0),MATCH(COLUMNS($V$1006:Y1006),$V$1006:$AE$1006,0)), HYPERLINK("#",""), HYPERLINK(CONCATENATE("#Metadata!", ADDRESS(INDEX($Q$2:$Q$1001,MATCH(ROWS($O$2:O196),$O$2:$O$1001,0),0), INDEX($V$1004:$AE$1004,1,MATCH(COLUMNS($V$1006:Y1006),$V$1006:$AE$1006,0)))),"Fix")))</f>
        <v>0</v>
      </c>
      <c r="F196" s="3">
        <f>IF(OR(INDEX($P$2:$P$1001,MATCH(ROWS($O$2:O196),$O$2:$O$1001,0),1)&gt;=100000,INDEX($V$1005:$AE$1005,1,MATCH(COLUMNS($V$1006:Z1006),$V$1006:$AE$1006,0))&gt;=100000), " ",IF(INDEX($V$2:$AE$1001,MATCH(ROWS($O$2:O196),$O$2:$O$1001,0),MATCH(COLUMNS($V$1006:Z1006),$V$1006:$AE$1006,0)), HYPERLINK("#",""), HYPERLINK(CONCATENATE("#Metadata!", ADDRESS(INDEX($Q$2:$Q$1001,MATCH(ROWS($O$2:O196),$O$2:$O$1001,0),0), INDEX($V$1004:$AE$1004,1,MATCH(COLUMNS($V$1006:Z1006),$V$1006:$AE$1006,0)))),"Fix")))</f>
        <v>0</v>
      </c>
      <c r="G196" s="3">
        <f>IF(OR(INDEX($P$2:$P$1001,MATCH(ROWS($O$2:O196),$O$2:$O$1001,0),1)&gt;=100000,INDEX($V$1005:$AE$1005,1,MATCH(COLUMNS($V$1006:AA1006),$V$1006:$AE$1006,0))&gt;=100000), " ",IF(INDEX($V$2:$AE$1001,MATCH(ROWS($O$2:O196),$O$2:$O$1001,0),MATCH(COLUMNS($V$1006:AA1006),$V$1006:$AE$1006,0)), HYPERLINK("#",""), HYPERLINK(CONCATENATE("#Metadata!", ADDRESS(INDEX($Q$2:$Q$1001,MATCH(ROWS($O$2:O196),$O$2:$O$1001,0),0), INDEX($V$1004:$AE$1004,1,MATCH(COLUMNS($V$1006:AA1006),$V$1006:$AE$1006,0)))),"Fix")))</f>
        <v>0</v>
      </c>
      <c r="H196" s="3">
        <f>IF(OR(INDEX($P$2:$P$1001,MATCH(ROWS($O$2:O196),$O$2:$O$1001,0),1)&gt;=100000,INDEX($V$1005:$AE$1005,1,MATCH(COLUMNS($V$1006:AB1006),$V$1006:$AE$1006,0))&gt;=100000), " ",IF(INDEX($V$2:$AE$1001,MATCH(ROWS($O$2:O196),$O$2:$O$1001,0),MATCH(COLUMNS($V$1006:AB1006),$V$1006:$AE$1006,0)), HYPERLINK("#",""), HYPERLINK(CONCATENATE("#Metadata!", ADDRESS(INDEX($Q$2:$Q$1001,MATCH(ROWS($O$2:O196),$O$2:$O$1001,0),0), INDEX($V$1004:$AE$1004,1,MATCH(COLUMNS($V$1006:AB1006),$V$1006:$AE$1006,0)))),"Fix")))</f>
        <v>0</v>
      </c>
      <c r="I196" s="3">
        <f>IF(OR(INDEX($P$2:$P$1001,MATCH(ROWS($O$2:O196),$O$2:$O$1001,0),1)&gt;=100000,INDEX($V$1005:$AE$1005,1,MATCH(COLUMNS($V$1006:AC1006),$V$1006:$AE$1006,0))&gt;=100000), " ",IF(INDEX($V$2:$AE$1001,MATCH(ROWS($O$2:O196),$O$2:$O$1001,0),MATCH(COLUMNS($V$1006:AC1006),$V$1006:$AE$1006,0)), HYPERLINK("#",""), HYPERLINK(CONCATENATE("#Metadata!", ADDRESS(INDEX($Q$2:$Q$1001,MATCH(ROWS($O$2:O196),$O$2:$O$1001,0),0), INDEX($V$1004:$AE$1004,1,MATCH(COLUMNS($V$1006:AC1006),$V$1006:$AE$1006,0)))),"Fix")))</f>
        <v>0</v>
      </c>
      <c r="J196" s="3">
        <f>IF(OR(INDEX($P$2:$P$1001,MATCH(ROWS($O$2:O196),$O$2:$O$1001,0),1)&gt;=100000,INDEX($V$1005:$AE$1005,1,MATCH(COLUMNS($V$1006:AD1006),$V$1006:$AE$1006,0))&gt;=100000), " ",IF(INDEX($V$2:$AE$1001,MATCH(ROWS($O$2:O196),$O$2:$O$1001,0),MATCH(COLUMNS($V$1006:AD1006),$V$1006:$AE$1006,0)), HYPERLINK("#",""), HYPERLINK(CONCATENATE("#Metadata!", ADDRESS(INDEX($Q$2:$Q$1001,MATCH(ROWS($O$2:O196),$O$2:$O$1001,0),0), INDEX($V$1004:$AE$1004,1,MATCH(COLUMNS($V$1006:AD1006),$V$1006:$AE$1006,0)))),"Fix")))</f>
        <v>0</v>
      </c>
      <c r="K196" s="3">
        <f>IF(OR(INDEX($P$2:$P$1001,MATCH(ROWS($O$2:O196),$O$2:$O$1001,0),1)&gt;=100000,INDEX($V$1005:$AE$1005,1,MATCH(COLUMNS($V$1006:AE1006),$V$1006:$AE$1006,0))&gt;=100000), " ",IF(INDEX($V$2:$AE$1001,MATCH(ROWS($O$2:O196),$O$2:$O$1001,0),MATCH(COLUMNS($V$1006:AE1006),$V$1006:$AE$1006,0)), HYPERLINK("#",""), HYPERLINK(CONCATENATE("#Metadata!", ADDRESS(INDEX($Q$2:$Q$1001,MATCH(ROWS($O$2:O196),$O$2:$O$1001,0),0), INDEX($V$1004:$AE$1004,1,MATCH(COLUMNS($V$1006:AE1006),$V$1006:$AE$1006,0)))),"Fix")))</f>
        <v>0</v>
      </c>
      <c r="O196">
        <v>0</v>
      </c>
      <c r="P196">
        <v>0</v>
      </c>
      <c r="Q196">
        <v>0</v>
      </c>
      <c r="R196">
        <f>IF(S196,TRUE,AND(V196:AE196))</f>
        <v>0</v>
      </c>
      <c r="S196">
        <f>COUNTBLANK(Metadata!B196:K196)=COLUMNS(Metadata!B196:K196)</f>
        <v>0</v>
      </c>
      <c r="T196">
        <v>0</v>
      </c>
      <c r="V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W196">
        <f>AND(IF(Metadata!C196="",FALSE,TRUE),exact(Metadata!C196,"animal secretion"))</f>
        <v>0</v>
      </c>
      <c r="X196">
        <f>AND(IF(Metadata!D196="",FALSE,TRUE),exact(Metadata!D196,"saliva"))</f>
        <v>0</v>
      </c>
      <c r="Y196">
        <f>AND(IF(Metadata!E196="",FALSE,TRUE),exact(Metadata!E196,"human-oral"))</f>
        <v>0</v>
      </c>
      <c r="Z196">
        <f>AND(IF(Metadata!F196="",FALSE,TRUE),exact(Metadata!F196,"UBERON:oral cavity"))</f>
        <v>0</v>
      </c>
      <c r="AA196">
        <f>AND(IF(Metadata!G196="",FALSE,TRUE),exact(Metadata!G196,"UBERON:saliva"))</f>
        <v>0</v>
      </c>
      <c r="AB196">
        <f>AND(IF(Metadata!H196="",FALSE,TRUE),exact(Metadata!H196,"UBERON:tongue"))</f>
        <v>0</v>
      </c>
      <c r="AC196">
        <f>AND(IF(Metadata!I196="",FALSE,TRUE),exact(Metadata!I196,"tongue"))</f>
        <v>0</v>
      </c>
      <c r="AD196">
        <f>AND(IF(Metadata!J196="",FALSE,TRUE),exact(Metadata!J196,"human oral metagenome"))</f>
        <v>0</v>
      </c>
      <c r="AE196">
        <f>AND(IF(Metadata!K196="",FALSE,TRUE),exact(Metadata!K196,"447426"))</f>
        <v>0</v>
      </c>
    </row>
    <row r="197" spans="1:31">
      <c r="A197" s="4">
        <f>IF(B197=" "," ",HYPERLINK(CONCATENATE("#metadata!",ADDRESS(INDEX($Q$2:$Q$1001,MATCH(ROWS($O$2:O197),$O$2:$O$1001,0),0),1)),INDEX($T$2:$T$1001,MATCH(ROWS($O$2:O197),$O$2:$O$1001,0),0)))</f>
        <v>0</v>
      </c>
      <c r="B197" s="3">
        <f>IF(OR(INDEX($P$2:$P$1001,MATCH(ROWS($O$2:O197),$O$2:$O$1001,0),1)&gt;=100000,INDEX($V$1005:$AE$1005,1,MATCH(COLUMNS($V$1006:V1006),$V$1006:$AE$1006,0))&gt;=100000), " ",IF(INDEX($V$2:$AE$1001,MATCH(ROWS($O$2:O197),$O$2:$O$1001,0),MATCH(COLUMNS($V$1006:V1006),$V$1006:$AE$1006,0)), HYPERLINK("#",""), HYPERLINK(CONCATENATE("#Metadata!", ADDRESS(INDEX($Q$2:$Q$1001,MATCH(ROWS($O$2:O197),$O$2:$O$1001,0),0), INDEX($V$1004:$AE$1004,1,MATCH(COLUMNS($V$1006:V1006),$V$1006:$AE$1006,0)))),"Fix")))</f>
        <v>0</v>
      </c>
      <c r="C197" s="3">
        <f>IF(OR(INDEX($P$2:$P$1001,MATCH(ROWS($O$2:O197),$O$2:$O$1001,0),1)&gt;=100000,INDEX($V$1005:$AE$1005,1,MATCH(COLUMNS($V$1006:W1006),$V$1006:$AE$1006,0))&gt;=100000), " ",IF(INDEX($V$2:$AE$1001,MATCH(ROWS($O$2:O197),$O$2:$O$1001,0),MATCH(COLUMNS($V$1006:W1006),$V$1006:$AE$1006,0)), HYPERLINK("#",""), HYPERLINK(CONCATENATE("#Metadata!", ADDRESS(INDEX($Q$2:$Q$1001,MATCH(ROWS($O$2:O197),$O$2:$O$1001,0),0), INDEX($V$1004:$AE$1004,1,MATCH(COLUMNS($V$1006:W1006),$V$1006:$AE$1006,0)))),"Fix")))</f>
        <v>0</v>
      </c>
      <c r="D197" s="3">
        <f>IF(OR(INDEX($P$2:$P$1001,MATCH(ROWS($O$2:O197),$O$2:$O$1001,0),1)&gt;=100000,INDEX($V$1005:$AE$1005,1,MATCH(COLUMNS($V$1006:X1006),$V$1006:$AE$1006,0))&gt;=100000), " ",IF(INDEX($V$2:$AE$1001,MATCH(ROWS($O$2:O197),$O$2:$O$1001,0),MATCH(COLUMNS($V$1006:X1006),$V$1006:$AE$1006,0)), HYPERLINK("#",""), HYPERLINK(CONCATENATE("#Metadata!", ADDRESS(INDEX($Q$2:$Q$1001,MATCH(ROWS($O$2:O197),$O$2:$O$1001,0),0), INDEX($V$1004:$AE$1004,1,MATCH(COLUMNS($V$1006:X1006),$V$1006:$AE$1006,0)))),"Fix")))</f>
        <v>0</v>
      </c>
      <c r="E197" s="3">
        <f>IF(OR(INDEX($P$2:$P$1001,MATCH(ROWS($O$2:O197),$O$2:$O$1001,0),1)&gt;=100000,INDEX($V$1005:$AE$1005,1,MATCH(COLUMNS($V$1006:Y1006),$V$1006:$AE$1006,0))&gt;=100000), " ",IF(INDEX($V$2:$AE$1001,MATCH(ROWS($O$2:O197),$O$2:$O$1001,0),MATCH(COLUMNS($V$1006:Y1006),$V$1006:$AE$1006,0)), HYPERLINK("#",""), HYPERLINK(CONCATENATE("#Metadata!", ADDRESS(INDEX($Q$2:$Q$1001,MATCH(ROWS($O$2:O197),$O$2:$O$1001,0),0), INDEX($V$1004:$AE$1004,1,MATCH(COLUMNS($V$1006:Y1006),$V$1006:$AE$1006,0)))),"Fix")))</f>
        <v>0</v>
      </c>
      <c r="F197" s="3">
        <f>IF(OR(INDEX($P$2:$P$1001,MATCH(ROWS($O$2:O197),$O$2:$O$1001,0),1)&gt;=100000,INDEX($V$1005:$AE$1005,1,MATCH(COLUMNS($V$1006:Z1006),$V$1006:$AE$1006,0))&gt;=100000), " ",IF(INDEX($V$2:$AE$1001,MATCH(ROWS($O$2:O197),$O$2:$O$1001,0),MATCH(COLUMNS($V$1006:Z1006),$V$1006:$AE$1006,0)), HYPERLINK("#",""), HYPERLINK(CONCATENATE("#Metadata!", ADDRESS(INDEX($Q$2:$Q$1001,MATCH(ROWS($O$2:O197),$O$2:$O$1001,0),0), INDEX($V$1004:$AE$1004,1,MATCH(COLUMNS($V$1006:Z1006),$V$1006:$AE$1006,0)))),"Fix")))</f>
        <v>0</v>
      </c>
      <c r="G197" s="3">
        <f>IF(OR(INDEX($P$2:$P$1001,MATCH(ROWS($O$2:O197),$O$2:$O$1001,0),1)&gt;=100000,INDEX($V$1005:$AE$1005,1,MATCH(COLUMNS($V$1006:AA1006),$V$1006:$AE$1006,0))&gt;=100000), " ",IF(INDEX($V$2:$AE$1001,MATCH(ROWS($O$2:O197),$O$2:$O$1001,0),MATCH(COLUMNS($V$1006:AA1006),$V$1006:$AE$1006,0)), HYPERLINK("#",""), HYPERLINK(CONCATENATE("#Metadata!", ADDRESS(INDEX($Q$2:$Q$1001,MATCH(ROWS($O$2:O197),$O$2:$O$1001,0),0), INDEX($V$1004:$AE$1004,1,MATCH(COLUMNS($V$1006:AA1006),$V$1006:$AE$1006,0)))),"Fix")))</f>
        <v>0</v>
      </c>
      <c r="H197" s="3">
        <f>IF(OR(INDEX($P$2:$P$1001,MATCH(ROWS($O$2:O197),$O$2:$O$1001,0),1)&gt;=100000,INDEX($V$1005:$AE$1005,1,MATCH(COLUMNS($V$1006:AB1006),$V$1006:$AE$1006,0))&gt;=100000), " ",IF(INDEX($V$2:$AE$1001,MATCH(ROWS($O$2:O197),$O$2:$O$1001,0),MATCH(COLUMNS($V$1006:AB1006),$V$1006:$AE$1006,0)), HYPERLINK("#",""), HYPERLINK(CONCATENATE("#Metadata!", ADDRESS(INDEX($Q$2:$Q$1001,MATCH(ROWS($O$2:O197),$O$2:$O$1001,0),0), INDEX($V$1004:$AE$1004,1,MATCH(COLUMNS($V$1006:AB1006),$V$1006:$AE$1006,0)))),"Fix")))</f>
        <v>0</v>
      </c>
      <c r="I197" s="3">
        <f>IF(OR(INDEX($P$2:$P$1001,MATCH(ROWS($O$2:O197),$O$2:$O$1001,0),1)&gt;=100000,INDEX($V$1005:$AE$1005,1,MATCH(COLUMNS($V$1006:AC1006),$V$1006:$AE$1006,0))&gt;=100000), " ",IF(INDEX($V$2:$AE$1001,MATCH(ROWS($O$2:O197),$O$2:$O$1001,0),MATCH(COLUMNS($V$1006:AC1006),$V$1006:$AE$1006,0)), HYPERLINK("#",""), HYPERLINK(CONCATENATE("#Metadata!", ADDRESS(INDEX($Q$2:$Q$1001,MATCH(ROWS($O$2:O197),$O$2:$O$1001,0),0), INDEX($V$1004:$AE$1004,1,MATCH(COLUMNS($V$1006:AC1006),$V$1006:$AE$1006,0)))),"Fix")))</f>
        <v>0</v>
      </c>
      <c r="J197" s="3">
        <f>IF(OR(INDEX($P$2:$P$1001,MATCH(ROWS($O$2:O197),$O$2:$O$1001,0),1)&gt;=100000,INDEX($V$1005:$AE$1005,1,MATCH(COLUMNS($V$1006:AD1006),$V$1006:$AE$1006,0))&gt;=100000), " ",IF(INDEX($V$2:$AE$1001,MATCH(ROWS($O$2:O197),$O$2:$O$1001,0),MATCH(COLUMNS($V$1006:AD1006),$V$1006:$AE$1006,0)), HYPERLINK("#",""), HYPERLINK(CONCATENATE("#Metadata!", ADDRESS(INDEX($Q$2:$Q$1001,MATCH(ROWS($O$2:O197),$O$2:$O$1001,0),0), INDEX($V$1004:$AE$1004,1,MATCH(COLUMNS($V$1006:AD1006),$V$1006:$AE$1006,0)))),"Fix")))</f>
        <v>0</v>
      </c>
      <c r="K197" s="3">
        <f>IF(OR(INDEX($P$2:$P$1001,MATCH(ROWS($O$2:O197),$O$2:$O$1001,0),1)&gt;=100000,INDEX($V$1005:$AE$1005,1,MATCH(COLUMNS($V$1006:AE1006),$V$1006:$AE$1006,0))&gt;=100000), " ",IF(INDEX($V$2:$AE$1001,MATCH(ROWS($O$2:O197),$O$2:$O$1001,0),MATCH(COLUMNS($V$1006:AE1006),$V$1006:$AE$1006,0)), HYPERLINK("#",""), HYPERLINK(CONCATENATE("#Metadata!", ADDRESS(INDEX($Q$2:$Q$1001,MATCH(ROWS($O$2:O197),$O$2:$O$1001,0),0), INDEX($V$1004:$AE$1004,1,MATCH(COLUMNS($V$1006:AE1006),$V$1006:$AE$1006,0)))),"Fix")))</f>
        <v>0</v>
      </c>
      <c r="O197">
        <v>0</v>
      </c>
      <c r="P197">
        <v>0</v>
      </c>
      <c r="Q197">
        <v>0</v>
      </c>
      <c r="R197">
        <f>IF(S197,TRUE,AND(V197:AE197))</f>
        <v>0</v>
      </c>
      <c r="S197">
        <f>COUNTBLANK(Metadata!B197:K197)=COLUMNS(Metadata!B197:K197)</f>
        <v>0</v>
      </c>
      <c r="T197">
        <v>0</v>
      </c>
      <c r="V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W197">
        <f>AND(IF(Metadata!C197="",FALSE,TRUE),exact(Metadata!C197,"animal secretion"))</f>
        <v>0</v>
      </c>
      <c r="X197">
        <f>AND(IF(Metadata!D197="",FALSE,TRUE),exact(Metadata!D197,"saliva"))</f>
        <v>0</v>
      </c>
      <c r="Y197">
        <f>AND(IF(Metadata!E197="",FALSE,TRUE),exact(Metadata!E197,"human-oral"))</f>
        <v>0</v>
      </c>
      <c r="Z197">
        <f>AND(IF(Metadata!F197="",FALSE,TRUE),exact(Metadata!F197,"UBERON:oral cavity"))</f>
        <v>0</v>
      </c>
      <c r="AA197">
        <f>AND(IF(Metadata!G197="",FALSE,TRUE),exact(Metadata!G197,"UBERON:saliva"))</f>
        <v>0</v>
      </c>
      <c r="AB197">
        <f>AND(IF(Metadata!H197="",FALSE,TRUE),exact(Metadata!H197,"UBERON:tongue"))</f>
        <v>0</v>
      </c>
      <c r="AC197">
        <f>AND(IF(Metadata!I197="",FALSE,TRUE),exact(Metadata!I197,"tongue"))</f>
        <v>0</v>
      </c>
      <c r="AD197">
        <f>AND(IF(Metadata!J197="",FALSE,TRUE),exact(Metadata!J197,"human oral metagenome"))</f>
        <v>0</v>
      </c>
      <c r="AE197">
        <f>AND(IF(Metadata!K197="",FALSE,TRUE),exact(Metadata!K197,"447426"))</f>
        <v>0</v>
      </c>
    </row>
    <row r="198" spans="1:31">
      <c r="A198" s="4">
        <f>IF(B198=" "," ",HYPERLINK(CONCATENATE("#metadata!",ADDRESS(INDEX($Q$2:$Q$1001,MATCH(ROWS($O$2:O198),$O$2:$O$1001,0),0),1)),INDEX($T$2:$T$1001,MATCH(ROWS($O$2:O198),$O$2:$O$1001,0),0)))</f>
        <v>0</v>
      </c>
      <c r="B198" s="3">
        <f>IF(OR(INDEX($P$2:$P$1001,MATCH(ROWS($O$2:O198),$O$2:$O$1001,0),1)&gt;=100000,INDEX($V$1005:$AE$1005,1,MATCH(COLUMNS($V$1006:V1006),$V$1006:$AE$1006,0))&gt;=100000), " ",IF(INDEX($V$2:$AE$1001,MATCH(ROWS($O$2:O198),$O$2:$O$1001,0),MATCH(COLUMNS($V$1006:V1006),$V$1006:$AE$1006,0)), HYPERLINK("#",""), HYPERLINK(CONCATENATE("#Metadata!", ADDRESS(INDEX($Q$2:$Q$1001,MATCH(ROWS($O$2:O198),$O$2:$O$1001,0),0), INDEX($V$1004:$AE$1004,1,MATCH(COLUMNS($V$1006:V1006),$V$1006:$AE$1006,0)))),"Fix")))</f>
        <v>0</v>
      </c>
      <c r="C198" s="3">
        <f>IF(OR(INDEX($P$2:$P$1001,MATCH(ROWS($O$2:O198),$O$2:$O$1001,0),1)&gt;=100000,INDEX($V$1005:$AE$1005,1,MATCH(COLUMNS($V$1006:W1006),$V$1006:$AE$1006,0))&gt;=100000), " ",IF(INDEX($V$2:$AE$1001,MATCH(ROWS($O$2:O198),$O$2:$O$1001,0),MATCH(COLUMNS($V$1006:W1006),$V$1006:$AE$1006,0)), HYPERLINK("#",""), HYPERLINK(CONCATENATE("#Metadata!", ADDRESS(INDEX($Q$2:$Q$1001,MATCH(ROWS($O$2:O198),$O$2:$O$1001,0),0), INDEX($V$1004:$AE$1004,1,MATCH(COLUMNS($V$1006:W1006),$V$1006:$AE$1006,0)))),"Fix")))</f>
        <v>0</v>
      </c>
      <c r="D198" s="3">
        <f>IF(OR(INDEX($P$2:$P$1001,MATCH(ROWS($O$2:O198),$O$2:$O$1001,0),1)&gt;=100000,INDEX($V$1005:$AE$1005,1,MATCH(COLUMNS($V$1006:X1006),$V$1006:$AE$1006,0))&gt;=100000), " ",IF(INDEX($V$2:$AE$1001,MATCH(ROWS($O$2:O198),$O$2:$O$1001,0),MATCH(COLUMNS($V$1006:X1006),$V$1006:$AE$1006,0)), HYPERLINK("#",""), HYPERLINK(CONCATENATE("#Metadata!", ADDRESS(INDEX($Q$2:$Q$1001,MATCH(ROWS($O$2:O198),$O$2:$O$1001,0),0), INDEX($V$1004:$AE$1004,1,MATCH(COLUMNS($V$1006:X1006),$V$1006:$AE$1006,0)))),"Fix")))</f>
        <v>0</v>
      </c>
      <c r="E198" s="3">
        <f>IF(OR(INDEX($P$2:$P$1001,MATCH(ROWS($O$2:O198),$O$2:$O$1001,0),1)&gt;=100000,INDEX($V$1005:$AE$1005,1,MATCH(COLUMNS($V$1006:Y1006),$V$1006:$AE$1006,0))&gt;=100000), " ",IF(INDEX($V$2:$AE$1001,MATCH(ROWS($O$2:O198),$O$2:$O$1001,0),MATCH(COLUMNS($V$1006:Y1006),$V$1006:$AE$1006,0)), HYPERLINK("#",""), HYPERLINK(CONCATENATE("#Metadata!", ADDRESS(INDEX($Q$2:$Q$1001,MATCH(ROWS($O$2:O198),$O$2:$O$1001,0),0), INDEX($V$1004:$AE$1004,1,MATCH(COLUMNS($V$1006:Y1006),$V$1006:$AE$1006,0)))),"Fix")))</f>
        <v>0</v>
      </c>
      <c r="F198" s="3">
        <f>IF(OR(INDEX($P$2:$P$1001,MATCH(ROWS($O$2:O198),$O$2:$O$1001,0),1)&gt;=100000,INDEX($V$1005:$AE$1005,1,MATCH(COLUMNS($V$1006:Z1006),$V$1006:$AE$1006,0))&gt;=100000), " ",IF(INDEX($V$2:$AE$1001,MATCH(ROWS($O$2:O198),$O$2:$O$1001,0),MATCH(COLUMNS($V$1006:Z1006),$V$1006:$AE$1006,0)), HYPERLINK("#",""), HYPERLINK(CONCATENATE("#Metadata!", ADDRESS(INDEX($Q$2:$Q$1001,MATCH(ROWS($O$2:O198),$O$2:$O$1001,0),0), INDEX($V$1004:$AE$1004,1,MATCH(COLUMNS($V$1006:Z1006),$V$1006:$AE$1006,0)))),"Fix")))</f>
        <v>0</v>
      </c>
      <c r="G198" s="3">
        <f>IF(OR(INDEX($P$2:$P$1001,MATCH(ROWS($O$2:O198),$O$2:$O$1001,0),1)&gt;=100000,INDEX($V$1005:$AE$1005,1,MATCH(COLUMNS($V$1006:AA1006),$V$1006:$AE$1006,0))&gt;=100000), " ",IF(INDEX($V$2:$AE$1001,MATCH(ROWS($O$2:O198),$O$2:$O$1001,0),MATCH(COLUMNS($V$1006:AA1006),$V$1006:$AE$1006,0)), HYPERLINK("#",""), HYPERLINK(CONCATENATE("#Metadata!", ADDRESS(INDEX($Q$2:$Q$1001,MATCH(ROWS($O$2:O198),$O$2:$O$1001,0),0), INDEX($V$1004:$AE$1004,1,MATCH(COLUMNS($V$1006:AA1006),$V$1006:$AE$1006,0)))),"Fix")))</f>
        <v>0</v>
      </c>
      <c r="H198" s="3">
        <f>IF(OR(INDEX($P$2:$P$1001,MATCH(ROWS($O$2:O198),$O$2:$O$1001,0),1)&gt;=100000,INDEX($V$1005:$AE$1005,1,MATCH(COLUMNS($V$1006:AB1006),$V$1006:$AE$1006,0))&gt;=100000), " ",IF(INDEX($V$2:$AE$1001,MATCH(ROWS($O$2:O198),$O$2:$O$1001,0),MATCH(COLUMNS($V$1006:AB1006),$V$1006:$AE$1006,0)), HYPERLINK("#",""), HYPERLINK(CONCATENATE("#Metadata!", ADDRESS(INDEX($Q$2:$Q$1001,MATCH(ROWS($O$2:O198),$O$2:$O$1001,0),0), INDEX($V$1004:$AE$1004,1,MATCH(COLUMNS($V$1006:AB1006),$V$1006:$AE$1006,0)))),"Fix")))</f>
        <v>0</v>
      </c>
      <c r="I198" s="3">
        <f>IF(OR(INDEX($P$2:$P$1001,MATCH(ROWS($O$2:O198),$O$2:$O$1001,0),1)&gt;=100000,INDEX($V$1005:$AE$1005,1,MATCH(COLUMNS($V$1006:AC1006),$V$1006:$AE$1006,0))&gt;=100000), " ",IF(INDEX($V$2:$AE$1001,MATCH(ROWS($O$2:O198),$O$2:$O$1001,0),MATCH(COLUMNS($V$1006:AC1006),$V$1006:$AE$1006,0)), HYPERLINK("#",""), HYPERLINK(CONCATENATE("#Metadata!", ADDRESS(INDEX($Q$2:$Q$1001,MATCH(ROWS($O$2:O198),$O$2:$O$1001,0),0), INDEX($V$1004:$AE$1004,1,MATCH(COLUMNS($V$1006:AC1006),$V$1006:$AE$1006,0)))),"Fix")))</f>
        <v>0</v>
      </c>
      <c r="J198" s="3">
        <f>IF(OR(INDEX($P$2:$P$1001,MATCH(ROWS($O$2:O198),$O$2:$O$1001,0),1)&gt;=100000,INDEX($V$1005:$AE$1005,1,MATCH(COLUMNS($V$1006:AD1006),$V$1006:$AE$1006,0))&gt;=100000), " ",IF(INDEX($V$2:$AE$1001,MATCH(ROWS($O$2:O198),$O$2:$O$1001,0),MATCH(COLUMNS($V$1006:AD1006),$V$1006:$AE$1006,0)), HYPERLINK("#",""), HYPERLINK(CONCATENATE("#Metadata!", ADDRESS(INDEX($Q$2:$Q$1001,MATCH(ROWS($O$2:O198),$O$2:$O$1001,0),0), INDEX($V$1004:$AE$1004,1,MATCH(COLUMNS($V$1006:AD1006),$V$1006:$AE$1006,0)))),"Fix")))</f>
        <v>0</v>
      </c>
      <c r="K198" s="3">
        <f>IF(OR(INDEX($P$2:$P$1001,MATCH(ROWS($O$2:O198),$O$2:$O$1001,0),1)&gt;=100000,INDEX($V$1005:$AE$1005,1,MATCH(COLUMNS($V$1006:AE1006),$V$1006:$AE$1006,0))&gt;=100000), " ",IF(INDEX($V$2:$AE$1001,MATCH(ROWS($O$2:O198),$O$2:$O$1001,0),MATCH(COLUMNS($V$1006:AE1006),$V$1006:$AE$1006,0)), HYPERLINK("#",""), HYPERLINK(CONCATENATE("#Metadata!", ADDRESS(INDEX($Q$2:$Q$1001,MATCH(ROWS($O$2:O198),$O$2:$O$1001,0),0), INDEX($V$1004:$AE$1004,1,MATCH(COLUMNS($V$1006:AE1006),$V$1006:$AE$1006,0)))),"Fix")))</f>
        <v>0</v>
      </c>
      <c r="O198">
        <v>0</v>
      </c>
      <c r="P198">
        <v>0</v>
      </c>
      <c r="Q198">
        <v>0</v>
      </c>
      <c r="R198">
        <f>IF(S198,TRUE,AND(V198:AE198))</f>
        <v>0</v>
      </c>
      <c r="S198">
        <f>COUNTBLANK(Metadata!B198:K198)=COLUMNS(Metadata!B198:K198)</f>
        <v>0</v>
      </c>
      <c r="T198">
        <v>0</v>
      </c>
      <c r="V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W198">
        <f>AND(IF(Metadata!C198="",FALSE,TRUE),exact(Metadata!C198,"animal secretion"))</f>
        <v>0</v>
      </c>
      <c r="X198">
        <f>AND(IF(Metadata!D198="",FALSE,TRUE),exact(Metadata!D198,"saliva"))</f>
        <v>0</v>
      </c>
      <c r="Y198">
        <f>AND(IF(Metadata!E198="",FALSE,TRUE),exact(Metadata!E198,"human-oral"))</f>
        <v>0</v>
      </c>
      <c r="Z198">
        <f>AND(IF(Metadata!F198="",FALSE,TRUE),exact(Metadata!F198,"UBERON:oral cavity"))</f>
        <v>0</v>
      </c>
      <c r="AA198">
        <f>AND(IF(Metadata!G198="",FALSE,TRUE),exact(Metadata!G198,"UBERON:saliva"))</f>
        <v>0</v>
      </c>
      <c r="AB198">
        <f>AND(IF(Metadata!H198="",FALSE,TRUE),exact(Metadata!H198,"UBERON:tongue"))</f>
        <v>0</v>
      </c>
      <c r="AC198">
        <f>AND(IF(Metadata!I198="",FALSE,TRUE),exact(Metadata!I198,"tongue"))</f>
        <v>0</v>
      </c>
      <c r="AD198">
        <f>AND(IF(Metadata!J198="",FALSE,TRUE),exact(Metadata!J198,"human oral metagenome"))</f>
        <v>0</v>
      </c>
      <c r="AE198">
        <f>AND(IF(Metadata!K198="",FALSE,TRUE),exact(Metadata!K198,"447426"))</f>
        <v>0</v>
      </c>
    </row>
    <row r="199" spans="1:31">
      <c r="A199" s="4">
        <f>IF(B199=" "," ",HYPERLINK(CONCATENATE("#metadata!",ADDRESS(INDEX($Q$2:$Q$1001,MATCH(ROWS($O$2:O199),$O$2:$O$1001,0),0),1)),INDEX($T$2:$T$1001,MATCH(ROWS($O$2:O199),$O$2:$O$1001,0),0)))</f>
        <v>0</v>
      </c>
      <c r="B199" s="3">
        <f>IF(OR(INDEX($P$2:$P$1001,MATCH(ROWS($O$2:O199),$O$2:$O$1001,0),1)&gt;=100000,INDEX($V$1005:$AE$1005,1,MATCH(COLUMNS($V$1006:V1006),$V$1006:$AE$1006,0))&gt;=100000), " ",IF(INDEX($V$2:$AE$1001,MATCH(ROWS($O$2:O199),$O$2:$O$1001,0),MATCH(COLUMNS($V$1006:V1006),$V$1006:$AE$1006,0)), HYPERLINK("#",""), HYPERLINK(CONCATENATE("#Metadata!", ADDRESS(INDEX($Q$2:$Q$1001,MATCH(ROWS($O$2:O199),$O$2:$O$1001,0),0), INDEX($V$1004:$AE$1004,1,MATCH(COLUMNS($V$1006:V1006),$V$1006:$AE$1006,0)))),"Fix")))</f>
        <v>0</v>
      </c>
      <c r="C199" s="3">
        <f>IF(OR(INDEX($P$2:$P$1001,MATCH(ROWS($O$2:O199),$O$2:$O$1001,0),1)&gt;=100000,INDEX($V$1005:$AE$1005,1,MATCH(COLUMNS($V$1006:W1006),$V$1006:$AE$1006,0))&gt;=100000), " ",IF(INDEX($V$2:$AE$1001,MATCH(ROWS($O$2:O199),$O$2:$O$1001,0),MATCH(COLUMNS($V$1006:W1006),$V$1006:$AE$1006,0)), HYPERLINK("#",""), HYPERLINK(CONCATENATE("#Metadata!", ADDRESS(INDEX($Q$2:$Q$1001,MATCH(ROWS($O$2:O199),$O$2:$O$1001,0),0), INDEX($V$1004:$AE$1004,1,MATCH(COLUMNS($V$1006:W1006),$V$1006:$AE$1006,0)))),"Fix")))</f>
        <v>0</v>
      </c>
      <c r="D199" s="3">
        <f>IF(OR(INDEX($P$2:$P$1001,MATCH(ROWS($O$2:O199),$O$2:$O$1001,0),1)&gt;=100000,INDEX($V$1005:$AE$1005,1,MATCH(COLUMNS($V$1006:X1006),$V$1006:$AE$1006,0))&gt;=100000), " ",IF(INDEX($V$2:$AE$1001,MATCH(ROWS($O$2:O199),$O$2:$O$1001,0),MATCH(COLUMNS($V$1006:X1006),$V$1006:$AE$1006,0)), HYPERLINK("#",""), HYPERLINK(CONCATENATE("#Metadata!", ADDRESS(INDEX($Q$2:$Q$1001,MATCH(ROWS($O$2:O199),$O$2:$O$1001,0),0), INDEX($V$1004:$AE$1004,1,MATCH(COLUMNS($V$1006:X1006),$V$1006:$AE$1006,0)))),"Fix")))</f>
        <v>0</v>
      </c>
      <c r="E199" s="3">
        <f>IF(OR(INDEX($P$2:$P$1001,MATCH(ROWS($O$2:O199),$O$2:$O$1001,0),1)&gt;=100000,INDEX($V$1005:$AE$1005,1,MATCH(COLUMNS($V$1006:Y1006),$V$1006:$AE$1006,0))&gt;=100000), " ",IF(INDEX($V$2:$AE$1001,MATCH(ROWS($O$2:O199),$O$2:$O$1001,0),MATCH(COLUMNS($V$1006:Y1006),$V$1006:$AE$1006,0)), HYPERLINK("#",""), HYPERLINK(CONCATENATE("#Metadata!", ADDRESS(INDEX($Q$2:$Q$1001,MATCH(ROWS($O$2:O199),$O$2:$O$1001,0),0), INDEX($V$1004:$AE$1004,1,MATCH(COLUMNS($V$1006:Y1006),$V$1006:$AE$1006,0)))),"Fix")))</f>
        <v>0</v>
      </c>
      <c r="F199" s="3">
        <f>IF(OR(INDEX($P$2:$P$1001,MATCH(ROWS($O$2:O199),$O$2:$O$1001,0),1)&gt;=100000,INDEX($V$1005:$AE$1005,1,MATCH(COLUMNS($V$1006:Z1006),$V$1006:$AE$1006,0))&gt;=100000), " ",IF(INDEX($V$2:$AE$1001,MATCH(ROWS($O$2:O199),$O$2:$O$1001,0),MATCH(COLUMNS($V$1006:Z1006),$V$1006:$AE$1006,0)), HYPERLINK("#",""), HYPERLINK(CONCATENATE("#Metadata!", ADDRESS(INDEX($Q$2:$Q$1001,MATCH(ROWS($O$2:O199),$O$2:$O$1001,0),0), INDEX($V$1004:$AE$1004,1,MATCH(COLUMNS($V$1006:Z1006),$V$1006:$AE$1006,0)))),"Fix")))</f>
        <v>0</v>
      </c>
      <c r="G199" s="3">
        <f>IF(OR(INDEX($P$2:$P$1001,MATCH(ROWS($O$2:O199),$O$2:$O$1001,0),1)&gt;=100000,INDEX($V$1005:$AE$1005,1,MATCH(COLUMNS($V$1006:AA1006),$V$1006:$AE$1006,0))&gt;=100000), " ",IF(INDEX($V$2:$AE$1001,MATCH(ROWS($O$2:O199),$O$2:$O$1001,0),MATCH(COLUMNS($V$1006:AA1006),$V$1006:$AE$1006,0)), HYPERLINK("#",""), HYPERLINK(CONCATENATE("#Metadata!", ADDRESS(INDEX($Q$2:$Q$1001,MATCH(ROWS($O$2:O199),$O$2:$O$1001,0),0), INDEX($V$1004:$AE$1004,1,MATCH(COLUMNS($V$1006:AA1006),$V$1006:$AE$1006,0)))),"Fix")))</f>
        <v>0</v>
      </c>
      <c r="H199" s="3">
        <f>IF(OR(INDEX($P$2:$P$1001,MATCH(ROWS($O$2:O199),$O$2:$O$1001,0),1)&gt;=100000,INDEX($V$1005:$AE$1005,1,MATCH(COLUMNS($V$1006:AB1006),$V$1006:$AE$1006,0))&gt;=100000), " ",IF(INDEX($V$2:$AE$1001,MATCH(ROWS($O$2:O199),$O$2:$O$1001,0),MATCH(COLUMNS($V$1006:AB1006),$V$1006:$AE$1006,0)), HYPERLINK("#",""), HYPERLINK(CONCATENATE("#Metadata!", ADDRESS(INDEX($Q$2:$Q$1001,MATCH(ROWS($O$2:O199),$O$2:$O$1001,0),0), INDEX($V$1004:$AE$1004,1,MATCH(COLUMNS($V$1006:AB1006),$V$1006:$AE$1006,0)))),"Fix")))</f>
        <v>0</v>
      </c>
      <c r="I199" s="3">
        <f>IF(OR(INDEX($P$2:$P$1001,MATCH(ROWS($O$2:O199),$O$2:$O$1001,0),1)&gt;=100000,INDEX($V$1005:$AE$1005,1,MATCH(COLUMNS($V$1006:AC1006),$V$1006:$AE$1006,0))&gt;=100000), " ",IF(INDEX($V$2:$AE$1001,MATCH(ROWS($O$2:O199),$O$2:$O$1001,0),MATCH(COLUMNS($V$1006:AC1006),$V$1006:$AE$1006,0)), HYPERLINK("#",""), HYPERLINK(CONCATENATE("#Metadata!", ADDRESS(INDEX($Q$2:$Q$1001,MATCH(ROWS($O$2:O199),$O$2:$O$1001,0),0), INDEX($V$1004:$AE$1004,1,MATCH(COLUMNS($V$1006:AC1006),$V$1006:$AE$1006,0)))),"Fix")))</f>
        <v>0</v>
      </c>
      <c r="J199" s="3">
        <f>IF(OR(INDEX($P$2:$P$1001,MATCH(ROWS($O$2:O199),$O$2:$O$1001,0),1)&gt;=100000,INDEX($V$1005:$AE$1005,1,MATCH(COLUMNS($V$1006:AD1006),$V$1006:$AE$1006,0))&gt;=100000), " ",IF(INDEX($V$2:$AE$1001,MATCH(ROWS($O$2:O199),$O$2:$O$1001,0),MATCH(COLUMNS($V$1006:AD1006),$V$1006:$AE$1006,0)), HYPERLINK("#",""), HYPERLINK(CONCATENATE("#Metadata!", ADDRESS(INDEX($Q$2:$Q$1001,MATCH(ROWS($O$2:O199),$O$2:$O$1001,0),0), INDEX($V$1004:$AE$1004,1,MATCH(COLUMNS($V$1006:AD1006),$V$1006:$AE$1006,0)))),"Fix")))</f>
        <v>0</v>
      </c>
      <c r="K199" s="3">
        <f>IF(OR(INDEX($P$2:$P$1001,MATCH(ROWS($O$2:O199),$O$2:$O$1001,0),1)&gt;=100000,INDEX($V$1005:$AE$1005,1,MATCH(COLUMNS($V$1006:AE1006),$V$1006:$AE$1006,0))&gt;=100000), " ",IF(INDEX($V$2:$AE$1001,MATCH(ROWS($O$2:O199),$O$2:$O$1001,0),MATCH(COLUMNS($V$1006:AE1006),$V$1006:$AE$1006,0)), HYPERLINK("#",""), HYPERLINK(CONCATENATE("#Metadata!", ADDRESS(INDEX($Q$2:$Q$1001,MATCH(ROWS($O$2:O199),$O$2:$O$1001,0),0), INDEX($V$1004:$AE$1004,1,MATCH(COLUMNS($V$1006:AE1006),$V$1006:$AE$1006,0)))),"Fix")))</f>
        <v>0</v>
      </c>
      <c r="O199">
        <v>0</v>
      </c>
      <c r="P199">
        <v>0</v>
      </c>
      <c r="Q199">
        <v>0</v>
      </c>
      <c r="R199">
        <f>IF(S199,TRUE,AND(V199:AE199))</f>
        <v>0</v>
      </c>
      <c r="S199">
        <f>COUNTBLANK(Metadata!B199:K199)=COLUMNS(Metadata!B199:K199)</f>
        <v>0</v>
      </c>
      <c r="T199">
        <v>0</v>
      </c>
      <c r="V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W199">
        <f>AND(IF(Metadata!C199="",FALSE,TRUE),exact(Metadata!C199,"animal secretion"))</f>
        <v>0</v>
      </c>
      <c r="X199">
        <f>AND(IF(Metadata!D199="",FALSE,TRUE),exact(Metadata!D199,"saliva"))</f>
        <v>0</v>
      </c>
      <c r="Y199">
        <f>AND(IF(Metadata!E199="",FALSE,TRUE),exact(Metadata!E199,"human-oral"))</f>
        <v>0</v>
      </c>
      <c r="Z199">
        <f>AND(IF(Metadata!F199="",FALSE,TRUE),exact(Metadata!F199,"UBERON:oral cavity"))</f>
        <v>0</v>
      </c>
      <c r="AA199">
        <f>AND(IF(Metadata!G199="",FALSE,TRUE),exact(Metadata!G199,"UBERON:saliva"))</f>
        <v>0</v>
      </c>
      <c r="AB199">
        <f>AND(IF(Metadata!H199="",FALSE,TRUE),exact(Metadata!H199,"UBERON:tongue"))</f>
        <v>0</v>
      </c>
      <c r="AC199">
        <f>AND(IF(Metadata!I199="",FALSE,TRUE),exact(Metadata!I199,"tongue"))</f>
        <v>0</v>
      </c>
      <c r="AD199">
        <f>AND(IF(Metadata!J199="",FALSE,TRUE),exact(Metadata!J199,"human oral metagenome"))</f>
        <v>0</v>
      </c>
      <c r="AE199">
        <f>AND(IF(Metadata!K199="",FALSE,TRUE),exact(Metadata!K199,"447426"))</f>
        <v>0</v>
      </c>
    </row>
    <row r="200" spans="1:31">
      <c r="A200" s="4">
        <f>IF(B200=" "," ",HYPERLINK(CONCATENATE("#metadata!",ADDRESS(INDEX($Q$2:$Q$1001,MATCH(ROWS($O$2:O200),$O$2:$O$1001,0),0),1)),INDEX($T$2:$T$1001,MATCH(ROWS($O$2:O200),$O$2:$O$1001,0),0)))</f>
        <v>0</v>
      </c>
      <c r="B200" s="3">
        <f>IF(OR(INDEX($P$2:$P$1001,MATCH(ROWS($O$2:O200),$O$2:$O$1001,0),1)&gt;=100000,INDEX($V$1005:$AE$1005,1,MATCH(COLUMNS($V$1006:V1006),$V$1006:$AE$1006,0))&gt;=100000), " ",IF(INDEX($V$2:$AE$1001,MATCH(ROWS($O$2:O200),$O$2:$O$1001,0),MATCH(COLUMNS($V$1006:V1006),$V$1006:$AE$1006,0)), HYPERLINK("#",""), HYPERLINK(CONCATENATE("#Metadata!", ADDRESS(INDEX($Q$2:$Q$1001,MATCH(ROWS($O$2:O200),$O$2:$O$1001,0),0), INDEX($V$1004:$AE$1004,1,MATCH(COLUMNS($V$1006:V1006),$V$1006:$AE$1006,0)))),"Fix")))</f>
        <v>0</v>
      </c>
      <c r="C200" s="3">
        <f>IF(OR(INDEX($P$2:$P$1001,MATCH(ROWS($O$2:O200),$O$2:$O$1001,0),1)&gt;=100000,INDEX($V$1005:$AE$1005,1,MATCH(COLUMNS($V$1006:W1006),$V$1006:$AE$1006,0))&gt;=100000), " ",IF(INDEX($V$2:$AE$1001,MATCH(ROWS($O$2:O200),$O$2:$O$1001,0),MATCH(COLUMNS($V$1006:W1006),$V$1006:$AE$1006,0)), HYPERLINK("#",""), HYPERLINK(CONCATENATE("#Metadata!", ADDRESS(INDEX($Q$2:$Q$1001,MATCH(ROWS($O$2:O200),$O$2:$O$1001,0),0), INDEX($V$1004:$AE$1004,1,MATCH(COLUMNS($V$1006:W1006),$V$1006:$AE$1006,0)))),"Fix")))</f>
        <v>0</v>
      </c>
      <c r="D200" s="3">
        <f>IF(OR(INDEX($P$2:$P$1001,MATCH(ROWS($O$2:O200),$O$2:$O$1001,0),1)&gt;=100000,INDEX($V$1005:$AE$1005,1,MATCH(COLUMNS($V$1006:X1006),$V$1006:$AE$1006,0))&gt;=100000), " ",IF(INDEX($V$2:$AE$1001,MATCH(ROWS($O$2:O200),$O$2:$O$1001,0),MATCH(COLUMNS($V$1006:X1006),$V$1006:$AE$1006,0)), HYPERLINK("#",""), HYPERLINK(CONCATENATE("#Metadata!", ADDRESS(INDEX($Q$2:$Q$1001,MATCH(ROWS($O$2:O200),$O$2:$O$1001,0),0), INDEX($V$1004:$AE$1004,1,MATCH(COLUMNS($V$1006:X1006),$V$1006:$AE$1006,0)))),"Fix")))</f>
        <v>0</v>
      </c>
      <c r="E200" s="3">
        <f>IF(OR(INDEX($P$2:$P$1001,MATCH(ROWS($O$2:O200),$O$2:$O$1001,0),1)&gt;=100000,INDEX($V$1005:$AE$1005,1,MATCH(COLUMNS($V$1006:Y1006),$V$1006:$AE$1006,0))&gt;=100000), " ",IF(INDEX($V$2:$AE$1001,MATCH(ROWS($O$2:O200),$O$2:$O$1001,0),MATCH(COLUMNS($V$1006:Y1006),$V$1006:$AE$1006,0)), HYPERLINK("#",""), HYPERLINK(CONCATENATE("#Metadata!", ADDRESS(INDEX($Q$2:$Q$1001,MATCH(ROWS($O$2:O200),$O$2:$O$1001,0),0), INDEX($V$1004:$AE$1004,1,MATCH(COLUMNS($V$1006:Y1006),$V$1006:$AE$1006,0)))),"Fix")))</f>
        <v>0</v>
      </c>
      <c r="F200" s="3">
        <f>IF(OR(INDEX($P$2:$P$1001,MATCH(ROWS($O$2:O200),$O$2:$O$1001,0),1)&gt;=100000,INDEX($V$1005:$AE$1005,1,MATCH(COLUMNS($V$1006:Z1006),$V$1006:$AE$1006,0))&gt;=100000), " ",IF(INDEX($V$2:$AE$1001,MATCH(ROWS($O$2:O200),$O$2:$O$1001,0),MATCH(COLUMNS($V$1006:Z1006),$V$1006:$AE$1006,0)), HYPERLINK("#",""), HYPERLINK(CONCATENATE("#Metadata!", ADDRESS(INDEX($Q$2:$Q$1001,MATCH(ROWS($O$2:O200),$O$2:$O$1001,0),0), INDEX($V$1004:$AE$1004,1,MATCH(COLUMNS($V$1006:Z1006),$V$1006:$AE$1006,0)))),"Fix")))</f>
        <v>0</v>
      </c>
      <c r="G200" s="3">
        <f>IF(OR(INDEX($P$2:$P$1001,MATCH(ROWS($O$2:O200),$O$2:$O$1001,0),1)&gt;=100000,INDEX($V$1005:$AE$1005,1,MATCH(COLUMNS($V$1006:AA1006),$V$1006:$AE$1006,0))&gt;=100000), " ",IF(INDEX($V$2:$AE$1001,MATCH(ROWS($O$2:O200),$O$2:$O$1001,0),MATCH(COLUMNS($V$1006:AA1006),$V$1006:$AE$1006,0)), HYPERLINK("#",""), HYPERLINK(CONCATENATE("#Metadata!", ADDRESS(INDEX($Q$2:$Q$1001,MATCH(ROWS($O$2:O200),$O$2:$O$1001,0),0), INDEX($V$1004:$AE$1004,1,MATCH(COLUMNS($V$1006:AA1006),$V$1006:$AE$1006,0)))),"Fix")))</f>
        <v>0</v>
      </c>
      <c r="H200" s="3">
        <f>IF(OR(INDEX($P$2:$P$1001,MATCH(ROWS($O$2:O200),$O$2:$O$1001,0),1)&gt;=100000,INDEX($V$1005:$AE$1005,1,MATCH(COLUMNS($V$1006:AB1006),$V$1006:$AE$1006,0))&gt;=100000), " ",IF(INDEX($V$2:$AE$1001,MATCH(ROWS($O$2:O200),$O$2:$O$1001,0),MATCH(COLUMNS($V$1006:AB1006),$V$1006:$AE$1006,0)), HYPERLINK("#",""), HYPERLINK(CONCATENATE("#Metadata!", ADDRESS(INDEX($Q$2:$Q$1001,MATCH(ROWS($O$2:O200),$O$2:$O$1001,0),0), INDEX($V$1004:$AE$1004,1,MATCH(COLUMNS($V$1006:AB1006),$V$1006:$AE$1006,0)))),"Fix")))</f>
        <v>0</v>
      </c>
      <c r="I200" s="3">
        <f>IF(OR(INDEX($P$2:$P$1001,MATCH(ROWS($O$2:O200),$O$2:$O$1001,0),1)&gt;=100000,INDEX($V$1005:$AE$1005,1,MATCH(COLUMNS($V$1006:AC1006),$V$1006:$AE$1006,0))&gt;=100000), " ",IF(INDEX($V$2:$AE$1001,MATCH(ROWS($O$2:O200),$O$2:$O$1001,0),MATCH(COLUMNS($V$1006:AC1006),$V$1006:$AE$1006,0)), HYPERLINK("#",""), HYPERLINK(CONCATENATE("#Metadata!", ADDRESS(INDEX($Q$2:$Q$1001,MATCH(ROWS($O$2:O200),$O$2:$O$1001,0),0), INDEX($V$1004:$AE$1004,1,MATCH(COLUMNS($V$1006:AC1006),$V$1006:$AE$1006,0)))),"Fix")))</f>
        <v>0</v>
      </c>
      <c r="J200" s="3">
        <f>IF(OR(INDEX($P$2:$P$1001,MATCH(ROWS($O$2:O200),$O$2:$O$1001,0),1)&gt;=100000,INDEX($V$1005:$AE$1005,1,MATCH(COLUMNS($V$1006:AD1006),$V$1006:$AE$1006,0))&gt;=100000), " ",IF(INDEX($V$2:$AE$1001,MATCH(ROWS($O$2:O200),$O$2:$O$1001,0),MATCH(COLUMNS($V$1006:AD1006),$V$1006:$AE$1006,0)), HYPERLINK("#",""), HYPERLINK(CONCATENATE("#Metadata!", ADDRESS(INDEX($Q$2:$Q$1001,MATCH(ROWS($O$2:O200),$O$2:$O$1001,0),0), INDEX($V$1004:$AE$1004,1,MATCH(COLUMNS($V$1006:AD1006),$V$1006:$AE$1006,0)))),"Fix")))</f>
        <v>0</v>
      </c>
      <c r="K200" s="3">
        <f>IF(OR(INDEX($P$2:$P$1001,MATCH(ROWS($O$2:O200),$O$2:$O$1001,0),1)&gt;=100000,INDEX($V$1005:$AE$1005,1,MATCH(COLUMNS($V$1006:AE1006),$V$1006:$AE$1006,0))&gt;=100000), " ",IF(INDEX($V$2:$AE$1001,MATCH(ROWS($O$2:O200),$O$2:$O$1001,0),MATCH(COLUMNS($V$1006:AE1006),$V$1006:$AE$1006,0)), HYPERLINK("#",""), HYPERLINK(CONCATENATE("#Metadata!", ADDRESS(INDEX($Q$2:$Q$1001,MATCH(ROWS($O$2:O200),$O$2:$O$1001,0),0), INDEX($V$1004:$AE$1004,1,MATCH(COLUMNS($V$1006:AE1006),$V$1006:$AE$1006,0)))),"Fix")))</f>
        <v>0</v>
      </c>
      <c r="O200">
        <v>0</v>
      </c>
      <c r="P200">
        <v>0</v>
      </c>
      <c r="Q200">
        <v>0</v>
      </c>
      <c r="R200">
        <f>IF(S200,TRUE,AND(V200:AE200))</f>
        <v>0</v>
      </c>
      <c r="S200">
        <f>COUNTBLANK(Metadata!B200:K200)=COLUMNS(Metadata!B200:K200)</f>
        <v>0</v>
      </c>
      <c r="T200">
        <v>0</v>
      </c>
      <c r="V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W200">
        <f>AND(IF(Metadata!C200="",FALSE,TRUE),exact(Metadata!C200,"animal secretion"))</f>
        <v>0</v>
      </c>
      <c r="X200">
        <f>AND(IF(Metadata!D200="",FALSE,TRUE),exact(Metadata!D200,"saliva"))</f>
        <v>0</v>
      </c>
      <c r="Y200">
        <f>AND(IF(Metadata!E200="",FALSE,TRUE),exact(Metadata!E200,"human-oral"))</f>
        <v>0</v>
      </c>
      <c r="Z200">
        <f>AND(IF(Metadata!F200="",FALSE,TRUE),exact(Metadata!F200,"UBERON:oral cavity"))</f>
        <v>0</v>
      </c>
      <c r="AA200">
        <f>AND(IF(Metadata!G200="",FALSE,TRUE),exact(Metadata!G200,"UBERON:saliva"))</f>
        <v>0</v>
      </c>
      <c r="AB200">
        <f>AND(IF(Metadata!H200="",FALSE,TRUE),exact(Metadata!H200,"UBERON:tongue"))</f>
        <v>0</v>
      </c>
      <c r="AC200">
        <f>AND(IF(Metadata!I200="",FALSE,TRUE),exact(Metadata!I200,"tongue"))</f>
        <v>0</v>
      </c>
      <c r="AD200">
        <f>AND(IF(Metadata!J200="",FALSE,TRUE),exact(Metadata!J200,"human oral metagenome"))</f>
        <v>0</v>
      </c>
      <c r="AE200">
        <f>AND(IF(Metadata!K200="",FALSE,TRUE),exact(Metadata!K200,"447426"))</f>
        <v>0</v>
      </c>
    </row>
    <row r="201" spans="1:31">
      <c r="A201" s="4">
        <f>IF(B201=" "," ",HYPERLINK(CONCATENATE("#metadata!",ADDRESS(INDEX($Q$2:$Q$1001,MATCH(ROWS($O$2:O201),$O$2:$O$1001,0),0),1)),INDEX($T$2:$T$1001,MATCH(ROWS($O$2:O201),$O$2:$O$1001,0),0)))</f>
        <v>0</v>
      </c>
      <c r="B201" s="3">
        <f>IF(OR(INDEX($P$2:$P$1001,MATCH(ROWS($O$2:O201),$O$2:$O$1001,0),1)&gt;=100000,INDEX($V$1005:$AE$1005,1,MATCH(COLUMNS($V$1006:V1006),$V$1006:$AE$1006,0))&gt;=100000), " ",IF(INDEX($V$2:$AE$1001,MATCH(ROWS($O$2:O201),$O$2:$O$1001,0),MATCH(COLUMNS($V$1006:V1006),$V$1006:$AE$1006,0)), HYPERLINK("#",""), HYPERLINK(CONCATENATE("#Metadata!", ADDRESS(INDEX($Q$2:$Q$1001,MATCH(ROWS($O$2:O201),$O$2:$O$1001,0),0), INDEX($V$1004:$AE$1004,1,MATCH(COLUMNS($V$1006:V1006),$V$1006:$AE$1006,0)))),"Fix")))</f>
        <v>0</v>
      </c>
      <c r="C201" s="3">
        <f>IF(OR(INDEX($P$2:$P$1001,MATCH(ROWS($O$2:O201),$O$2:$O$1001,0),1)&gt;=100000,INDEX($V$1005:$AE$1005,1,MATCH(COLUMNS($V$1006:W1006),$V$1006:$AE$1006,0))&gt;=100000), " ",IF(INDEX($V$2:$AE$1001,MATCH(ROWS($O$2:O201),$O$2:$O$1001,0),MATCH(COLUMNS($V$1006:W1006),$V$1006:$AE$1006,0)), HYPERLINK("#",""), HYPERLINK(CONCATENATE("#Metadata!", ADDRESS(INDEX($Q$2:$Q$1001,MATCH(ROWS($O$2:O201),$O$2:$O$1001,0),0), INDEX($V$1004:$AE$1004,1,MATCH(COLUMNS($V$1006:W1006),$V$1006:$AE$1006,0)))),"Fix")))</f>
        <v>0</v>
      </c>
      <c r="D201" s="3">
        <f>IF(OR(INDEX($P$2:$P$1001,MATCH(ROWS($O$2:O201),$O$2:$O$1001,0),1)&gt;=100000,INDEX($V$1005:$AE$1005,1,MATCH(COLUMNS($V$1006:X1006),$V$1006:$AE$1006,0))&gt;=100000), " ",IF(INDEX($V$2:$AE$1001,MATCH(ROWS($O$2:O201),$O$2:$O$1001,0),MATCH(COLUMNS($V$1006:X1006),$V$1006:$AE$1006,0)), HYPERLINK("#",""), HYPERLINK(CONCATENATE("#Metadata!", ADDRESS(INDEX($Q$2:$Q$1001,MATCH(ROWS($O$2:O201),$O$2:$O$1001,0),0), INDEX($V$1004:$AE$1004,1,MATCH(COLUMNS($V$1006:X1006),$V$1006:$AE$1006,0)))),"Fix")))</f>
        <v>0</v>
      </c>
      <c r="E201" s="3">
        <f>IF(OR(INDEX($P$2:$P$1001,MATCH(ROWS($O$2:O201),$O$2:$O$1001,0),1)&gt;=100000,INDEX($V$1005:$AE$1005,1,MATCH(COLUMNS($V$1006:Y1006),$V$1006:$AE$1006,0))&gt;=100000), " ",IF(INDEX($V$2:$AE$1001,MATCH(ROWS($O$2:O201),$O$2:$O$1001,0),MATCH(COLUMNS($V$1006:Y1006),$V$1006:$AE$1006,0)), HYPERLINK("#",""), HYPERLINK(CONCATENATE("#Metadata!", ADDRESS(INDEX($Q$2:$Q$1001,MATCH(ROWS($O$2:O201),$O$2:$O$1001,0),0), INDEX($V$1004:$AE$1004,1,MATCH(COLUMNS($V$1006:Y1006),$V$1006:$AE$1006,0)))),"Fix")))</f>
        <v>0</v>
      </c>
      <c r="F201" s="3">
        <f>IF(OR(INDEX($P$2:$P$1001,MATCH(ROWS($O$2:O201),$O$2:$O$1001,0),1)&gt;=100000,INDEX($V$1005:$AE$1005,1,MATCH(COLUMNS($V$1006:Z1006),$V$1006:$AE$1006,0))&gt;=100000), " ",IF(INDEX($V$2:$AE$1001,MATCH(ROWS($O$2:O201),$O$2:$O$1001,0),MATCH(COLUMNS($V$1006:Z1006),$V$1006:$AE$1006,0)), HYPERLINK("#",""), HYPERLINK(CONCATENATE("#Metadata!", ADDRESS(INDEX($Q$2:$Q$1001,MATCH(ROWS($O$2:O201),$O$2:$O$1001,0),0), INDEX($V$1004:$AE$1004,1,MATCH(COLUMNS($V$1006:Z1006),$V$1006:$AE$1006,0)))),"Fix")))</f>
        <v>0</v>
      </c>
      <c r="G201" s="3">
        <f>IF(OR(INDEX($P$2:$P$1001,MATCH(ROWS($O$2:O201),$O$2:$O$1001,0),1)&gt;=100000,INDEX($V$1005:$AE$1005,1,MATCH(COLUMNS($V$1006:AA1006),$V$1006:$AE$1006,0))&gt;=100000), " ",IF(INDEX($V$2:$AE$1001,MATCH(ROWS($O$2:O201),$O$2:$O$1001,0),MATCH(COLUMNS($V$1006:AA1006),$V$1006:$AE$1006,0)), HYPERLINK("#",""), HYPERLINK(CONCATENATE("#Metadata!", ADDRESS(INDEX($Q$2:$Q$1001,MATCH(ROWS($O$2:O201),$O$2:$O$1001,0),0), INDEX($V$1004:$AE$1004,1,MATCH(COLUMNS($V$1006:AA1006),$V$1006:$AE$1006,0)))),"Fix")))</f>
        <v>0</v>
      </c>
      <c r="H201" s="3">
        <f>IF(OR(INDEX($P$2:$P$1001,MATCH(ROWS($O$2:O201),$O$2:$O$1001,0),1)&gt;=100000,INDEX($V$1005:$AE$1005,1,MATCH(COLUMNS($V$1006:AB1006),$V$1006:$AE$1006,0))&gt;=100000), " ",IF(INDEX($V$2:$AE$1001,MATCH(ROWS($O$2:O201),$O$2:$O$1001,0),MATCH(COLUMNS($V$1006:AB1006),$V$1006:$AE$1006,0)), HYPERLINK("#",""), HYPERLINK(CONCATENATE("#Metadata!", ADDRESS(INDEX($Q$2:$Q$1001,MATCH(ROWS($O$2:O201),$O$2:$O$1001,0),0), INDEX($V$1004:$AE$1004,1,MATCH(COLUMNS($V$1006:AB1006),$V$1006:$AE$1006,0)))),"Fix")))</f>
        <v>0</v>
      </c>
      <c r="I201" s="3">
        <f>IF(OR(INDEX($P$2:$P$1001,MATCH(ROWS($O$2:O201),$O$2:$O$1001,0),1)&gt;=100000,INDEX($V$1005:$AE$1005,1,MATCH(COLUMNS($V$1006:AC1006),$V$1006:$AE$1006,0))&gt;=100000), " ",IF(INDEX($V$2:$AE$1001,MATCH(ROWS($O$2:O201),$O$2:$O$1001,0),MATCH(COLUMNS($V$1006:AC1006),$V$1006:$AE$1006,0)), HYPERLINK("#",""), HYPERLINK(CONCATENATE("#Metadata!", ADDRESS(INDEX($Q$2:$Q$1001,MATCH(ROWS($O$2:O201),$O$2:$O$1001,0),0), INDEX($V$1004:$AE$1004,1,MATCH(COLUMNS($V$1006:AC1006),$V$1006:$AE$1006,0)))),"Fix")))</f>
        <v>0</v>
      </c>
      <c r="J201" s="3">
        <f>IF(OR(INDEX($P$2:$P$1001,MATCH(ROWS($O$2:O201),$O$2:$O$1001,0),1)&gt;=100000,INDEX($V$1005:$AE$1005,1,MATCH(COLUMNS($V$1006:AD1006),$V$1006:$AE$1006,0))&gt;=100000), " ",IF(INDEX($V$2:$AE$1001,MATCH(ROWS($O$2:O201),$O$2:$O$1001,0),MATCH(COLUMNS($V$1006:AD1006),$V$1006:$AE$1006,0)), HYPERLINK("#",""), HYPERLINK(CONCATENATE("#Metadata!", ADDRESS(INDEX($Q$2:$Q$1001,MATCH(ROWS($O$2:O201),$O$2:$O$1001,0),0), INDEX($V$1004:$AE$1004,1,MATCH(COLUMNS($V$1006:AD1006),$V$1006:$AE$1006,0)))),"Fix")))</f>
        <v>0</v>
      </c>
      <c r="K201" s="3">
        <f>IF(OR(INDEX($P$2:$P$1001,MATCH(ROWS($O$2:O201),$O$2:$O$1001,0),1)&gt;=100000,INDEX($V$1005:$AE$1005,1,MATCH(COLUMNS($V$1006:AE1006),$V$1006:$AE$1006,0))&gt;=100000), " ",IF(INDEX($V$2:$AE$1001,MATCH(ROWS($O$2:O201),$O$2:$O$1001,0),MATCH(COLUMNS($V$1006:AE1006),$V$1006:$AE$1006,0)), HYPERLINK("#",""), HYPERLINK(CONCATENATE("#Metadata!", ADDRESS(INDEX($Q$2:$Q$1001,MATCH(ROWS($O$2:O201),$O$2:$O$1001,0),0), INDEX($V$1004:$AE$1004,1,MATCH(COLUMNS($V$1006:AE1006),$V$1006:$AE$1006,0)))),"Fix")))</f>
        <v>0</v>
      </c>
      <c r="O201">
        <v>0</v>
      </c>
      <c r="P201">
        <v>0</v>
      </c>
      <c r="Q201">
        <v>0</v>
      </c>
      <c r="R201">
        <f>IF(S201,TRUE,AND(V201:AE201))</f>
        <v>0</v>
      </c>
      <c r="S201">
        <f>COUNTBLANK(Metadata!B201:K201)=COLUMNS(Metadata!B201:K201)</f>
        <v>0</v>
      </c>
      <c r="T201">
        <v>0</v>
      </c>
      <c r="V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W201">
        <f>AND(IF(Metadata!C201="",FALSE,TRUE),exact(Metadata!C201,"animal secretion"))</f>
        <v>0</v>
      </c>
      <c r="X201">
        <f>AND(IF(Metadata!D201="",FALSE,TRUE),exact(Metadata!D201,"saliva"))</f>
        <v>0</v>
      </c>
      <c r="Y201">
        <f>AND(IF(Metadata!E201="",FALSE,TRUE),exact(Metadata!E201,"human-oral"))</f>
        <v>0</v>
      </c>
      <c r="Z201">
        <f>AND(IF(Metadata!F201="",FALSE,TRUE),exact(Metadata!F201,"UBERON:oral cavity"))</f>
        <v>0</v>
      </c>
      <c r="AA201">
        <f>AND(IF(Metadata!G201="",FALSE,TRUE),exact(Metadata!G201,"UBERON:saliva"))</f>
        <v>0</v>
      </c>
      <c r="AB201">
        <f>AND(IF(Metadata!H201="",FALSE,TRUE),exact(Metadata!H201,"UBERON:tongue"))</f>
        <v>0</v>
      </c>
      <c r="AC201">
        <f>AND(IF(Metadata!I201="",FALSE,TRUE),exact(Metadata!I201,"tongue"))</f>
        <v>0</v>
      </c>
      <c r="AD201">
        <f>AND(IF(Metadata!J201="",FALSE,TRUE),exact(Metadata!J201,"human oral metagenome"))</f>
        <v>0</v>
      </c>
      <c r="AE201">
        <f>AND(IF(Metadata!K201="",FALSE,TRUE),exact(Metadata!K201,"447426"))</f>
        <v>0</v>
      </c>
    </row>
    <row r="202" spans="1:31">
      <c r="A202" s="4">
        <f>IF(B202=" "," ",HYPERLINK(CONCATENATE("#metadata!",ADDRESS(INDEX($Q$2:$Q$1001,MATCH(ROWS($O$2:O202),$O$2:$O$1001,0),0),1)),INDEX($T$2:$T$1001,MATCH(ROWS($O$2:O202),$O$2:$O$1001,0),0)))</f>
        <v>0</v>
      </c>
      <c r="B202" s="3">
        <f>IF(OR(INDEX($P$2:$P$1001,MATCH(ROWS($O$2:O202),$O$2:$O$1001,0),1)&gt;=100000,INDEX($V$1005:$AE$1005,1,MATCH(COLUMNS($V$1006:V1006),$V$1006:$AE$1006,0))&gt;=100000), " ",IF(INDEX($V$2:$AE$1001,MATCH(ROWS($O$2:O202),$O$2:$O$1001,0),MATCH(COLUMNS($V$1006:V1006),$V$1006:$AE$1006,0)), HYPERLINK("#",""), HYPERLINK(CONCATENATE("#Metadata!", ADDRESS(INDEX($Q$2:$Q$1001,MATCH(ROWS($O$2:O202),$O$2:$O$1001,0),0), INDEX($V$1004:$AE$1004,1,MATCH(COLUMNS($V$1006:V1006),$V$1006:$AE$1006,0)))),"Fix")))</f>
        <v>0</v>
      </c>
      <c r="C202" s="3">
        <f>IF(OR(INDEX($P$2:$P$1001,MATCH(ROWS($O$2:O202),$O$2:$O$1001,0),1)&gt;=100000,INDEX($V$1005:$AE$1005,1,MATCH(COLUMNS($V$1006:W1006),$V$1006:$AE$1006,0))&gt;=100000), " ",IF(INDEX($V$2:$AE$1001,MATCH(ROWS($O$2:O202),$O$2:$O$1001,0),MATCH(COLUMNS($V$1006:W1006),$V$1006:$AE$1006,0)), HYPERLINK("#",""), HYPERLINK(CONCATENATE("#Metadata!", ADDRESS(INDEX($Q$2:$Q$1001,MATCH(ROWS($O$2:O202),$O$2:$O$1001,0),0), INDEX($V$1004:$AE$1004,1,MATCH(COLUMNS($V$1006:W1006),$V$1006:$AE$1006,0)))),"Fix")))</f>
        <v>0</v>
      </c>
      <c r="D202" s="3">
        <f>IF(OR(INDEX($P$2:$P$1001,MATCH(ROWS($O$2:O202),$O$2:$O$1001,0),1)&gt;=100000,INDEX($V$1005:$AE$1005,1,MATCH(COLUMNS($V$1006:X1006),$V$1006:$AE$1006,0))&gt;=100000), " ",IF(INDEX($V$2:$AE$1001,MATCH(ROWS($O$2:O202),$O$2:$O$1001,0),MATCH(COLUMNS($V$1006:X1006),$V$1006:$AE$1006,0)), HYPERLINK("#",""), HYPERLINK(CONCATENATE("#Metadata!", ADDRESS(INDEX($Q$2:$Q$1001,MATCH(ROWS($O$2:O202),$O$2:$O$1001,0),0), INDEX($V$1004:$AE$1004,1,MATCH(COLUMNS($V$1006:X1006),$V$1006:$AE$1006,0)))),"Fix")))</f>
        <v>0</v>
      </c>
      <c r="E202" s="3">
        <f>IF(OR(INDEX($P$2:$P$1001,MATCH(ROWS($O$2:O202),$O$2:$O$1001,0),1)&gt;=100000,INDEX($V$1005:$AE$1005,1,MATCH(COLUMNS($V$1006:Y1006),$V$1006:$AE$1006,0))&gt;=100000), " ",IF(INDEX($V$2:$AE$1001,MATCH(ROWS($O$2:O202),$O$2:$O$1001,0),MATCH(COLUMNS($V$1006:Y1006),$V$1006:$AE$1006,0)), HYPERLINK("#",""), HYPERLINK(CONCATENATE("#Metadata!", ADDRESS(INDEX($Q$2:$Q$1001,MATCH(ROWS($O$2:O202),$O$2:$O$1001,0),0), INDEX($V$1004:$AE$1004,1,MATCH(COLUMNS($V$1006:Y1006),$V$1006:$AE$1006,0)))),"Fix")))</f>
        <v>0</v>
      </c>
      <c r="F202" s="3">
        <f>IF(OR(INDEX($P$2:$P$1001,MATCH(ROWS($O$2:O202),$O$2:$O$1001,0),1)&gt;=100000,INDEX($V$1005:$AE$1005,1,MATCH(COLUMNS($V$1006:Z1006),$V$1006:$AE$1006,0))&gt;=100000), " ",IF(INDEX($V$2:$AE$1001,MATCH(ROWS($O$2:O202),$O$2:$O$1001,0),MATCH(COLUMNS($V$1006:Z1006),$V$1006:$AE$1006,0)), HYPERLINK("#",""), HYPERLINK(CONCATENATE("#Metadata!", ADDRESS(INDEX($Q$2:$Q$1001,MATCH(ROWS($O$2:O202),$O$2:$O$1001,0),0), INDEX($V$1004:$AE$1004,1,MATCH(COLUMNS($V$1006:Z1006),$V$1006:$AE$1006,0)))),"Fix")))</f>
        <v>0</v>
      </c>
      <c r="G202" s="3">
        <f>IF(OR(INDEX($P$2:$P$1001,MATCH(ROWS($O$2:O202),$O$2:$O$1001,0),1)&gt;=100000,INDEX($V$1005:$AE$1005,1,MATCH(COLUMNS($V$1006:AA1006),$V$1006:$AE$1006,0))&gt;=100000), " ",IF(INDEX($V$2:$AE$1001,MATCH(ROWS($O$2:O202),$O$2:$O$1001,0),MATCH(COLUMNS($V$1006:AA1006),$V$1006:$AE$1006,0)), HYPERLINK("#",""), HYPERLINK(CONCATENATE("#Metadata!", ADDRESS(INDEX($Q$2:$Q$1001,MATCH(ROWS($O$2:O202),$O$2:$O$1001,0),0), INDEX($V$1004:$AE$1004,1,MATCH(COLUMNS($V$1006:AA1006),$V$1006:$AE$1006,0)))),"Fix")))</f>
        <v>0</v>
      </c>
      <c r="H202" s="3">
        <f>IF(OR(INDEX($P$2:$P$1001,MATCH(ROWS($O$2:O202),$O$2:$O$1001,0),1)&gt;=100000,INDEX($V$1005:$AE$1005,1,MATCH(COLUMNS($V$1006:AB1006),$V$1006:$AE$1006,0))&gt;=100000), " ",IF(INDEX($V$2:$AE$1001,MATCH(ROWS($O$2:O202),$O$2:$O$1001,0),MATCH(COLUMNS($V$1006:AB1006),$V$1006:$AE$1006,0)), HYPERLINK("#",""), HYPERLINK(CONCATENATE("#Metadata!", ADDRESS(INDEX($Q$2:$Q$1001,MATCH(ROWS($O$2:O202),$O$2:$O$1001,0),0), INDEX($V$1004:$AE$1004,1,MATCH(COLUMNS($V$1006:AB1006),$V$1006:$AE$1006,0)))),"Fix")))</f>
        <v>0</v>
      </c>
      <c r="I202" s="3">
        <f>IF(OR(INDEX($P$2:$P$1001,MATCH(ROWS($O$2:O202),$O$2:$O$1001,0),1)&gt;=100000,INDEX($V$1005:$AE$1005,1,MATCH(COLUMNS($V$1006:AC1006),$V$1006:$AE$1006,0))&gt;=100000), " ",IF(INDEX($V$2:$AE$1001,MATCH(ROWS($O$2:O202),$O$2:$O$1001,0),MATCH(COLUMNS($V$1006:AC1006),$V$1006:$AE$1006,0)), HYPERLINK("#",""), HYPERLINK(CONCATENATE("#Metadata!", ADDRESS(INDEX($Q$2:$Q$1001,MATCH(ROWS($O$2:O202),$O$2:$O$1001,0),0), INDEX($V$1004:$AE$1004,1,MATCH(COLUMNS($V$1006:AC1006),$V$1006:$AE$1006,0)))),"Fix")))</f>
        <v>0</v>
      </c>
      <c r="J202" s="3">
        <f>IF(OR(INDEX($P$2:$P$1001,MATCH(ROWS($O$2:O202),$O$2:$O$1001,0),1)&gt;=100000,INDEX($V$1005:$AE$1005,1,MATCH(COLUMNS($V$1006:AD1006),$V$1006:$AE$1006,0))&gt;=100000), " ",IF(INDEX($V$2:$AE$1001,MATCH(ROWS($O$2:O202),$O$2:$O$1001,0),MATCH(COLUMNS($V$1006:AD1006),$V$1006:$AE$1006,0)), HYPERLINK("#",""), HYPERLINK(CONCATENATE("#Metadata!", ADDRESS(INDEX($Q$2:$Q$1001,MATCH(ROWS($O$2:O202),$O$2:$O$1001,0),0), INDEX($V$1004:$AE$1004,1,MATCH(COLUMNS($V$1006:AD1006),$V$1006:$AE$1006,0)))),"Fix")))</f>
        <v>0</v>
      </c>
      <c r="K202" s="3">
        <f>IF(OR(INDEX($P$2:$P$1001,MATCH(ROWS($O$2:O202),$O$2:$O$1001,0),1)&gt;=100000,INDEX($V$1005:$AE$1005,1,MATCH(COLUMNS($V$1006:AE1006),$V$1006:$AE$1006,0))&gt;=100000), " ",IF(INDEX($V$2:$AE$1001,MATCH(ROWS($O$2:O202),$O$2:$O$1001,0),MATCH(COLUMNS($V$1006:AE1006),$V$1006:$AE$1006,0)), HYPERLINK("#",""), HYPERLINK(CONCATENATE("#Metadata!", ADDRESS(INDEX($Q$2:$Q$1001,MATCH(ROWS($O$2:O202),$O$2:$O$1001,0),0), INDEX($V$1004:$AE$1004,1,MATCH(COLUMNS($V$1006:AE1006),$V$1006:$AE$1006,0)))),"Fix")))</f>
        <v>0</v>
      </c>
      <c r="O202">
        <v>0</v>
      </c>
      <c r="P202">
        <v>0</v>
      </c>
      <c r="Q202">
        <v>0</v>
      </c>
      <c r="R202">
        <f>IF(S202,TRUE,AND(V202:AE202))</f>
        <v>0</v>
      </c>
      <c r="S202">
        <f>COUNTBLANK(Metadata!B202:K202)=COLUMNS(Metadata!B202:K202)</f>
        <v>0</v>
      </c>
      <c r="T202">
        <v>0</v>
      </c>
      <c r="V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W202">
        <f>AND(IF(Metadata!C202="",FALSE,TRUE),exact(Metadata!C202,"animal secretion"))</f>
        <v>0</v>
      </c>
      <c r="X202">
        <f>AND(IF(Metadata!D202="",FALSE,TRUE),exact(Metadata!D202,"saliva"))</f>
        <v>0</v>
      </c>
      <c r="Y202">
        <f>AND(IF(Metadata!E202="",FALSE,TRUE),exact(Metadata!E202,"human-oral"))</f>
        <v>0</v>
      </c>
      <c r="Z202">
        <f>AND(IF(Metadata!F202="",FALSE,TRUE),exact(Metadata!F202,"UBERON:oral cavity"))</f>
        <v>0</v>
      </c>
      <c r="AA202">
        <f>AND(IF(Metadata!G202="",FALSE,TRUE),exact(Metadata!G202,"UBERON:saliva"))</f>
        <v>0</v>
      </c>
      <c r="AB202">
        <f>AND(IF(Metadata!H202="",FALSE,TRUE),exact(Metadata!H202,"UBERON:tongue"))</f>
        <v>0</v>
      </c>
      <c r="AC202">
        <f>AND(IF(Metadata!I202="",FALSE,TRUE),exact(Metadata!I202,"tongue"))</f>
        <v>0</v>
      </c>
      <c r="AD202">
        <f>AND(IF(Metadata!J202="",FALSE,TRUE),exact(Metadata!J202,"human oral metagenome"))</f>
        <v>0</v>
      </c>
      <c r="AE202">
        <f>AND(IF(Metadata!K202="",FALSE,TRUE),exact(Metadata!K202,"447426"))</f>
        <v>0</v>
      </c>
    </row>
    <row r="203" spans="1:31">
      <c r="A203" s="4">
        <f>IF(B203=" "," ",HYPERLINK(CONCATENATE("#metadata!",ADDRESS(INDEX($Q$2:$Q$1001,MATCH(ROWS($O$2:O203),$O$2:$O$1001,0),0),1)),INDEX($T$2:$T$1001,MATCH(ROWS($O$2:O203),$O$2:$O$1001,0),0)))</f>
        <v>0</v>
      </c>
      <c r="B203" s="3">
        <f>IF(OR(INDEX($P$2:$P$1001,MATCH(ROWS($O$2:O203),$O$2:$O$1001,0),1)&gt;=100000,INDEX($V$1005:$AE$1005,1,MATCH(COLUMNS($V$1006:V1006),$V$1006:$AE$1006,0))&gt;=100000), " ",IF(INDEX($V$2:$AE$1001,MATCH(ROWS($O$2:O203),$O$2:$O$1001,0),MATCH(COLUMNS($V$1006:V1006),$V$1006:$AE$1006,0)), HYPERLINK("#",""), HYPERLINK(CONCATENATE("#Metadata!", ADDRESS(INDEX($Q$2:$Q$1001,MATCH(ROWS($O$2:O203),$O$2:$O$1001,0),0), INDEX($V$1004:$AE$1004,1,MATCH(COLUMNS($V$1006:V1006),$V$1006:$AE$1006,0)))),"Fix")))</f>
        <v>0</v>
      </c>
      <c r="C203" s="3">
        <f>IF(OR(INDEX($P$2:$P$1001,MATCH(ROWS($O$2:O203),$O$2:$O$1001,0),1)&gt;=100000,INDEX($V$1005:$AE$1005,1,MATCH(COLUMNS($V$1006:W1006),$V$1006:$AE$1006,0))&gt;=100000), " ",IF(INDEX($V$2:$AE$1001,MATCH(ROWS($O$2:O203),$O$2:$O$1001,0),MATCH(COLUMNS($V$1006:W1006),$V$1006:$AE$1006,0)), HYPERLINK("#",""), HYPERLINK(CONCATENATE("#Metadata!", ADDRESS(INDEX($Q$2:$Q$1001,MATCH(ROWS($O$2:O203),$O$2:$O$1001,0),0), INDEX($V$1004:$AE$1004,1,MATCH(COLUMNS($V$1006:W1006),$V$1006:$AE$1006,0)))),"Fix")))</f>
        <v>0</v>
      </c>
      <c r="D203" s="3">
        <f>IF(OR(INDEX($P$2:$P$1001,MATCH(ROWS($O$2:O203),$O$2:$O$1001,0),1)&gt;=100000,INDEX($V$1005:$AE$1005,1,MATCH(COLUMNS($V$1006:X1006),$V$1006:$AE$1006,0))&gt;=100000), " ",IF(INDEX($V$2:$AE$1001,MATCH(ROWS($O$2:O203),$O$2:$O$1001,0),MATCH(COLUMNS($V$1006:X1006),$V$1006:$AE$1006,0)), HYPERLINK("#",""), HYPERLINK(CONCATENATE("#Metadata!", ADDRESS(INDEX($Q$2:$Q$1001,MATCH(ROWS($O$2:O203),$O$2:$O$1001,0),0), INDEX($V$1004:$AE$1004,1,MATCH(COLUMNS($V$1006:X1006),$V$1006:$AE$1006,0)))),"Fix")))</f>
        <v>0</v>
      </c>
      <c r="E203" s="3">
        <f>IF(OR(INDEX($P$2:$P$1001,MATCH(ROWS($O$2:O203),$O$2:$O$1001,0),1)&gt;=100000,INDEX($V$1005:$AE$1005,1,MATCH(COLUMNS($V$1006:Y1006),$V$1006:$AE$1006,0))&gt;=100000), " ",IF(INDEX($V$2:$AE$1001,MATCH(ROWS($O$2:O203),$O$2:$O$1001,0),MATCH(COLUMNS($V$1006:Y1006),$V$1006:$AE$1006,0)), HYPERLINK("#",""), HYPERLINK(CONCATENATE("#Metadata!", ADDRESS(INDEX($Q$2:$Q$1001,MATCH(ROWS($O$2:O203),$O$2:$O$1001,0),0), INDEX($V$1004:$AE$1004,1,MATCH(COLUMNS($V$1006:Y1006),$V$1006:$AE$1006,0)))),"Fix")))</f>
        <v>0</v>
      </c>
      <c r="F203" s="3">
        <f>IF(OR(INDEX($P$2:$P$1001,MATCH(ROWS($O$2:O203),$O$2:$O$1001,0),1)&gt;=100000,INDEX($V$1005:$AE$1005,1,MATCH(COLUMNS($V$1006:Z1006),$V$1006:$AE$1006,0))&gt;=100000), " ",IF(INDEX($V$2:$AE$1001,MATCH(ROWS($O$2:O203),$O$2:$O$1001,0),MATCH(COLUMNS($V$1006:Z1006),$V$1006:$AE$1006,0)), HYPERLINK("#",""), HYPERLINK(CONCATENATE("#Metadata!", ADDRESS(INDEX($Q$2:$Q$1001,MATCH(ROWS($O$2:O203),$O$2:$O$1001,0),0), INDEX($V$1004:$AE$1004,1,MATCH(COLUMNS($V$1006:Z1006),$V$1006:$AE$1006,0)))),"Fix")))</f>
        <v>0</v>
      </c>
      <c r="G203" s="3">
        <f>IF(OR(INDEX($P$2:$P$1001,MATCH(ROWS($O$2:O203),$O$2:$O$1001,0),1)&gt;=100000,INDEX($V$1005:$AE$1005,1,MATCH(COLUMNS($V$1006:AA1006),$V$1006:$AE$1006,0))&gt;=100000), " ",IF(INDEX($V$2:$AE$1001,MATCH(ROWS($O$2:O203),$O$2:$O$1001,0),MATCH(COLUMNS($V$1006:AA1006),$V$1006:$AE$1006,0)), HYPERLINK("#",""), HYPERLINK(CONCATENATE("#Metadata!", ADDRESS(INDEX($Q$2:$Q$1001,MATCH(ROWS($O$2:O203),$O$2:$O$1001,0),0), INDEX($V$1004:$AE$1004,1,MATCH(COLUMNS($V$1006:AA1006),$V$1006:$AE$1006,0)))),"Fix")))</f>
        <v>0</v>
      </c>
      <c r="H203" s="3">
        <f>IF(OR(INDEX($P$2:$P$1001,MATCH(ROWS($O$2:O203),$O$2:$O$1001,0),1)&gt;=100000,INDEX($V$1005:$AE$1005,1,MATCH(COLUMNS($V$1006:AB1006),$V$1006:$AE$1006,0))&gt;=100000), " ",IF(INDEX($V$2:$AE$1001,MATCH(ROWS($O$2:O203),$O$2:$O$1001,0),MATCH(COLUMNS($V$1006:AB1006),$V$1006:$AE$1006,0)), HYPERLINK("#",""), HYPERLINK(CONCATENATE("#Metadata!", ADDRESS(INDEX($Q$2:$Q$1001,MATCH(ROWS($O$2:O203),$O$2:$O$1001,0),0), INDEX($V$1004:$AE$1004,1,MATCH(COLUMNS($V$1006:AB1006),$V$1006:$AE$1006,0)))),"Fix")))</f>
        <v>0</v>
      </c>
      <c r="I203" s="3">
        <f>IF(OR(INDEX($P$2:$P$1001,MATCH(ROWS($O$2:O203),$O$2:$O$1001,0),1)&gt;=100000,INDEX($V$1005:$AE$1005,1,MATCH(COLUMNS($V$1006:AC1006),$V$1006:$AE$1006,0))&gt;=100000), " ",IF(INDEX($V$2:$AE$1001,MATCH(ROWS($O$2:O203),$O$2:$O$1001,0),MATCH(COLUMNS($V$1006:AC1006),$V$1006:$AE$1006,0)), HYPERLINK("#",""), HYPERLINK(CONCATENATE("#Metadata!", ADDRESS(INDEX($Q$2:$Q$1001,MATCH(ROWS($O$2:O203),$O$2:$O$1001,0),0), INDEX($V$1004:$AE$1004,1,MATCH(COLUMNS($V$1006:AC1006),$V$1006:$AE$1006,0)))),"Fix")))</f>
        <v>0</v>
      </c>
      <c r="J203" s="3">
        <f>IF(OR(INDEX($P$2:$P$1001,MATCH(ROWS($O$2:O203),$O$2:$O$1001,0),1)&gt;=100000,INDEX($V$1005:$AE$1005,1,MATCH(COLUMNS($V$1006:AD1006),$V$1006:$AE$1006,0))&gt;=100000), " ",IF(INDEX($V$2:$AE$1001,MATCH(ROWS($O$2:O203),$O$2:$O$1001,0),MATCH(COLUMNS($V$1006:AD1006),$V$1006:$AE$1006,0)), HYPERLINK("#",""), HYPERLINK(CONCATENATE("#Metadata!", ADDRESS(INDEX($Q$2:$Q$1001,MATCH(ROWS($O$2:O203),$O$2:$O$1001,0),0), INDEX($V$1004:$AE$1004,1,MATCH(COLUMNS($V$1006:AD1006),$V$1006:$AE$1006,0)))),"Fix")))</f>
        <v>0</v>
      </c>
      <c r="K203" s="3">
        <f>IF(OR(INDEX($P$2:$P$1001,MATCH(ROWS($O$2:O203),$O$2:$O$1001,0),1)&gt;=100000,INDEX($V$1005:$AE$1005,1,MATCH(COLUMNS($V$1006:AE1006),$V$1006:$AE$1006,0))&gt;=100000), " ",IF(INDEX($V$2:$AE$1001,MATCH(ROWS($O$2:O203),$O$2:$O$1001,0),MATCH(COLUMNS($V$1006:AE1006),$V$1006:$AE$1006,0)), HYPERLINK("#",""), HYPERLINK(CONCATENATE("#Metadata!", ADDRESS(INDEX($Q$2:$Q$1001,MATCH(ROWS($O$2:O203),$O$2:$O$1001,0),0), INDEX($V$1004:$AE$1004,1,MATCH(COLUMNS($V$1006:AE1006),$V$1006:$AE$1006,0)))),"Fix")))</f>
        <v>0</v>
      </c>
      <c r="O203">
        <v>0</v>
      </c>
      <c r="P203">
        <v>0</v>
      </c>
      <c r="Q203">
        <v>0</v>
      </c>
      <c r="R203">
        <f>IF(S203,TRUE,AND(V203:AE203))</f>
        <v>0</v>
      </c>
      <c r="S203">
        <f>COUNTBLANK(Metadata!B203:K203)=COLUMNS(Metadata!B203:K203)</f>
        <v>0</v>
      </c>
      <c r="T203">
        <v>0</v>
      </c>
      <c r="V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W203">
        <f>AND(IF(Metadata!C203="",FALSE,TRUE),exact(Metadata!C203,"animal secretion"))</f>
        <v>0</v>
      </c>
      <c r="X203">
        <f>AND(IF(Metadata!D203="",FALSE,TRUE),exact(Metadata!D203,"saliva"))</f>
        <v>0</v>
      </c>
      <c r="Y203">
        <f>AND(IF(Metadata!E203="",FALSE,TRUE),exact(Metadata!E203,"human-oral"))</f>
        <v>0</v>
      </c>
      <c r="Z203">
        <f>AND(IF(Metadata!F203="",FALSE,TRUE),exact(Metadata!F203,"UBERON:oral cavity"))</f>
        <v>0</v>
      </c>
      <c r="AA203">
        <f>AND(IF(Metadata!G203="",FALSE,TRUE),exact(Metadata!G203,"UBERON:saliva"))</f>
        <v>0</v>
      </c>
      <c r="AB203">
        <f>AND(IF(Metadata!H203="",FALSE,TRUE),exact(Metadata!H203,"UBERON:tongue"))</f>
        <v>0</v>
      </c>
      <c r="AC203">
        <f>AND(IF(Metadata!I203="",FALSE,TRUE),exact(Metadata!I203,"tongue"))</f>
        <v>0</v>
      </c>
      <c r="AD203">
        <f>AND(IF(Metadata!J203="",FALSE,TRUE),exact(Metadata!J203,"human oral metagenome"))</f>
        <v>0</v>
      </c>
      <c r="AE203">
        <f>AND(IF(Metadata!K203="",FALSE,TRUE),exact(Metadata!K203,"447426"))</f>
        <v>0</v>
      </c>
    </row>
    <row r="204" spans="1:31">
      <c r="A204" s="4">
        <f>IF(B204=" "," ",HYPERLINK(CONCATENATE("#metadata!",ADDRESS(INDEX($Q$2:$Q$1001,MATCH(ROWS($O$2:O204),$O$2:$O$1001,0),0),1)),INDEX($T$2:$T$1001,MATCH(ROWS($O$2:O204),$O$2:$O$1001,0),0)))</f>
        <v>0</v>
      </c>
      <c r="B204" s="3">
        <f>IF(OR(INDEX($P$2:$P$1001,MATCH(ROWS($O$2:O204),$O$2:$O$1001,0),1)&gt;=100000,INDEX($V$1005:$AE$1005,1,MATCH(COLUMNS($V$1006:V1006),$V$1006:$AE$1006,0))&gt;=100000), " ",IF(INDEX($V$2:$AE$1001,MATCH(ROWS($O$2:O204),$O$2:$O$1001,0),MATCH(COLUMNS($V$1006:V1006),$V$1006:$AE$1006,0)), HYPERLINK("#",""), HYPERLINK(CONCATENATE("#Metadata!", ADDRESS(INDEX($Q$2:$Q$1001,MATCH(ROWS($O$2:O204),$O$2:$O$1001,0),0), INDEX($V$1004:$AE$1004,1,MATCH(COLUMNS($V$1006:V1006),$V$1006:$AE$1006,0)))),"Fix")))</f>
        <v>0</v>
      </c>
      <c r="C204" s="3">
        <f>IF(OR(INDEX($P$2:$P$1001,MATCH(ROWS($O$2:O204),$O$2:$O$1001,0),1)&gt;=100000,INDEX($V$1005:$AE$1005,1,MATCH(COLUMNS($V$1006:W1006),$V$1006:$AE$1006,0))&gt;=100000), " ",IF(INDEX($V$2:$AE$1001,MATCH(ROWS($O$2:O204),$O$2:$O$1001,0),MATCH(COLUMNS($V$1006:W1006),$V$1006:$AE$1006,0)), HYPERLINK("#",""), HYPERLINK(CONCATENATE("#Metadata!", ADDRESS(INDEX($Q$2:$Q$1001,MATCH(ROWS($O$2:O204),$O$2:$O$1001,0),0), INDEX($V$1004:$AE$1004,1,MATCH(COLUMNS($V$1006:W1006),$V$1006:$AE$1006,0)))),"Fix")))</f>
        <v>0</v>
      </c>
      <c r="D204" s="3">
        <f>IF(OR(INDEX($P$2:$P$1001,MATCH(ROWS($O$2:O204),$O$2:$O$1001,0),1)&gt;=100000,INDEX($V$1005:$AE$1005,1,MATCH(COLUMNS($V$1006:X1006),$V$1006:$AE$1006,0))&gt;=100000), " ",IF(INDEX($V$2:$AE$1001,MATCH(ROWS($O$2:O204),$O$2:$O$1001,0),MATCH(COLUMNS($V$1006:X1006),$V$1006:$AE$1006,0)), HYPERLINK("#",""), HYPERLINK(CONCATENATE("#Metadata!", ADDRESS(INDEX($Q$2:$Q$1001,MATCH(ROWS($O$2:O204),$O$2:$O$1001,0),0), INDEX($V$1004:$AE$1004,1,MATCH(COLUMNS($V$1006:X1006),$V$1006:$AE$1006,0)))),"Fix")))</f>
        <v>0</v>
      </c>
      <c r="E204" s="3">
        <f>IF(OR(INDEX($P$2:$P$1001,MATCH(ROWS($O$2:O204),$O$2:$O$1001,0),1)&gt;=100000,INDEX($V$1005:$AE$1005,1,MATCH(COLUMNS($V$1006:Y1006),$V$1006:$AE$1006,0))&gt;=100000), " ",IF(INDEX($V$2:$AE$1001,MATCH(ROWS($O$2:O204),$O$2:$O$1001,0),MATCH(COLUMNS($V$1006:Y1006),$V$1006:$AE$1006,0)), HYPERLINK("#",""), HYPERLINK(CONCATENATE("#Metadata!", ADDRESS(INDEX($Q$2:$Q$1001,MATCH(ROWS($O$2:O204),$O$2:$O$1001,0),0), INDEX($V$1004:$AE$1004,1,MATCH(COLUMNS($V$1006:Y1006),$V$1006:$AE$1006,0)))),"Fix")))</f>
        <v>0</v>
      </c>
      <c r="F204" s="3">
        <f>IF(OR(INDEX($P$2:$P$1001,MATCH(ROWS($O$2:O204),$O$2:$O$1001,0),1)&gt;=100000,INDEX($V$1005:$AE$1005,1,MATCH(COLUMNS($V$1006:Z1006),$V$1006:$AE$1006,0))&gt;=100000), " ",IF(INDEX($V$2:$AE$1001,MATCH(ROWS($O$2:O204),$O$2:$O$1001,0),MATCH(COLUMNS($V$1006:Z1006),$V$1006:$AE$1006,0)), HYPERLINK("#",""), HYPERLINK(CONCATENATE("#Metadata!", ADDRESS(INDEX($Q$2:$Q$1001,MATCH(ROWS($O$2:O204),$O$2:$O$1001,0),0), INDEX($V$1004:$AE$1004,1,MATCH(COLUMNS($V$1006:Z1006),$V$1006:$AE$1006,0)))),"Fix")))</f>
        <v>0</v>
      </c>
      <c r="G204" s="3">
        <f>IF(OR(INDEX($P$2:$P$1001,MATCH(ROWS($O$2:O204),$O$2:$O$1001,0),1)&gt;=100000,INDEX($V$1005:$AE$1005,1,MATCH(COLUMNS($V$1006:AA1006),$V$1006:$AE$1006,0))&gt;=100000), " ",IF(INDEX($V$2:$AE$1001,MATCH(ROWS($O$2:O204),$O$2:$O$1001,0),MATCH(COLUMNS($V$1006:AA1006),$V$1006:$AE$1006,0)), HYPERLINK("#",""), HYPERLINK(CONCATENATE("#Metadata!", ADDRESS(INDEX($Q$2:$Q$1001,MATCH(ROWS($O$2:O204),$O$2:$O$1001,0),0), INDEX($V$1004:$AE$1004,1,MATCH(COLUMNS($V$1006:AA1006),$V$1006:$AE$1006,0)))),"Fix")))</f>
        <v>0</v>
      </c>
      <c r="H204" s="3">
        <f>IF(OR(INDEX($P$2:$P$1001,MATCH(ROWS($O$2:O204),$O$2:$O$1001,0),1)&gt;=100000,INDEX($V$1005:$AE$1005,1,MATCH(COLUMNS($V$1006:AB1006),$V$1006:$AE$1006,0))&gt;=100000), " ",IF(INDEX($V$2:$AE$1001,MATCH(ROWS($O$2:O204),$O$2:$O$1001,0),MATCH(COLUMNS($V$1006:AB1006),$V$1006:$AE$1006,0)), HYPERLINK("#",""), HYPERLINK(CONCATENATE("#Metadata!", ADDRESS(INDEX($Q$2:$Q$1001,MATCH(ROWS($O$2:O204),$O$2:$O$1001,0),0), INDEX($V$1004:$AE$1004,1,MATCH(COLUMNS($V$1006:AB1006),$V$1006:$AE$1006,0)))),"Fix")))</f>
        <v>0</v>
      </c>
      <c r="I204" s="3">
        <f>IF(OR(INDEX($P$2:$P$1001,MATCH(ROWS($O$2:O204),$O$2:$O$1001,0),1)&gt;=100000,INDEX($V$1005:$AE$1005,1,MATCH(COLUMNS($V$1006:AC1006),$V$1006:$AE$1006,0))&gt;=100000), " ",IF(INDEX($V$2:$AE$1001,MATCH(ROWS($O$2:O204),$O$2:$O$1001,0),MATCH(COLUMNS($V$1006:AC1006),$V$1006:$AE$1006,0)), HYPERLINK("#",""), HYPERLINK(CONCATENATE("#Metadata!", ADDRESS(INDEX($Q$2:$Q$1001,MATCH(ROWS($O$2:O204),$O$2:$O$1001,0),0), INDEX($V$1004:$AE$1004,1,MATCH(COLUMNS($V$1006:AC1006),$V$1006:$AE$1006,0)))),"Fix")))</f>
        <v>0</v>
      </c>
      <c r="J204" s="3">
        <f>IF(OR(INDEX($P$2:$P$1001,MATCH(ROWS($O$2:O204),$O$2:$O$1001,0),1)&gt;=100000,INDEX($V$1005:$AE$1005,1,MATCH(COLUMNS($V$1006:AD1006),$V$1006:$AE$1006,0))&gt;=100000), " ",IF(INDEX($V$2:$AE$1001,MATCH(ROWS($O$2:O204),$O$2:$O$1001,0),MATCH(COLUMNS($V$1006:AD1006),$V$1006:$AE$1006,0)), HYPERLINK("#",""), HYPERLINK(CONCATENATE("#Metadata!", ADDRESS(INDEX($Q$2:$Q$1001,MATCH(ROWS($O$2:O204),$O$2:$O$1001,0),0), INDEX($V$1004:$AE$1004,1,MATCH(COLUMNS($V$1006:AD1006),$V$1006:$AE$1006,0)))),"Fix")))</f>
        <v>0</v>
      </c>
      <c r="K204" s="3">
        <f>IF(OR(INDEX($P$2:$P$1001,MATCH(ROWS($O$2:O204),$O$2:$O$1001,0),1)&gt;=100000,INDEX($V$1005:$AE$1005,1,MATCH(COLUMNS($V$1006:AE1006),$V$1006:$AE$1006,0))&gt;=100000), " ",IF(INDEX($V$2:$AE$1001,MATCH(ROWS($O$2:O204),$O$2:$O$1001,0),MATCH(COLUMNS($V$1006:AE1006),$V$1006:$AE$1006,0)), HYPERLINK("#",""), HYPERLINK(CONCATENATE("#Metadata!", ADDRESS(INDEX($Q$2:$Q$1001,MATCH(ROWS($O$2:O204),$O$2:$O$1001,0),0), INDEX($V$1004:$AE$1004,1,MATCH(COLUMNS($V$1006:AE1006),$V$1006:$AE$1006,0)))),"Fix")))</f>
        <v>0</v>
      </c>
      <c r="O204">
        <v>0</v>
      </c>
      <c r="P204">
        <v>0</v>
      </c>
      <c r="Q204">
        <v>0</v>
      </c>
      <c r="R204">
        <f>IF(S204,TRUE,AND(V204:AE204))</f>
        <v>0</v>
      </c>
      <c r="S204">
        <f>COUNTBLANK(Metadata!B204:K204)=COLUMNS(Metadata!B204:K204)</f>
        <v>0</v>
      </c>
      <c r="T204">
        <v>0</v>
      </c>
      <c r="V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W204">
        <f>AND(IF(Metadata!C204="",FALSE,TRUE),exact(Metadata!C204,"animal secretion"))</f>
        <v>0</v>
      </c>
      <c r="X204">
        <f>AND(IF(Metadata!D204="",FALSE,TRUE),exact(Metadata!D204,"saliva"))</f>
        <v>0</v>
      </c>
      <c r="Y204">
        <f>AND(IF(Metadata!E204="",FALSE,TRUE),exact(Metadata!E204,"human-oral"))</f>
        <v>0</v>
      </c>
      <c r="Z204">
        <f>AND(IF(Metadata!F204="",FALSE,TRUE),exact(Metadata!F204,"UBERON:oral cavity"))</f>
        <v>0</v>
      </c>
      <c r="AA204">
        <f>AND(IF(Metadata!G204="",FALSE,TRUE),exact(Metadata!G204,"UBERON:saliva"))</f>
        <v>0</v>
      </c>
      <c r="AB204">
        <f>AND(IF(Metadata!H204="",FALSE,TRUE),exact(Metadata!H204,"UBERON:tongue"))</f>
        <v>0</v>
      </c>
      <c r="AC204">
        <f>AND(IF(Metadata!I204="",FALSE,TRUE),exact(Metadata!I204,"tongue"))</f>
        <v>0</v>
      </c>
      <c r="AD204">
        <f>AND(IF(Metadata!J204="",FALSE,TRUE),exact(Metadata!J204,"human oral metagenome"))</f>
        <v>0</v>
      </c>
      <c r="AE204">
        <f>AND(IF(Metadata!K204="",FALSE,TRUE),exact(Metadata!K204,"447426"))</f>
        <v>0</v>
      </c>
    </row>
    <row r="205" spans="1:31">
      <c r="A205" s="4">
        <f>IF(B205=" "," ",HYPERLINK(CONCATENATE("#metadata!",ADDRESS(INDEX($Q$2:$Q$1001,MATCH(ROWS($O$2:O205),$O$2:$O$1001,0),0),1)),INDEX($T$2:$T$1001,MATCH(ROWS($O$2:O205),$O$2:$O$1001,0),0)))</f>
        <v>0</v>
      </c>
      <c r="B205" s="3">
        <f>IF(OR(INDEX($P$2:$P$1001,MATCH(ROWS($O$2:O205),$O$2:$O$1001,0),1)&gt;=100000,INDEX($V$1005:$AE$1005,1,MATCH(COLUMNS($V$1006:V1006),$V$1006:$AE$1006,0))&gt;=100000), " ",IF(INDEX($V$2:$AE$1001,MATCH(ROWS($O$2:O205),$O$2:$O$1001,0),MATCH(COLUMNS($V$1006:V1006),$V$1006:$AE$1006,0)), HYPERLINK("#",""), HYPERLINK(CONCATENATE("#Metadata!", ADDRESS(INDEX($Q$2:$Q$1001,MATCH(ROWS($O$2:O205),$O$2:$O$1001,0),0), INDEX($V$1004:$AE$1004,1,MATCH(COLUMNS($V$1006:V1006),$V$1006:$AE$1006,0)))),"Fix")))</f>
        <v>0</v>
      </c>
      <c r="C205" s="3">
        <f>IF(OR(INDEX($P$2:$P$1001,MATCH(ROWS($O$2:O205),$O$2:$O$1001,0),1)&gt;=100000,INDEX($V$1005:$AE$1005,1,MATCH(COLUMNS($V$1006:W1006),$V$1006:$AE$1006,0))&gt;=100000), " ",IF(INDEX($V$2:$AE$1001,MATCH(ROWS($O$2:O205),$O$2:$O$1001,0),MATCH(COLUMNS($V$1006:W1006),$V$1006:$AE$1006,0)), HYPERLINK("#",""), HYPERLINK(CONCATENATE("#Metadata!", ADDRESS(INDEX($Q$2:$Q$1001,MATCH(ROWS($O$2:O205),$O$2:$O$1001,0),0), INDEX($V$1004:$AE$1004,1,MATCH(COLUMNS($V$1006:W1006),$V$1006:$AE$1006,0)))),"Fix")))</f>
        <v>0</v>
      </c>
      <c r="D205" s="3">
        <f>IF(OR(INDEX($P$2:$P$1001,MATCH(ROWS($O$2:O205),$O$2:$O$1001,0),1)&gt;=100000,INDEX($V$1005:$AE$1005,1,MATCH(COLUMNS($V$1006:X1006),$V$1006:$AE$1006,0))&gt;=100000), " ",IF(INDEX($V$2:$AE$1001,MATCH(ROWS($O$2:O205),$O$2:$O$1001,0),MATCH(COLUMNS($V$1006:X1006),$V$1006:$AE$1006,0)), HYPERLINK("#",""), HYPERLINK(CONCATENATE("#Metadata!", ADDRESS(INDEX($Q$2:$Q$1001,MATCH(ROWS($O$2:O205),$O$2:$O$1001,0),0), INDEX($V$1004:$AE$1004,1,MATCH(COLUMNS($V$1006:X1006),$V$1006:$AE$1006,0)))),"Fix")))</f>
        <v>0</v>
      </c>
      <c r="E205" s="3">
        <f>IF(OR(INDEX($P$2:$P$1001,MATCH(ROWS($O$2:O205),$O$2:$O$1001,0),1)&gt;=100000,INDEX($V$1005:$AE$1005,1,MATCH(COLUMNS($V$1006:Y1006),$V$1006:$AE$1006,0))&gt;=100000), " ",IF(INDEX($V$2:$AE$1001,MATCH(ROWS($O$2:O205),$O$2:$O$1001,0),MATCH(COLUMNS($V$1006:Y1006),$V$1006:$AE$1006,0)), HYPERLINK("#",""), HYPERLINK(CONCATENATE("#Metadata!", ADDRESS(INDEX($Q$2:$Q$1001,MATCH(ROWS($O$2:O205),$O$2:$O$1001,0),0), INDEX($V$1004:$AE$1004,1,MATCH(COLUMNS($V$1006:Y1006),$V$1006:$AE$1006,0)))),"Fix")))</f>
        <v>0</v>
      </c>
      <c r="F205" s="3">
        <f>IF(OR(INDEX($P$2:$P$1001,MATCH(ROWS($O$2:O205),$O$2:$O$1001,0),1)&gt;=100000,INDEX($V$1005:$AE$1005,1,MATCH(COLUMNS($V$1006:Z1006),$V$1006:$AE$1006,0))&gt;=100000), " ",IF(INDEX($V$2:$AE$1001,MATCH(ROWS($O$2:O205),$O$2:$O$1001,0),MATCH(COLUMNS($V$1006:Z1006),$V$1006:$AE$1006,0)), HYPERLINK("#",""), HYPERLINK(CONCATENATE("#Metadata!", ADDRESS(INDEX($Q$2:$Q$1001,MATCH(ROWS($O$2:O205),$O$2:$O$1001,0),0), INDEX($V$1004:$AE$1004,1,MATCH(COLUMNS($V$1006:Z1006),$V$1006:$AE$1006,0)))),"Fix")))</f>
        <v>0</v>
      </c>
      <c r="G205" s="3">
        <f>IF(OR(INDEX($P$2:$P$1001,MATCH(ROWS($O$2:O205),$O$2:$O$1001,0),1)&gt;=100000,INDEX($V$1005:$AE$1005,1,MATCH(COLUMNS($V$1006:AA1006),$V$1006:$AE$1006,0))&gt;=100000), " ",IF(INDEX($V$2:$AE$1001,MATCH(ROWS($O$2:O205),$O$2:$O$1001,0),MATCH(COLUMNS($V$1006:AA1006),$V$1006:$AE$1006,0)), HYPERLINK("#",""), HYPERLINK(CONCATENATE("#Metadata!", ADDRESS(INDEX($Q$2:$Q$1001,MATCH(ROWS($O$2:O205),$O$2:$O$1001,0),0), INDEX($V$1004:$AE$1004,1,MATCH(COLUMNS($V$1006:AA1006),$V$1006:$AE$1006,0)))),"Fix")))</f>
        <v>0</v>
      </c>
      <c r="H205" s="3">
        <f>IF(OR(INDEX($P$2:$P$1001,MATCH(ROWS($O$2:O205),$O$2:$O$1001,0),1)&gt;=100000,INDEX($V$1005:$AE$1005,1,MATCH(COLUMNS($V$1006:AB1006),$V$1006:$AE$1006,0))&gt;=100000), " ",IF(INDEX($V$2:$AE$1001,MATCH(ROWS($O$2:O205),$O$2:$O$1001,0),MATCH(COLUMNS($V$1006:AB1006),$V$1006:$AE$1006,0)), HYPERLINK("#",""), HYPERLINK(CONCATENATE("#Metadata!", ADDRESS(INDEX($Q$2:$Q$1001,MATCH(ROWS($O$2:O205),$O$2:$O$1001,0),0), INDEX($V$1004:$AE$1004,1,MATCH(COLUMNS($V$1006:AB1006),$V$1006:$AE$1006,0)))),"Fix")))</f>
        <v>0</v>
      </c>
      <c r="I205" s="3">
        <f>IF(OR(INDEX($P$2:$P$1001,MATCH(ROWS($O$2:O205),$O$2:$O$1001,0),1)&gt;=100000,INDEX($V$1005:$AE$1005,1,MATCH(COLUMNS($V$1006:AC1006),$V$1006:$AE$1006,0))&gt;=100000), " ",IF(INDEX($V$2:$AE$1001,MATCH(ROWS($O$2:O205),$O$2:$O$1001,0),MATCH(COLUMNS($V$1006:AC1006),$V$1006:$AE$1006,0)), HYPERLINK("#",""), HYPERLINK(CONCATENATE("#Metadata!", ADDRESS(INDEX($Q$2:$Q$1001,MATCH(ROWS($O$2:O205),$O$2:$O$1001,0),0), INDEX($V$1004:$AE$1004,1,MATCH(COLUMNS($V$1006:AC1006),$V$1006:$AE$1006,0)))),"Fix")))</f>
        <v>0</v>
      </c>
      <c r="J205" s="3">
        <f>IF(OR(INDEX($P$2:$P$1001,MATCH(ROWS($O$2:O205),$O$2:$O$1001,0),1)&gt;=100000,INDEX($V$1005:$AE$1005,1,MATCH(COLUMNS($V$1006:AD1006),$V$1006:$AE$1006,0))&gt;=100000), " ",IF(INDEX($V$2:$AE$1001,MATCH(ROWS($O$2:O205),$O$2:$O$1001,0),MATCH(COLUMNS($V$1006:AD1006),$V$1006:$AE$1006,0)), HYPERLINK("#",""), HYPERLINK(CONCATENATE("#Metadata!", ADDRESS(INDEX($Q$2:$Q$1001,MATCH(ROWS($O$2:O205),$O$2:$O$1001,0),0), INDEX($V$1004:$AE$1004,1,MATCH(COLUMNS($V$1006:AD1006),$V$1006:$AE$1006,0)))),"Fix")))</f>
        <v>0</v>
      </c>
      <c r="K205" s="3">
        <f>IF(OR(INDEX($P$2:$P$1001,MATCH(ROWS($O$2:O205),$O$2:$O$1001,0),1)&gt;=100000,INDEX($V$1005:$AE$1005,1,MATCH(COLUMNS($V$1006:AE1006),$V$1006:$AE$1006,0))&gt;=100000), " ",IF(INDEX($V$2:$AE$1001,MATCH(ROWS($O$2:O205),$O$2:$O$1001,0),MATCH(COLUMNS($V$1006:AE1006),$V$1006:$AE$1006,0)), HYPERLINK("#",""), HYPERLINK(CONCATENATE("#Metadata!", ADDRESS(INDEX($Q$2:$Q$1001,MATCH(ROWS($O$2:O205),$O$2:$O$1001,0),0), INDEX($V$1004:$AE$1004,1,MATCH(COLUMNS($V$1006:AE1006),$V$1006:$AE$1006,0)))),"Fix")))</f>
        <v>0</v>
      </c>
      <c r="O205">
        <v>0</v>
      </c>
      <c r="P205">
        <v>0</v>
      </c>
      <c r="Q205">
        <v>0</v>
      </c>
      <c r="R205">
        <f>IF(S205,TRUE,AND(V205:AE205))</f>
        <v>0</v>
      </c>
      <c r="S205">
        <f>COUNTBLANK(Metadata!B205:K205)=COLUMNS(Metadata!B205:K205)</f>
        <v>0</v>
      </c>
      <c r="T205">
        <v>0</v>
      </c>
      <c r="V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W205">
        <f>AND(IF(Metadata!C205="",FALSE,TRUE),exact(Metadata!C205,"animal secretion"))</f>
        <v>0</v>
      </c>
      <c r="X205">
        <f>AND(IF(Metadata!D205="",FALSE,TRUE),exact(Metadata!D205,"saliva"))</f>
        <v>0</v>
      </c>
      <c r="Y205">
        <f>AND(IF(Metadata!E205="",FALSE,TRUE),exact(Metadata!E205,"human-oral"))</f>
        <v>0</v>
      </c>
      <c r="Z205">
        <f>AND(IF(Metadata!F205="",FALSE,TRUE),exact(Metadata!F205,"UBERON:oral cavity"))</f>
        <v>0</v>
      </c>
      <c r="AA205">
        <f>AND(IF(Metadata!G205="",FALSE,TRUE),exact(Metadata!G205,"UBERON:saliva"))</f>
        <v>0</v>
      </c>
      <c r="AB205">
        <f>AND(IF(Metadata!H205="",FALSE,TRUE),exact(Metadata!H205,"UBERON:tongue"))</f>
        <v>0</v>
      </c>
      <c r="AC205">
        <f>AND(IF(Metadata!I205="",FALSE,TRUE),exact(Metadata!I205,"tongue"))</f>
        <v>0</v>
      </c>
      <c r="AD205">
        <f>AND(IF(Metadata!J205="",FALSE,TRUE),exact(Metadata!J205,"human oral metagenome"))</f>
        <v>0</v>
      </c>
      <c r="AE205">
        <f>AND(IF(Metadata!K205="",FALSE,TRUE),exact(Metadata!K205,"447426"))</f>
        <v>0</v>
      </c>
    </row>
    <row r="206" spans="1:31">
      <c r="A206" s="4">
        <f>IF(B206=" "," ",HYPERLINK(CONCATENATE("#metadata!",ADDRESS(INDEX($Q$2:$Q$1001,MATCH(ROWS($O$2:O206),$O$2:$O$1001,0),0),1)),INDEX($T$2:$T$1001,MATCH(ROWS($O$2:O206),$O$2:$O$1001,0),0)))</f>
        <v>0</v>
      </c>
      <c r="B206" s="3">
        <f>IF(OR(INDEX($P$2:$P$1001,MATCH(ROWS($O$2:O206),$O$2:$O$1001,0),1)&gt;=100000,INDEX($V$1005:$AE$1005,1,MATCH(COLUMNS($V$1006:V1006),$V$1006:$AE$1006,0))&gt;=100000), " ",IF(INDEX($V$2:$AE$1001,MATCH(ROWS($O$2:O206),$O$2:$O$1001,0),MATCH(COLUMNS($V$1006:V1006),$V$1006:$AE$1006,0)), HYPERLINK("#",""), HYPERLINK(CONCATENATE("#Metadata!", ADDRESS(INDEX($Q$2:$Q$1001,MATCH(ROWS($O$2:O206),$O$2:$O$1001,0),0), INDEX($V$1004:$AE$1004,1,MATCH(COLUMNS($V$1006:V1006),$V$1006:$AE$1006,0)))),"Fix")))</f>
        <v>0</v>
      </c>
      <c r="C206" s="3">
        <f>IF(OR(INDEX($P$2:$P$1001,MATCH(ROWS($O$2:O206),$O$2:$O$1001,0),1)&gt;=100000,INDEX($V$1005:$AE$1005,1,MATCH(COLUMNS($V$1006:W1006),$V$1006:$AE$1006,0))&gt;=100000), " ",IF(INDEX($V$2:$AE$1001,MATCH(ROWS($O$2:O206),$O$2:$O$1001,0),MATCH(COLUMNS($V$1006:W1006),$V$1006:$AE$1006,0)), HYPERLINK("#",""), HYPERLINK(CONCATENATE("#Metadata!", ADDRESS(INDEX($Q$2:$Q$1001,MATCH(ROWS($O$2:O206),$O$2:$O$1001,0),0), INDEX($V$1004:$AE$1004,1,MATCH(COLUMNS($V$1006:W1006),$V$1006:$AE$1006,0)))),"Fix")))</f>
        <v>0</v>
      </c>
      <c r="D206" s="3">
        <f>IF(OR(INDEX($P$2:$P$1001,MATCH(ROWS($O$2:O206),$O$2:$O$1001,0),1)&gt;=100000,INDEX($V$1005:$AE$1005,1,MATCH(COLUMNS($V$1006:X1006),$V$1006:$AE$1006,0))&gt;=100000), " ",IF(INDEX($V$2:$AE$1001,MATCH(ROWS($O$2:O206),$O$2:$O$1001,0),MATCH(COLUMNS($V$1006:X1006),$V$1006:$AE$1006,0)), HYPERLINK("#",""), HYPERLINK(CONCATENATE("#Metadata!", ADDRESS(INDEX($Q$2:$Q$1001,MATCH(ROWS($O$2:O206),$O$2:$O$1001,0),0), INDEX($V$1004:$AE$1004,1,MATCH(COLUMNS($V$1006:X1006),$V$1006:$AE$1006,0)))),"Fix")))</f>
        <v>0</v>
      </c>
      <c r="E206" s="3">
        <f>IF(OR(INDEX($P$2:$P$1001,MATCH(ROWS($O$2:O206),$O$2:$O$1001,0),1)&gt;=100000,INDEX($V$1005:$AE$1005,1,MATCH(COLUMNS($V$1006:Y1006),$V$1006:$AE$1006,0))&gt;=100000), " ",IF(INDEX($V$2:$AE$1001,MATCH(ROWS($O$2:O206),$O$2:$O$1001,0),MATCH(COLUMNS($V$1006:Y1006),$V$1006:$AE$1006,0)), HYPERLINK("#",""), HYPERLINK(CONCATENATE("#Metadata!", ADDRESS(INDEX($Q$2:$Q$1001,MATCH(ROWS($O$2:O206),$O$2:$O$1001,0),0), INDEX($V$1004:$AE$1004,1,MATCH(COLUMNS($V$1006:Y1006),$V$1006:$AE$1006,0)))),"Fix")))</f>
        <v>0</v>
      </c>
      <c r="F206" s="3">
        <f>IF(OR(INDEX($P$2:$P$1001,MATCH(ROWS($O$2:O206),$O$2:$O$1001,0),1)&gt;=100000,INDEX($V$1005:$AE$1005,1,MATCH(COLUMNS($V$1006:Z1006),$V$1006:$AE$1006,0))&gt;=100000), " ",IF(INDEX($V$2:$AE$1001,MATCH(ROWS($O$2:O206),$O$2:$O$1001,0),MATCH(COLUMNS($V$1006:Z1006),$V$1006:$AE$1006,0)), HYPERLINK("#",""), HYPERLINK(CONCATENATE("#Metadata!", ADDRESS(INDEX($Q$2:$Q$1001,MATCH(ROWS($O$2:O206),$O$2:$O$1001,0),0), INDEX($V$1004:$AE$1004,1,MATCH(COLUMNS($V$1006:Z1006),$V$1006:$AE$1006,0)))),"Fix")))</f>
        <v>0</v>
      </c>
      <c r="G206" s="3">
        <f>IF(OR(INDEX($P$2:$P$1001,MATCH(ROWS($O$2:O206),$O$2:$O$1001,0),1)&gt;=100000,INDEX($V$1005:$AE$1005,1,MATCH(COLUMNS($V$1006:AA1006),$V$1006:$AE$1006,0))&gt;=100000), " ",IF(INDEX($V$2:$AE$1001,MATCH(ROWS($O$2:O206),$O$2:$O$1001,0),MATCH(COLUMNS($V$1006:AA1006),$V$1006:$AE$1006,0)), HYPERLINK("#",""), HYPERLINK(CONCATENATE("#Metadata!", ADDRESS(INDEX($Q$2:$Q$1001,MATCH(ROWS($O$2:O206),$O$2:$O$1001,0),0), INDEX($V$1004:$AE$1004,1,MATCH(COLUMNS($V$1006:AA1006),$V$1006:$AE$1006,0)))),"Fix")))</f>
        <v>0</v>
      </c>
      <c r="H206" s="3">
        <f>IF(OR(INDEX($P$2:$P$1001,MATCH(ROWS($O$2:O206),$O$2:$O$1001,0),1)&gt;=100000,INDEX($V$1005:$AE$1005,1,MATCH(COLUMNS($V$1006:AB1006),$V$1006:$AE$1006,0))&gt;=100000), " ",IF(INDEX($V$2:$AE$1001,MATCH(ROWS($O$2:O206),$O$2:$O$1001,0),MATCH(COLUMNS($V$1006:AB1006),$V$1006:$AE$1006,0)), HYPERLINK("#",""), HYPERLINK(CONCATENATE("#Metadata!", ADDRESS(INDEX($Q$2:$Q$1001,MATCH(ROWS($O$2:O206),$O$2:$O$1001,0),0), INDEX($V$1004:$AE$1004,1,MATCH(COLUMNS($V$1006:AB1006),$V$1006:$AE$1006,0)))),"Fix")))</f>
        <v>0</v>
      </c>
      <c r="I206" s="3">
        <f>IF(OR(INDEX($P$2:$P$1001,MATCH(ROWS($O$2:O206),$O$2:$O$1001,0),1)&gt;=100000,INDEX($V$1005:$AE$1005,1,MATCH(COLUMNS($V$1006:AC1006),$V$1006:$AE$1006,0))&gt;=100000), " ",IF(INDEX($V$2:$AE$1001,MATCH(ROWS($O$2:O206),$O$2:$O$1001,0),MATCH(COLUMNS($V$1006:AC1006),$V$1006:$AE$1006,0)), HYPERLINK("#",""), HYPERLINK(CONCATENATE("#Metadata!", ADDRESS(INDEX($Q$2:$Q$1001,MATCH(ROWS($O$2:O206),$O$2:$O$1001,0),0), INDEX($V$1004:$AE$1004,1,MATCH(COLUMNS($V$1006:AC1006),$V$1006:$AE$1006,0)))),"Fix")))</f>
        <v>0</v>
      </c>
      <c r="J206" s="3">
        <f>IF(OR(INDEX($P$2:$P$1001,MATCH(ROWS($O$2:O206),$O$2:$O$1001,0),1)&gt;=100000,INDEX($V$1005:$AE$1005,1,MATCH(COLUMNS($V$1006:AD1006),$V$1006:$AE$1006,0))&gt;=100000), " ",IF(INDEX($V$2:$AE$1001,MATCH(ROWS($O$2:O206),$O$2:$O$1001,0),MATCH(COLUMNS($V$1006:AD1006),$V$1006:$AE$1006,0)), HYPERLINK("#",""), HYPERLINK(CONCATENATE("#Metadata!", ADDRESS(INDEX($Q$2:$Q$1001,MATCH(ROWS($O$2:O206),$O$2:$O$1001,0),0), INDEX($V$1004:$AE$1004,1,MATCH(COLUMNS($V$1006:AD1006),$V$1006:$AE$1006,0)))),"Fix")))</f>
        <v>0</v>
      </c>
      <c r="K206" s="3">
        <f>IF(OR(INDEX($P$2:$P$1001,MATCH(ROWS($O$2:O206),$O$2:$O$1001,0),1)&gt;=100000,INDEX($V$1005:$AE$1005,1,MATCH(COLUMNS($V$1006:AE1006),$V$1006:$AE$1006,0))&gt;=100000), " ",IF(INDEX($V$2:$AE$1001,MATCH(ROWS($O$2:O206),$O$2:$O$1001,0),MATCH(COLUMNS($V$1006:AE1006),$V$1006:$AE$1006,0)), HYPERLINK("#",""), HYPERLINK(CONCATENATE("#Metadata!", ADDRESS(INDEX($Q$2:$Q$1001,MATCH(ROWS($O$2:O206),$O$2:$O$1001,0),0), INDEX($V$1004:$AE$1004,1,MATCH(COLUMNS($V$1006:AE1006),$V$1006:$AE$1006,0)))),"Fix")))</f>
        <v>0</v>
      </c>
      <c r="O206">
        <v>0</v>
      </c>
      <c r="P206">
        <v>0</v>
      </c>
      <c r="Q206">
        <v>0</v>
      </c>
      <c r="R206">
        <f>IF(S206,TRUE,AND(V206:AE206))</f>
        <v>0</v>
      </c>
      <c r="S206">
        <f>COUNTBLANK(Metadata!B206:K206)=COLUMNS(Metadata!B206:K206)</f>
        <v>0</v>
      </c>
      <c r="T206">
        <v>0</v>
      </c>
      <c r="V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W206">
        <f>AND(IF(Metadata!C206="",FALSE,TRUE),exact(Metadata!C206,"animal secretion"))</f>
        <v>0</v>
      </c>
      <c r="X206">
        <f>AND(IF(Metadata!D206="",FALSE,TRUE),exact(Metadata!D206,"saliva"))</f>
        <v>0</v>
      </c>
      <c r="Y206">
        <f>AND(IF(Metadata!E206="",FALSE,TRUE),exact(Metadata!E206,"human-oral"))</f>
        <v>0</v>
      </c>
      <c r="Z206">
        <f>AND(IF(Metadata!F206="",FALSE,TRUE),exact(Metadata!F206,"UBERON:oral cavity"))</f>
        <v>0</v>
      </c>
      <c r="AA206">
        <f>AND(IF(Metadata!G206="",FALSE,TRUE),exact(Metadata!G206,"UBERON:saliva"))</f>
        <v>0</v>
      </c>
      <c r="AB206">
        <f>AND(IF(Metadata!H206="",FALSE,TRUE),exact(Metadata!H206,"UBERON:tongue"))</f>
        <v>0</v>
      </c>
      <c r="AC206">
        <f>AND(IF(Metadata!I206="",FALSE,TRUE),exact(Metadata!I206,"tongue"))</f>
        <v>0</v>
      </c>
      <c r="AD206">
        <f>AND(IF(Metadata!J206="",FALSE,TRUE),exact(Metadata!J206,"human oral metagenome"))</f>
        <v>0</v>
      </c>
      <c r="AE206">
        <f>AND(IF(Metadata!K206="",FALSE,TRUE),exact(Metadata!K206,"447426"))</f>
        <v>0</v>
      </c>
    </row>
    <row r="207" spans="1:31">
      <c r="A207" s="4">
        <f>IF(B207=" "," ",HYPERLINK(CONCATENATE("#metadata!",ADDRESS(INDEX($Q$2:$Q$1001,MATCH(ROWS($O$2:O207),$O$2:$O$1001,0),0),1)),INDEX($T$2:$T$1001,MATCH(ROWS($O$2:O207),$O$2:$O$1001,0),0)))</f>
        <v>0</v>
      </c>
      <c r="B207" s="3">
        <f>IF(OR(INDEX($P$2:$P$1001,MATCH(ROWS($O$2:O207),$O$2:$O$1001,0),1)&gt;=100000,INDEX($V$1005:$AE$1005,1,MATCH(COLUMNS($V$1006:V1006),$V$1006:$AE$1006,0))&gt;=100000), " ",IF(INDEX($V$2:$AE$1001,MATCH(ROWS($O$2:O207),$O$2:$O$1001,0),MATCH(COLUMNS($V$1006:V1006),$V$1006:$AE$1006,0)), HYPERLINK("#",""), HYPERLINK(CONCATENATE("#Metadata!", ADDRESS(INDEX($Q$2:$Q$1001,MATCH(ROWS($O$2:O207),$O$2:$O$1001,0),0), INDEX($V$1004:$AE$1004,1,MATCH(COLUMNS($V$1006:V1006),$V$1006:$AE$1006,0)))),"Fix")))</f>
        <v>0</v>
      </c>
      <c r="C207" s="3">
        <f>IF(OR(INDEX($P$2:$P$1001,MATCH(ROWS($O$2:O207),$O$2:$O$1001,0),1)&gt;=100000,INDEX($V$1005:$AE$1005,1,MATCH(COLUMNS($V$1006:W1006),$V$1006:$AE$1006,0))&gt;=100000), " ",IF(INDEX($V$2:$AE$1001,MATCH(ROWS($O$2:O207),$O$2:$O$1001,0),MATCH(COLUMNS($V$1006:W1006),$V$1006:$AE$1006,0)), HYPERLINK("#",""), HYPERLINK(CONCATENATE("#Metadata!", ADDRESS(INDEX($Q$2:$Q$1001,MATCH(ROWS($O$2:O207),$O$2:$O$1001,0),0), INDEX($V$1004:$AE$1004,1,MATCH(COLUMNS($V$1006:W1006),$V$1006:$AE$1006,0)))),"Fix")))</f>
        <v>0</v>
      </c>
      <c r="D207" s="3">
        <f>IF(OR(INDEX($P$2:$P$1001,MATCH(ROWS($O$2:O207),$O$2:$O$1001,0),1)&gt;=100000,INDEX($V$1005:$AE$1005,1,MATCH(COLUMNS($V$1006:X1006),$V$1006:$AE$1006,0))&gt;=100000), " ",IF(INDEX($V$2:$AE$1001,MATCH(ROWS($O$2:O207),$O$2:$O$1001,0),MATCH(COLUMNS($V$1006:X1006),$V$1006:$AE$1006,0)), HYPERLINK("#",""), HYPERLINK(CONCATENATE("#Metadata!", ADDRESS(INDEX($Q$2:$Q$1001,MATCH(ROWS($O$2:O207),$O$2:$O$1001,0),0), INDEX($V$1004:$AE$1004,1,MATCH(COLUMNS($V$1006:X1006),$V$1006:$AE$1006,0)))),"Fix")))</f>
        <v>0</v>
      </c>
      <c r="E207" s="3">
        <f>IF(OR(INDEX($P$2:$P$1001,MATCH(ROWS($O$2:O207),$O$2:$O$1001,0),1)&gt;=100000,INDEX($V$1005:$AE$1005,1,MATCH(COLUMNS($V$1006:Y1006),$V$1006:$AE$1006,0))&gt;=100000), " ",IF(INDEX($V$2:$AE$1001,MATCH(ROWS($O$2:O207),$O$2:$O$1001,0),MATCH(COLUMNS($V$1006:Y1006),$V$1006:$AE$1006,0)), HYPERLINK("#",""), HYPERLINK(CONCATENATE("#Metadata!", ADDRESS(INDEX($Q$2:$Q$1001,MATCH(ROWS($O$2:O207),$O$2:$O$1001,0),0), INDEX($V$1004:$AE$1004,1,MATCH(COLUMNS($V$1006:Y1006),$V$1006:$AE$1006,0)))),"Fix")))</f>
        <v>0</v>
      </c>
      <c r="F207" s="3">
        <f>IF(OR(INDEX($P$2:$P$1001,MATCH(ROWS($O$2:O207),$O$2:$O$1001,0),1)&gt;=100000,INDEX($V$1005:$AE$1005,1,MATCH(COLUMNS($V$1006:Z1006),$V$1006:$AE$1006,0))&gt;=100000), " ",IF(INDEX($V$2:$AE$1001,MATCH(ROWS($O$2:O207),$O$2:$O$1001,0),MATCH(COLUMNS($V$1006:Z1006),$V$1006:$AE$1006,0)), HYPERLINK("#",""), HYPERLINK(CONCATENATE("#Metadata!", ADDRESS(INDEX($Q$2:$Q$1001,MATCH(ROWS($O$2:O207),$O$2:$O$1001,0),0), INDEX($V$1004:$AE$1004,1,MATCH(COLUMNS($V$1006:Z1006),$V$1006:$AE$1006,0)))),"Fix")))</f>
        <v>0</v>
      </c>
      <c r="G207" s="3">
        <f>IF(OR(INDEX($P$2:$P$1001,MATCH(ROWS($O$2:O207),$O$2:$O$1001,0),1)&gt;=100000,INDEX($V$1005:$AE$1005,1,MATCH(COLUMNS($V$1006:AA1006),$V$1006:$AE$1006,0))&gt;=100000), " ",IF(INDEX($V$2:$AE$1001,MATCH(ROWS($O$2:O207),$O$2:$O$1001,0),MATCH(COLUMNS($V$1006:AA1006),$V$1006:$AE$1006,0)), HYPERLINK("#",""), HYPERLINK(CONCATENATE("#Metadata!", ADDRESS(INDEX($Q$2:$Q$1001,MATCH(ROWS($O$2:O207),$O$2:$O$1001,0),0), INDEX($V$1004:$AE$1004,1,MATCH(COLUMNS($V$1006:AA1006),$V$1006:$AE$1006,0)))),"Fix")))</f>
        <v>0</v>
      </c>
      <c r="H207" s="3">
        <f>IF(OR(INDEX($P$2:$P$1001,MATCH(ROWS($O$2:O207),$O$2:$O$1001,0),1)&gt;=100000,INDEX($V$1005:$AE$1005,1,MATCH(COLUMNS($V$1006:AB1006),$V$1006:$AE$1006,0))&gt;=100000), " ",IF(INDEX($V$2:$AE$1001,MATCH(ROWS($O$2:O207),$O$2:$O$1001,0),MATCH(COLUMNS($V$1006:AB1006),$V$1006:$AE$1006,0)), HYPERLINK("#",""), HYPERLINK(CONCATENATE("#Metadata!", ADDRESS(INDEX($Q$2:$Q$1001,MATCH(ROWS($O$2:O207),$O$2:$O$1001,0),0), INDEX($V$1004:$AE$1004,1,MATCH(COLUMNS($V$1006:AB1006),$V$1006:$AE$1006,0)))),"Fix")))</f>
        <v>0</v>
      </c>
      <c r="I207" s="3">
        <f>IF(OR(INDEX($P$2:$P$1001,MATCH(ROWS($O$2:O207),$O$2:$O$1001,0),1)&gt;=100000,INDEX($V$1005:$AE$1005,1,MATCH(COLUMNS($V$1006:AC1006),$V$1006:$AE$1006,0))&gt;=100000), " ",IF(INDEX($V$2:$AE$1001,MATCH(ROWS($O$2:O207),$O$2:$O$1001,0),MATCH(COLUMNS($V$1006:AC1006),$V$1006:$AE$1006,0)), HYPERLINK("#",""), HYPERLINK(CONCATENATE("#Metadata!", ADDRESS(INDEX($Q$2:$Q$1001,MATCH(ROWS($O$2:O207),$O$2:$O$1001,0),0), INDEX($V$1004:$AE$1004,1,MATCH(COLUMNS($V$1006:AC1006),$V$1006:$AE$1006,0)))),"Fix")))</f>
        <v>0</v>
      </c>
      <c r="J207" s="3">
        <f>IF(OR(INDEX($P$2:$P$1001,MATCH(ROWS($O$2:O207),$O$2:$O$1001,0),1)&gt;=100000,INDEX($V$1005:$AE$1005,1,MATCH(COLUMNS($V$1006:AD1006),$V$1006:$AE$1006,0))&gt;=100000), " ",IF(INDEX($V$2:$AE$1001,MATCH(ROWS($O$2:O207),$O$2:$O$1001,0),MATCH(COLUMNS($V$1006:AD1006),$V$1006:$AE$1006,0)), HYPERLINK("#",""), HYPERLINK(CONCATENATE("#Metadata!", ADDRESS(INDEX($Q$2:$Q$1001,MATCH(ROWS($O$2:O207),$O$2:$O$1001,0),0), INDEX($V$1004:$AE$1004,1,MATCH(COLUMNS($V$1006:AD1006),$V$1006:$AE$1006,0)))),"Fix")))</f>
        <v>0</v>
      </c>
      <c r="K207" s="3">
        <f>IF(OR(INDEX($P$2:$P$1001,MATCH(ROWS($O$2:O207),$O$2:$O$1001,0),1)&gt;=100000,INDEX($V$1005:$AE$1005,1,MATCH(COLUMNS($V$1006:AE1006),$V$1006:$AE$1006,0))&gt;=100000), " ",IF(INDEX($V$2:$AE$1001,MATCH(ROWS($O$2:O207),$O$2:$O$1001,0),MATCH(COLUMNS($V$1006:AE1006),$V$1006:$AE$1006,0)), HYPERLINK("#",""), HYPERLINK(CONCATENATE("#Metadata!", ADDRESS(INDEX($Q$2:$Q$1001,MATCH(ROWS($O$2:O207),$O$2:$O$1001,0),0), INDEX($V$1004:$AE$1004,1,MATCH(COLUMNS($V$1006:AE1006),$V$1006:$AE$1006,0)))),"Fix")))</f>
        <v>0</v>
      </c>
      <c r="O207">
        <v>0</v>
      </c>
      <c r="P207">
        <v>0</v>
      </c>
      <c r="Q207">
        <v>0</v>
      </c>
      <c r="R207">
        <f>IF(S207,TRUE,AND(V207:AE207))</f>
        <v>0</v>
      </c>
      <c r="S207">
        <f>COUNTBLANK(Metadata!B207:K207)=COLUMNS(Metadata!B207:K207)</f>
        <v>0</v>
      </c>
      <c r="T207">
        <v>0</v>
      </c>
      <c r="V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W207">
        <f>AND(IF(Metadata!C207="",FALSE,TRUE),exact(Metadata!C207,"animal secretion"))</f>
        <v>0</v>
      </c>
      <c r="X207">
        <f>AND(IF(Metadata!D207="",FALSE,TRUE),exact(Metadata!D207,"saliva"))</f>
        <v>0</v>
      </c>
      <c r="Y207">
        <f>AND(IF(Metadata!E207="",FALSE,TRUE),exact(Metadata!E207,"human-oral"))</f>
        <v>0</v>
      </c>
      <c r="Z207">
        <f>AND(IF(Metadata!F207="",FALSE,TRUE),exact(Metadata!F207,"UBERON:oral cavity"))</f>
        <v>0</v>
      </c>
      <c r="AA207">
        <f>AND(IF(Metadata!G207="",FALSE,TRUE),exact(Metadata!G207,"UBERON:saliva"))</f>
        <v>0</v>
      </c>
      <c r="AB207">
        <f>AND(IF(Metadata!H207="",FALSE,TRUE),exact(Metadata!H207,"UBERON:tongue"))</f>
        <v>0</v>
      </c>
      <c r="AC207">
        <f>AND(IF(Metadata!I207="",FALSE,TRUE),exact(Metadata!I207,"tongue"))</f>
        <v>0</v>
      </c>
      <c r="AD207">
        <f>AND(IF(Metadata!J207="",FALSE,TRUE),exact(Metadata!J207,"human oral metagenome"))</f>
        <v>0</v>
      </c>
      <c r="AE207">
        <f>AND(IF(Metadata!K207="",FALSE,TRUE),exact(Metadata!K207,"447426"))</f>
        <v>0</v>
      </c>
    </row>
    <row r="208" spans="1:31">
      <c r="A208" s="4">
        <f>IF(B208=" "," ",HYPERLINK(CONCATENATE("#metadata!",ADDRESS(INDEX($Q$2:$Q$1001,MATCH(ROWS($O$2:O208),$O$2:$O$1001,0),0),1)),INDEX($T$2:$T$1001,MATCH(ROWS($O$2:O208),$O$2:$O$1001,0),0)))</f>
        <v>0</v>
      </c>
      <c r="B208" s="3">
        <f>IF(OR(INDEX($P$2:$P$1001,MATCH(ROWS($O$2:O208),$O$2:$O$1001,0),1)&gt;=100000,INDEX($V$1005:$AE$1005,1,MATCH(COLUMNS($V$1006:V1006),$V$1006:$AE$1006,0))&gt;=100000), " ",IF(INDEX($V$2:$AE$1001,MATCH(ROWS($O$2:O208),$O$2:$O$1001,0),MATCH(COLUMNS($V$1006:V1006),$V$1006:$AE$1006,0)), HYPERLINK("#",""), HYPERLINK(CONCATENATE("#Metadata!", ADDRESS(INDEX($Q$2:$Q$1001,MATCH(ROWS($O$2:O208),$O$2:$O$1001,0),0), INDEX($V$1004:$AE$1004,1,MATCH(COLUMNS($V$1006:V1006),$V$1006:$AE$1006,0)))),"Fix")))</f>
        <v>0</v>
      </c>
      <c r="C208" s="3">
        <f>IF(OR(INDEX($P$2:$P$1001,MATCH(ROWS($O$2:O208),$O$2:$O$1001,0),1)&gt;=100000,INDEX($V$1005:$AE$1005,1,MATCH(COLUMNS($V$1006:W1006),$V$1006:$AE$1006,0))&gt;=100000), " ",IF(INDEX($V$2:$AE$1001,MATCH(ROWS($O$2:O208),$O$2:$O$1001,0),MATCH(COLUMNS($V$1006:W1006),$V$1006:$AE$1006,0)), HYPERLINK("#",""), HYPERLINK(CONCATENATE("#Metadata!", ADDRESS(INDEX($Q$2:$Q$1001,MATCH(ROWS($O$2:O208),$O$2:$O$1001,0),0), INDEX($V$1004:$AE$1004,1,MATCH(COLUMNS($V$1006:W1006),$V$1006:$AE$1006,0)))),"Fix")))</f>
        <v>0</v>
      </c>
      <c r="D208" s="3">
        <f>IF(OR(INDEX($P$2:$P$1001,MATCH(ROWS($O$2:O208),$O$2:$O$1001,0),1)&gt;=100000,INDEX($V$1005:$AE$1005,1,MATCH(COLUMNS($V$1006:X1006),$V$1006:$AE$1006,0))&gt;=100000), " ",IF(INDEX($V$2:$AE$1001,MATCH(ROWS($O$2:O208),$O$2:$O$1001,0),MATCH(COLUMNS($V$1006:X1006),$V$1006:$AE$1006,0)), HYPERLINK("#",""), HYPERLINK(CONCATENATE("#Metadata!", ADDRESS(INDEX($Q$2:$Q$1001,MATCH(ROWS($O$2:O208),$O$2:$O$1001,0),0), INDEX($V$1004:$AE$1004,1,MATCH(COLUMNS($V$1006:X1006),$V$1006:$AE$1006,0)))),"Fix")))</f>
        <v>0</v>
      </c>
      <c r="E208" s="3">
        <f>IF(OR(INDEX($P$2:$P$1001,MATCH(ROWS($O$2:O208),$O$2:$O$1001,0),1)&gt;=100000,INDEX($V$1005:$AE$1005,1,MATCH(COLUMNS($V$1006:Y1006),$V$1006:$AE$1006,0))&gt;=100000), " ",IF(INDEX($V$2:$AE$1001,MATCH(ROWS($O$2:O208),$O$2:$O$1001,0),MATCH(COLUMNS($V$1006:Y1006),$V$1006:$AE$1006,0)), HYPERLINK("#",""), HYPERLINK(CONCATENATE("#Metadata!", ADDRESS(INDEX($Q$2:$Q$1001,MATCH(ROWS($O$2:O208),$O$2:$O$1001,0),0), INDEX($V$1004:$AE$1004,1,MATCH(COLUMNS($V$1006:Y1006),$V$1006:$AE$1006,0)))),"Fix")))</f>
        <v>0</v>
      </c>
      <c r="F208" s="3">
        <f>IF(OR(INDEX($P$2:$P$1001,MATCH(ROWS($O$2:O208),$O$2:$O$1001,0),1)&gt;=100000,INDEX($V$1005:$AE$1005,1,MATCH(COLUMNS($V$1006:Z1006),$V$1006:$AE$1006,0))&gt;=100000), " ",IF(INDEX($V$2:$AE$1001,MATCH(ROWS($O$2:O208),$O$2:$O$1001,0),MATCH(COLUMNS($V$1006:Z1006),$V$1006:$AE$1006,0)), HYPERLINK("#",""), HYPERLINK(CONCATENATE("#Metadata!", ADDRESS(INDEX($Q$2:$Q$1001,MATCH(ROWS($O$2:O208),$O$2:$O$1001,0),0), INDEX($V$1004:$AE$1004,1,MATCH(COLUMNS($V$1006:Z1006),$V$1006:$AE$1006,0)))),"Fix")))</f>
        <v>0</v>
      </c>
      <c r="G208" s="3">
        <f>IF(OR(INDEX($P$2:$P$1001,MATCH(ROWS($O$2:O208),$O$2:$O$1001,0),1)&gt;=100000,INDEX($V$1005:$AE$1005,1,MATCH(COLUMNS($V$1006:AA1006),$V$1006:$AE$1006,0))&gt;=100000), " ",IF(INDEX($V$2:$AE$1001,MATCH(ROWS($O$2:O208),$O$2:$O$1001,0),MATCH(COLUMNS($V$1006:AA1006),$V$1006:$AE$1006,0)), HYPERLINK("#",""), HYPERLINK(CONCATENATE("#Metadata!", ADDRESS(INDEX($Q$2:$Q$1001,MATCH(ROWS($O$2:O208),$O$2:$O$1001,0),0), INDEX($V$1004:$AE$1004,1,MATCH(COLUMNS($V$1006:AA1006),$V$1006:$AE$1006,0)))),"Fix")))</f>
        <v>0</v>
      </c>
      <c r="H208" s="3">
        <f>IF(OR(INDEX($P$2:$P$1001,MATCH(ROWS($O$2:O208),$O$2:$O$1001,0),1)&gt;=100000,INDEX($V$1005:$AE$1005,1,MATCH(COLUMNS($V$1006:AB1006),$V$1006:$AE$1006,0))&gt;=100000), " ",IF(INDEX($V$2:$AE$1001,MATCH(ROWS($O$2:O208),$O$2:$O$1001,0),MATCH(COLUMNS($V$1006:AB1006),$V$1006:$AE$1006,0)), HYPERLINK("#",""), HYPERLINK(CONCATENATE("#Metadata!", ADDRESS(INDEX($Q$2:$Q$1001,MATCH(ROWS($O$2:O208),$O$2:$O$1001,0),0), INDEX($V$1004:$AE$1004,1,MATCH(COLUMNS($V$1006:AB1006),$V$1006:$AE$1006,0)))),"Fix")))</f>
        <v>0</v>
      </c>
      <c r="I208" s="3">
        <f>IF(OR(INDEX($P$2:$P$1001,MATCH(ROWS($O$2:O208),$O$2:$O$1001,0),1)&gt;=100000,INDEX($V$1005:$AE$1005,1,MATCH(COLUMNS($V$1006:AC1006),$V$1006:$AE$1006,0))&gt;=100000), " ",IF(INDEX($V$2:$AE$1001,MATCH(ROWS($O$2:O208),$O$2:$O$1001,0),MATCH(COLUMNS($V$1006:AC1006),$V$1006:$AE$1006,0)), HYPERLINK("#",""), HYPERLINK(CONCATENATE("#Metadata!", ADDRESS(INDEX($Q$2:$Q$1001,MATCH(ROWS($O$2:O208),$O$2:$O$1001,0),0), INDEX($V$1004:$AE$1004,1,MATCH(COLUMNS($V$1006:AC1006),$V$1006:$AE$1006,0)))),"Fix")))</f>
        <v>0</v>
      </c>
      <c r="J208" s="3">
        <f>IF(OR(INDEX($P$2:$P$1001,MATCH(ROWS($O$2:O208),$O$2:$O$1001,0),1)&gt;=100000,INDEX($V$1005:$AE$1005,1,MATCH(COLUMNS($V$1006:AD1006),$V$1006:$AE$1006,0))&gt;=100000), " ",IF(INDEX($V$2:$AE$1001,MATCH(ROWS($O$2:O208),$O$2:$O$1001,0),MATCH(COLUMNS($V$1006:AD1006),$V$1006:$AE$1006,0)), HYPERLINK("#",""), HYPERLINK(CONCATENATE("#Metadata!", ADDRESS(INDEX($Q$2:$Q$1001,MATCH(ROWS($O$2:O208),$O$2:$O$1001,0),0), INDEX($V$1004:$AE$1004,1,MATCH(COLUMNS($V$1006:AD1006),$V$1006:$AE$1006,0)))),"Fix")))</f>
        <v>0</v>
      </c>
      <c r="K208" s="3">
        <f>IF(OR(INDEX($P$2:$P$1001,MATCH(ROWS($O$2:O208),$O$2:$O$1001,0),1)&gt;=100000,INDEX($V$1005:$AE$1005,1,MATCH(COLUMNS($V$1006:AE1006),$V$1006:$AE$1006,0))&gt;=100000), " ",IF(INDEX($V$2:$AE$1001,MATCH(ROWS($O$2:O208),$O$2:$O$1001,0),MATCH(COLUMNS($V$1006:AE1006),$V$1006:$AE$1006,0)), HYPERLINK("#",""), HYPERLINK(CONCATENATE("#Metadata!", ADDRESS(INDEX($Q$2:$Q$1001,MATCH(ROWS($O$2:O208),$O$2:$O$1001,0),0), INDEX($V$1004:$AE$1004,1,MATCH(COLUMNS($V$1006:AE1006),$V$1006:$AE$1006,0)))),"Fix")))</f>
        <v>0</v>
      </c>
      <c r="O208">
        <v>0</v>
      </c>
      <c r="P208">
        <v>0</v>
      </c>
      <c r="Q208">
        <v>0</v>
      </c>
      <c r="R208">
        <f>IF(S208,TRUE,AND(V208:AE208))</f>
        <v>0</v>
      </c>
      <c r="S208">
        <f>COUNTBLANK(Metadata!B208:K208)=COLUMNS(Metadata!B208:K208)</f>
        <v>0</v>
      </c>
      <c r="T208">
        <v>0</v>
      </c>
      <c r="V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W208">
        <f>AND(IF(Metadata!C208="",FALSE,TRUE),exact(Metadata!C208,"animal secretion"))</f>
        <v>0</v>
      </c>
      <c r="X208">
        <f>AND(IF(Metadata!D208="",FALSE,TRUE),exact(Metadata!D208,"saliva"))</f>
        <v>0</v>
      </c>
      <c r="Y208">
        <f>AND(IF(Metadata!E208="",FALSE,TRUE),exact(Metadata!E208,"human-oral"))</f>
        <v>0</v>
      </c>
      <c r="Z208">
        <f>AND(IF(Metadata!F208="",FALSE,TRUE),exact(Metadata!F208,"UBERON:oral cavity"))</f>
        <v>0</v>
      </c>
      <c r="AA208">
        <f>AND(IF(Metadata!G208="",FALSE,TRUE),exact(Metadata!G208,"UBERON:saliva"))</f>
        <v>0</v>
      </c>
      <c r="AB208">
        <f>AND(IF(Metadata!H208="",FALSE,TRUE),exact(Metadata!H208,"UBERON:tongue"))</f>
        <v>0</v>
      </c>
      <c r="AC208">
        <f>AND(IF(Metadata!I208="",FALSE,TRUE),exact(Metadata!I208,"tongue"))</f>
        <v>0</v>
      </c>
      <c r="AD208">
        <f>AND(IF(Metadata!J208="",FALSE,TRUE),exact(Metadata!J208,"human oral metagenome"))</f>
        <v>0</v>
      </c>
      <c r="AE208">
        <f>AND(IF(Metadata!K208="",FALSE,TRUE),exact(Metadata!K208,"447426"))</f>
        <v>0</v>
      </c>
    </row>
    <row r="209" spans="1:31">
      <c r="A209" s="4">
        <f>IF(B209=" "," ",HYPERLINK(CONCATENATE("#metadata!",ADDRESS(INDEX($Q$2:$Q$1001,MATCH(ROWS($O$2:O209),$O$2:$O$1001,0),0),1)),INDEX($T$2:$T$1001,MATCH(ROWS($O$2:O209),$O$2:$O$1001,0),0)))</f>
        <v>0</v>
      </c>
      <c r="B209" s="3">
        <f>IF(OR(INDEX($P$2:$P$1001,MATCH(ROWS($O$2:O209),$O$2:$O$1001,0),1)&gt;=100000,INDEX($V$1005:$AE$1005,1,MATCH(COLUMNS($V$1006:V1006),$V$1006:$AE$1006,0))&gt;=100000), " ",IF(INDEX($V$2:$AE$1001,MATCH(ROWS($O$2:O209),$O$2:$O$1001,0),MATCH(COLUMNS($V$1006:V1006),$V$1006:$AE$1006,0)), HYPERLINK("#",""), HYPERLINK(CONCATENATE("#Metadata!", ADDRESS(INDEX($Q$2:$Q$1001,MATCH(ROWS($O$2:O209),$O$2:$O$1001,0),0), INDEX($V$1004:$AE$1004,1,MATCH(COLUMNS($V$1006:V1006),$V$1006:$AE$1006,0)))),"Fix")))</f>
        <v>0</v>
      </c>
      <c r="C209" s="3">
        <f>IF(OR(INDEX($P$2:$P$1001,MATCH(ROWS($O$2:O209),$O$2:$O$1001,0),1)&gt;=100000,INDEX($V$1005:$AE$1005,1,MATCH(COLUMNS($V$1006:W1006),$V$1006:$AE$1006,0))&gt;=100000), " ",IF(INDEX($V$2:$AE$1001,MATCH(ROWS($O$2:O209),$O$2:$O$1001,0),MATCH(COLUMNS($V$1006:W1006),$V$1006:$AE$1006,0)), HYPERLINK("#",""), HYPERLINK(CONCATENATE("#Metadata!", ADDRESS(INDEX($Q$2:$Q$1001,MATCH(ROWS($O$2:O209),$O$2:$O$1001,0),0), INDEX($V$1004:$AE$1004,1,MATCH(COLUMNS($V$1006:W1006),$V$1006:$AE$1006,0)))),"Fix")))</f>
        <v>0</v>
      </c>
      <c r="D209" s="3">
        <f>IF(OR(INDEX($P$2:$P$1001,MATCH(ROWS($O$2:O209),$O$2:$O$1001,0),1)&gt;=100000,INDEX($V$1005:$AE$1005,1,MATCH(COLUMNS($V$1006:X1006),$V$1006:$AE$1006,0))&gt;=100000), " ",IF(INDEX($V$2:$AE$1001,MATCH(ROWS($O$2:O209),$O$2:$O$1001,0),MATCH(COLUMNS($V$1006:X1006),$V$1006:$AE$1006,0)), HYPERLINK("#",""), HYPERLINK(CONCATENATE("#Metadata!", ADDRESS(INDEX($Q$2:$Q$1001,MATCH(ROWS($O$2:O209),$O$2:$O$1001,0),0), INDEX($V$1004:$AE$1004,1,MATCH(COLUMNS($V$1006:X1006),$V$1006:$AE$1006,0)))),"Fix")))</f>
        <v>0</v>
      </c>
      <c r="E209" s="3">
        <f>IF(OR(INDEX($P$2:$P$1001,MATCH(ROWS($O$2:O209),$O$2:$O$1001,0),1)&gt;=100000,INDEX($V$1005:$AE$1005,1,MATCH(COLUMNS($V$1006:Y1006),$V$1006:$AE$1006,0))&gt;=100000), " ",IF(INDEX($V$2:$AE$1001,MATCH(ROWS($O$2:O209),$O$2:$O$1001,0),MATCH(COLUMNS($V$1006:Y1006),$V$1006:$AE$1006,0)), HYPERLINK("#",""), HYPERLINK(CONCATENATE("#Metadata!", ADDRESS(INDEX($Q$2:$Q$1001,MATCH(ROWS($O$2:O209),$O$2:$O$1001,0),0), INDEX($V$1004:$AE$1004,1,MATCH(COLUMNS($V$1006:Y1006),$V$1006:$AE$1006,0)))),"Fix")))</f>
        <v>0</v>
      </c>
      <c r="F209" s="3">
        <f>IF(OR(INDEX($P$2:$P$1001,MATCH(ROWS($O$2:O209),$O$2:$O$1001,0),1)&gt;=100000,INDEX($V$1005:$AE$1005,1,MATCH(COLUMNS($V$1006:Z1006),$V$1006:$AE$1006,0))&gt;=100000), " ",IF(INDEX($V$2:$AE$1001,MATCH(ROWS($O$2:O209),$O$2:$O$1001,0),MATCH(COLUMNS($V$1006:Z1006),$V$1006:$AE$1006,0)), HYPERLINK("#",""), HYPERLINK(CONCATENATE("#Metadata!", ADDRESS(INDEX($Q$2:$Q$1001,MATCH(ROWS($O$2:O209),$O$2:$O$1001,0),0), INDEX($V$1004:$AE$1004,1,MATCH(COLUMNS($V$1006:Z1006),$V$1006:$AE$1006,0)))),"Fix")))</f>
        <v>0</v>
      </c>
      <c r="G209" s="3">
        <f>IF(OR(INDEX($P$2:$P$1001,MATCH(ROWS($O$2:O209),$O$2:$O$1001,0),1)&gt;=100000,INDEX($V$1005:$AE$1005,1,MATCH(COLUMNS($V$1006:AA1006),$V$1006:$AE$1006,0))&gt;=100000), " ",IF(INDEX($V$2:$AE$1001,MATCH(ROWS($O$2:O209),$O$2:$O$1001,0),MATCH(COLUMNS($V$1006:AA1006),$V$1006:$AE$1006,0)), HYPERLINK("#",""), HYPERLINK(CONCATENATE("#Metadata!", ADDRESS(INDEX($Q$2:$Q$1001,MATCH(ROWS($O$2:O209),$O$2:$O$1001,0),0), INDEX($V$1004:$AE$1004,1,MATCH(COLUMNS($V$1006:AA1006),$V$1006:$AE$1006,0)))),"Fix")))</f>
        <v>0</v>
      </c>
      <c r="H209" s="3">
        <f>IF(OR(INDEX($P$2:$P$1001,MATCH(ROWS($O$2:O209),$O$2:$O$1001,0),1)&gt;=100000,INDEX($V$1005:$AE$1005,1,MATCH(COLUMNS($V$1006:AB1006),$V$1006:$AE$1006,0))&gt;=100000), " ",IF(INDEX($V$2:$AE$1001,MATCH(ROWS($O$2:O209),$O$2:$O$1001,0),MATCH(COLUMNS($V$1006:AB1006),$V$1006:$AE$1006,0)), HYPERLINK("#",""), HYPERLINK(CONCATENATE("#Metadata!", ADDRESS(INDEX($Q$2:$Q$1001,MATCH(ROWS($O$2:O209),$O$2:$O$1001,0),0), INDEX($V$1004:$AE$1004,1,MATCH(COLUMNS($V$1006:AB1006),$V$1006:$AE$1006,0)))),"Fix")))</f>
        <v>0</v>
      </c>
      <c r="I209" s="3">
        <f>IF(OR(INDEX($P$2:$P$1001,MATCH(ROWS($O$2:O209),$O$2:$O$1001,0),1)&gt;=100000,INDEX($V$1005:$AE$1005,1,MATCH(COLUMNS($V$1006:AC1006),$V$1006:$AE$1006,0))&gt;=100000), " ",IF(INDEX($V$2:$AE$1001,MATCH(ROWS($O$2:O209),$O$2:$O$1001,0),MATCH(COLUMNS($V$1006:AC1006),$V$1006:$AE$1006,0)), HYPERLINK("#",""), HYPERLINK(CONCATENATE("#Metadata!", ADDRESS(INDEX($Q$2:$Q$1001,MATCH(ROWS($O$2:O209),$O$2:$O$1001,0),0), INDEX($V$1004:$AE$1004,1,MATCH(COLUMNS($V$1006:AC1006),$V$1006:$AE$1006,0)))),"Fix")))</f>
        <v>0</v>
      </c>
      <c r="J209" s="3">
        <f>IF(OR(INDEX($P$2:$P$1001,MATCH(ROWS($O$2:O209),$O$2:$O$1001,0),1)&gt;=100000,INDEX($V$1005:$AE$1005,1,MATCH(COLUMNS($V$1006:AD1006),$V$1006:$AE$1006,0))&gt;=100000), " ",IF(INDEX($V$2:$AE$1001,MATCH(ROWS($O$2:O209),$O$2:$O$1001,0),MATCH(COLUMNS($V$1006:AD1006),$V$1006:$AE$1006,0)), HYPERLINK("#",""), HYPERLINK(CONCATENATE("#Metadata!", ADDRESS(INDEX($Q$2:$Q$1001,MATCH(ROWS($O$2:O209),$O$2:$O$1001,0),0), INDEX($V$1004:$AE$1004,1,MATCH(COLUMNS($V$1006:AD1006),$V$1006:$AE$1006,0)))),"Fix")))</f>
        <v>0</v>
      </c>
      <c r="K209" s="3">
        <f>IF(OR(INDEX($P$2:$P$1001,MATCH(ROWS($O$2:O209),$O$2:$O$1001,0),1)&gt;=100000,INDEX($V$1005:$AE$1005,1,MATCH(COLUMNS($V$1006:AE1006),$V$1006:$AE$1006,0))&gt;=100000), " ",IF(INDEX($V$2:$AE$1001,MATCH(ROWS($O$2:O209),$O$2:$O$1001,0),MATCH(COLUMNS($V$1006:AE1006),$V$1006:$AE$1006,0)), HYPERLINK("#",""), HYPERLINK(CONCATENATE("#Metadata!", ADDRESS(INDEX($Q$2:$Q$1001,MATCH(ROWS($O$2:O209),$O$2:$O$1001,0),0), INDEX($V$1004:$AE$1004,1,MATCH(COLUMNS($V$1006:AE1006),$V$1006:$AE$1006,0)))),"Fix")))</f>
        <v>0</v>
      </c>
      <c r="O209">
        <v>0</v>
      </c>
      <c r="P209">
        <v>0</v>
      </c>
      <c r="Q209">
        <v>0</v>
      </c>
      <c r="R209">
        <f>IF(S209,TRUE,AND(V209:AE209))</f>
        <v>0</v>
      </c>
      <c r="S209">
        <f>COUNTBLANK(Metadata!B209:K209)=COLUMNS(Metadata!B209:K209)</f>
        <v>0</v>
      </c>
      <c r="T209">
        <v>0</v>
      </c>
      <c r="V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W209">
        <f>AND(IF(Metadata!C209="",FALSE,TRUE),exact(Metadata!C209,"animal secretion"))</f>
        <v>0</v>
      </c>
      <c r="X209">
        <f>AND(IF(Metadata!D209="",FALSE,TRUE),exact(Metadata!D209,"saliva"))</f>
        <v>0</v>
      </c>
      <c r="Y209">
        <f>AND(IF(Metadata!E209="",FALSE,TRUE),exact(Metadata!E209,"human-oral"))</f>
        <v>0</v>
      </c>
      <c r="Z209">
        <f>AND(IF(Metadata!F209="",FALSE,TRUE),exact(Metadata!F209,"UBERON:oral cavity"))</f>
        <v>0</v>
      </c>
      <c r="AA209">
        <f>AND(IF(Metadata!G209="",FALSE,TRUE),exact(Metadata!G209,"UBERON:saliva"))</f>
        <v>0</v>
      </c>
      <c r="AB209">
        <f>AND(IF(Metadata!H209="",FALSE,TRUE),exact(Metadata!H209,"UBERON:tongue"))</f>
        <v>0</v>
      </c>
      <c r="AC209">
        <f>AND(IF(Metadata!I209="",FALSE,TRUE),exact(Metadata!I209,"tongue"))</f>
        <v>0</v>
      </c>
      <c r="AD209">
        <f>AND(IF(Metadata!J209="",FALSE,TRUE),exact(Metadata!J209,"human oral metagenome"))</f>
        <v>0</v>
      </c>
      <c r="AE209">
        <f>AND(IF(Metadata!K209="",FALSE,TRUE),exact(Metadata!K209,"447426"))</f>
        <v>0</v>
      </c>
    </row>
    <row r="210" spans="1:31">
      <c r="A210" s="4">
        <f>IF(B210=" "," ",HYPERLINK(CONCATENATE("#metadata!",ADDRESS(INDEX($Q$2:$Q$1001,MATCH(ROWS($O$2:O210),$O$2:$O$1001,0),0),1)),INDEX($T$2:$T$1001,MATCH(ROWS($O$2:O210),$O$2:$O$1001,0),0)))</f>
        <v>0</v>
      </c>
      <c r="B210" s="3">
        <f>IF(OR(INDEX($P$2:$P$1001,MATCH(ROWS($O$2:O210),$O$2:$O$1001,0),1)&gt;=100000,INDEX($V$1005:$AE$1005,1,MATCH(COLUMNS($V$1006:V1006),$V$1006:$AE$1006,0))&gt;=100000), " ",IF(INDEX($V$2:$AE$1001,MATCH(ROWS($O$2:O210),$O$2:$O$1001,0),MATCH(COLUMNS($V$1006:V1006),$V$1006:$AE$1006,0)), HYPERLINK("#",""), HYPERLINK(CONCATENATE("#Metadata!", ADDRESS(INDEX($Q$2:$Q$1001,MATCH(ROWS($O$2:O210),$O$2:$O$1001,0),0), INDEX($V$1004:$AE$1004,1,MATCH(COLUMNS($V$1006:V1006),$V$1006:$AE$1006,0)))),"Fix")))</f>
        <v>0</v>
      </c>
      <c r="C210" s="3">
        <f>IF(OR(INDEX($P$2:$P$1001,MATCH(ROWS($O$2:O210),$O$2:$O$1001,0),1)&gt;=100000,INDEX($V$1005:$AE$1005,1,MATCH(COLUMNS($V$1006:W1006),$V$1006:$AE$1006,0))&gt;=100000), " ",IF(INDEX($V$2:$AE$1001,MATCH(ROWS($O$2:O210),$O$2:$O$1001,0),MATCH(COLUMNS($V$1006:W1006),$V$1006:$AE$1006,0)), HYPERLINK("#",""), HYPERLINK(CONCATENATE("#Metadata!", ADDRESS(INDEX($Q$2:$Q$1001,MATCH(ROWS($O$2:O210),$O$2:$O$1001,0),0), INDEX($V$1004:$AE$1004,1,MATCH(COLUMNS($V$1006:W1006),$V$1006:$AE$1006,0)))),"Fix")))</f>
        <v>0</v>
      </c>
      <c r="D210" s="3">
        <f>IF(OR(INDEX($P$2:$P$1001,MATCH(ROWS($O$2:O210),$O$2:$O$1001,0),1)&gt;=100000,INDEX($V$1005:$AE$1005,1,MATCH(COLUMNS($V$1006:X1006),$V$1006:$AE$1006,0))&gt;=100000), " ",IF(INDEX($V$2:$AE$1001,MATCH(ROWS($O$2:O210),$O$2:$O$1001,0),MATCH(COLUMNS($V$1006:X1006),$V$1006:$AE$1006,0)), HYPERLINK("#",""), HYPERLINK(CONCATENATE("#Metadata!", ADDRESS(INDEX($Q$2:$Q$1001,MATCH(ROWS($O$2:O210),$O$2:$O$1001,0),0), INDEX($V$1004:$AE$1004,1,MATCH(COLUMNS($V$1006:X1006),$V$1006:$AE$1006,0)))),"Fix")))</f>
        <v>0</v>
      </c>
      <c r="E210" s="3">
        <f>IF(OR(INDEX($P$2:$P$1001,MATCH(ROWS($O$2:O210),$O$2:$O$1001,0),1)&gt;=100000,INDEX($V$1005:$AE$1005,1,MATCH(COLUMNS($V$1006:Y1006),$V$1006:$AE$1006,0))&gt;=100000), " ",IF(INDEX($V$2:$AE$1001,MATCH(ROWS($O$2:O210),$O$2:$O$1001,0),MATCH(COLUMNS($V$1006:Y1006),$V$1006:$AE$1006,0)), HYPERLINK("#",""), HYPERLINK(CONCATENATE("#Metadata!", ADDRESS(INDEX($Q$2:$Q$1001,MATCH(ROWS($O$2:O210),$O$2:$O$1001,0),0), INDEX($V$1004:$AE$1004,1,MATCH(COLUMNS($V$1006:Y1006),$V$1006:$AE$1006,0)))),"Fix")))</f>
        <v>0</v>
      </c>
      <c r="F210" s="3">
        <f>IF(OR(INDEX($P$2:$P$1001,MATCH(ROWS($O$2:O210),$O$2:$O$1001,0),1)&gt;=100000,INDEX($V$1005:$AE$1005,1,MATCH(COLUMNS($V$1006:Z1006),$V$1006:$AE$1006,0))&gt;=100000), " ",IF(INDEX($V$2:$AE$1001,MATCH(ROWS($O$2:O210),$O$2:$O$1001,0),MATCH(COLUMNS($V$1006:Z1006),$V$1006:$AE$1006,0)), HYPERLINK("#",""), HYPERLINK(CONCATENATE("#Metadata!", ADDRESS(INDEX($Q$2:$Q$1001,MATCH(ROWS($O$2:O210),$O$2:$O$1001,0),0), INDEX($V$1004:$AE$1004,1,MATCH(COLUMNS($V$1006:Z1006),$V$1006:$AE$1006,0)))),"Fix")))</f>
        <v>0</v>
      </c>
      <c r="G210" s="3">
        <f>IF(OR(INDEX($P$2:$P$1001,MATCH(ROWS($O$2:O210),$O$2:$O$1001,0),1)&gt;=100000,INDEX($V$1005:$AE$1005,1,MATCH(COLUMNS($V$1006:AA1006),$V$1006:$AE$1006,0))&gt;=100000), " ",IF(INDEX($V$2:$AE$1001,MATCH(ROWS($O$2:O210),$O$2:$O$1001,0),MATCH(COLUMNS($V$1006:AA1006),$V$1006:$AE$1006,0)), HYPERLINK("#",""), HYPERLINK(CONCATENATE("#Metadata!", ADDRESS(INDEX($Q$2:$Q$1001,MATCH(ROWS($O$2:O210),$O$2:$O$1001,0),0), INDEX($V$1004:$AE$1004,1,MATCH(COLUMNS($V$1006:AA1006),$V$1006:$AE$1006,0)))),"Fix")))</f>
        <v>0</v>
      </c>
      <c r="H210" s="3">
        <f>IF(OR(INDEX($P$2:$P$1001,MATCH(ROWS($O$2:O210),$O$2:$O$1001,0),1)&gt;=100000,INDEX($V$1005:$AE$1005,1,MATCH(COLUMNS($V$1006:AB1006),$V$1006:$AE$1006,0))&gt;=100000), " ",IF(INDEX($V$2:$AE$1001,MATCH(ROWS($O$2:O210),$O$2:$O$1001,0),MATCH(COLUMNS($V$1006:AB1006),$V$1006:$AE$1006,0)), HYPERLINK("#",""), HYPERLINK(CONCATENATE("#Metadata!", ADDRESS(INDEX($Q$2:$Q$1001,MATCH(ROWS($O$2:O210),$O$2:$O$1001,0),0), INDEX($V$1004:$AE$1004,1,MATCH(COLUMNS($V$1006:AB1006),$V$1006:$AE$1006,0)))),"Fix")))</f>
        <v>0</v>
      </c>
      <c r="I210" s="3">
        <f>IF(OR(INDEX($P$2:$P$1001,MATCH(ROWS($O$2:O210),$O$2:$O$1001,0),1)&gt;=100000,INDEX($V$1005:$AE$1005,1,MATCH(COLUMNS($V$1006:AC1006),$V$1006:$AE$1006,0))&gt;=100000), " ",IF(INDEX($V$2:$AE$1001,MATCH(ROWS($O$2:O210),$O$2:$O$1001,0),MATCH(COLUMNS($V$1006:AC1006),$V$1006:$AE$1006,0)), HYPERLINK("#",""), HYPERLINK(CONCATENATE("#Metadata!", ADDRESS(INDEX($Q$2:$Q$1001,MATCH(ROWS($O$2:O210),$O$2:$O$1001,0),0), INDEX($V$1004:$AE$1004,1,MATCH(COLUMNS($V$1006:AC1006),$V$1006:$AE$1006,0)))),"Fix")))</f>
        <v>0</v>
      </c>
      <c r="J210" s="3">
        <f>IF(OR(INDEX($P$2:$P$1001,MATCH(ROWS($O$2:O210),$O$2:$O$1001,0),1)&gt;=100000,INDEX($V$1005:$AE$1005,1,MATCH(COLUMNS($V$1006:AD1006),$V$1006:$AE$1006,0))&gt;=100000), " ",IF(INDEX($V$2:$AE$1001,MATCH(ROWS($O$2:O210),$O$2:$O$1001,0),MATCH(COLUMNS($V$1006:AD1006),$V$1006:$AE$1006,0)), HYPERLINK("#",""), HYPERLINK(CONCATENATE("#Metadata!", ADDRESS(INDEX($Q$2:$Q$1001,MATCH(ROWS($O$2:O210),$O$2:$O$1001,0),0), INDEX($V$1004:$AE$1004,1,MATCH(COLUMNS($V$1006:AD1006),$V$1006:$AE$1006,0)))),"Fix")))</f>
        <v>0</v>
      </c>
      <c r="K210" s="3">
        <f>IF(OR(INDEX($P$2:$P$1001,MATCH(ROWS($O$2:O210),$O$2:$O$1001,0),1)&gt;=100000,INDEX($V$1005:$AE$1005,1,MATCH(COLUMNS($V$1006:AE1006),$V$1006:$AE$1006,0))&gt;=100000), " ",IF(INDEX($V$2:$AE$1001,MATCH(ROWS($O$2:O210),$O$2:$O$1001,0),MATCH(COLUMNS($V$1006:AE1006),$V$1006:$AE$1006,0)), HYPERLINK("#",""), HYPERLINK(CONCATENATE("#Metadata!", ADDRESS(INDEX($Q$2:$Q$1001,MATCH(ROWS($O$2:O210),$O$2:$O$1001,0),0), INDEX($V$1004:$AE$1004,1,MATCH(COLUMNS($V$1006:AE1006),$V$1006:$AE$1006,0)))),"Fix")))</f>
        <v>0</v>
      </c>
      <c r="O210">
        <v>0</v>
      </c>
      <c r="P210">
        <v>0</v>
      </c>
      <c r="Q210">
        <v>0</v>
      </c>
      <c r="R210">
        <f>IF(S210,TRUE,AND(V210:AE210))</f>
        <v>0</v>
      </c>
      <c r="S210">
        <f>COUNTBLANK(Metadata!B210:K210)=COLUMNS(Metadata!B210:K210)</f>
        <v>0</v>
      </c>
      <c r="T210">
        <v>0</v>
      </c>
      <c r="V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W210">
        <f>AND(IF(Metadata!C210="",FALSE,TRUE),exact(Metadata!C210,"animal secretion"))</f>
        <v>0</v>
      </c>
      <c r="X210">
        <f>AND(IF(Metadata!D210="",FALSE,TRUE),exact(Metadata!D210,"saliva"))</f>
        <v>0</v>
      </c>
      <c r="Y210">
        <f>AND(IF(Metadata!E210="",FALSE,TRUE),exact(Metadata!E210,"human-oral"))</f>
        <v>0</v>
      </c>
      <c r="Z210">
        <f>AND(IF(Metadata!F210="",FALSE,TRUE),exact(Metadata!F210,"UBERON:oral cavity"))</f>
        <v>0</v>
      </c>
      <c r="AA210">
        <f>AND(IF(Metadata!G210="",FALSE,TRUE),exact(Metadata!G210,"UBERON:saliva"))</f>
        <v>0</v>
      </c>
      <c r="AB210">
        <f>AND(IF(Metadata!H210="",FALSE,TRUE),exact(Metadata!H210,"UBERON:tongue"))</f>
        <v>0</v>
      </c>
      <c r="AC210">
        <f>AND(IF(Metadata!I210="",FALSE,TRUE),exact(Metadata!I210,"tongue"))</f>
        <v>0</v>
      </c>
      <c r="AD210">
        <f>AND(IF(Metadata!J210="",FALSE,TRUE),exact(Metadata!J210,"human oral metagenome"))</f>
        <v>0</v>
      </c>
      <c r="AE210">
        <f>AND(IF(Metadata!K210="",FALSE,TRUE),exact(Metadata!K210,"447426"))</f>
        <v>0</v>
      </c>
    </row>
    <row r="211" spans="1:31">
      <c r="A211" s="4">
        <f>IF(B211=" "," ",HYPERLINK(CONCATENATE("#metadata!",ADDRESS(INDEX($Q$2:$Q$1001,MATCH(ROWS($O$2:O211),$O$2:$O$1001,0),0),1)),INDEX($T$2:$T$1001,MATCH(ROWS($O$2:O211),$O$2:$O$1001,0),0)))</f>
        <v>0</v>
      </c>
      <c r="B211" s="3">
        <f>IF(OR(INDEX($P$2:$P$1001,MATCH(ROWS($O$2:O211),$O$2:$O$1001,0),1)&gt;=100000,INDEX($V$1005:$AE$1005,1,MATCH(COLUMNS($V$1006:V1006),$V$1006:$AE$1006,0))&gt;=100000), " ",IF(INDEX($V$2:$AE$1001,MATCH(ROWS($O$2:O211),$O$2:$O$1001,0),MATCH(COLUMNS($V$1006:V1006),$V$1006:$AE$1006,0)), HYPERLINK("#",""), HYPERLINK(CONCATENATE("#Metadata!", ADDRESS(INDEX($Q$2:$Q$1001,MATCH(ROWS($O$2:O211),$O$2:$O$1001,0),0), INDEX($V$1004:$AE$1004,1,MATCH(COLUMNS($V$1006:V1006),$V$1006:$AE$1006,0)))),"Fix")))</f>
        <v>0</v>
      </c>
      <c r="C211" s="3">
        <f>IF(OR(INDEX($P$2:$P$1001,MATCH(ROWS($O$2:O211),$O$2:$O$1001,0),1)&gt;=100000,INDEX($V$1005:$AE$1005,1,MATCH(COLUMNS($V$1006:W1006),$V$1006:$AE$1006,0))&gt;=100000), " ",IF(INDEX($V$2:$AE$1001,MATCH(ROWS($O$2:O211),$O$2:$O$1001,0),MATCH(COLUMNS($V$1006:W1006),$V$1006:$AE$1006,0)), HYPERLINK("#",""), HYPERLINK(CONCATENATE("#Metadata!", ADDRESS(INDEX($Q$2:$Q$1001,MATCH(ROWS($O$2:O211),$O$2:$O$1001,0),0), INDEX($V$1004:$AE$1004,1,MATCH(COLUMNS($V$1006:W1006),$V$1006:$AE$1006,0)))),"Fix")))</f>
        <v>0</v>
      </c>
      <c r="D211" s="3">
        <f>IF(OR(INDEX($P$2:$P$1001,MATCH(ROWS($O$2:O211),$O$2:$O$1001,0),1)&gt;=100000,INDEX($V$1005:$AE$1005,1,MATCH(COLUMNS($V$1006:X1006),$V$1006:$AE$1006,0))&gt;=100000), " ",IF(INDEX($V$2:$AE$1001,MATCH(ROWS($O$2:O211),$O$2:$O$1001,0),MATCH(COLUMNS($V$1006:X1006),$V$1006:$AE$1006,0)), HYPERLINK("#",""), HYPERLINK(CONCATENATE("#Metadata!", ADDRESS(INDEX($Q$2:$Q$1001,MATCH(ROWS($O$2:O211),$O$2:$O$1001,0),0), INDEX($V$1004:$AE$1004,1,MATCH(COLUMNS($V$1006:X1006),$V$1006:$AE$1006,0)))),"Fix")))</f>
        <v>0</v>
      </c>
      <c r="E211" s="3">
        <f>IF(OR(INDEX($P$2:$P$1001,MATCH(ROWS($O$2:O211),$O$2:$O$1001,0),1)&gt;=100000,INDEX($V$1005:$AE$1005,1,MATCH(COLUMNS($V$1006:Y1006),$V$1006:$AE$1006,0))&gt;=100000), " ",IF(INDEX($V$2:$AE$1001,MATCH(ROWS($O$2:O211),$O$2:$O$1001,0),MATCH(COLUMNS($V$1006:Y1006),$V$1006:$AE$1006,0)), HYPERLINK("#",""), HYPERLINK(CONCATENATE("#Metadata!", ADDRESS(INDEX($Q$2:$Q$1001,MATCH(ROWS($O$2:O211),$O$2:$O$1001,0),0), INDEX($V$1004:$AE$1004,1,MATCH(COLUMNS($V$1006:Y1006),$V$1006:$AE$1006,0)))),"Fix")))</f>
        <v>0</v>
      </c>
      <c r="F211" s="3">
        <f>IF(OR(INDEX($P$2:$P$1001,MATCH(ROWS($O$2:O211),$O$2:$O$1001,0),1)&gt;=100000,INDEX($V$1005:$AE$1005,1,MATCH(COLUMNS($V$1006:Z1006),$V$1006:$AE$1006,0))&gt;=100000), " ",IF(INDEX($V$2:$AE$1001,MATCH(ROWS($O$2:O211),$O$2:$O$1001,0),MATCH(COLUMNS($V$1006:Z1006),$V$1006:$AE$1006,0)), HYPERLINK("#",""), HYPERLINK(CONCATENATE("#Metadata!", ADDRESS(INDEX($Q$2:$Q$1001,MATCH(ROWS($O$2:O211),$O$2:$O$1001,0),0), INDEX($V$1004:$AE$1004,1,MATCH(COLUMNS($V$1006:Z1006),$V$1006:$AE$1006,0)))),"Fix")))</f>
        <v>0</v>
      </c>
      <c r="G211" s="3">
        <f>IF(OR(INDEX($P$2:$P$1001,MATCH(ROWS($O$2:O211),$O$2:$O$1001,0),1)&gt;=100000,INDEX($V$1005:$AE$1005,1,MATCH(COLUMNS($V$1006:AA1006),$V$1006:$AE$1006,0))&gt;=100000), " ",IF(INDEX($V$2:$AE$1001,MATCH(ROWS($O$2:O211),$O$2:$O$1001,0),MATCH(COLUMNS($V$1006:AA1006),$V$1006:$AE$1006,0)), HYPERLINK("#",""), HYPERLINK(CONCATENATE("#Metadata!", ADDRESS(INDEX($Q$2:$Q$1001,MATCH(ROWS($O$2:O211),$O$2:$O$1001,0),0), INDEX($V$1004:$AE$1004,1,MATCH(COLUMNS($V$1006:AA1006),$V$1006:$AE$1006,0)))),"Fix")))</f>
        <v>0</v>
      </c>
      <c r="H211" s="3">
        <f>IF(OR(INDEX($P$2:$P$1001,MATCH(ROWS($O$2:O211),$O$2:$O$1001,0),1)&gt;=100000,INDEX($V$1005:$AE$1005,1,MATCH(COLUMNS($V$1006:AB1006),$V$1006:$AE$1006,0))&gt;=100000), " ",IF(INDEX($V$2:$AE$1001,MATCH(ROWS($O$2:O211),$O$2:$O$1001,0),MATCH(COLUMNS($V$1006:AB1006),$V$1006:$AE$1006,0)), HYPERLINK("#",""), HYPERLINK(CONCATENATE("#Metadata!", ADDRESS(INDEX($Q$2:$Q$1001,MATCH(ROWS($O$2:O211),$O$2:$O$1001,0),0), INDEX($V$1004:$AE$1004,1,MATCH(COLUMNS($V$1006:AB1006),$V$1006:$AE$1006,0)))),"Fix")))</f>
        <v>0</v>
      </c>
      <c r="I211" s="3">
        <f>IF(OR(INDEX($P$2:$P$1001,MATCH(ROWS($O$2:O211),$O$2:$O$1001,0),1)&gt;=100000,INDEX($V$1005:$AE$1005,1,MATCH(COLUMNS($V$1006:AC1006),$V$1006:$AE$1006,0))&gt;=100000), " ",IF(INDEX($V$2:$AE$1001,MATCH(ROWS($O$2:O211),$O$2:$O$1001,0),MATCH(COLUMNS($V$1006:AC1006),$V$1006:$AE$1006,0)), HYPERLINK("#",""), HYPERLINK(CONCATENATE("#Metadata!", ADDRESS(INDEX($Q$2:$Q$1001,MATCH(ROWS($O$2:O211),$O$2:$O$1001,0),0), INDEX($V$1004:$AE$1004,1,MATCH(COLUMNS($V$1006:AC1006),$V$1006:$AE$1006,0)))),"Fix")))</f>
        <v>0</v>
      </c>
      <c r="J211" s="3">
        <f>IF(OR(INDEX($P$2:$P$1001,MATCH(ROWS($O$2:O211),$O$2:$O$1001,0),1)&gt;=100000,INDEX($V$1005:$AE$1005,1,MATCH(COLUMNS($V$1006:AD1006),$V$1006:$AE$1006,0))&gt;=100000), " ",IF(INDEX($V$2:$AE$1001,MATCH(ROWS($O$2:O211),$O$2:$O$1001,0),MATCH(COLUMNS($V$1006:AD1006),$V$1006:$AE$1006,0)), HYPERLINK("#",""), HYPERLINK(CONCATENATE("#Metadata!", ADDRESS(INDEX($Q$2:$Q$1001,MATCH(ROWS($O$2:O211),$O$2:$O$1001,0),0), INDEX($V$1004:$AE$1004,1,MATCH(COLUMNS($V$1006:AD1006),$V$1006:$AE$1006,0)))),"Fix")))</f>
        <v>0</v>
      </c>
      <c r="K211" s="3">
        <f>IF(OR(INDEX($P$2:$P$1001,MATCH(ROWS($O$2:O211),$O$2:$O$1001,0),1)&gt;=100000,INDEX($V$1005:$AE$1005,1,MATCH(COLUMNS($V$1006:AE1006),$V$1006:$AE$1006,0))&gt;=100000), " ",IF(INDEX($V$2:$AE$1001,MATCH(ROWS($O$2:O211),$O$2:$O$1001,0),MATCH(COLUMNS($V$1006:AE1006),$V$1006:$AE$1006,0)), HYPERLINK("#",""), HYPERLINK(CONCATENATE("#Metadata!", ADDRESS(INDEX($Q$2:$Q$1001,MATCH(ROWS($O$2:O211),$O$2:$O$1001,0),0), INDEX($V$1004:$AE$1004,1,MATCH(COLUMNS($V$1006:AE1006),$V$1006:$AE$1006,0)))),"Fix")))</f>
        <v>0</v>
      </c>
      <c r="O211">
        <v>0</v>
      </c>
      <c r="P211">
        <v>0</v>
      </c>
      <c r="Q211">
        <v>0</v>
      </c>
      <c r="R211">
        <f>IF(S211,TRUE,AND(V211:AE211))</f>
        <v>0</v>
      </c>
      <c r="S211">
        <f>COUNTBLANK(Metadata!B211:K211)=COLUMNS(Metadata!B211:K211)</f>
        <v>0</v>
      </c>
      <c r="T211">
        <v>0</v>
      </c>
      <c r="V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W211">
        <f>AND(IF(Metadata!C211="",FALSE,TRUE),exact(Metadata!C211,"animal secretion"))</f>
        <v>0</v>
      </c>
      <c r="X211">
        <f>AND(IF(Metadata!D211="",FALSE,TRUE),exact(Metadata!D211,"saliva"))</f>
        <v>0</v>
      </c>
      <c r="Y211">
        <f>AND(IF(Metadata!E211="",FALSE,TRUE),exact(Metadata!E211,"human-oral"))</f>
        <v>0</v>
      </c>
      <c r="Z211">
        <f>AND(IF(Metadata!F211="",FALSE,TRUE),exact(Metadata!F211,"UBERON:oral cavity"))</f>
        <v>0</v>
      </c>
      <c r="AA211">
        <f>AND(IF(Metadata!G211="",FALSE,TRUE),exact(Metadata!G211,"UBERON:saliva"))</f>
        <v>0</v>
      </c>
      <c r="AB211">
        <f>AND(IF(Metadata!H211="",FALSE,TRUE),exact(Metadata!H211,"UBERON:tongue"))</f>
        <v>0</v>
      </c>
      <c r="AC211">
        <f>AND(IF(Metadata!I211="",FALSE,TRUE),exact(Metadata!I211,"tongue"))</f>
        <v>0</v>
      </c>
      <c r="AD211">
        <f>AND(IF(Metadata!J211="",FALSE,TRUE),exact(Metadata!J211,"human oral metagenome"))</f>
        <v>0</v>
      </c>
      <c r="AE211">
        <f>AND(IF(Metadata!K211="",FALSE,TRUE),exact(Metadata!K211,"447426"))</f>
        <v>0</v>
      </c>
    </row>
    <row r="212" spans="1:31">
      <c r="A212" s="4">
        <f>IF(B212=" "," ",HYPERLINK(CONCATENATE("#metadata!",ADDRESS(INDEX($Q$2:$Q$1001,MATCH(ROWS($O$2:O212),$O$2:$O$1001,0),0),1)),INDEX($T$2:$T$1001,MATCH(ROWS($O$2:O212),$O$2:$O$1001,0),0)))</f>
        <v>0</v>
      </c>
      <c r="B212" s="3">
        <f>IF(OR(INDEX($P$2:$P$1001,MATCH(ROWS($O$2:O212),$O$2:$O$1001,0),1)&gt;=100000,INDEX($V$1005:$AE$1005,1,MATCH(COLUMNS($V$1006:V1006),$V$1006:$AE$1006,0))&gt;=100000), " ",IF(INDEX($V$2:$AE$1001,MATCH(ROWS($O$2:O212),$O$2:$O$1001,0),MATCH(COLUMNS($V$1006:V1006),$V$1006:$AE$1006,0)), HYPERLINK("#",""), HYPERLINK(CONCATENATE("#Metadata!", ADDRESS(INDEX($Q$2:$Q$1001,MATCH(ROWS($O$2:O212),$O$2:$O$1001,0),0), INDEX($V$1004:$AE$1004,1,MATCH(COLUMNS($V$1006:V1006),$V$1006:$AE$1006,0)))),"Fix")))</f>
        <v>0</v>
      </c>
      <c r="C212" s="3">
        <f>IF(OR(INDEX($P$2:$P$1001,MATCH(ROWS($O$2:O212),$O$2:$O$1001,0),1)&gt;=100000,INDEX($V$1005:$AE$1005,1,MATCH(COLUMNS($V$1006:W1006),$V$1006:$AE$1006,0))&gt;=100000), " ",IF(INDEX($V$2:$AE$1001,MATCH(ROWS($O$2:O212),$O$2:$O$1001,0),MATCH(COLUMNS($V$1006:W1006),$V$1006:$AE$1006,0)), HYPERLINK("#",""), HYPERLINK(CONCATENATE("#Metadata!", ADDRESS(INDEX($Q$2:$Q$1001,MATCH(ROWS($O$2:O212),$O$2:$O$1001,0),0), INDEX($V$1004:$AE$1004,1,MATCH(COLUMNS($V$1006:W1006),$V$1006:$AE$1006,0)))),"Fix")))</f>
        <v>0</v>
      </c>
      <c r="D212" s="3">
        <f>IF(OR(INDEX($P$2:$P$1001,MATCH(ROWS($O$2:O212),$O$2:$O$1001,0),1)&gt;=100000,INDEX($V$1005:$AE$1005,1,MATCH(COLUMNS($V$1006:X1006),$V$1006:$AE$1006,0))&gt;=100000), " ",IF(INDEX($V$2:$AE$1001,MATCH(ROWS($O$2:O212),$O$2:$O$1001,0),MATCH(COLUMNS($V$1006:X1006),$V$1006:$AE$1006,0)), HYPERLINK("#",""), HYPERLINK(CONCATENATE("#Metadata!", ADDRESS(INDEX($Q$2:$Q$1001,MATCH(ROWS($O$2:O212),$O$2:$O$1001,0),0), INDEX($V$1004:$AE$1004,1,MATCH(COLUMNS($V$1006:X1006),$V$1006:$AE$1006,0)))),"Fix")))</f>
        <v>0</v>
      </c>
      <c r="E212" s="3">
        <f>IF(OR(INDEX($P$2:$P$1001,MATCH(ROWS($O$2:O212),$O$2:$O$1001,0),1)&gt;=100000,INDEX($V$1005:$AE$1005,1,MATCH(COLUMNS($V$1006:Y1006),$V$1006:$AE$1006,0))&gt;=100000), " ",IF(INDEX($V$2:$AE$1001,MATCH(ROWS($O$2:O212),$O$2:$O$1001,0),MATCH(COLUMNS($V$1006:Y1006),$V$1006:$AE$1006,0)), HYPERLINK("#",""), HYPERLINK(CONCATENATE("#Metadata!", ADDRESS(INDEX($Q$2:$Q$1001,MATCH(ROWS($O$2:O212),$O$2:$O$1001,0),0), INDEX($V$1004:$AE$1004,1,MATCH(COLUMNS($V$1006:Y1006),$V$1006:$AE$1006,0)))),"Fix")))</f>
        <v>0</v>
      </c>
      <c r="F212" s="3">
        <f>IF(OR(INDEX($P$2:$P$1001,MATCH(ROWS($O$2:O212),$O$2:$O$1001,0),1)&gt;=100000,INDEX($V$1005:$AE$1005,1,MATCH(COLUMNS($V$1006:Z1006),$V$1006:$AE$1006,0))&gt;=100000), " ",IF(INDEX($V$2:$AE$1001,MATCH(ROWS($O$2:O212),$O$2:$O$1001,0),MATCH(COLUMNS($V$1006:Z1006),$V$1006:$AE$1006,0)), HYPERLINK("#",""), HYPERLINK(CONCATENATE("#Metadata!", ADDRESS(INDEX($Q$2:$Q$1001,MATCH(ROWS($O$2:O212),$O$2:$O$1001,0),0), INDEX($V$1004:$AE$1004,1,MATCH(COLUMNS($V$1006:Z1006),$V$1006:$AE$1006,0)))),"Fix")))</f>
        <v>0</v>
      </c>
      <c r="G212" s="3">
        <f>IF(OR(INDEX($P$2:$P$1001,MATCH(ROWS($O$2:O212),$O$2:$O$1001,0),1)&gt;=100000,INDEX($V$1005:$AE$1005,1,MATCH(COLUMNS($V$1006:AA1006),$V$1006:$AE$1006,0))&gt;=100000), " ",IF(INDEX($V$2:$AE$1001,MATCH(ROWS($O$2:O212),$O$2:$O$1001,0),MATCH(COLUMNS($V$1006:AA1006),$V$1006:$AE$1006,0)), HYPERLINK("#",""), HYPERLINK(CONCATENATE("#Metadata!", ADDRESS(INDEX($Q$2:$Q$1001,MATCH(ROWS($O$2:O212),$O$2:$O$1001,0),0), INDEX($V$1004:$AE$1004,1,MATCH(COLUMNS($V$1006:AA1006),$V$1006:$AE$1006,0)))),"Fix")))</f>
        <v>0</v>
      </c>
      <c r="H212" s="3">
        <f>IF(OR(INDEX($P$2:$P$1001,MATCH(ROWS($O$2:O212),$O$2:$O$1001,0),1)&gt;=100000,INDEX($V$1005:$AE$1005,1,MATCH(COLUMNS($V$1006:AB1006),$V$1006:$AE$1006,0))&gt;=100000), " ",IF(INDEX($V$2:$AE$1001,MATCH(ROWS($O$2:O212),$O$2:$O$1001,0),MATCH(COLUMNS($V$1006:AB1006),$V$1006:$AE$1006,0)), HYPERLINK("#",""), HYPERLINK(CONCATENATE("#Metadata!", ADDRESS(INDEX($Q$2:$Q$1001,MATCH(ROWS($O$2:O212),$O$2:$O$1001,0),0), INDEX($V$1004:$AE$1004,1,MATCH(COLUMNS($V$1006:AB1006),$V$1006:$AE$1006,0)))),"Fix")))</f>
        <v>0</v>
      </c>
      <c r="I212" s="3">
        <f>IF(OR(INDEX($P$2:$P$1001,MATCH(ROWS($O$2:O212),$O$2:$O$1001,0),1)&gt;=100000,INDEX($V$1005:$AE$1005,1,MATCH(COLUMNS($V$1006:AC1006),$V$1006:$AE$1006,0))&gt;=100000), " ",IF(INDEX($V$2:$AE$1001,MATCH(ROWS($O$2:O212),$O$2:$O$1001,0),MATCH(COLUMNS($V$1006:AC1006),$V$1006:$AE$1006,0)), HYPERLINK("#",""), HYPERLINK(CONCATENATE("#Metadata!", ADDRESS(INDEX($Q$2:$Q$1001,MATCH(ROWS($O$2:O212),$O$2:$O$1001,0),0), INDEX($V$1004:$AE$1004,1,MATCH(COLUMNS($V$1006:AC1006),$V$1006:$AE$1006,0)))),"Fix")))</f>
        <v>0</v>
      </c>
      <c r="J212" s="3">
        <f>IF(OR(INDEX($P$2:$P$1001,MATCH(ROWS($O$2:O212),$O$2:$O$1001,0),1)&gt;=100000,INDEX($V$1005:$AE$1005,1,MATCH(COLUMNS($V$1006:AD1006),$V$1006:$AE$1006,0))&gt;=100000), " ",IF(INDEX($V$2:$AE$1001,MATCH(ROWS($O$2:O212),$O$2:$O$1001,0),MATCH(COLUMNS($V$1006:AD1006),$V$1006:$AE$1006,0)), HYPERLINK("#",""), HYPERLINK(CONCATENATE("#Metadata!", ADDRESS(INDEX($Q$2:$Q$1001,MATCH(ROWS($O$2:O212),$O$2:$O$1001,0),0), INDEX($V$1004:$AE$1004,1,MATCH(COLUMNS($V$1006:AD1006),$V$1006:$AE$1006,0)))),"Fix")))</f>
        <v>0</v>
      </c>
      <c r="K212" s="3">
        <f>IF(OR(INDEX($P$2:$P$1001,MATCH(ROWS($O$2:O212),$O$2:$O$1001,0),1)&gt;=100000,INDEX($V$1005:$AE$1005,1,MATCH(COLUMNS($V$1006:AE1006),$V$1006:$AE$1006,0))&gt;=100000), " ",IF(INDEX($V$2:$AE$1001,MATCH(ROWS($O$2:O212),$O$2:$O$1001,0),MATCH(COLUMNS($V$1006:AE1006),$V$1006:$AE$1006,0)), HYPERLINK("#",""), HYPERLINK(CONCATENATE("#Metadata!", ADDRESS(INDEX($Q$2:$Q$1001,MATCH(ROWS($O$2:O212),$O$2:$O$1001,0),0), INDEX($V$1004:$AE$1004,1,MATCH(COLUMNS($V$1006:AE1006),$V$1006:$AE$1006,0)))),"Fix")))</f>
        <v>0</v>
      </c>
      <c r="O212">
        <v>0</v>
      </c>
      <c r="P212">
        <v>0</v>
      </c>
      <c r="Q212">
        <v>0</v>
      </c>
      <c r="R212">
        <f>IF(S212,TRUE,AND(V212:AE212))</f>
        <v>0</v>
      </c>
      <c r="S212">
        <f>COUNTBLANK(Metadata!B212:K212)=COLUMNS(Metadata!B212:K212)</f>
        <v>0</v>
      </c>
      <c r="T212">
        <v>0</v>
      </c>
      <c r="V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W212">
        <f>AND(IF(Metadata!C212="",FALSE,TRUE),exact(Metadata!C212,"animal secretion"))</f>
        <v>0</v>
      </c>
      <c r="X212">
        <f>AND(IF(Metadata!D212="",FALSE,TRUE),exact(Metadata!D212,"saliva"))</f>
        <v>0</v>
      </c>
      <c r="Y212">
        <f>AND(IF(Metadata!E212="",FALSE,TRUE),exact(Metadata!E212,"human-oral"))</f>
        <v>0</v>
      </c>
      <c r="Z212">
        <f>AND(IF(Metadata!F212="",FALSE,TRUE),exact(Metadata!F212,"UBERON:oral cavity"))</f>
        <v>0</v>
      </c>
      <c r="AA212">
        <f>AND(IF(Metadata!G212="",FALSE,TRUE),exact(Metadata!G212,"UBERON:saliva"))</f>
        <v>0</v>
      </c>
      <c r="AB212">
        <f>AND(IF(Metadata!H212="",FALSE,TRUE),exact(Metadata!H212,"UBERON:tongue"))</f>
        <v>0</v>
      </c>
      <c r="AC212">
        <f>AND(IF(Metadata!I212="",FALSE,TRUE),exact(Metadata!I212,"tongue"))</f>
        <v>0</v>
      </c>
      <c r="AD212">
        <f>AND(IF(Metadata!J212="",FALSE,TRUE),exact(Metadata!J212,"human oral metagenome"))</f>
        <v>0</v>
      </c>
      <c r="AE212">
        <f>AND(IF(Metadata!K212="",FALSE,TRUE),exact(Metadata!K212,"447426"))</f>
        <v>0</v>
      </c>
    </row>
    <row r="213" spans="1:31">
      <c r="A213" s="4">
        <f>IF(B213=" "," ",HYPERLINK(CONCATENATE("#metadata!",ADDRESS(INDEX($Q$2:$Q$1001,MATCH(ROWS($O$2:O213),$O$2:$O$1001,0),0),1)),INDEX($T$2:$T$1001,MATCH(ROWS($O$2:O213),$O$2:$O$1001,0),0)))</f>
        <v>0</v>
      </c>
      <c r="B213" s="3">
        <f>IF(OR(INDEX($P$2:$P$1001,MATCH(ROWS($O$2:O213),$O$2:$O$1001,0),1)&gt;=100000,INDEX($V$1005:$AE$1005,1,MATCH(COLUMNS($V$1006:V1006),$V$1006:$AE$1006,0))&gt;=100000), " ",IF(INDEX($V$2:$AE$1001,MATCH(ROWS($O$2:O213),$O$2:$O$1001,0),MATCH(COLUMNS($V$1006:V1006),$V$1006:$AE$1006,0)), HYPERLINK("#",""), HYPERLINK(CONCATENATE("#Metadata!", ADDRESS(INDEX($Q$2:$Q$1001,MATCH(ROWS($O$2:O213),$O$2:$O$1001,0),0), INDEX($V$1004:$AE$1004,1,MATCH(COLUMNS($V$1006:V1006),$V$1006:$AE$1006,0)))),"Fix")))</f>
        <v>0</v>
      </c>
      <c r="C213" s="3">
        <f>IF(OR(INDEX($P$2:$P$1001,MATCH(ROWS($O$2:O213),$O$2:$O$1001,0),1)&gt;=100000,INDEX($V$1005:$AE$1005,1,MATCH(COLUMNS($V$1006:W1006),$V$1006:$AE$1006,0))&gt;=100000), " ",IF(INDEX($V$2:$AE$1001,MATCH(ROWS($O$2:O213),$O$2:$O$1001,0),MATCH(COLUMNS($V$1006:W1006),$V$1006:$AE$1006,0)), HYPERLINK("#",""), HYPERLINK(CONCATENATE("#Metadata!", ADDRESS(INDEX($Q$2:$Q$1001,MATCH(ROWS($O$2:O213),$O$2:$O$1001,0),0), INDEX($V$1004:$AE$1004,1,MATCH(COLUMNS($V$1006:W1006),$V$1006:$AE$1006,0)))),"Fix")))</f>
        <v>0</v>
      </c>
      <c r="D213" s="3">
        <f>IF(OR(INDEX($P$2:$P$1001,MATCH(ROWS($O$2:O213),$O$2:$O$1001,0),1)&gt;=100000,INDEX($V$1005:$AE$1005,1,MATCH(COLUMNS($V$1006:X1006),$V$1006:$AE$1006,0))&gt;=100000), " ",IF(INDEX($V$2:$AE$1001,MATCH(ROWS($O$2:O213),$O$2:$O$1001,0),MATCH(COLUMNS($V$1006:X1006),$V$1006:$AE$1006,0)), HYPERLINK("#",""), HYPERLINK(CONCATENATE("#Metadata!", ADDRESS(INDEX($Q$2:$Q$1001,MATCH(ROWS($O$2:O213),$O$2:$O$1001,0),0), INDEX($V$1004:$AE$1004,1,MATCH(COLUMNS($V$1006:X1006),$V$1006:$AE$1006,0)))),"Fix")))</f>
        <v>0</v>
      </c>
      <c r="E213" s="3">
        <f>IF(OR(INDEX($P$2:$P$1001,MATCH(ROWS($O$2:O213),$O$2:$O$1001,0),1)&gt;=100000,INDEX($V$1005:$AE$1005,1,MATCH(COLUMNS($V$1006:Y1006),$V$1006:$AE$1006,0))&gt;=100000), " ",IF(INDEX($V$2:$AE$1001,MATCH(ROWS($O$2:O213),$O$2:$O$1001,0),MATCH(COLUMNS($V$1006:Y1006),$V$1006:$AE$1006,0)), HYPERLINK("#",""), HYPERLINK(CONCATENATE("#Metadata!", ADDRESS(INDEX($Q$2:$Q$1001,MATCH(ROWS($O$2:O213),$O$2:$O$1001,0),0), INDEX($V$1004:$AE$1004,1,MATCH(COLUMNS($V$1006:Y1006),$V$1006:$AE$1006,0)))),"Fix")))</f>
        <v>0</v>
      </c>
      <c r="F213" s="3">
        <f>IF(OR(INDEX($P$2:$P$1001,MATCH(ROWS($O$2:O213),$O$2:$O$1001,0),1)&gt;=100000,INDEX($V$1005:$AE$1005,1,MATCH(COLUMNS($V$1006:Z1006),$V$1006:$AE$1006,0))&gt;=100000), " ",IF(INDEX($V$2:$AE$1001,MATCH(ROWS($O$2:O213),$O$2:$O$1001,0),MATCH(COLUMNS($V$1006:Z1006),$V$1006:$AE$1006,0)), HYPERLINK("#",""), HYPERLINK(CONCATENATE("#Metadata!", ADDRESS(INDEX($Q$2:$Q$1001,MATCH(ROWS($O$2:O213),$O$2:$O$1001,0),0), INDEX($V$1004:$AE$1004,1,MATCH(COLUMNS($V$1006:Z1006),$V$1006:$AE$1006,0)))),"Fix")))</f>
        <v>0</v>
      </c>
      <c r="G213" s="3">
        <f>IF(OR(INDEX($P$2:$P$1001,MATCH(ROWS($O$2:O213),$O$2:$O$1001,0),1)&gt;=100000,INDEX($V$1005:$AE$1005,1,MATCH(COLUMNS($V$1006:AA1006),$V$1006:$AE$1006,0))&gt;=100000), " ",IF(INDEX($V$2:$AE$1001,MATCH(ROWS($O$2:O213),$O$2:$O$1001,0),MATCH(COLUMNS($V$1006:AA1006),$V$1006:$AE$1006,0)), HYPERLINK("#",""), HYPERLINK(CONCATENATE("#Metadata!", ADDRESS(INDEX($Q$2:$Q$1001,MATCH(ROWS($O$2:O213),$O$2:$O$1001,0),0), INDEX($V$1004:$AE$1004,1,MATCH(COLUMNS($V$1006:AA1006),$V$1006:$AE$1006,0)))),"Fix")))</f>
        <v>0</v>
      </c>
      <c r="H213" s="3">
        <f>IF(OR(INDEX($P$2:$P$1001,MATCH(ROWS($O$2:O213),$O$2:$O$1001,0),1)&gt;=100000,INDEX($V$1005:$AE$1005,1,MATCH(COLUMNS($V$1006:AB1006),$V$1006:$AE$1006,0))&gt;=100000), " ",IF(INDEX($V$2:$AE$1001,MATCH(ROWS($O$2:O213),$O$2:$O$1001,0),MATCH(COLUMNS($V$1006:AB1006),$V$1006:$AE$1006,0)), HYPERLINK("#",""), HYPERLINK(CONCATENATE("#Metadata!", ADDRESS(INDEX($Q$2:$Q$1001,MATCH(ROWS($O$2:O213),$O$2:$O$1001,0),0), INDEX($V$1004:$AE$1004,1,MATCH(COLUMNS($V$1006:AB1006),$V$1006:$AE$1006,0)))),"Fix")))</f>
        <v>0</v>
      </c>
      <c r="I213" s="3">
        <f>IF(OR(INDEX($P$2:$P$1001,MATCH(ROWS($O$2:O213),$O$2:$O$1001,0),1)&gt;=100000,INDEX($V$1005:$AE$1005,1,MATCH(COLUMNS($V$1006:AC1006),$V$1006:$AE$1006,0))&gt;=100000), " ",IF(INDEX($V$2:$AE$1001,MATCH(ROWS($O$2:O213),$O$2:$O$1001,0),MATCH(COLUMNS($V$1006:AC1006),$V$1006:$AE$1006,0)), HYPERLINK("#",""), HYPERLINK(CONCATENATE("#Metadata!", ADDRESS(INDEX($Q$2:$Q$1001,MATCH(ROWS($O$2:O213),$O$2:$O$1001,0),0), INDEX($V$1004:$AE$1004,1,MATCH(COLUMNS($V$1006:AC1006),$V$1006:$AE$1006,0)))),"Fix")))</f>
        <v>0</v>
      </c>
      <c r="J213" s="3">
        <f>IF(OR(INDEX($P$2:$P$1001,MATCH(ROWS($O$2:O213),$O$2:$O$1001,0),1)&gt;=100000,INDEX($V$1005:$AE$1005,1,MATCH(COLUMNS($V$1006:AD1006),$V$1006:$AE$1006,0))&gt;=100000), " ",IF(INDEX($V$2:$AE$1001,MATCH(ROWS($O$2:O213),$O$2:$O$1001,0),MATCH(COLUMNS($V$1006:AD1006),$V$1006:$AE$1006,0)), HYPERLINK("#",""), HYPERLINK(CONCATENATE("#Metadata!", ADDRESS(INDEX($Q$2:$Q$1001,MATCH(ROWS($O$2:O213),$O$2:$O$1001,0),0), INDEX($V$1004:$AE$1004,1,MATCH(COLUMNS($V$1006:AD1006),$V$1006:$AE$1006,0)))),"Fix")))</f>
        <v>0</v>
      </c>
      <c r="K213" s="3">
        <f>IF(OR(INDEX($P$2:$P$1001,MATCH(ROWS($O$2:O213),$O$2:$O$1001,0),1)&gt;=100000,INDEX($V$1005:$AE$1005,1,MATCH(COLUMNS($V$1006:AE1006),$V$1006:$AE$1006,0))&gt;=100000), " ",IF(INDEX($V$2:$AE$1001,MATCH(ROWS($O$2:O213),$O$2:$O$1001,0),MATCH(COLUMNS($V$1006:AE1006),$V$1006:$AE$1006,0)), HYPERLINK("#",""), HYPERLINK(CONCATENATE("#Metadata!", ADDRESS(INDEX($Q$2:$Q$1001,MATCH(ROWS($O$2:O213),$O$2:$O$1001,0),0), INDEX($V$1004:$AE$1004,1,MATCH(COLUMNS($V$1006:AE1006),$V$1006:$AE$1006,0)))),"Fix")))</f>
        <v>0</v>
      </c>
      <c r="O213">
        <v>0</v>
      </c>
      <c r="P213">
        <v>0</v>
      </c>
      <c r="Q213">
        <v>0</v>
      </c>
      <c r="R213">
        <f>IF(S213,TRUE,AND(V213:AE213))</f>
        <v>0</v>
      </c>
      <c r="S213">
        <f>COUNTBLANK(Metadata!B213:K213)=COLUMNS(Metadata!B213:K213)</f>
        <v>0</v>
      </c>
      <c r="T213">
        <v>0</v>
      </c>
      <c r="V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W213">
        <f>AND(IF(Metadata!C213="",FALSE,TRUE),exact(Metadata!C213,"animal secretion"))</f>
        <v>0</v>
      </c>
      <c r="X213">
        <f>AND(IF(Metadata!D213="",FALSE,TRUE),exact(Metadata!D213,"saliva"))</f>
        <v>0</v>
      </c>
      <c r="Y213">
        <f>AND(IF(Metadata!E213="",FALSE,TRUE),exact(Metadata!E213,"human-oral"))</f>
        <v>0</v>
      </c>
      <c r="Z213">
        <f>AND(IF(Metadata!F213="",FALSE,TRUE),exact(Metadata!F213,"UBERON:oral cavity"))</f>
        <v>0</v>
      </c>
      <c r="AA213">
        <f>AND(IF(Metadata!G213="",FALSE,TRUE),exact(Metadata!G213,"UBERON:saliva"))</f>
        <v>0</v>
      </c>
      <c r="AB213">
        <f>AND(IF(Metadata!H213="",FALSE,TRUE),exact(Metadata!H213,"UBERON:tongue"))</f>
        <v>0</v>
      </c>
      <c r="AC213">
        <f>AND(IF(Metadata!I213="",FALSE,TRUE),exact(Metadata!I213,"tongue"))</f>
        <v>0</v>
      </c>
      <c r="AD213">
        <f>AND(IF(Metadata!J213="",FALSE,TRUE),exact(Metadata!J213,"human oral metagenome"))</f>
        <v>0</v>
      </c>
      <c r="AE213">
        <f>AND(IF(Metadata!K213="",FALSE,TRUE),exact(Metadata!K213,"447426"))</f>
        <v>0</v>
      </c>
    </row>
    <row r="214" spans="1:31">
      <c r="A214" s="4">
        <f>IF(B214=" "," ",HYPERLINK(CONCATENATE("#metadata!",ADDRESS(INDEX($Q$2:$Q$1001,MATCH(ROWS($O$2:O214),$O$2:$O$1001,0),0),1)),INDEX($T$2:$T$1001,MATCH(ROWS($O$2:O214),$O$2:$O$1001,0),0)))</f>
        <v>0</v>
      </c>
      <c r="B214" s="3">
        <f>IF(OR(INDEX($P$2:$P$1001,MATCH(ROWS($O$2:O214),$O$2:$O$1001,0),1)&gt;=100000,INDEX($V$1005:$AE$1005,1,MATCH(COLUMNS($V$1006:V1006),$V$1006:$AE$1006,0))&gt;=100000), " ",IF(INDEX($V$2:$AE$1001,MATCH(ROWS($O$2:O214),$O$2:$O$1001,0),MATCH(COLUMNS($V$1006:V1006),$V$1006:$AE$1006,0)), HYPERLINK("#",""), HYPERLINK(CONCATENATE("#Metadata!", ADDRESS(INDEX($Q$2:$Q$1001,MATCH(ROWS($O$2:O214),$O$2:$O$1001,0),0), INDEX($V$1004:$AE$1004,1,MATCH(COLUMNS($V$1006:V1006),$V$1006:$AE$1006,0)))),"Fix")))</f>
        <v>0</v>
      </c>
      <c r="C214" s="3">
        <f>IF(OR(INDEX($P$2:$P$1001,MATCH(ROWS($O$2:O214),$O$2:$O$1001,0),1)&gt;=100000,INDEX($V$1005:$AE$1005,1,MATCH(COLUMNS($V$1006:W1006),$V$1006:$AE$1006,0))&gt;=100000), " ",IF(INDEX($V$2:$AE$1001,MATCH(ROWS($O$2:O214),$O$2:$O$1001,0),MATCH(COLUMNS($V$1006:W1006),$V$1006:$AE$1006,0)), HYPERLINK("#",""), HYPERLINK(CONCATENATE("#Metadata!", ADDRESS(INDEX($Q$2:$Q$1001,MATCH(ROWS($O$2:O214),$O$2:$O$1001,0),0), INDEX($V$1004:$AE$1004,1,MATCH(COLUMNS($V$1006:W1006),$V$1006:$AE$1006,0)))),"Fix")))</f>
        <v>0</v>
      </c>
      <c r="D214" s="3">
        <f>IF(OR(INDEX($P$2:$P$1001,MATCH(ROWS($O$2:O214),$O$2:$O$1001,0),1)&gt;=100000,INDEX($V$1005:$AE$1005,1,MATCH(COLUMNS($V$1006:X1006),$V$1006:$AE$1006,0))&gt;=100000), " ",IF(INDEX($V$2:$AE$1001,MATCH(ROWS($O$2:O214),$O$2:$O$1001,0),MATCH(COLUMNS($V$1006:X1006),$V$1006:$AE$1006,0)), HYPERLINK("#",""), HYPERLINK(CONCATENATE("#Metadata!", ADDRESS(INDEX($Q$2:$Q$1001,MATCH(ROWS($O$2:O214),$O$2:$O$1001,0),0), INDEX($V$1004:$AE$1004,1,MATCH(COLUMNS($V$1006:X1006),$V$1006:$AE$1006,0)))),"Fix")))</f>
        <v>0</v>
      </c>
      <c r="E214" s="3">
        <f>IF(OR(INDEX($P$2:$P$1001,MATCH(ROWS($O$2:O214),$O$2:$O$1001,0),1)&gt;=100000,INDEX($V$1005:$AE$1005,1,MATCH(COLUMNS($V$1006:Y1006),$V$1006:$AE$1006,0))&gt;=100000), " ",IF(INDEX($V$2:$AE$1001,MATCH(ROWS($O$2:O214),$O$2:$O$1001,0),MATCH(COLUMNS($V$1006:Y1006),$V$1006:$AE$1006,0)), HYPERLINK("#",""), HYPERLINK(CONCATENATE("#Metadata!", ADDRESS(INDEX($Q$2:$Q$1001,MATCH(ROWS($O$2:O214),$O$2:$O$1001,0),0), INDEX($V$1004:$AE$1004,1,MATCH(COLUMNS($V$1006:Y1006),$V$1006:$AE$1006,0)))),"Fix")))</f>
        <v>0</v>
      </c>
      <c r="F214" s="3">
        <f>IF(OR(INDEX($P$2:$P$1001,MATCH(ROWS($O$2:O214),$O$2:$O$1001,0),1)&gt;=100000,INDEX($V$1005:$AE$1005,1,MATCH(COLUMNS($V$1006:Z1006),$V$1006:$AE$1006,0))&gt;=100000), " ",IF(INDEX($V$2:$AE$1001,MATCH(ROWS($O$2:O214),$O$2:$O$1001,0),MATCH(COLUMNS($V$1006:Z1006),$V$1006:$AE$1006,0)), HYPERLINK("#",""), HYPERLINK(CONCATENATE("#Metadata!", ADDRESS(INDEX($Q$2:$Q$1001,MATCH(ROWS($O$2:O214),$O$2:$O$1001,0),0), INDEX($V$1004:$AE$1004,1,MATCH(COLUMNS($V$1006:Z1006),$V$1006:$AE$1006,0)))),"Fix")))</f>
        <v>0</v>
      </c>
      <c r="G214" s="3">
        <f>IF(OR(INDEX($P$2:$P$1001,MATCH(ROWS($O$2:O214),$O$2:$O$1001,0),1)&gt;=100000,INDEX($V$1005:$AE$1005,1,MATCH(COLUMNS($V$1006:AA1006),$V$1006:$AE$1006,0))&gt;=100000), " ",IF(INDEX($V$2:$AE$1001,MATCH(ROWS($O$2:O214),$O$2:$O$1001,0),MATCH(COLUMNS($V$1006:AA1006),$V$1006:$AE$1006,0)), HYPERLINK("#",""), HYPERLINK(CONCATENATE("#Metadata!", ADDRESS(INDEX($Q$2:$Q$1001,MATCH(ROWS($O$2:O214),$O$2:$O$1001,0),0), INDEX($V$1004:$AE$1004,1,MATCH(COLUMNS($V$1006:AA1006),$V$1006:$AE$1006,0)))),"Fix")))</f>
        <v>0</v>
      </c>
      <c r="H214" s="3">
        <f>IF(OR(INDEX($P$2:$P$1001,MATCH(ROWS($O$2:O214),$O$2:$O$1001,0),1)&gt;=100000,INDEX($V$1005:$AE$1005,1,MATCH(COLUMNS($V$1006:AB1006),$V$1006:$AE$1006,0))&gt;=100000), " ",IF(INDEX($V$2:$AE$1001,MATCH(ROWS($O$2:O214),$O$2:$O$1001,0),MATCH(COLUMNS($V$1006:AB1006),$V$1006:$AE$1006,0)), HYPERLINK("#",""), HYPERLINK(CONCATENATE("#Metadata!", ADDRESS(INDEX($Q$2:$Q$1001,MATCH(ROWS($O$2:O214),$O$2:$O$1001,0),0), INDEX($V$1004:$AE$1004,1,MATCH(COLUMNS($V$1006:AB1006),$V$1006:$AE$1006,0)))),"Fix")))</f>
        <v>0</v>
      </c>
      <c r="I214" s="3">
        <f>IF(OR(INDEX($P$2:$P$1001,MATCH(ROWS($O$2:O214),$O$2:$O$1001,0),1)&gt;=100000,INDEX($V$1005:$AE$1005,1,MATCH(COLUMNS($V$1006:AC1006),$V$1006:$AE$1006,0))&gt;=100000), " ",IF(INDEX($V$2:$AE$1001,MATCH(ROWS($O$2:O214),$O$2:$O$1001,0),MATCH(COLUMNS($V$1006:AC1006),$V$1006:$AE$1006,0)), HYPERLINK("#",""), HYPERLINK(CONCATENATE("#Metadata!", ADDRESS(INDEX($Q$2:$Q$1001,MATCH(ROWS($O$2:O214),$O$2:$O$1001,0),0), INDEX($V$1004:$AE$1004,1,MATCH(COLUMNS($V$1006:AC1006),$V$1006:$AE$1006,0)))),"Fix")))</f>
        <v>0</v>
      </c>
      <c r="J214" s="3">
        <f>IF(OR(INDEX($P$2:$P$1001,MATCH(ROWS($O$2:O214),$O$2:$O$1001,0),1)&gt;=100000,INDEX($V$1005:$AE$1005,1,MATCH(COLUMNS($V$1006:AD1006),$V$1006:$AE$1006,0))&gt;=100000), " ",IF(INDEX($V$2:$AE$1001,MATCH(ROWS($O$2:O214),$O$2:$O$1001,0),MATCH(COLUMNS($V$1006:AD1006),$V$1006:$AE$1006,0)), HYPERLINK("#",""), HYPERLINK(CONCATENATE("#Metadata!", ADDRESS(INDEX($Q$2:$Q$1001,MATCH(ROWS($O$2:O214),$O$2:$O$1001,0),0), INDEX($V$1004:$AE$1004,1,MATCH(COLUMNS($V$1006:AD1006),$V$1006:$AE$1006,0)))),"Fix")))</f>
        <v>0</v>
      </c>
      <c r="K214" s="3">
        <f>IF(OR(INDEX($P$2:$P$1001,MATCH(ROWS($O$2:O214),$O$2:$O$1001,0),1)&gt;=100000,INDEX($V$1005:$AE$1005,1,MATCH(COLUMNS($V$1006:AE1006),$V$1006:$AE$1006,0))&gt;=100000), " ",IF(INDEX($V$2:$AE$1001,MATCH(ROWS($O$2:O214),$O$2:$O$1001,0),MATCH(COLUMNS($V$1006:AE1006),$V$1006:$AE$1006,0)), HYPERLINK("#",""), HYPERLINK(CONCATENATE("#Metadata!", ADDRESS(INDEX($Q$2:$Q$1001,MATCH(ROWS($O$2:O214),$O$2:$O$1001,0),0), INDEX($V$1004:$AE$1004,1,MATCH(COLUMNS($V$1006:AE1006),$V$1006:$AE$1006,0)))),"Fix")))</f>
        <v>0</v>
      </c>
      <c r="O214">
        <v>0</v>
      </c>
      <c r="P214">
        <v>0</v>
      </c>
      <c r="Q214">
        <v>0</v>
      </c>
      <c r="R214">
        <f>IF(S214,TRUE,AND(V214:AE214))</f>
        <v>0</v>
      </c>
      <c r="S214">
        <f>COUNTBLANK(Metadata!B214:K214)=COLUMNS(Metadata!B214:K214)</f>
        <v>0</v>
      </c>
      <c r="T214">
        <v>0</v>
      </c>
      <c r="V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W214">
        <f>AND(IF(Metadata!C214="",FALSE,TRUE),exact(Metadata!C214,"animal secretion"))</f>
        <v>0</v>
      </c>
      <c r="X214">
        <f>AND(IF(Metadata!D214="",FALSE,TRUE),exact(Metadata!D214,"saliva"))</f>
        <v>0</v>
      </c>
      <c r="Y214">
        <f>AND(IF(Metadata!E214="",FALSE,TRUE),exact(Metadata!E214,"human-oral"))</f>
        <v>0</v>
      </c>
      <c r="Z214">
        <f>AND(IF(Metadata!F214="",FALSE,TRUE),exact(Metadata!F214,"UBERON:oral cavity"))</f>
        <v>0</v>
      </c>
      <c r="AA214">
        <f>AND(IF(Metadata!G214="",FALSE,TRUE),exact(Metadata!G214,"UBERON:saliva"))</f>
        <v>0</v>
      </c>
      <c r="AB214">
        <f>AND(IF(Metadata!H214="",FALSE,TRUE),exact(Metadata!H214,"UBERON:tongue"))</f>
        <v>0</v>
      </c>
      <c r="AC214">
        <f>AND(IF(Metadata!I214="",FALSE,TRUE),exact(Metadata!I214,"tongue"))</f>
        <v>0</v>
      </c>
      <c r="AD214">
        <f>AND(IF(Metadata!J214="",FALSE,TRUE),exact(Metadata!J214,"human oral metagenome"))</f>
        <v>0</v>
      </c>
      <c r="AE214">
        <f>AND(IF(Metadata!K214="",FALSE,TRUE),exact(Metadata!K214,"447426"))</f>
        <v>0</v>
      </c>
    </row>
    <row r="215" spans="1:31">
      <c r="A215" s="4">
        <f>IF(B215=" "," ",HYPERLINK(CONCATENATE("#metadata!",ADDRESS(INDEX($Q$2:$Q$1001,MATCH(ROWS($O$2:O215),$O$2:$O$1001,0),0),1)),INDEX($T$2:$T$1001,MATCH(ROWS($O$2:O215),$O$2:$O$1001,0),0)))</f>
        <v>0</v>
      </c>
      <c r="B215" s="3">
        <f>IF(OR(INDEX($P$2:$P$1001,MATCH(ROWS($O$2:O215),$O$2:$O$1001,0),1)&gt;=100000,INDEX($V$1005:$AE$1005,1,MATCH(COLUMNS($V$1006:V1006),$V$1006:$AE$1006,0))&gt;=100000), " ",IF(INDEX($V$2:$AE$1001,MATCH(ROWS($O$2:O215),$O$2:$O$1001,0),MATCH(COLUMNS($V$1006:V1006),$V$1006:$AE$1006,0)), HYPERLINK("#",""), HYPERLINK(CONCATENATE("#Metadata!", ADDRESS(INDEX($Q$2:$Q$1001,MATCH(ROWS($O$2:O215),$O$2:$O$1001,0),0), INDEX($V$1004:$AE$1004,1,MATCH(COLUMNS($V$1006:V1006),$V$1006:$AE$1006,0)))),"Fix")))</f>
        <v>0</v>
      </c>
      <c r="C215" s="3">
        <f>IF(OR(INDEX($P$2:$P$1001,MATCH(ROWS($O$2:O215),$O$2:$O$1001,0),1)&gt;=100000,INDEX($V$1005:$AE$1005,1,MATCH(COLUMNS($V$1006:W1006),$V$1006:$AE$1006,0))&gt;=100000), " ",IF(INDEX($V$2:$AE$1001,MATCH(ROWS($O$2:O215),$O$2:$O$1001,0),MATCH(COLUMNS($V$1006:W1006),$V$1006:$AE$1006,0)), HYPERLINK("#",""), HYPERLINK(CONCATENATE("#Metadata!", ADDRESS(INDEX($Q$2:$Q$1001,MATCH(ROWS($O$2:O215),$O$2:$O$1001,0),0), INDEX($V$1004:$AE$1004,1,MATCH(COLUMNS($V$1006:W1006),$V$1006:$AE$1006,0)))),"Fix")))</f>
        <v>0</v>
      </c>
      <c r="D215" s="3">
        <f>IF(OR(INDEX($P$2:$P$1001,MATCH(ROWS($O$2:O215),$O$2:$O$1001,0),1)&gt;=100000,INDEX($V$1005:$AE$1005,1,MATCH(COLUMNS($V$1006:X1006),$V$1006:$AE$1006,0))&gt;=100000), " ",IF(INDEX($V$2:$AE$1001,MATCH(ROWS($O$2:O215),$O$2:$O$1001,0),MATCH(COLUMNS($V$1006:X1006),$V$1006:$AE$1006,0)), HYPERLINK("#",""), HYPERLINK(CONCATENATE("#Metadata!", ADDRESS(INDEX($Q$2:$Q$1001,MATCH(ROWS($O$2:O215),$O$2:$O$1001,0),0), INDEX($V$1004:$AE$1004,1,MATCH(COLUMNS($V$1006:X1006),$V$1006:$AE$1006,0)))),"Fix")))</f>
        <v>0</v>
      </c>
      <c r="E215" s="3">
        <f>IF(OR(INDEX($P$2:$P$1001,MATCH(ROWS($O$2:O215),$O$2:$O$1001,0),1)&gt;=100000,INDEX($V$1005:$AE$1005,1,MATCH(COLUMNS($V$1006:Y1006),$V$1006:$AE$1006,0))&gt;=100000), " ",IF(INDEX($V$2:$AE$1001,MATCH(ROWS($O$2:O215),$O$2:$O$1001,0),MATCH(COLUMNS($V$1006:Y1006),$V$1006:$AE$1006,0)), HYPERLINK("#",""), HYPERLINK(CONCATENATE("#Metadata!", ADDRESS(INDEX($Q$2:$Q$1001,MATCH(ROWS($O$2:O215),$O$2:$O$1001,0),0), INDEX($V$1004:$AE$1004,1,MATCH(COLUMNS($V$1006:Y1006),$V$1006:$AE$1006,0)))),"Fix")))</f>
        <v>0</v>
      </c>
      <c r="F215" s="3">
        <f>IF(OR(INDEX($P$2:$P$1001,MATCH(ROWS($O$2:O215),$O$2:$O$1001,0),1)&gt;=100000,INDEX($V$1005:$AE$1005,1,MATCH(COLUMNS($V$1006:Z1006),$V$1006:$AE$1006,0))&gt;=100000), " ",IF(INDEX($V$2:$AE$1001,MATCH(ROWS($O$2:O215),$O$2:$O$1001,0),MATCH(COLUMNS($V$1006:Z1006),$V$1006:$AE$1006,0)), HYPERLINK("#",""), HYPERLINK(CONCATENATE("#Metadata!", ADDRESS(INDEX($Q$2:$Q$1001,MATCH(ROWS($O$2:O215),$O$2:$O$1001,0),0), INDEX($V$1004:$AE$1004,1,MATCH(COLUMNS($V$1006:Z1006),$V$1006:$AE$1006,0)))),"Fix")))</f>
        <v>0</v>
      </c>
      <c r="G215" s="3">
        <f>IF(OR(INDEX($P$2:$P$1001,MATCH(ROWS($O$2:O215),$O$2:$O$1001,0),1)&gt;=100000,INDEX($V$1005:$AE$1005,1,MATCH(COLUMNS($V$1006:AA1006),$V$1006:$AE$1006,0))&gt;=100000), " ",IF(INDEX($V$2:$AE$1001,MATCH(ROWS($O$2:O215),$O$2:$O$1001,0),MATCH(COLUMNS($V$1006:AA1006),$V$1006:$AE$1006,0)), HYPERLINK("#",""), HYPERLINK(CONCATENATE("#Metadata!", ADDRESS(INDEX($Q$2:$Q$1001,MATCH(ROWS($O$2:O215),$O$2:$O$1001,0),0), INDEX($V$1004:$AE$1004,1,MATCH(COLUMNS($V$1006:AA1006),$V$1006:$AE$1006,0)))),"Fix")))</f>
        <v>0</v>
      </c>
      <c r="H215" s="3">
        <f>IF(OR(INDEX($P$2:$P$1001,MATCH(ROWS($O$2:O215),$O$2:$O$1001,0),1)&gt;=100000,INDEX($V$1005:$AE$1005,1,MATCH(COLUMNS($V$1006:AB1006),$V$1006:$AE$1006,0))&gt;=100000), " ",IF(INDEX($V$2:$AE$1001,MATCH(ROWS($O$2:O215),$O$2:$O$1001,0),MATCH(COLUMNS($V$1006:AB1006),$V$1006:$AE$1006,0)), HYPERLINK("#",""), HYPERLINK(CONCATENATE("#Metadata!", ADDRESS(INDEX($Q$2:$Q$1001,MATCH(ROWS($O$2:O215),$O$2:$O$1001,0),0), INDEX($V$1004:$AE$1004,1,MATCH(COLUMNS($V$1006:AB1006),$V$1006:$AE$1006,0)))),"Fix")))</f>
        <v>0</v>
      </c>
      <c r="I215" s="3">
        <f>IF(OR(INDEX($P$2:$P$1001,MATCH(ROWS($O$2:O215),$O$2:$O$1001,0),1)&gt;=100000,INDEX($V$1005:$AE$1005,1,MATCH(COLUMNS($V$1006:AC1006),$V$1006:$AE$1006,0))&gt;=100000), " ",IF(INDEX($V$2:$AE$1001,MATCH(ROWS($O$2:O215),$O$2:$O$1001,0),MATCH(COLUMNS($V$1006:AC1006),$V$1006:$AE$1006,0)), HYPERLINK("#",""), HYPERLINK(CONCATENATE("#Metadata!", ADDRESS(INDEX($Q$2:$Q$1001,MATCH(ROWS($O$2:O215),$O$2:$O$1001,0),0), INDEX($V$1004:$AE$1004,1,MATCH(COLUMNS($V$1006:AC1006),$V$1006:$AE$1006,0)))),"Fix")))</f>
        <v>0</v>
      </c>
      <c r="J215" s="3">
        <f>IF(OR(INDEX($P$2:$P$1001,MATCH(ROWS($O$2:O215),$O$2:$O$1001,0),1)&gt;=100000,INDEX($V$1005:$AE$1005,1,MATCH(COLUMNS($V$1006:AD1006),$V$1006:$AE$1006,0))&gt;=100000), " ",IF(INDEX($V$2:$AE$1001,MATCH(ROWS($O$2:O215),$O$2:$O$1001,0),MATCH(COLUMNS($V$1006:AD1006),$V$1006:$AE$1006,0)), HYPERLINK("#",""), HYPERLINK(CONCATENATE("#Metadata!", ADDRESS(INDEX($Q$2:$Q$1001,MATCH(ROWS($O$2:O215),$O$2:$O$1001,0),0), INDEX($V$1004:$AE$1004,1,MATCH(COLUMNS($V$1006:AD1006),$V$1006:$AE$1006,0)))),"Fix")))</f>
        <v>0</v>
      </c>
      <c r="K215" s="3">
        <f>IF(OR(INDEX($P$2:$P$1001,MATCH(ROWS($O$2:O215),$O$2:$O$1001,0),1)&gt;=100000,INDEX($V$1005:$AE$1005,1,MATCH(COLUMNS($V$1006:AE1006),$V$1006:$AE$1006,0))&gt;=100000), " ",IF(INDEX($V$2:$AE$1001,MATCH(ROWS($O$2:O215),$O$2:$O$1001,0),MATCH(COLUMNS($V$1006:AE1006),$V$1006:$AE$1006,0)), HYPERLINK("#",""), HYPERLINK(CONCATENATE("#Metadata!", ADDRESS(INDEX($Q$2:$Q$1001,MATCH(ROWS($O$2:O215),$O$2:$O$1001,0),0), INDEX($V$1004:$AE$1004,1,MATCH(COLUMNS($V$1006:AE1006),$V$1006:$AE$1006,0)))),"Fix")))</f>
        <v>0</v>
      </c>
      <c r="O215">
        <v>0</v>
      </c>
      <c r="P215">
        <v>0</v>
      </c>
      <c r="Q215">
        <v>0</v>
      </c>
      <c r="R215">
        <f>IF(S215,TRUE,AND(V215:AE215))</f>
        <v>0</v>
      </c>
      <c r="S215">
        <f>COUNTBLANK(Metadata!B215:K215)=COLUMNS(Metadata!B215:K215)</f>
        <v>0</v>
      </c>
      <c r="T215">
        <v>0</v>
      </c>
      <c r="V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W215">
        <f>AND(IF(Metadata!C215="",FALSE,TRUE),exact(Metadata!C215,"animal secretion"))</f>
        <v>0</v>
      </c>
      <c r="X215">
        <f>AND(IF(Metadata!D215="",FALSE,TRUE),exact(Metadata!D215,"saliva"))</f>
        <v>0</v>
      </c>
      <c r="Y215">
        <f>AND(IF(Metadata!E215="",FALSE,TRUE),exact(Metadata!E215,"human-oral"))</f>
        <v>0</v>
      </c>
      <c r="Z215">
        <f>AND(IF(Metadata!F215="",FALSE,TRUE),exact(Metadata!F215,"UBERON:oral cavity"))</f>
        <v>0</v>
      </c>
      <c r="AA215">
        <f>AND(IF(Metadata!G215="",FALSE,TRUE),exact(Metadata!G215,"UBERON:saliva"))</f>
        <v>0</v>
      </c>
      <c r="AB215">
        <f>AND(IF(Metadata!H215="",FALSE,TRUE),exact(Metadata!H215,"UBERON:tongue"))</f>
        <v>0</v>
      </c>
      <c r="AC215">
        <f>AND(IF(Metadata!I215="",FALSE,TRUE),exact(Metadata!I215,"tongue"))</f>
        <v>0</v>
      </c>
      <c r="AD215">
        <f>AND(IF(Metadata!J215="",FALSE,TRUE),exact(Metadata!J215,"human oral metagenome"))</f>
        <v>0</v>
      </c>
      <c r="AE215">
        <f>AND(IF(Metadata!K215="",FALSE,TRUE),exact(Metadata!K215,"447426"))</f>
        <v>0</v>
      </c>
    </row>
    <row r="216" spans="1:31">
      <c r="A216" s="4">
        <f>IF(B216=" "," ",HYPERLINK(CONCATENATE("#metadata!",ADDRESS(INDEX($Q$2:$Q$1001,MATCH(ROWS($O$2:O216),$O$2:$O$1001,0),0),1)),INDEX($T$2:$T$1001,MATCH(ROWS($O$2:O216),$O$2:$O$1001,0),0)))</f>
        <v>0</v>
      </c>
      <c r="B216" s="3">
        <f>IF(OR(INDEX($P$2:$P$1001,MATCH(ROWS($O$2:O216),$O$2:$O$1001,0),1)&gt;=100000,INDEX($V$1005:$AE$1005,1,MATCH(COLUMNS($V$1006:V1006),$V$1006:$AE$1006,0))&gt;=100000), " ",IF(INDEX($V$2:$AE$1001,MATCH(ROWS($O$2:O216),$O$2:$O$1001,0),MATCH(COLUMNS($V$1006:V1006),$V$1006:$AE$1006,0)), HYPERLINK("#",""), HYPERLINK(CONCATENATE("#Metadata!", ADDRESS(INDEX($Q$2:$Q$1001,MATCH(ROWS($O$2:O216),$O$2:$O$1001,0),0), INDEX($V$1004:$AE$1004,1,MATCH(COLUMNS($V$1006:V1006),$V$1006:$AE$1006,0)))),"Fix")))</f>
        <v>0</v>
      </c>
      <c r="C216" s="3">
        <f>IF(OR(INDEX($P$2:$P$1001,MATCH(ROWS($O$2:O216),$O$2:$O$1001,0),1)&gt;=100000,INDEX($V$1005:$AE$1005,1,MATCH(COLUMNS($V$1006:W1006),$V$1006:$AE$1006,0))&gt;=100000), " ",IF(INDEX($V$2:$AE$1001,MATCH(ROWS($O$2:O216),$O$2:$O$1001,0),MATCH(COLUMNS($V$1006:W1006),$V$1006:$AE$1006,0)), HYPERLINK("#",""), HYPERLINK(CONCATENATE("#Metadata!", ADDRESS(INDEX($Q$2:$Q$1001,MATCH(ROWS($O$2:O216),$O$2:$O$1001,0),0), INDEX($V$1004:$AE$1004,1,MATCH(COLUMNS($V$1006:W1006),$V$1006:$AE$1006,0)))),"Fix")))</f>
        <v>0</v>
      </c>
      <c r="D216" s="3">
        <f>IF(OR(INDEX($P$2:$P$1001,MATCH(ROWS($O$2:O216),$O$2:$O$1001,0),1)&gt;=100000,INDEX($V$1005:$AE$1005,1,MATCH(COLUMNS($V$1006:X1006),$V$1006:$AE$1006,0))&gt;=100000), " ",IF(INDEX($V$2:$AE$1001,MATCH(ROWS($O$2:O216),$O$2:$O$1001,0),MATCH(COLUMNS($V$1006:X1006),$V$1006:$AE$1006,0)), HYPERLINK("#",""), HYPERLINK(CONCATENATE("#Metadata!", ADDRESS(INDEX($Q$2:$Q$1001,MATCH(ROWS($O$2:O216),$O$2:$O$1001,0),0), INDEX($V$1004:$AE$1004,1,MATCH(COLUMNS($V$1006:X1006),$V$1006:$AE$1006,0)))),"Fix")))</f>
        <v>0</v>
      </c>
      <c r="E216" s="3">
        <f>IF(OR(INDEX($P$2:$P$1001,MATCH(ROWS($O$2:O216),$O$2:$O$1001,0),1)&gt;=100000,INDEX($V$1005:$AE$1005,1,MATCH(COLUMNS($V$1006:Y1006),$V$1006:$AE$1006,0))&gt;=100000), " ",IF(INDEX($V$2:$AE$1001,MATCH(ROWS($O$2:O216),$O$2:$O$1001,0),MATCH(COLUMNS($V$1006:Y1006),$V$1006:$AE$1006,0)), HYPERLINK("#",""), HYPERLINK(CONCATENATE("#Metadata!", ADDRESS(INDEX($Q$2:$Q$1001,MATCH(ROWS($O$2:O216),$O$2:$O$1001,0),0), INDEX($V$1004:$AE$1004,1,MATCH(COLUMNS($V$1006:Y1006),$V$1006:$AE$1006,0)))),"Fix")))</f>
        <v>0</v>
      </c>
      <c r="F216" s="3">
        <f>IF(OR(INDEX($P$2:$P$1001,MATCH(ROWS($O$2:O216),$O$2:$O$1001,0),1)&gt;=100000,INDEX($V$1005:$AE$1005,1,MATCH(COLUMNS($V$1006:Z1006),$V$1006:$AE$1006,0))&gt;=100000), " ",IF(INDEX($V$2:$AE$1001,MATCH(ROWS($O$2:O216),$O$2:$O$1001,0),MATCH(COLUMNS($V$1006:Z1006),$V$1006:$AE$1006,0)), HYPERLINK("#",""), HYPERLINK(CONCATENATE("#Metadata!", ADDRESS(INDEX($Q$2:$Q$1001,MATCH(ROWS($O$2:O216),$O$2:$O$1001,0),0), INDEX($V$1004:$AE$1004,1,MATCH(COLUMNS($V$1006:Z1006),$V$1006:$AE$1006,0)))),"Fix")))</f>
        <v>0</v>
      </c>
      <c r="G216" s="3">
        <f>IF(OR(INDEX($P$2:$P$1001,MATCH(ROWS($O$2:O216),$O$2:$O$1001,0),1)&gt;=100000,INDEX($V$1005:$AE$1005,1,MATCH(COLUMNS($V$1006:AA1006),$V$1006:$AE$1006,0))&gt;=100000), " ",IF(INDEX($V$2:$AE$1001,MATCH(ROWS($O$2:O216),$O$2:$O$1001,0),MATCH(COLUMNS($V$1006:AA1006),$V$1006:$AE$1006,0)), HYPERLINK("#",""), HYPERLINK(CONCATENATE("#Metadata!", ADDRESS(INDEX($Q$2:$Q$1001,MATCH(ROWS($O$2:O216),$O$2:$O$1001,0),0), INDEX($V$1004:$AE$1004,1,MATCH(COLUMNS($V$1006:AA1006),$V$1006:$AE$1006,0)))),"Fix")))</f>
        <v>0</v>
      </c>
      <c r="H216" s="3">
        <f>IF(OR(INDEX($P$2:$P$1001,MATCH(ROWS($O$2:O216),$O$2:$O$1001,0),1)&gt;=100000,INDEX($V$1005:$AE$1005,1,MATCH(COLUMNS($V$1006:AB1006),$V$1006:$AE$1006,0))&gt;=100000), " ",IF(INDEX($V$2:$AE$1001,MATCH(ROWS($O$2:O216),$O$2:$O$1001,0),MATCH(COLUMNS($V$1006:AB1006),$V$1006:$AE$1006,0)), HYPERLINK("#",""), HYPERLINK(CONCATENATE("#Metadata!", ADDRESS(INDEX($Q$2:$Q$1001,MATCH(ROWS($O$2:O216),$O$2:$O$1001,0),0), INDEX($V$1004:$AE$1004,1,MATCH(COLUMNS($V$1006:AB1006),$V$1006:$AE$1006,0)))),"Fix")))</f>
        <v>0</v>
      </c>
      <c r="I216" s="3">
        <f>IF(OR(INDEX($P$2:$P$1001,MATCH(ROWS($O$2:O216),$O$2:$O$1001,0),1)&gt;=100000,INDEX($V$1005:$AE$1005,1,MATCH(COLUMNS($V$1006:AC1006),$V$1006:$AE$1006,0))&gt;=100000), " ",IF(INDEX($V$2:$AE$1001,MATCH(ROWS($O$2:O216),$O$2:$O$1001,0),MATCH(COLUMNS($V$1006:AC1006),$V$1006:$AE$1006,0)), HYPERLINK("#",""), HYPERLINK(CONCATENATE("#Metadata!", ADDRESS(INDEX($Q$2:$Q$1001,MATCH(ROWS($O$2:O216),$O$2:$O$1001,0),0), INDEX($V$1004:$AE$1004,1,MATCH(COLUMNS($V$1006:AC1006),$V$1006:$AE$1006,0)))),"Fix")))</f>
        <v>0</v>
      </c>
      <c r="J216" s="3">
        <f>IF(OR(INDEX($P$2:$P$1001,MATCH(ROWS($O$2:O216),$O$2:$O$1001,0),1)&gt;=100000,INDEX($V$1005:$AE$1005,1,MATCH(COLUMNS($V$1006:AD1006),$V$1006:$AE$1006,0))&gt;=100000), " ",IF(INDEX($V$2:$AE$1001,MATCH(ROWS($O$2:O216),$O$2:$O$1001,0),MATCH(COLUMNS($V$1006:AD1006),$V$1006:$AE$1006,0)), HYPERLINK("#",""), HYPERLINK(CONCATENATE("#Metadata!", ADDRESS(INDEX($Q$2:$Q$1001,MATCH(ROWS($O$2:O216),$O$2:$O$1001,0),0), INDEX($V$1004:$AE$1004,1,MATCH(COLUMNS($V$1006:AD1006),$V$1006:$AE$1006,0)))),"Fix")))</f>
        <v>0</v>
      </c>
      <c r="K216" s="3">
        <f>IF(OR(INDEX($P$2:$P$1001,MATCH(ROWS($O$2:O216),$O$2:$O$1001,0),1)&gt;=100000,INDEX($V$1005:$AE$1005,1,MATCH(COLUMNS($V$1006:AE1006),$V$1006:$AE$1006,0))&gt;=100000), " ",IF(INDEX($V$2:$AE$1001,MATCH(ROWS($O$2:O216),$O$2:$O$1001,0),MATCH(COLUMNS($V$1006:AE1006),$V$1006:$AE$1006,0)), HYPERLINK("#",""), HYPERLINK(CONCATENATE("#Metadata!", ADDRESS(INDEX($Q$2:$Q$1001,MATCH(ROWS($O$2:O216),$O$2:$O$1001,0),0), INDEX($V$1004:$AE$1004,1,MATCH(COLUMNS($V$1006:AE1006),$V$1006:$AE$1006,0)))),"Fix")))</f>
        <v>0</v>
      </c>
      <c r="O216">
        <v>0</v>
      </c>
      <c r="P216">
        <v>0</v>
      </c>
      <c r="Q216">
        <v>0</v>
      </c>
      <c r="R216">
        <f>IF(S216,TRUE,AND(V216:AE216))</f>
        <v>0</v>
      </c>
      <c r="S216">
        <f>COUNTBLANK(Metadata!B216:K216)=COLUMNS(Metadata!B216:K216)</f>
        <v>0</v>
      </c>
      <c r="T216">
        <v>0</v>
      </c>
      <c r="V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W216">
        <f>AND(IF(Metadata!C216="",FALSE,TRUE),exact(Metadata!C216,"animal secretion"))</f>
        <v>0</v>
      </c>
      <c r="X216">
        <f>AND(IF(Metadata!D216="",FALSE,TRUE),exact(Metadata!D216,"saliva"))</f>
        <v>0</v>
      </c>
      <c r="Y216">
        <f>AND(IF(Metadata!E216="",FALSE,TRUE),exact(Metadata!E216,"human-oral"))</f>
        <v>0</v>
      </c>
      <c r="Z216">
        <f>AND(IF(Metadata!F216="",FALSE,TRUE),exact(Metadata!F216,"UBERON:oral cavity"))</f>
        <v>0</v>
      </c>
      <c r="AA216">
        <f>AND(IF(Metadata!G216="",FALSE,TRUE),exact(Metadata!G216,"UBERON:saliva"))</f>
        <v>0</v>
      </c>
      <c r="AB216">
        <f>AND(IF(Metadata!H216="",FALSE,TRUE),exact(Metadata!H216,"UBERON:tongue"))</f>
        <v>0</v>
      </c>
      <c r="AC216">
        <f>AND(IF(Metadata!I216="",FALSE,TRUE),exact(Metadata!I216,"tongue"))</f>
        <v>0</v>
      </c>
      <c r="AD216">
        <f>AND(IF(Metadata!J216="",FALSE,TRUE),exact(Metadata!J216,"human oral metagenome"))</f>
        <v>0</v>
      </c>
      <c r="AE216">
        <f>AND(IF(Metadata!K216="",FALSE,TRUE),exact(Metadata!K216,"447426"))</f>
        <v>0</v>
      </c>
    </row>
    <row r="217" spans="1:31">
      <c r="A217" s="4">
        <f>IF(B217=" "," ",HYPERLINK(CONCATENATE("#metadata!",ADDRESS(INDEX($Q$2:$Q$1001,MATCH(ROWS($O$2:O217),$O$2:$O$1001,0),0),1)),INDEX($T$2:$T$1001,MATCH(ROWS($O$2:O217),$O$2:$O$1001,0),0)))</f>
        <v>0</v>
      </c>
      <c r="B217" s="3">
        <f>IF(OR(INDEX($P$2:$P$1001,MATCH(ROWS($O$2:O217),$O$2:$O$1001,0),1)&gt;=100000,INDEX($V$1005:$AE$1005,1,MATCH(COLUMNS($V$1006:V1006),$V$1006:$AE$1006,0))&gt;=100000), " ",IF(INDEX($V$2:$AE$1001,MATCH(ROWS($O$2:O217),$O$2:$O$1001,0),MATCH(COLUMNS($V$1006:V1006),$V$1006:$AE$1006,0)), HYPERLINK("#",""), HYPERLINK(CONCATENATE("#Metadata!", ADDRESS(INDEX($Q$2:$Q$1001,MATCH(ROWS($O$2:O217),$O$2:$O$1001,0),0), INDEX($V$1004:$AE$1004,1,MATCH(COLUMNS($V$1006:V1006),$V$1006:$AE$1006,0)))),"Fix")))</f>
        <v>0</v>
      </c>
      <c r="C217" s="3">
        <f>IF(OR(INDEX($P$2:$P$1001,MATCH(ROWS($O$2:O217),$O$2:$O$1001,0),1)&gt;=100000,INDEX($V$1005:$AE$1005,1,MATCH(COLUMNS($V$1006:W1006),$V$1006:$AE$1006,0))&gt;=100000), " ",IF(INDEX($V$2:$AE$1001,MATCH(ROWS($O$2:O217),$O$2:$O$1001,0),MATCH(COLUMNS($V$1006:W1006),$V$1006:$AE$1006,0)), HYPERLINK("#",""), HYPERLINK(CONCATENATE("#Metadata!", ADDRESS(INDEX($Q$2:$Q$1001,MATCH(ROWS($O$2:O217),$O$2:$O$1001,0),0), INDEX($V$1004:$AE$1004,1,MATCH(COLUMNS($V$1006:W1006),$V$1006:$AE$1006,0)))),"Fix")))</f>
        <v>0</v>
      </c>
      <c r="D217" s="3">
        <f>IF(OR(INDEX($P$2:$P$1001,MATCH(ROWS($O$2:O217),$O$2:$O$1001,0),1)&gt;=100000,INDEX($V$1005:$AE$1005,1,MATCH(COLUMNS($V$1006:X1006),$V$1006:$AE$1006,0))&gt;=100000), " ",IF(INDEX($V$2:$AE$1001,MATCH(ROWS($O$2:O217),$O$2:$O$1001,0),MATCH(COLUMNS($V$1006:X1006),$V$1006:$AE$1006,0)), HYPERLINK("#",""), HYPERLINK(CONCATENATE("#Metadata!", ADDRESS(INDEX($Q$2:$Q$1001,MATCH(ROWS($O$2:O217),$O$2:$O$1001,0),0), INDEX($V$1004:$AE$1004,1,MATCH(COLUMNS($V$1006:X1006),$V$1006:$AE$1006,0)))),"Fix")))</f>
        <v>0</v>
      </c>
      <c r="E217" s="3">
        <f>IF(OR(INDEX($P$2:$P$1001,MATCH(ROWS($O$2:O217),$O$2:$O$1001,0),1)&gt;=100000,INDEX($V$1005:$AE$1005,1,MATCH(COLUMNS($V$1006:Y1006),$V$1006:$AE$1006,0))&gt;=100000), " ",IF(INDEX($V$2:$AE$1001,MATCH(ROWS($O$2:O217),$O$2:$O$1001,0),MATCH(COLUMNS($V$1006:Y1006),$V$1006:$AE$1006,0)), HYPERLINK("#",""), HYPERLINK(CONCATENATE("#Metadata!", ADDRESS(INDEX($Q$2:$Q$1001,MATCH(ROWS($O$2:O217),$O$2:$O$1001,0),0), INDEX($V$1004:$AE$1004,1,MATCH(COLUMNS($V$1006:Y1006),$V$1006:$AE$1006,0)))),"Fix")))</f>
        <v>0</v>
      </c>
      <c r="F217" s="3">
        <f>IF(OR(INDEX($P$2:$P$1001,MATCH(ROWS($O$2:O217),$O$2:$O$1001,0),1)&gt;=100000,INDEX($V$1005:$AE$1005,1,MATCH(COLUMNS($V$1006:Z1006),$V$1006:$AE$1006,0))&gt;=100000), " ",IF(INDEX($V$2:$AE$1001,MATCH(ROWS($O$2:O217),$O$2:$O$1001,0),MATCH(COLUMNS($V$1006:Z1006),$V$1006:$AE$1006,0)), HYPERLINK("#",""), HYPERLINK(CONCATENATE("#Metadata!", ADDRESS(INDEX($Q$2:$Q$1001,MATCH(ROWS($O$2:O217),$O$2:$O$1001,0),0), INDEX($V$1004:$AE$1004,1,MATCH(COLUMNS($V$1006:Z1006),$V$1006:$AE$1006,0)))),"Fix")))</f>
        <v>0</v>
      </c>
      <c r="G217" s="3">
        <f>IF(OR(INDEX($P$2:$P$1001,MATCH(ROWS($O$2:O217),$O$2:$O$1001,0),1)&gt;=100000,INDEX($V$1005:$AE$1005,1,MATCH(COLUMNS($V$1006:AA1006),$V$1006:$AE$1006,0))&gt;=100000), " ",IF(INDEX($V$2:$AE$1001,MATCH(ROWS($O$2:O217),$O$2:$O$1001,0),MATCH(COLUMNS($V$1006:AA1006),$V$1006:$AE$1006,0)), HYPERLINK("#",""), HYPERLINK(CONCATENATE("#Metadata!", ADDRESS(INDEX($Q$2:$Q$1001,MATCH(ROWS($O$2:O217),$O$2:$O$1001,0),0), INDEX($V$1004:$AE$1004,1,MATCH(COLUMNS($V$1006:AA1006),$V$1006:$AE$1006,0)))),"Fix")))</f>
        <v>0</v>
      </c>
      <c r="H217" s="3">
        <f>IF(OR(INDEX($P$2:$P$1001,MATCH(ROWS($O$2:O217),$O$2:$O$1001,0),1)&gt;=100000,INDEX($V$1005:$AE$1005,1,MATCH(COLUMNS($V$1006:AB1006),$V$1006:$AE$1006,0))&gt;=100000), " ",IF(INDEX($V$2:$AE$1001,MATCH(ROWS($O$2:O217),$O$2:$O$1001,0),MATCH(COLUMNS($V$1006:AB1006),$V$1006:$AE$1006,0)), HYPERLINK("#",""), HYPERLINK(CONCATENATE("#Metadata!", ADDRESS(INDEX($Q$2:$Q$1001,MATCH(ROWS($O$2:O217),$O$2:$O$1001,0),0), INDEX($V$1004:$AE$1004,1,MATCH(COLUMNS($V$1006:AB1006),$V$1006:$AE$1006,0)))),"Fix")))</f>
        <v>0</v>
      </c>
      <c r="I217" s="3">
        <f>IF(OR(INDEX($P$2:$P$1001,MATCH(ROWS($O$2:O217),$O$2:$O$1001,0),1)&gt;=100000,INDEX($V$1005:$AE$1005,1,MATCH(COLUMNS($V$1006:AC1006),$V$1006:$AE$1006,0))&gt;=100000), " ",IF(INDEX($V$2:$AE$1001,MATCH(ROWS($O$2:O217),$O$2:$O$1001,0),MATCH(COLUMNS($V$1006:AC1006),$V$1006:$AE$1006,0)), HYPERLINK("#",""), HYPERLINK(CONCATENATE("#Metadata!", ADDRESS(INDEX($Q$2:$Q$1001,MATCH(ROWS($O$2:O217),$O$2:$O$1001,0),0), INDEX($V$1004:$AE$1004,1,MATCH(COLUMNS($V$1006:AC1006),$V$1006:$AE$1006,0)))),"Fix")))</f>
        <v>0</v>
      </c>
      <c r="J217" s="3">
        <f>IF(OR(INDEX($P$2:$P$1001,MATCH(ROWS($O$2:O217),$O$2:$O$1001,0),1)&gt;=100000,INDEX($V$1005:$AE$1005,1,MATCH(COLUMNS($V$1006:AD1006),$V$1006:$AE$1006,0))&gt;=100000), " ",IF(INDEX($V$2:$AE$1001,MATCH(ROWS($O$2:O217),$O$2:$O$1001,0),MATCH(COLUMNS($V$1006:AD1006),$V$1006:$AE$1006,0)), HYPERLINK("#",""), HYPERLINK(CONCATENATE("#Metadata!", ADDRESS(INDEX($Q$2:$Q$1001,MATCH(ROWS($O$2:O217),$O$2:$O$1001,0),0), INDEX($V$1004:$AE$1004,1,MATCH(COLUMNS($V$1006:AD1006),$V$1006:$AE$1006,0)))),"Fix")))</f>
        <v>0</v>
      </c>
      <c r="K217" s="3">
        <f>IF(OR(INDEX($P$2:$P$1001,MATCH(ROWS($O$2:O217),$O$2:$O$1001,0),1)&gt;=100000,INDEX($V$1005:$AE$1005,1,MATCH(COLUMNS($V$1006:AE1006),$V$1006:$AE$1006,0))&gt;=100000), " ",IF(INDEX($V$2:$AE$1001,MATCH(ROWS($O$2:O217),$O$2:$O$1001,0),MATCH(COLUMNS($V$1006:AE1006),$V$1006:$AE$1006,0)), HYPERLINK("#",""), HYPERLINK(CONCATENATE("#Metadata!", ADDRESS(INDEX($Q$2:$Q$1001,MATCH(ROWS($O$2:O217),$O$2:$O$1001,0),0), INDEX($V$1004:$AE$1004,1,MATCH(COLUMNS($V$1006:AE1006),$V$1006:$AE$1006,0)))),"Fix")))</f>
        <v>0</v>
      </c>
      <c r="O217">
        <v>0</v>
      </c>
      <c r="P217">
        <v>0</v>
      </c>
      <c r="Q217">
        <v>0</v>
      </c>
      <c r="R217">
        <f>IF(S217,TRUE,AND(V217:AE217))</f>
        <v>0</v>
      </c>
      <c r="S217">
        <f>COUNTBLANK(Metadata!B217:K217)=COLUMNS(Metadata!B217:K217)</f>
        <v>0</v>
      </c>
      <c r="T217">
        <v>0</v>
      </c>
      <c r="V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W217">
        <f>AND(IF(Metadata!C217="",FALSE,TRUE),exact(Metadata!C217,"animal secretion"))</f>
        <v>0</v>
      </c>
      <c r="X217">
        <f>AND(IF(Metadata!D217="",FALSE,TRUE),exact(Metadata!D217,"saliva"))</f>
        <v>0</v>
      </c>
      <c r="Y217">
        <f>AND(IF(Metadata!E217="",FALSE,TRUE),exact(Metadata!E217,"human-oral"))</f>
        <v>0</v>
      </c>
      <c r="Z217">
        <f>AND(IF(Metadata!F217="",FALSE,TRUE),exact(Metadata!F217,"UBERON:oral cavity"))</f>
        <v>0</v>
      </c>
      <c r="AA217">
        <f>AND(IF(Metadata!G217="",FALSE,TRUE),exact(Metadata!G217,"UBERON:saliva"))</f>
        <v>0</v>
      </c>
      <c r="AB217">
        <f>AND(IF(Metadata!H217="",FALSE,TRUE),exact(Metadata!H217,"UBERON:tongue"))</f>
        <v>0</v>
      </c>
      <c r="AC217">
        <f>AND(IF(Metadata!I217="",FALSE,TRUE),exact(Metadata!I217,"tongue"))</f>
        <v>0</v>
      </c>
      <c r="AD217">
        <f>AND(IF(Metadata!J217="",FALSE,TRUE),exact(Metadata!J217,"human oral metagenome"))</f>
        <v>0</v>
      </c>
      <c r="AE217">
        <f>AND(IF(Metadata!K217="",FALSE,TRUE),exact(Metadata!K217,"447426"))</f>
        <v>0</v>
      </c>
    </row>
    <row r="218" spans="1:31">
      <c r="A218" s="4">
        <f>IF(B218=" "," ",HYPERLINK(CONCATENATE("#metadata!",ADDRESS(INDEX($Q$2:$Q$1001,MATCH(ROWS($O$2:O218),$O$2:$O$1001,0),0),1)),INDEX($T$2:$T$1001,MATCH(ROWS($O$2:O218),$O$2:$O$1001,0),0)))</f>
        <v>0</v>
      </c>
      <c r="B218" s="3">
        <f>IF(OR(INDEX($P$2:$P$1001,MATCH(ROWS($O$2:O218),$O$2:$O$1001,0),1)&gt;=100000,INDEX($V$1005:$AE$1005,1,MATCH(COLUMNS($V$1006:V1006),$V$1006:$AE$1006,0))&gt;=100000), " ",IF(INDEX($V$2:$AE$1001,MATCH(ROWS($O$2:O218),$O$2:$O$1001,0),MATCH(COLUMNS($V$1006:V1006),$V$1006:$AE$1006,0)), HYPERLINK("#",""), HYPERLINK(CONCATENATE("#Metadata!", ADDRESS(INDEX($Q$2:$Q$1001,MATCH(ROWS($O$2:O218),$O$2:$O$1001,0),0), INDEX($V$1004:$AE$1004,1,MATCH(COLUMNS($V$1006:V1006),$V$1006:$AE$1006,0)))),"Fix")))</f>
        <v>0</v>
      </c>
      <c r="C218" s="3">
        <f>IF(OR(INDEX($P$2:$P$1001,MATCH(ROWS($O$2:O218),$O$2:$O$1001,0),1)&gt;=100000,INDEX($V$1005:$AE$1005,1,MATCH(COLUMNS($V$1006:W1006),$V$1006:$AE$1006,0))&gt;=100000), " ",IF(INDEX($V$2:$AE$1001,MATCH(ROWS($O$2:O218),$O$2:$O$1001,0),MATCH(COLUMNS($V$1006:W1006),$V$1006:$AE$1006,0)), HYPERLINK("#",""), HYPERLINK(CONCATENATE("#Metadata!", ADDRESS(INDEX($Q$2:$Q$1001,MATCH(ROWS($O$2:O218),$O$2:$O$1001,0),0), INDEX($V$1004:$AE$1004,1,MATCH(COLUMNS($V$1006:W1006),$V$1006:$AE$1006,0)))),"Fix")))</f>
        <v>0</v>
      </c>
      <c r="D218" s="3">
        <f>IF(OR(INDEX($P$2:$P$1001,MATCH(ROWS($O$2:O218),$O$2:$O$1001,0),1)&gt;=100000,INDEX($V$1005:$AE$1005,1,MATCH(COLUMNS($V$1006:X1006),$V$1006:$AE$1006,0))&gt;=100000), " ",IF(INDEX($V$2:$AE$1001,MATCH(ROWS($O$2:O218),$O$2:$O$1001,0),MATCH(COLUMNS($V$1006:X1006),$V$1006:$AE$1006,0)), HYPERLINK("#",""), HYPERLINK(CONCATENATE("#Metadata!", ADDRESS(INDEX($Q$2:$Q$1001,MATCH(ROWS($O$2:O218),$O$2:$O$1001,0),0), INDEX($V$1004:$AE$1004,1,MATCH(COLUMNS($V$1006:X1006),$V$1006:$AE$1006,0)))),"Fix")))</f>
        <v>0</v>
      </c>
      <c r="E218" s="3">
        <f>IF(OR(INDEX($P$2:$P$1001,MATCH(ROWS($O$2:O218),$O$2:$O$1001,0),1)&gt;=100000,INDEX($V$1005:$AE$1005,1,MATCH(COLUMNS($V$1006:Y1006),$V$1006:$AE$1006,0))&gt;=100000), " ",IF(INDEX($V$2:$AE$1001,MATCH(ROWS($O$2:O218),$O$2:$O$1001,0),MATCH(COLUMNS($V$1006:Y1006),$V$1006:$AE$1006,0)), HYPERLINK("#",""), HYPERLINK(CONCATENATE("#Metadata!", ADDRESS(INDEX($Q$2:$Q$1001,MATCH(ROWS($O$2:O218),$O$2:$O$1001,0),0), INDEX($V$1004:$AE$1004,1,MATCH(COLUMNS($V$1006:Y1006),$V$1006:$AE$1006,0)))),"Fix")))</f>
        <v>0</v>
      </c>
      <c r="F218" s="3">
        <f>IF(OR(INDEX($P$2:$P$1001,MATCH(ROWS($O$2:O218),$O$2:$O$1001,0),1)&gt;=100000,INDEX($V$1005:$AE$1005,1,MATCH(COLUMNS($V$1006:Z1006),$V$1006:$AE$1006,0))&gt;=100000), " ",IF(INDEX($V$2:$AE$1001,MATCH(ROWS($O$2:O218),$O$2:$O$1001,0),MATCH(COLUMNS($V$1006:Z1006),$V$1006:$AE$1006,0)), HYPERLINK("#",""), HYPERLINK(CONCATENATE("#Metadata!", ADDRESS(INDEX($Q$2:$Q$1001,MATCH(ROWS($O$2:O218),$O$2:$O$1001,0),0), INDEX($V$1004:$AE$1004,1,MATCH(COLUMNS($V$1006:Z1006),$V$1006:$AE$1006,0)))),"Fix")))</f>
        <v>0</v>
      </c>
      <c r="G218" s="3">
        <f>IF(OR(INDEX($P$2:$P$1001,MATCH(ROWS($O$2:O218),$O$2:$O$1001,0),1)&gt;=100000,INDEX($V$1005:$AE$1005,1,MATCH(COLUMNS($V$1006:AA1006),$V$1006:$AE$1006,0))&gt;=100000), " ",IF(INDEX($V$2:$AE$1001,MATCH(ROWS($O$2:O218),$O$2:$O$1001,0),MATCH(COLUMNS($V$1006:AA1006),$V$1006:$AE$1006,0)), HYPERLINK("#",""), HYPERLINK(CONCATENATE("#Metadata!", ADDRESS(INDEX($Q$2:$Q$1001,MATCH(ROWS($O$2:O218),$O$2:$O$1001,0),0), INDEX($V$1004:$AE$1004,1,MATCH(COLUMNS($V$1006:AA1006),$V$1006:$AE$1006,0)))),"Fix")))</f>
        <v>0</v>
      </c>
      <c r="H218" s="3">
        <f>IF(OR(INDEX($P$2:$P$1001,MATCH(ROWS($O$2:O218),$O$2:$O$1001,0),1)&gt;=100000,INDEX($V$1005:$AE$1005,1,MATCH(COLUMNS($V$1006:AB1006),$V$1006:$AE$1006,0))&gt;=100000), " ",IF(INDEX($V$2:$AE$1001,MATCH(ROWS($O$2:O218),$O$2:$O$1001,0),MATCH(COLUMNS($V$1006:AB1006),$V$1006:$AE$1006,0)), HYPERLINK("#",""), HYPERLINK(CONCATENATE("#Metadata!", ADDRESS(INDEX($Q$2:$Q$1001,MATCH(ROWS($O$2:O218),$O$2:$O$1001,0),0), INDEX($V$1004:$AE$1004,1,MATCH(COLUMNS($V$1006:AB1006),$V$1006:$AE$1006,0)))),"Fix")))</f>
        <v>0</v>
      </c>
      <c r="I218" s="3">
        <f>IF(OR(INDEX($P$2:$P$1001,MATCH(ROWS($O$2:O218),$O$2:$O$1001,0),1)&gt;=100000,INDEX($V$1005:$AE$1005,1,MATCH(COLUMNS($V$1006:AC1006),$V$1006:$AE$1006,0))&gt;=100000), " ",IF(INDEX($V$2:$AE$1001,MATCH(ROWS($O$2:O218),$O$2:$O$1001,0),MATCH(COLUMNS($V$1006:AC1006),$V$1006:$AE$1006,0)), HYPERLINK("#",""), HYPERLINK(CONCATENATE("#Metadata!", ADDRESS(INDEX($Q$2:$Q$1001,MATCH(ROWS($O$2:O218),$O$2:$O$1001,0),0), INDEX($V$1004:$AE$1004,1,MATCH(COLUMNS($V$1006:AC1006),$V$1006:$AE$1006,0)))),"Fix")))</f>
        <v>0</v>
      </c>
      <c r="J218" s="3">
        <f>IF(OR(INDEX($P$2:$P$1001,MATCH(ROWS($O$2:O218),$O$2:$O$1001,0),1)&gt;=100000,INDEX($V$1005:$AE$1005,1,MATCH(COLUMNS($V$1006:AD1006),$V$1006:$AE$1006,0))&gt;=100000), " ",IF(INDEX($V$2:$AE$1001,MATCH(ROWS($O$2:O218),$O$2:$O$1001,0),MATCH(COLUMNS($V$1006:AD1006),$V$1006:$AE$1006,0)), HYPERLINK("#",""), HYPERLINK(CONCATENATE("#Metadata!", ADDRESS(INDEX($Q$2:$Q$1001,MATCH(ROWS($O$2:O218),$O$2:$O$1001,0),0), INDEX($V$1004:$AE$1004,1,MATCH(COLUMNS($V$1006:AD1006),$V$1006:$AE$1006,0)))),"Fix")))</f>
        <v>0</v>
      </c>
      <c r="K218" s="3">
        <f>IF(OR(INDEX($P$2:$P$1001,MATCH(ROWS($O$2:O218),$O$2:$O$1001,0),1)&gt;=100000,INDEX($V$1005:$AE$1005,1,MATCH(COLUMNS($V$1006:AE1006),$V$1006:$AE$1006,0))&gt;=100000), " ",IF(INDEX($V$2:$AE$1001,MATCH(ROWS($O$2:O218),$O$2:$O$1001,0),MATCH(COLUMNS($V$1006:AE1006),$V$1006:$AE$1006,0)), HYPERLINK("#",""), HYPERLINK(CONCATENATE("#Metadata!", ADDRESS(INDEX($Q$2:$Q$1001,MATCH(ROWS($O$2:O218),$O$2:$O$1001,0),0), INDEX($V$1004:$AE$1004,1,MATCH(COLUMNS($V$1006:AE1006),$V$1006:$AE$1006,0)))),"Fix")))</f>
        <v>0</v>
      </c>
      <c r="O218">
        <v>0</v>
      </c>
      <c r="P218">
        <v>0</v>
      </c>
      <c r="Q218">
        <v>0</v>
      </c>
      <c r="R218">
        <f>IF(S218,TRUE,AND(V218:AE218))</f>
        <v>0</v>
      </c>
      <c r="S218">
        <f>COUNTBLANK(Metadata!B218:K218)=COLUMNS(Metadata!B218:K218)</f>
        <v>0</v>
      </c>
      <c r="T218">
        <v>0</v>
      </c>
      <c r="V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W218">
        <f>AND(IF(Metadata!C218="",FALSE,TRUE),exact(Metadata!C218,"animal secretion"))</f>
        <v>0</v>
      </c>
      <c r="X218">
        <f>AND(IF(Metadata!D218="",FALSE,TRUE),exact(Metadata!D218,"saliva"))</f>
        <v>0</v>
      </c>
      <c r="Y218">
        <f>AND(IF(Metadata!E218="",FALSE,TRUE),exact(Metadata!E218,"human-oral"))</f>
        <v>0</v>
      </c>
      <c r="Z218">
        <f>AND(IF(Metadata!F218="",FALSE,TRUE),exact(Metadata!F218,"UBERON:oral cavity"))</f>
        <v>0</v>
      </c>
      <c r="AA218">
        <f>AND(IF(Metadata!G218="",FALSE,TRUE),exact(Metadata!G218,"UBERON:saliva"))</f>
        <v>0</v>
      </c>
      <c r="AB218">
        <f>AND(IF(Metadata!H218="",FALSE,TRUE),exact(Metadata!H218,"UBERON:tongue"))</f>
        <v>0</v>
      </c>
      <c r="AC218">
        <f>AND(IF(Metadata!I218="",FALSE,TRUE),exact(Metadata!I218,"tongue"))</f>
        <v>0</v>
      </c>
      <c r="AD218">
        <f>AND(IF(Metadata!J218="",FALSE,TRUE),exact(Metadata!J218,"human oral metagenome"))</f>
        <v>0</v>
      </c>
      <c r="AE218">
        <f>AND(IF(Metadata!K218="",FALSE,TRUE),exact(Metadata!K218,"447426"))</f>
        <v>0</v>
      </c>
    </row>
    <row r="219" spans="1:31">
      <c r="A219" s="4">
        <f>IF(B219=" "," ",HYPERLINK(CONCATENATE("#metadata!",ADDRESS(INDEX($Q$2:$Q$1001,MATCH(ROWS($O$2:O219),$O$2:$O$1001,0),0),1)),INDEX($T$2:$T$1001,MATCH(ROWS($O$2:O219),$O$2:$O$1001,0),0)))</f>
        <v>0</v>
      </c>
      <c r="B219" s="3">
        <f>IF(OR(INDEX($P$2:$P$1001,MATCH(ROWS($O$2:O219),$O$2:$O$1001,0),1)&gt;=100000,INDEX($V$1005:$AE$1005,1,MATCH(COLUMNS($V$1006:V1006),$V$1006:$AE$1006,0))&gt;=100000), " ",IF(INDEX($V$2:$AE$1001,MATCH(ROWS($O$2:O219),$O$2:$O$1001,0),MATCH(COLUMNS($V$1006:V1006),$V$1006:$AE$1006,0)), HYPERLINK("#",""), HYPERLINK(CONCATENATE("#Metadata!", ADDRESS(INDEX($Q$2:$Q$1001,MATCH(ROWS($O$2:O219),$O$2:$O$1001,0),0), INDEX($V$1004:$AE$1004,1,MATCH(COLUMNS($V$1006:V1006),$V$1006:$AE$1006,0)))),"Fix")))</f>
        <v>0</v>
      </c>
      <c r="C219" s="3">
        <f>IF(OR(INDEX($P$2:$P$1001,MATCH(ROWS($O$2:O219),$O$2:$O$1001,0),1)&gt;=100000,INDEX($V$1005:$AE$1005,1,MATCH(COLUMNS($V$1006:W1006),$V$1006:$AE$1006,0))&gt;=100000), " ",IF(INDEX($V$2:$AE$1001,MATCH(ROWS($O$2:O219),$O$2:$O$1001,0),MATCH(COLUMNS($V$1006:W1006),$V$1006:$AE$1006,0)), HYPERLINK("#",""), HYPERLINK(CONCATENATE("#Metadata!", ADDRESS(INDEX($Q$2:$Q$1001,MATCH(ROWS($O$2:O219),$O$2:$O$1001,0),0), INDEX($V$1004:$AE$1004,1,MATCH(COLUMNS($V$1006:W1006),$V$1006:$AE$1006,0)))),"Fix")))</f>
        <v>0</v>
      </c>
      <c r="D219" s="3">
        <f>IF(OR(INDEX($P$2:$P$1001,MATCH(ROWS($O$2:O219),$O$2:$O$1001,0),1)&gt;=100000,INDEX($V$1005:$AE$1005,1,MATCH(COLUMNS($V$1006:X1006),$V$1006:$AE$1006,0))&gt;=100000), " ",IF(INDEX($V$2:$AE$1001,MATCH(ROWS($O$2:O219),$O$2:$O$1001,0),MATCH(COLUMNS($V$1006:X1006),$V$1006:$AE$1006,0)), HYPERLINK("#",""), HYPERLINK(CONCATENATE("#Metadata!", ADDRESS(INDEX($Q$2:$Q$1001,MATCH(ROWS($O$2:O219),$O$2:$O$1001,0),0), INDEX($V$1004:$AE$1004,1,MATCH(COLUMNS($V$1006:X1006),$V$1006:$AE$1006,0)))),"Fix")))</f>
        <v>0</v>
      </c>
      <c r="E219" s="3">
        <f>IF(OR(INDEX($P$2:$P$1001,MATCH(ROWS($O$2:O219),$O$2:$O$1001,0),1)&gt;=100000,INDEX($V$1005:$AE$1005,1,MATCH(COLUMNS($V$1006:Y1006),$V$1006:$AE$1006,0))&gt;=100000), " ",IF(INDEX($V$2:$AE$1001,MATCH(ROWS($O$2:O219),$O$2:$O$1001,0),MATCH(COLUMNS($V$1006:Y1006),$V$1006:$AE$1006,0)), HYPERLINK("#",""), HYPERLINK(CONCATENATE("#Metadata!", ADDRESS(INDEX($Q$2:$Q$1001,MATCH(ROWS($O$2:O219),$O$2:$O$1001,0),0), INDEX($V$1004:$AE$1004,1,MATCH(COLUMNS($V$1006:Y1006),$V$1006:$AE$1006,0)))),"Fix")))</f>
        <v>0</v>
      </c>
      <c r="F219" s="3">
        <f>IF(OR(INDEX($P$2:$P$1001,MATCH(ROWS($O$2:O219),$O$2:$O$1001,0),1)&gt;=100000,INDEX($V$1005:$AE$1005,1,MATCH(COLUMNS($V$1006:Z1006),$V$1006:$AE$1006,0))&gt;=100000), " ",IF(INDEX($V$2:$AE$1001,MATCH(ROWS($O$2:O219),$O$2:$O$1001,0),MATCH(COLUMNS($V$1006:Z1006),$V$1006:$AE$1006,0)), HYPERLINK("#",""), HYPERLINK(CONCATENATE("#Metadata!", ADDRESS(INDEX($Q$2:$Q$1001,MATCH(ROWS($O$2:O219),$O$2:$O$1001,0),0), INDEX($V$1004:$AE$1004,1,MATCH(COLUMNS($V$1006:Z1006),$V$1006:$AE$1006,0)))),"Fix")))</f>
        <v>0</v>
      </c>
      <c r="G219" s="3">
        <f>IF(OR(INDEX($P$2:$P$1001,MATCH(ROWS($O$2:O219),$O$2:$O$1001,0),1)&gt;=100000,INDEX($V$1005:$AE$1005,1,MATCH(COLUMNS($V$1006:AA1006),$V$1006:$AE$1006,0))&gt;=100000), " ",IF(INDEX($V$2:$AE$1001,MATCH(ROWS($O$2:O219),$O$2:$O$1001,0),MATCH(COLUMNS($V$1006:AA1006),$V$1006:$AE$1006,0)), HYPERLINK("#",""), HYPERLINK(CONCATENATE("#Metadata!", ADDRESS(INDEX($Q$2:$Q$1001,MATCH(ROWS($O$2:O219),$O$2:$O$1001,0),0), INDEX($V$1004:$AE$1004,1,MATCH(COLUMNS($V$1006:AA1006),$V$1006:$AE$1006,0)))),"Fix")))</f>
        <v>0</v>
      </c>
      <c r="H219" s="3">
        <f>IF(OR(INDEX($P$2:$P$1001,MATCH(ROWS($O$2:O219),$O$2:$O$1001,0),1)&gt;=100000,INDEX($V$1005:$AE$1005,1,MATCH(COLUMNS($V$1006:AB1006),$V$1006:$AE$1006,0))&gt;=100000), " ",IF(INDEX($V$2:$AE$1001,MATCH(ROWS($O$2:O219),$O$2:$O$1001,0),MATCH(COLUMNS($V$1006:AB1006),$V$1006:$AE$1006,0)), HYPERLINK("#",""), HYPERLINK(CONCATENATE("#Metadata!", ADDRESS(INDEX($Q$2:$Q$1001,MATCH(ROWS($O$2:O219),$O$2:$O$1001,0),0), INDEX($V$1004:$AE$1004,1,MATCH(COLUMNS($V$1006:AB1006),$V$1006:$AE$1006,0)))),"Fix")))</f>
        <v>0</v>
      </c>
      <c r="I219" s="3">
        <f>IF(OR(INDEX($P$2:$P$1001,MATCH(ROWS($O$2:O219),$O$2:$O$1001,0),1)&gt;=100000,INDEX($V$1005:$AE$1005,1,MATCH(COLUMNS($V$1006:AC1006),$V$1006:$AE$1006,0))&gt;=100000), " ",IF(INDEX($V$2:$AE$1001,MATCH(ROWS($O$2:O219),$O$2:$O$1001,0),MATCH(COLUMNS($V$1006:AC1006),$V$1006:$AE$1006,0)), HYPERLINK("#",""), HYPERLINK(CONCATENATE("#Metadata!", ADDRESS(INDEX($Q$2:$Q$1001,MATCH(ROWS($O$2:O219),$O$2:$O$1001,0),0), INDEX($V$1004:$AE$1004,1,MATCH(COLUMNS($V$1006:AC1006),$V$1006:$AE$1006,0)))),"Fix")))</f>
        <v>0</v>
      </c>
      <c r="J219" s="3">
        <f>IF(OR(INDEX($P$2:$P$1001,MATCH(ROWS($O$2:O219),$O$2:$O$1001,0),1)&gt;=100000,INDEX($V$1005:$AE$1005,1,MATCH(COLUMNS($V$1006:AD1006),$V$1006:$AE$1006,0))&gt;=100000), " ",IF(INDEX($V$2:$AE$1001,MATCH(ROWS($O$2:O219),$O$2:$O$1001,0),MATCH(COLUMNS($V$1006:AD1006),$V$1006:$AE$1006,0)), HYPERLINK("#",""), HYPERLINK(CONCATENATE("#Metadata!", ADDRESS(INDEX($Q$2:$Q$1001,MATCH(ROWS($O$2:O219),$O$2:$O$1001,0),0), INDEX($V$1004:$AE$1004,1,MATCH(COLUMNS($V$1006:AD1006),$V$1006:$AE$1006,0)))),"Fix")))</f>
        <v>0</v>
      </c>
      <c r="K219" s="3">
        <f>IF(OR(INDEX($P$2:$P$1001,MATCH(ROWS($O$2:O219),$O$2:$O$1001,0),1)&gt;=100000,INDEX($V$1005:$AE$1005,1,MATCH(COLUMNS($V$1006:AE1006),$V$1006:$AE$1006,0))&gt;=100000), " ",IF(INDEX($V$2:$AE$1001,MATCH(ROWS($O$2:O219),$O$2:$O$1001,0),MATCH(COLUMNS($V$1006:AE1006),$V$1006:$AE$1006,0)), HYPERLINK("#",""), HYPERLINK(CONCATENATE("#Metadata!", ADDRESS(INDEX($Q$2:$Q$1001,MATCH(ROWS($O$2:O219),$O$2:$O$1001,0),0), INDEX($V$1004:$AE$1004,1,MATCH(COLUMNS($V$1006:AE1006),$V$1006:$AE$1006,0)))),"Fix")))</f>
        <v>0</v>
      </c>
      <c r="O219">
        <v>0</v>
      </c>
      <c r="P219">
        <v>0</v>
      </c>
      <c r="Q219">
        <v>0</v>
      </c>
      <c r="R219">
        <f>IF(S219,TRUE,AND(V219:AE219))</f>
        <v>0</v>
      </c>
      <c r="S219">
        <f>COUNTBLANK(Metadata!B219:K219)=COLUMNS(Metadata!B219:K219)</f>
        <v>0</v>
      </c>
      <c r="T219">
        <v>0</v>
      </c>
      <c r="V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W219">
        <f>AND(IF(Metadata!C219="",FALSE,TRUE),exact(Metadata!C219,"animal secretion"))</f>
        <v>0</v>
      </c>
      <c r="X219">
        <f>AND(IF(Metadata!D219="",FALSE,TRUE),exact(Metadata!D219,"saliva"))</f>
        <v>0</v>
      </c>
      <c r="Y219">
        <f>AND(IF(Metadata!E219="",FALSE,TRUE),exact(Metadata!E219,"human-oral"))</f>
        <v>0</v>
      </c>
      <c r="Z219">
        <f>AND(IF(Metadata!F219="",FALSE,TRUE),exact(Metadata!F219,"UBERON:oral cavity"))</f>
        <v>0</v>
      </c>
      <c r="AA219">
        <f>AND(IF(Metadata!G219="",FALSE,TRUE),exact(Metadata!G219,"UBERON:saliva"))</f>
        <v>0</v>
      </c>
      <c r="AB219">
        <f>AND(IF(Metadata!H219="",FALSE,TRUE),exact(Metadata!H219,"UBERON:tongue"))</f>
        <v>0</v>
      </c>
      <c r="AC219">
        <f>AND(IF(Metadata!I219="",FALSE,TRUE),exact(Metadata!I219,"tongue"))</f>
        <v>0</v>
      </c>
      <c r="AD219">
        <f>AND(IF(Metadata!J219="",FALSE,TRUE),exact(Metadata!J219,"human oral metagenome"))</f>
        <v>0</v>
      </c>
      <c r="AE219">
        <f>AND(IF(Metadata!K219="",FALSE,TRUE),exact(Metadata!K219,"447426"))</f>
        <v>0</v>
      </c>
    </row>
    <row r="220" spans="1:31">
      <c r="A220" s="4">
        <f>IF(B220=" "," ",HYPERLINK(CONCATENATE("#metadata!",ADDRESS(INDEX($Q$2:$Q$1001,MATCH(ROWS($O$2:O220),$O$2:$O$1001,0),0),1)),INDEX($T$2:$T$1001,MATCH(ROWS($O$2:O220),$O$2:$O$1001,0),0)))</f>
        <v>0</v>
      </c>
      <c r="B220" s="3">
        <f>IF(OR(INDEX($P$2:$P$1001,MATCH(ROWS($O$2:O220),$O$2:$O$1001,0),1)&gt;=100000,INDEX($V$1005:$AE$1005,1,MATCH(COLUMNS($V$1006:V1006),$V$1006:$AE$1006,0))&gt;=100000), " ",IF(INDEX($V$2:$AE$1001,MATCH(ROWS($O$2:O220),$O$2:$O$1001,0),MATCH(COLUMNS($V$1006:V1006),$V$1006:$AE$1006,0)), HYPERLINK("#",""), HYPERLINK(CONCATENATE("#Metadata!", ADDRESS(INDEX($Q$2:$Q$1001,MATCH(ROWS($O$2:O220),$O$2:$O$1001,0),0), INDEX($V$1004:$AE$1004,1,MATCH(COLUMNS($V$1006:V1006),$V$1006:$AE$1006,0)))),"Fix")))</f>
        <v>0</v>
      </c>
      <c r="C220" s="3">
        <f>IF(OR(INDEX($P$2:$P$1001,MATCH(ROWS($O$2:O220),$O$2:$O$1001,0),1)&gt;=100000,INDEX($V$1005:$AE$1005,1,MATCH(COLUMNS($V$1006:W1006),$V$1006:$AE$1006,0))&gt;=100000), " ",IF(INDEX($V$2:$AE$1001,MATCH(ROWS($O$2:O220),$O$2:$O$1001,0),MATCH(COLUMNS($V$1006:W1006),$V$1006:$AE$1006,0)), HYPERLINK("#",""), HYPERLINK(CONCATENATE("#Metadata!", ADDRESS(INDEX($Q$2:$Q$1001,MATCH(ROWS($O$2:O220),$O$2:$O$1001,0),0), INDEX($V$1004:$AE$1004,1,MATCH(COLUMNS($V$1006:W1006),$V$1006:$AE$1006,0)))),"Fix")))</f>
        <v>0</v>
      </c>
      <c r="D220" s="3">
        <f>IF(OR(INDEX($P$2:$P$1001,MATCH(ROWS($O$2:O220),$O$2:$O$1001,0),1)&gt;=100000,INDEX($V$1005:$AE$1005,1,MATCH(COLUMNS($V$1006:X1006),$V$1006:$AE$1006,0))&gt;=100000), " ",IF(INDEX($V$2:$AE$1001,MATCH(ROWS($O$2:O220),$O$2:$O$1001,0),MATCH(COLUMNS($V$1006:X1006),$V$1006:$AE$1006,0)), HYPERLINK("#",""), HYPERLINK(CONCATENATE("#Metadata!", ADDRESS(INDEX($Q$2:$Q$1001,MATCH(ROWS($O$2:O220),$O$2:$O$1001,0),0), INDEX($V$1004:$AE$1004,1,MATCH(COLUMNS($V$1006:X1006),$V$1006:$AE$1006,0)))),"Fix")))</f>
        <v>0</v>
      </c>
      <c r="E220" s="3">
        <f>IF(OR(INDEX($P$2:$P$1001,MATCH(ROWS($O$2:O220),$O$2:$O$1001,0),1)&gt;=100000,INDEX($V$1005:$AE$1005,1,MATCH(COLUMNS($V$1006:Y1006),$V$1006:$AE$1006,0))&gt;=100000), " ",IF(INDEX($V$2:$AE$1001,MATCH(ROWS($O$2:O220),$O$2:$O$1001,0),MATCH(COLUMNS($V$1006:Y1006),$V$1006:$AE$1006,0)), HYPERLINK("#",""), HYPERLINK(CONCATENATE("#Metadata!", ADDRESS(INDEX($Q$2:$Q$1001,MATCH(ROWS($O$2:O220),$O$2:$O$1001,0),0), INDEX($V$1004:$AE$1004,1,MATCH(COLUMNS($V$1006:Y1006),$V$1006:$AE$1006,0)))),"Fix")))</f>
        <v>0</v>
      </c>
      <c r="F220" s="3">
        <f>IF(OR(INDEX($P$2:$P$1001,MATCH(ROWS($O$2:O220),$O$2:$O$1001,0),1)&gt;=100000,INDEX($V$1005:$AE$1005,1,MATCH(COLUMNS($V$1006:Z1006),$V$1006:$AE$1006,0))&gt;=100000), " ",IF(INDEX($V$2:$AE$1001,MATCH(ROWS($O$2:O220),$O$2:$O$1001,0),MATCH(COLUMNS($V$1006:Z1006),$V$1006:$AE$1006,0)), HYPERLINK("#",""), HYPERLINK(CONCATENATE("#Metadata!", ADDRESS(INDEX($Q$2:$Q$1001,MATCH(ROWS($O$2:O220),$O$2:$O$1001,0),0), INDEX($V$1004:$AE$1004,1,MATCH(COLUMNS($V$1006:Z1006),$V$1006:$AE$1006,0)))),"Fix")))</f>
        <v>0</v>
      </c>
      <c r="G220" s="3">
        <f>IF(OR(INDEX($P$2:$P$1001,MATCH(ROWS($O$2:O220),$O$2:$O$1001,0),1)&gt;=100000,INDEX($V$1005:$AE$1005,1,MATCH(COLUMNS($V$1006:AA1006),$V$1006:$AE$1006,0))&gt;=100000), " ",IF(INDEX($V$2:$AE$1001,MATCH(ROWS($O$2:O220),$O$2:$O$1001,0),MATCH(COLUMNS($V$1006:AA1006),$V$1006:$AE$1006,0)), HYPERLINK("#",""), HYPERLINK(CONCATENATE("#Metadata!", ADDRESS(INDEX($Q$2:$Q$1001,MATCH(ROWS($O$2:O220),$O$2:$O$1001,0),0), INDEX($V$1004:$AE$1004,1,MATCH(COLUMNS($V$1006:AA1006),$V$1006:$AE$1006,0)))),"Fix")))</f>
        <v>0</v>
      </c>
      <c r="H220" s="3">
        <f>IF(OR(INDEX($P$2:$P$1001,MATCH(ROWS($O$2:O220),$O$2:$O$1001,0),1)&gt;=100000,INDEX($V$1005:$AE$1005,1,MATCH(COLUMNS($V$1006:AB1006),$V$1006:$AE$1006,0))&gt;=100000), " ",IF(INDEX($V$2:$AE$1001,MATCH(ROWS($O$2:O220),$O$2:$O$1001,0),MATCH(COLUMNS($V$1006:AB1006),$V$1006:$AE$1006,0)), HYPERLINK("#",""), HYPERLINK(CONCATENATE("#Metadata!", ADDRESS(INDEX($Q$2:$Q$1001,MATCH(ROWS($O$2:O220),$O$2:$O$1001,0),0), INDEX($V$1004:$AE$1004,1,MATCH(COLUMNS($V$1006:AB1006),$V$1006:$AE$1006,0)))),"Fix")))</f>
        <v>0</v>
      </c>
      <c r="I220" s="3">
        <f>IF(OR(INDEX($P$2:$P$1001,MATCH(ROWS($O$2:O220),$O$2:$O$1001,0),1)&gt;=100000,INDEX($V$1005:$AE$1005,1,MATCH(COLUMNS($V$1006:AC1006),$V$1006:$AE$1006,0))&gt;=100000), " ",IF(INDEX($V$2:$AE$1001,MATCH(ROWS($O$2:O220),$O$2:$O$1001,0),MATCH(COLUMNS($V$1006:AC1006),$V$1006:$AE$1006,0)), HYPERLINK("#",""), HYPERLINK(CONCATENATE("#Metadata!", ADDRESS(INDEX($Q$2:$Q$1001,MATCH(ROWS($O$2:O220),$O$2:$O$1001,0),0), INDEX($V$1004:$AE$1004,1,MATCH(COLUMNS($V$1006:AC1006),$V$1006:$AE$1006,0)))),"Fix")))</f>
        <v>0</v>
      </c>
      <c r="J220" s="3">
        <f>IF(OR(INDEX($P$2:$P$1001,MATCH(ROWS($O$2:O220),$O$2:$O$1001,0),1)&gt;=100000,INDEX($V$1005:$AE$1005,1,MATCH(COLUMNS($V$1006:AD1006),$V$1006:$AE$1006,0))&gt;=100000), " ",IF(INDEX($V$2:$AE$1001,MATCH(ROWS($O$2:O220),$O$2:$O$1001,0),MATCH(COLUMNS($V$1006:AD1006),$V$1006:$AE$1006,0)), HYPERLINK("#",""), HYPERLINK(CONCATENATE("#Metadata!", ADDRESS(INDEX($Q$2:$Q$1001,MATCH(ROWS($O$2:O220),$O$2:$O$1001,0),0), INDEX($V$1004:$AE$1004,1,MATCH(COLUMNS($V$1006:AD1006),$V$1006:$AE$1006,0)))),"Fix")))</f>
        <v>0</v>
      </c>
      <c r="K220" s="3">
        <f>IF(OR(INDEX($P$2:$P$1001,MATCH(ROWS($O$2:O220),$O$2:$O$1001,0),1)&gt;=100000,INDEX($V$1005:$AE$1005,1,MATCH(COLUMNS($V$1006:AE1006),$V$1006:$AE$1006,0))&gt;=100000), " ",IF(INDEX($V$2:$AE$1001,MATCH(ROWS($O$2:O220),$O$2:$O$1001,0),MATCH(COLUMNS($V$1006:AE1006),$V$1006:$AE$1006,0)), HYPERLINK("#",""), HYPERLINK(CONCATENATE("#Metadata!", ADDRESS(INDEX($Q$2:$Q$1001,MATCH(ROWS($O$2:O220),$O$2:$O$1001,0),0), INDEX($V$1004:$AE$1004,1,MATCH(COLUMNS($V$1006:AE1006),$V$1006:$AE$1006,0)))),"Fix")))</f>
        <v>0</v>
      </c>
      <c r="O220">
        <v>0</v>
      </c>
      <c r="P220">
        <v>0</v>
      </c>
      <c r="Q220">
        <v>0</v>
      </c>
      <c r="R220">
        <f>IF(S220,TRUE,AND(V220:AE220))</f>
        <v>0</v>
      </c>
      <c r="S220">
        <f>COUNTBLANK(Metadata!B220:K220)=COLUMNS(Metadata!B220:K220)</f>
        <v>0</v>
      </c>
      <c r="T220">
        <v>0</v>
      </c>
      <c r="V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W220">
        <f>AND(IF(Metadata!C220="",FALSE,TRUE),exact(Metadata!C220,"animal secretion"))</f>
        <v>0</v>
      </c>
      <c r="X220">
        <f>AND(IF(Metadata!D220="",FALSE,TRUE),exact(Metadata!D220,"saliva"))</f>
        <v>0</v>
      </c>
      <c r="Y220">
        <f>AND(IF(Metadata!E220="",FALSE,TRUE),exact(Metadata!E220,"human-oral"))</f>
        <v>0</v>
      </c>
      <c r="Z220">
        <f>AND(IF(Metadata!F220="",FALSE,TRUE),exact(Metadata!F220,"UBERON:oral cavity"))</f>
        <v>0</v>
      </c>
      <c r="AA220">
        <f>AND(IF(Metadata!G220="",FALSE,TRUE),exact(Metadata!G220,"UBERON:saliva"))</f>
        <v>0</v>
      </c>
      <c r="AB220">
        <f>AND(IF(Metadata!H220="",FALSE,TRUE),exact(Metadata!H220,"UBERON:tongue"))</f>
        <v>0</v>
      </c>
      <c r="AC220">
        <f>AND(IF(Metadata!I220="",FALSE,TRUE),exact(Metadata!I220,"tongue"))</f>
        <v>0</v>
      </c>
      <c r="AD220">
        <f>AND(IF(Metadata!J220="",FALSE,TRUE),exact(Metadata!J220,"human oral metagenome"))</f>
        <v>0</v>
      </c>
      <c r="AE220">
        <f>AND(IF(Metadata!K220="",FALSE,TRUE),exact(Metadata!K220,"447426"))</f>
        <v>0</v>
      </c>
    </row>
    <row r="221" spans="1:31">
      <c r="A221" s="4">
        <f>IF(B221=" "," ",HYPERLINK(CONCATENATE("#metadata!",ADDRESS(INDEX($Q$2:$Q$1001,MATCH(ROWS($O$2:O221),$O$2:$O$1001,0),0),1)),INDEX($T$2:$T$1001,MATCH(ROWS($O$2:O221),$O$2:$O$1001,0),0)))</f>
        <v>0</v>
      </c>
      <c r="B221" s="3">
        <f>IF(OR(INDEX($P$2:$P$1001,MATCH(ROWS($O$2:O221),$O$2:$O$1001,0),1)&gt;=100000,INDEX($V$1005:$AE$1005,1,MATCH(COLUMNS($V$1006:V1006),$V$1006:$AE$1006,0))&gt;=100000), " ",IF(INDEX($V$2:$AE$1001,MATCH(ROWS($O$2:O221),$O$2:$O$1001,0),MATCH(COLUMNS($V$1006:V1006),$V$1006:$AE$1006,0)), HYPERLINK("#",""), HYPERLINK(CONCATENATE("#Metadata!", ADDRESS(INDEX($Q$2:$Q$1001,MATCH(ROWS($O$2:O221),$O$2:$O$1001,0),0), INDEX($V$1004:$AE$1004,1,MATCH(COLUMNS($V$1006:V1006),$V$1006:$AE$1006,0)))),"Fix")))</f>
        <v>0</v>
      </c>
      <c r="C221" s="3">
        <f>IF(OR(INDEX($P$2:$P$1001,MATCH(ROWS($O$2:O221),$O$2:$O$1001,0),1)&gt;=100000,INDEX($V$1005:$AE$1005,1,MATCH(COLUMNS($V$1006:W1006),$V$1006:$AE$1006,0))&gt;=100000), " ",IF(INDEX($V$2:$AE$1001,MATCH(ROWS($O$2:O221),$O$2:$O$1001,0),MATCH(COLUMNS($V$1006:W1006),$V$1006:$AE$1006,0)), HYPERLINK("#",""), HYPERLINK(CONCATENATE("#Metadata!", ADDRESS(INDEX($Q$2:$Q$1001,MATCH(ROWS($O$2:O221),$O$2:$O$1001,0),0), INDEX($V$1004:$AE$1004,1,MATCH(COLUMNS($V$1006:W1006),$V$1006:$AE$1006,0)))),"Fix")))</f>
        <v>0</v>
      </c>
      <c r="D221" s="3">
        <f>IF(OR(INDEX($P$2:$P$1001,MATCH(ROWS($O$2:O221),$O$2:$O$1001,0),1)&gt;=100000,INDEX($V$1005:$AE$1005,1,MATCH(COLUMNS($V$1006:X1006),$V$1006:$AE$1006,0))&gt;=100000), " ",IF(INDEX($V$2:$AE$1001,MATCH(ROWS($O$2:O221),$O$2:$O$1001,0),MATCH(COLUMNS($V$1006:X1006),$V$1006:$AE$1006,0)), HYPERLINK("#",""), HYPERLINK(CONCATENATE("#Metadata!", ADDRESS(INDEX($Q$2:$Q$1001,MATCH(ROWS($O$2:O221),$O$2:$O$1001,0),0), INDEX($V$1004:$AE$1004,1,MATCH(COLUMNS($V$1006:X1006),$V$1006:$AE$1006,0)))),"Fix")))</f>
        <v>0</v>
      </c>
      <c r="E221" s="3">
        <f>IF(OR(INDEX($P$2:$P$1001,MATCH(ROWS($O$2:O221),$O$2:$O$1001,0),1)&gt;=100000,INDEX($V$1005:$AE$1005,1,MATCH(COLUMNS($V$1006:Y1006),$V$1006:$AE$1006,0))&gt;=100000), " ",IF(INDEX($V$2:$AE$1001,MATCH(ROWS($O$2:O221),$O$2:$O$1001,0),MATCH(COLUMNS($V$1006:Y1006),$V$1006:$AE$1006,0)), HYPERLINK("#",""), HYPERLINK(CONCATENATE("#Metadata!", ADDRESS(INDEX($Q$2:$Q$1001,MATCH(ROWS($O$2:O221),$O$2:$O$1001,0),0), INDEX($V$1004:$AE$1004,1,MATCH(COLUMNS($V$1006:Y1006),$V$1006:$AE$1006,0)))),"Fix")))</f>
        <v>0</v>
      </c>
      <c r="F221" s="3">
        <f>IF(OR(INDEX($P$2:$P$1001,MATCH(ROWS($O$2:O221),$O$2:$O$1001,0),1)&gt;=100000,INDEX($V$1005:$AE$1005,1,MATCH(COLUMNS($V$1006:Z1006),$V$1006:$AE$1006,0))&gt;=100000), " ",IF(INDEX($V$2:$AE$1001,MATCH(ROWS($O$2:O221),$O$2:$O$1001,0),MATCH(COLUMNS($V$1006:Z1006),$V$1006:$AE$1006,0)), HYPERLINK("#",""), HYPERLINK(CONCATENATE("#Metadata!", ADDRESS(INDEX($Q$2:$Q$1001,MATCH(ROWS($O$2:O221),$O$2:$O$1001,0),0), INDEX($V$1004:$AE$1004,1,MATCH(COLUMNS($V$1006:Z1006),$V$1006:$AE$1006,0)))),"Fix")))</f>
        <v>0</v>
      </c>
      <c r="G221" s="3">
        <f>IF(OR(INDEX($P$2:$P$1001,MATCH(ROWS($O$2:O221),$O$2:$O$1001,0),1)&gt;=100000,INDEX($V$1005:$AE$1005,1,MATCH(COLUMNS($V$1006:AA1006),$V$1006:$AE$1006,0))&gt;=100000), " ",IF(INDEX($V$2:$AE$1001,MATCH(ROWS($O$2:O221),$O$2:$O$1001,0),MATCH(COLUMNS($V$1006:AA1006),$V$1006:$AE$1006,0)), HYPERLINK("#",""), HYPERLINK(CONCATENATE("#Metadata!", ADDRESS(INDEX($Q$2:$Q$1001,MATCH(ROWS($O$2:O221),$O$2:$O$1001,0),0), INDEX($V$1004:$AE$1004,1,MATCH(COLUMNS($V$1006:AA1006),$V$1006:$AE$1006,0)))),"Fix")))</f>
        <v>0</v>
      </c>
      <c r="H221" s="3">
        <f>IF(OR(INDEX($P$2:$P$1001,MATCH(ROWS($O$2:O221),$O$2:$O$1001,0),1)&gt;=100000,INDEX($V$1005:$AE$1005,1,MATCH(COLUMNS($V$1006:AB1006),$V$1006:$AE$1006,0))&gt;=100000), " ",IF(INDEX($V$2:$AE$1001,MATCH(ROWS($O$2:O221),$O$2:$O$1001,0),MATCH(COLUMNS($V$1006:AB1006),$V$1006:$AE$1006,0)), HYPERLINK("#",""), HYPERLINK(CONCATENATE("#Metadata!", ADDRESS(INDEX($Q$2:$Q$1001,MATCH(ROWS($O$2:O221),$O$2:$O$1001,0),0), INDEX($V$1004:$AE$1004,1,MATCH(COLUMNS($V$1006:AB1006),$V$1006:$AE$1006,0)))),"Fix")))</f>
        <v>0</v>
      </c>
      <c r="I221" s="3">
        <f>IF(OR(INDEX($P$2:$P$1001,MATCH(ROWS($O$2:O221),$O$2:$O$1001,0),1)&gt;=100000,INDEX($V$1005:$AE$1005,1,MATCH(COLUMNS($V$1006:AC1006),$V$1006:$AE$1006,0))&gt;=100000), " ",IF(INDEX($V$2:$AE$1001,MATCH(ROWS($O$2:O221),$O$2:$O$1001,0),MATCH(COLUMNS($V$1006:AC1006),$V$1006:$AE$1006,0)), HYPERLINK("#",""), HYPERLINK(CONCATENATE("#Metadata!", ADDRESS(INDEX($Q$2:$Q$1001,MATCH(ROWS($O$2:O221),$O$2:$O$1001,0),0), INDEX($V$1004:$AE$1004,1,MATCH(COLUMNS($V$1006:AC1006),$V$1006:$AE$1006,0)))),"Fix")))</f>
        <v>0</v>
      </c>
      <c r="J221" s="3">
        <f>IF(OR(INDEX($P$2:$P$1001,MATCH(ROWS($O$2:O221),$O$2:$O$1001,0),1)&gt;=100000,INDEX($V$1005:$AE$1005,1,MATCH(COLUMNS($V$1006:AD1006),$V$1006:$AE$1006,0))&gt;=100000), " ",IF(INDEX($V$2:$AE$1001,MATCH(ROWS($O$2:O221),$O$2:$O$1001,0),MATCH(COLUMNS($V$1006:AD1006),$V$1006:$AE$1006,0)), HYPERLINK("#",""), HYPERLINK(CONCATENATE("#Metadata!", ADDRESS(INDEX($Q$2:$Q$1001,MATCH(ROWS($O$2:O221),$O$2:$O$1001,0),0), INDEX($V$1004:$AE$1004,1,MATCH(COLUMNS($V$1006:AD1006),$V$1006:$AE$1006,0)))),"Fix")))</f>
        <v>0</v>
      </c>
      <c r="K221" s="3">
        <f>IF(OR(INDEX($P$2:$P$1001,MATCH(ROWS($O$2:O221),$O$2:$O$1001,0),1)&gt;=100000,INDEX($V$1005:$AE$1005,1,MATCH(COLUMNS($V$1006:AE1006),$V$1006:$AE$1006,0))&gt;=100000), " ",IF(INDEX($V$2:$AE$1001,MATCH(ROWS($O$2:O221),$O$2:$O$1001,0),MATCH(COLUMNS($V$1006:AE1006),$V$1006:$AE$1006,0)), HYPERLINK("#",""), HYPERLINK(CONCATENATE("#Metadata!", ADDRESS(INDEX($Q$2:$Q$1001,MATCH(ROWS($O$2:O221),$O$2:$O$1001,0),0), INDEX($V$1004:$AE$1004,1,MATCH(COLUMNS($V$1006:AE1006),$V$1006:$AE$1006,0)))),"Fix")))</f>
        <v>0</v>
      </c>
      <c r="O221">
        <v>0</v>
      </c>
      <c r="P221">
        <v>0</v>
      </c>
      <c r="Q221">
        <v>0</v>
      </c>
      <c r="R221">
        <f>IF(S221,TRUE,AND(V221:AE221))</f>
        <v>0</v>
      </c>
      <c r="S221">
        <f>COUNTBLANK(Metadata!B221:K221)=COLUMNS(Metadata!B221:K221)</f>
        <v>0</v>
      </c>
      <c r="T221">
        <v>0</v>
      </c>
      <c r="V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W221">
        <f>AND(IF(Metadata!C221="",FALSE,TRUE),exact(Metadata!C221,"animal secretion"))</f>
        <v>0</v>
      </c>
      <c r="X221">
        <f>AND(IF(Metadata!D221="",FALSE,TRUE),exact(Metadata!D221,"saliva"))</f>
        <v>0</v>
      </c>
      <c r="Y221">
        <f>AND(IF(Metadata!E221="",FALSE,TRUE),exact(Metadata!E221,"human-oral"))</f>
        <v>0</v>
      </c>
      <c r="Z221">
        <f>AND(IF(Metadata!F221="",FALSE,TRUE),exact(Metadata!F221,"UBERON:oral cavity"))</f>
        <v>0</v>
      </c>
      <c r="AA221">
        <f>AND(IF(Metadata!G221="",FALSE,TRUE),exact(Metadata!G221,"UBERON:saliva"))</f>
        <v>0</v>
      </c>
      <c r="AB221">
        <f>AND(IF(Metadata!H221="",FALSE,TRUE),exact(Metadata!H221,"UBERON:tongue"))</f>
        <v>0</v>
      </c>
      <c r="AC221">
        <f>AND(IF(Metadata!I221="",FALSE,TRUE),exact(Metadata!I221,"tongue"))</f>
        <v>0</v>
      </c>
      <c r="AD221">
        <f>AND(IF(Metadata!J221="",FALSE,TRUE),exact(Metadata!J221,"human oral metagenome"))</f>
        <v>0</v>
      </c>
      <c r="AE221">
        <f>AND(IF(Metadata!K221="",FALSE,TRUE),exact(Metadata!K221,"447426"))</f>
        <v>0</v>
      </c>
    </row>
    <row r="222" spans="1:31">
      <c r="A222" s="4">
        <f>IF(B222=" "," ",HYPERLINK(CONCATENATE("#metadata!",ADDRESS(INDEX($Q$2:$Q$1001,MATCH(ROWS($O$2:O222),$O$2:$O$1001,0),0),1)),INDEX($T$2:$T$1001,MATCH(ROWS($O$2:O222),$O$2:$O$1001,0),0)))</f>
        <v>0</v>
      </c>
      <c r="B222" s="3">
        <f>IF(OR(INDEX($P$2:$P$1001,MATCH(ROWS($O$2:O222),$O$2:$O$1001,0),1)&gt;=100000,INDEX($V$1005:$AE$1005,1,MATCH(COLUMNS($V$1006:V1006),$V$1006:$AE$1006,0))&gt;=100000), " ",IF(INDEX($V$2:$AE$1001,MATCH(ROWS($O$2:O222),$O$2:$O$1001,0),MATCH(COLUMNS($V$1006:V1006),$V$1006:$AE$1006,0)), HYPERLINK("#",""), HYPERLINK(CONCATENATE("#Metadata!", ADDRESS(INDEX($Q$2:$Q$1001,MATCH(ROWS($O$2:O222),$O$2:$O$1001,0),0), INDEX($V$1004:$AE$1004,1,MATCH(COLUMNS($V$1006:V1006),$V$1006:$AE$1006,0)))),"Fix")))</f>
        <v>0</v>
      </c>
      <c r="C222" s="3">
        <f>IF(OR(INDEX($P$2:$P$1001,MATCH(ROWS($O$2:O222),$O$2:$O$1001,0),1)&gt;=100000,INDEX($V$1005:$AE$1005,1,MATCH(COLUMNS($V$1006:W1006),$V$1006:$AE$1006,0))&gt;=100000), " ",IF(INDEX($V$2:$AE$1001,MATCH(ROWS($O$2:O222),$O$2:$O$1001,0),MATCH(COLUMNS($V$1006:W1006),$V$1006:$AE$1006,0)), HYPERLINK("#",""), HYPERLINK(CONCATENATE("#Metadata!", ADDRESS(INDEX($Q$2:$Q$1001,MATCH(ROWS($O$2:O222),$O$2:$O$1001,0),0), INDEX($V$1004:$AE$1004,1,MATCH(COLUMNS($V$1006:W1006),$V$1006:$AE$1006,0)))),"Fix")))</f>
        <v>0</v>
      </c>
      <c r="D222" s="3">
        <f>IF(OR(INDEX($P$2:$P$1001,MATCH(ROWS($O$2:O222),$O$2:$O$1001,0),1)&gt;=100000,INDEX($V$1005:$AE$1005,1,MATCH(COLUMNS($V$1006:X1006),$V$1006:$AE$1006,0))&gt;=100000), " ",IF(INDEX($V$2:$AE$1001,MATCH(ROWS($O$2:O222),$O$2:$O$1001,0),MATCH(COLUMNS($V$1006:X1006),$V$1006:$AE$1006,0)), HYPERLINK("#",""), HYPERLINK(CONCATENATE("#Metadata!", ADDRESS(INDEX($Q$2:$Q$1001,MATCH(ROWS($O$2:O222),$O$2:$O$1001,0),0), INDEX($V$1004:$AE$1004,1,MATCH(COLUMNS($V$1006:X1006),$V$1006:$AE$1006,0)))),"Fix")))</f>
        <v>0</v>
      </c>
      <c r="E222" s="3">
        <f>IF(OR(INDEX($P$2:$P$1001,MATCH(ROWS($O$2:O222),$O$2:$O$1001,0),1)&gt;=100000,INDEX($V$1005:$AE$1005,1,MATCH(COLUMNS($V$1006:Y1006),$V$1006:$AE$1006,0))&gt;=100000), " ",IF(INDEX($V$2:$AE$1001,MATCH(ROWS($O$2:O222),$O$2:$O$1001,0),MATCH(COLUMNS($V$1006:Y1006),$V$1006:$AE$1006,0)), HYPERLINK("#",""), HYPERLINK(CONCATENATE("#Metadata!", ADDRESS(INDEX($Q$2:$Q$1001,MATCH(ROWS($O$2:O222),$O$2:$O$1001,0),0), INDEX($V$1004:$AE$1004,1,MATCH(COLUMNS($V$1006:Y1006),$V$1006:$AE$1006,0)))),"Fix")))</f>
        <v>0</v>
      </c>
      <c r="F222" s="3">
        <f>IF(OR(INDEX($P$2:$P$1001,MATCH(ROWS($O$2:O222),$O$2:$O$1001,0),1)&gt;=100000,INDEX($V$1005:$AE$1005,1,MATCH(COLUMNS($V$1006:Z1006),$V$1006:$AE$1006,0))&gt;=100000), " ",IF(INDEX($V$2:$AE$1001,MATCH(ROWS($O$2:O222),$O$2:$O$1001,0),MATCH(COLUMNS($V$1006:Z1006),$V$1006:$AE$1006,0)), HYPERLINK("#",""), HYPERLINK(CONCATENATE("#Metadata!", ADDRESS(INDEX($Q$2:$Q$1001,MATCH(ROWS($O$2:O222),$O$2:$O$1001,0),0), INDEX($V$1004:$AE$1004,1,MATCH(COLUMNS($V$1006:Z1006),$V$1006:$AE$1006,0)))),"Fix")))</f>
        <v>0</v>
      </c>
      <c r="G222" s="3">
        <f>IF(OR(INDEX($P$2:$P$1001,MATCH(ROWS($O$2:O222),$O$2:$O$1001,0),1)&gt;=100000,INDEX($V$1005:$AE$1005,1,MATCH(COLUMNS($V$1006:AA1006),$V$1006:$AE$1006,0))&gt;=100000), " ",IF(INDEX($V$2:$AE$1001,MATCH(ROWS($O$2:O222),$O$2:$O$1001,0),MATCH(COLUMNS($V$1006:AA1006),$V$1006:$AE$1006,0)), HYPERLINK("#",""), HYPERLINK(CONCATENATE("#Metadata!", ADDRESS(INDEX($Q$2:$Q$1001,MATCH(ROWS($O$2:O222),$O$2:$O$1001,0),0), INDEX($V$1004:$AE$1004,1,MATCH(COLUMNS($V$1006:AA1006),$V$1006:$AE$1006,0)))),"Fix")))</f>
        <v>0</v>
      </c>
      <c r="H222" s="3">
        <f>IF(OR(INDEX($P$2:$P$1001,MATCH(ROWS($O$2:O222),$O$2:$O$1001,0),1)&gt;=100000,INDEX($V$1005:$AE$1005,1,MATCH(COLUMNS($V$1006:AB1006),$V$1006:$AE$1006,0))&gt;=100000), " ",IF(INDEX($V$2:$AE$1001,MATCH(ROWS($O$2:O222),$O$2:$O$1001,0),MATCH(COLUMNS($V$1006:AB1006),$V$1006:$AE$1006,0)), HYPERLINK("#",""), HYPERLINK(CONCATENATE("#Metadata!", ADDRESS(INDEX($Q$2:$Q$1001,MATCH(ROWS($O$2:O222),$O$2:$O$1001,0),0), INDEX($V$1004:$AE$1004,1,MATCH(COLUMNS($V$1006:AB1006),$V$1006:$AE$1006,0)))),"Fix")))</f>
        <v>0</v>
      </c>
      <c r="I222" s="3">
        <f>IF(OR(INDEX($P$2:$P$1001,MATCH(ROWS($O$2:O222),$O$2:$O$1001,0),1)&gt;=100000,INDEX($V$1005:$AE$1005,1,MATCH(COLUMNS($V$1006:AC1006),$V$1006:$AE$1006,0))&gt;=100000), " ",IF(INDEX($V$2:$AE$1001,MATCH(ROWS($O$2:O222),$O$2:$O$1001,0),MATCH(COLUMNS($V$1006:AC1006),$V$1006:$AE$1006,0)), HYPERLINK("#",""), HYPERLINK(CONCATENATE("#Metadata!", ADDRESS(INDEX($Q$2:$Q$1001,MATCH(ROWS($O$2:O222),$O$2:$O$1001,0),0), INDEX($V$1004:$AE$1004,1,MATCH(COLUMNS($V$1006:AC1006),$V$1006:$AE$1006,0)))),"Fix")))</f>
        <v>0</v>
      </c>
      <c r="J222" s="3">
        <f>IF(OR(INDEX($P$2:$P$1001,MATCH(ROWS($O$2:O222),$O$2:$O$1001,0),1)&gt;=100000,INDEX($V$1005:$AE$1005,1,MATCH(COLUMNS($V$1006:AD1006),$V$1006:$AE$1006,0))&gt;=100000), " ",IF(INDEX($V$2:$AE$1001,MATCH(ROWS($O$2:O222),$O$2:$O$1001,0),MATCH(COLUMNS($V$1006:AD1006),$V$1006:$AE$1006,0)), HYPERLINK("#",""), HYPERLINK(CONCATENATE("#Metadata!", ADDRESS(INDEX($Q$2:$Q$1001,MATCH(ROWS($O$2:O222),$O$2:$O$1001,0),0), INDEX($V$1004:$AE$1004,1,MATCH(COLUMNS($V$1006:AD1006),$V$1006:$AE$1006,0)))),"Fix")))</f>
        <v>0</v>
      </c>
      <c r="K222" s="3">
        <f>IF(OR(INDEX($P$2:$P$1001,MATCH(ROWS($O$2:O222),$O$2:$O$1001,0),1)&gt;=100000,INDEX($V$1005:$AE$1005,1,MATCH(COLUMNS($V$1006:AE1006),$V$1006:$AE$1006,0))&gt;=100000), " ",IF(INDEX($V$2:$AE$1001,MATCH(ROWS($O$2:O222),$O$2:$O$1001,0),MATCH(COLUMNS($V$1006:AE1006),$V$1006:$AE$1006,0)), HYPERLINK("#",""), HYPERLINK(CONCATENATE("#Metadata!", ADDRESS(INDEX($Q$2:$Q$1001,MATCH(ROWS($O$2:O222),$O$2:$O$1001,0),0), INDEX($V$1004:$AE$1004,1,MATCH(COLUMNS($V$1006:AE1006),$V$1006:$AE$1006,0)))),"Fix")))</f>
        <v>0</v>
      </c>
      <c r="O222">
        <v>0</v>
      </c>
      <c r="P222">
        <v>0</v>
      </c>
      <c r="Q222">
        <v>0</v>
      </c>
      <c r="R222">
        <f>IF(S222,TRUE,AND(V222:AE222))</f>
        <v>0</v>
      </c>
      <c r="S222">
        <f>COUNTBLANK(Metadata!B222:K222)=COLUMNS(Metadata!B222:K222)</f>
        <v>0</v>
      </c>
      <c r="T222">
        <v>0</v>
      </c>
      <c r="V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W222">
        <f>AND(IF(Metadata!C222="",FALSE,TRUE),exact(Metadata!C222,"animal secretion"))</f>
        <v>0</v>
      </c>
      <c r="X222">
        <f>AND(IF(Metadata!D222="",FALSE,TRUE),exact(Metadata!D222,"saliva"))</f>
        <v>0</v>
      </c>
      <c r="Y222">
        <f>AND(IF(Metadata!E222="",FALSE,TRUE),exact(Metadata!E222,"human-oral"))</f>
        <v>0</v>
      </c>
      <c r="Z222">
        <f>AND(IF(Metadata!F222="",FALSE,TRUE),exact(Metadata!F222,"UBERON:oral cavity"))</f>
        <v>0</v>
      </c>
      <c r="AA222">
        <f>AND(IF(Metadata!G222="",FALSE,TRUE),exact(Metadata!G222,"UBERON:saliva"))</f>
        <v>0</v>
      </c>
      <c r="AB222">
        <f>AND(IF(Metadata!H222="",FALSE,TRUE),exact(Metadata!H222,"UBERON:tongue"))</f>
        <v>0</v>
      </c>
      <c r="AC222">
        <f>AND(IF(Metadata!I222="",FALSE,TRUE),exact(Metadata!I222,"tongue"))</f>
        <v>0</v>
      </c>
      <c r="AD222">
        <f>AND(IF(Metadata!J222="",FALSE,TRUE),exact(Metadata!J222,"human oral metagenome"))</f>
        <v>0</v>
      </c>
      <c r="AE222">
        <f>AND(IF(Metadata!K222="",FALSE,TRUE),exact(Metadata!K222,"447426"))</f>
        <v>0</v>
      </c>
    </row>
    <row r="223" spans="1:31">
      <c r="A223" s="4">
        <f>IF(B223=" "," ",HYPERLINK(CONCATENATE("#metadata!",ADDRESS(INDEX($Q$2:$Q$1001,MATCH(ROWS($O$2:O223),$O$2:$O$1001,0),0),1)),INDEX($T$2:$T$1001,MATCH(ROWS($O$2:O223),$O$2:$O$1001,0),0)))</f>
        <v>0</v>
      </c>
      <c r="B223" s="3">
        <f>IF(OR(INDEX($P$2:$P$1001,MATCH(ROWS($O$2:O223),$O$2:$O$1001,0),1)&gt;=100000,INDEX($V$1005:$AE$1005,1,MATCH(COLUMNS($V$1006:V1006),$V$1006:$AE$1006,0))&gt;=100000), " ",IF(INDEX($V$2:$AE$1001,MATCH(ROWS($O$2:O223),$O$2:$O$1001,0),MATCH(COLUMNS($V$1006:V1006),$V$1006:$AE$1006,0)), HYPERLINK("#",""), HYPERLINK(CONCATENATE("#Metadata!", ADDRESS(INDEX($Q$2:$Q$1001,MATCH(ROWS($O$2:O223),$O$2:$O$1001,0),0), INDEX($V$1004:$AE$1004,1,MATCH(COLUMNS($V$1006:V1006),$V$1006:$AE$1006,0)))),"Fix")))</f>
        <v>0</v>
      </c>
      <c r="C223" s="3">
        <f>IF(OR(INDEX($P$2:$P$1001,MATCH(ROWS($O$2:O223),$O$2:$O$1001,0),1)&gt;=100000,INDEX($V$1005:$AE$1005,1,MATCH(COLUMNS($V$1006:W1006),$V$1006:$AE$1006,0))&gt;=100000), " ",IF(INDEX($V$2:$AE$1001,MATCH(ROWS($O$2:O223),$O$2:$O$1001,0),MATCH(COLUMNS($V$1006:W1006),$V$1006:$AE$1006,0)), HYPERLINK("#",""), HYPERLINK(CONCATENATE("#Metadata!", ADDRESS(INDEX($Q$2:$Q$1001,MATCH(ROWS($O$2:O223),$O$2:$O$1001,0),0), INDEX($V$1004:$AE$1004,1,MATCH(COLUMNS($V$1006:W1006),$V$1006:$AE$1006,0)))),"Fix")))</f>
        <v>0</v>
      </c>
      <c r="D223" s="3">
        <f>IF(OR(INDEX($P$2:$P$1001,MATCH(ROWS($O$2:O223),$O$2:$O$1001,0),1)&gt;=100000,INDEX($V$1005:$AE$1005,1,MATCH(COLUMNS($V$1006:X1006),$V$1006:$AE$1006,0))&gt;=100000), " ",IF(INDEX($V$2:$AE$1001,MATCH(ROWS($O$2:O223),$O$2:$O$1001,0),MATCH(COLUMNS($V$1006:X1006),$V$1006:$AE$1006,0)), HYPERLINK("#",""), HYPERLINK(CONCATENATE("#Metadata!", ADDRESS(INDEX($Q$2:$Q$1001,MATCH(ROWS($O$2:O223),$O$2:$O$1001,0),0), INDEX($V$1004:$AE$1004,1,MATCH(COLUMNS($V$1006:X1006),$V$1006:$AE$1006,0)))),"Fix")))</f>
        <v>0</v>
      </c>
      <c r="E223" s="3">
        <f>IF(OR(INDEX($P$2:$P$1001,MATCH(ROWS($O$2:O223),$O$2:$O$1001,0),1)&gt;=100000,INDEX($V$1005:$AE$1005,1,MATCH(COLUMNS($V$1006:Y1006),$V$1006:$AE$1006,0))&gt;=100000), " ",IF(INDEX($V$2:$AE$1001,MATCH(ROWS($O$2:O223),$O$2:$O$1001,0),MATCH(COLUMNS($V$1006:Y1006),$V$1006:$AE$1006,0)), HYPERLINK("#",""), HYPERLINK(CONCATENATE("#Metadata!", ADDRESS(INDEX($Q$2:$Q$1001,MATCH(ROWS($O$2:O223),$O$2:$O$1001,0),0), INDEX($V$1004:$AE$1004,1,MATCH(COLUMNS($V$1006:Y1006),$V$1006:$AE$1006,0)))),"Fix")))</f>
        <v>0</v>
      </c>
      <c r="F223" s="3">
        <f>IF(OR(INDEX($P$2:$P$1001,MATCH(ROWS($O$2:O223),$O$2:$O$1001,0),1)&gt;=100000,INDEX($V$1005:$AE$1005,1,MATCH(COLUMNS($V$1006:Z1006),$V$1006:$AE$1006,0))&gt;=100000), " ",IF(INDEX($V$2:$AE$1001,MATCH(ROWS($O$2:O223),$O$2:$O$1001,0),MATCH(COLUMNS($V$1006:Z1006),$V$1006:$AE$1006,0)), HYPERLINK("#",""), HYPERLINK(CONCATENATE("#Metadata!", ADDRESS(INDEX($Q$2:$Q$1001,MATCH(ROWS($O$2:O223),$O$2:$O$1001,0),0), INDEX($V$1004:$AE$1004,1,MATCH(COLUMNS($V$1006:Z1006),$V$1006:$AE$1006,0)))),"Fix")))</f>
        <v>0</v>
      </c>
      <c r="G223" s="3">
        <f>IF(OR(INDEX($P$2:$P$1001,MATCH(ROWS($O$2:O223),$O$2:$O$1001,0),1)&gt;=100000,INDEX($V$1005:$AE$1005,1,MATCH(COLUMNS($V$1006:AA1006),$V$1006:$AE$1006,0))&gt;=100000), " ",IF(INDEX($V$2:$AE$1001,MATCH(ROWS($O$2:O223),$O$2:$O$1001,0),MATCH(COLUMNS($V$1006:AA1006),$V$1006:$AE$1006,0)), HYPERLINK("#",""), HYPERLINK(CONCATENATE("#Metadata!", ADDRESS(INDEX($Q$2:$Q$1001,MATCH(ROWS($O$2:O223),$O$2:$O$1001,0),0), INDEX($V$1004:$AE$1004,1,MATCH(COLUMNS($V$1006:AA1006),$V$1006:$AE$1006,0)))),"Fix")))</f>
        <v>0</v>
      </c>
      <c r="H223" s="3">
        <f>IF(OR(INDEX($P$2:$P$1001,MATCH(ROWS($O$2:O223),$O$2:$O$1001,0),1)&gt;=100000,INDEX($V$1005:$AE$1005,1,MATCH(COLUMNS($V$1006:AB1006),$V$1006:$AE$1006,0))&gt;=100000), " ",IF(INDEX($V$2:$AE$1001,MATCH(ROWS($O$2:O223),$O$2:$O$1001,0),MATCH(COLUMNS($V$1006:AB1006),$V$1006:$AE$1006,0)), HYPERLINK("#",""), HYPERLINK(CONCATENATE("#Metadata!", ADDRESS(INDEX($Q$2:$Q$1001,MATCH(ROWS($O$2:O223),$O$2:$O$1001,0),0), INDEX($V$1004:$AE$1004,1,MATCH(COLUMNS($V$1006:AB1006),$V$1006:$AE$1006,0)))),"Fix")))</f>
        <v>0</v>
      </c>
      <c r="I223" s="3">
        <f>IF(OR(INDEX($P$2:$P$1001,MATCH(ROWS($O$2:O223),$O$2:$O$1001,0),1)&gt;=100000,INDEX($V$1005:$AE$1005,1,MATCH(COLUMNS($V$1006:AC1006),$V$1006:$AE$1006,0))&gt;=100000), " ",IF(INDEX($V$2:$AE$1001,MATCH(ROWS($O$2:O223),$O$2:$O$1001,0),MATCH(COLUMNS($V$1006:AC1006),$V$1006:$AE$1006,0)), HYPERLINK("#",""), HYPERLINK(CONCATENATE("#Metadata!", ADDRESS(INDEX($Q$2:$Q$1001,MATCH(ROWS($O$2:O223),$O$2:$O$1001,0),0), INDEX($V$1004:$AE$1004,1,MATCH(COLUMNS($V$1006:AC1006),$V$1006:$AE$1006,0)))),"Fix")))</f>
        <v>0</v>
      </c>
      <c r="J223" s="3">
        <f>IF(OR(INDEX($P$2:$P$1001,MATCH(ROWS($O$2:O223),$O$2:$O$1001,0),1)&gt;=100000,INDEX($V$1005:$AE$1005,1,MATCH(COLUMNS($V$1006:AD1006),$V$1006:$AE$1006,0))&gt;=100000), " ",IF(INDEX($V$2:$AE$1001,MATCH(ROWS($O$2:O223),$O$2:$O$1001,0),MATCH(COLUMNS($V$1006:AD1006),$V$1006:$AE$1006,0)), HYPERLINK("#",""), HYPERLINK(CONCATENATE("#Metadata!", ADDRESS(INDEX($Q$2:$Q$1001,MATCH(ROWS($O$2:O223),$O$2:$O$1001,0),0), INDEX($V$1004:$AE$1004,1,MATCH(COLUMNS($V$1006:AD1006),$V$1006:$AE$1006,0)))),"Fix")))</f>
        <v>0</v>
      </c>
      <c r="K223" s="3">
        <f>IF(OR(INDEX($P$2:$P$1001,MATCH(ROWS($O$2:O223),$O$2:$O$1001,0),1)&gt;=100000,INDEX($V$1005:$AE$1005,1,MATCH(COLUMNS($V$1006:AE1006),$V$1006:$AE$1006,0))&gt;=100000), " ",IF(INDEX($V$2:$AE$1001,MATCH(ROWS($O$2:O223),$O$2:$O$1001,0),MATCH(COLUMNS($V$1006:AE1006),$V$1006:$AE$1006,0)), HYPERLINK("#",""), HYPERLINK(CONCATENATE("#Metadata!", ADDRESS(INDEX($Q$2:$Q$1001,MATCH(ROWS($O$2:O223),$O$2:$O$1001,0),0), INDEX($V$1004:$AE$1004,1,MATCH(COLUMNS($V$1006:AE1006),$V$1006:$AE$1006,0)))),"Fix")))</f>
        <v>0</v>
      </c>
      <c r="O223">
        <v>0</v>
      </c>
      <c r="P223">
        <v>0</v>
      </c>
      <c r="Q223">
        <v>0</v>
      </c>
      <c r="R223">
        <f>IF(S223,TRUE,AND(V223:AE223))</f>
        <v>0</v>
      </c>
      <c r="S223">
        <f>COUNTBLANK(Metadata!B223:K223)=COLUMNS(Metadata!B223:K223)</f>
        <v>0</v>
      </c>
      <c r="T223">
        <v>0</v>
      </c>
      <c r="V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W223">
        <f>AND(IF(Metadata!C223="",FALSE,TRUE),exact(Metadata!C223,"animal secretion"))</f>
        <v>0</v>
      </c>
      <c r="X223">
        <f>AND(IF(Metadata!D223="",FALSE,TRUE),exact(Metadata!D223,"saliva"))</f>
        <v>0</v>
      </c>
      <c r="Y223">
        <f>AND(IF(Metadata!E223="",FALSE,TRUE),exact(Metadata!E223,"human-oral"))</f>
        <v>0</v>
      </c>
      <c r="Z223">
        <f>AND(IF(Metadata!F223="",FALSE,TRUE),exact(Metadata!F223,"UBERON:oral cavity"))</f>
        <v>0</v>
      </c>
      <c r="AA223">
        <f>AND(IF(Metadata!G223="",FALSE,TRUE),exact(Metadata!G223,"UBERON:saliva"))</f>
        <v>0</v>
      </c>
      <c r="AB223">
        <f>AND(IF(Metadata!H223="",FALSE,TRUE),exact(Metadata!H223,"UBERON:tongue"))</f>
        <v>0</v>
      </c>
      <c r="AC223">
        <f>AND(IF(Metadata!I223="",FALSE,TRUE),exact(Metadata!I223,"tongue"))</f>
        <v>0</v>
      </c>
      <c r="AD223">
        <f>AND(IF(Metadata!J223="",FALSE,TRUE),exact(Metadata!J223,"human oral metagenome"))</f>
        <v>0</v>
      </c>
      <c r="AE223">
        <f>AND(IF(Metadata!K223="",FALSE,TRUE),exact(Metadata!K223,"447426"))</f>
        <v>0</v>
      </c>
    </row>
    <row r="224" spans="1:31">
      <c r="A224" s="4">
        <f>IF(B224=" "," ",HYPERLINK(CONCATENATE("#metadata!",ADDRESS(INDEX($Q$2:$Q$1001,MATCH(ROWS($O$2:O224),$O$2:$O$1001,0),0),1)),INDEX($T$2:$T$1001,MATCH(ROWS($O$2:O224),$O$2:$O$1001,0),0)))</f>
        <v>0</v>
      </c>
      <c r="B224" s="3">
        <f>IF(OR(INDEX($P$2:$P$1001,MATCH(ROWS($O$2:O224),$O$2:$O$1001,0),1)&gt;=100000,INDEX($V$1005:$AE$1005,1,MATCH(COLUMNS($V$1006:V1006),$V$1006:$AE$1006,0))&gt;=100000), " ",IF(INDEX($V$2:$AE$1001,MATCH(ROWS($O$2:O224),$O$2:$O$1001,0),MATCH(COLUMNS($V$1006:V1006),$V$1006:$AE$1006,0)), HYPERLINK("#",""), HYPERLINK(CONCATENATE("#Metadata!", ADDRESS(INDEX($Q$2:$Q$1001,MATCH(ROWS($O$2:O224),$O$2:$O$1001,0),0), INDEX($V$1004:$AE$1004,1,MATCH(COLUMNS($V$1006:V1006),$V$1006:$AE$1006,0)))),"Fix")))</f>
        <v>0</v>
      </c>
      <c r="C224" s="3">
        <f>IF(OR(INDEX($P$2:$P$1001,MATCH(ROWS($O$2:O224),$O$2:$O$1001,0),1)&gt;=100000,INDEX($V$1005:$AE$1005,1,MATCH(COLUMNS($V$1006:W1006),$V$1006:$AE$1006,0))&gt;=100000), " ",IF(INDEX($V$2:$AE$1001,MATCH(ROWS($O$2:O224),$O$2:$O$1001,0),MATCH(COLUMNS($V$1006:W1006),$V$1006:$AE$1006,0)), HYPERLINK("#",""), HYPERLINK(CONCATENATE("#Metadata!", ADDRESS(INDEX($Q$2:$Q$1001,MATCH(ROWS($O$2:O224),$O$2:$O$1001,0),0), INDEX($V$1004:$AE$1004,1,MATCH(COLUMNS($V$1006:W1006),$V$1006:$AE$1006,0)))),"Fix")))</f>
        <v>0</v>
      </c>
      <c r="D224" s="3">
        <f>IF(OR(INDEX($P$2:$P$1001,MATCH(ROWS($O$2:O224),$O$2:$O$1001,0),1)&gt;=100000,INDEX($V$1005:$AE$1005,1,MATCH(COLUMNS($V$1006:X1006),$V$1006:$AE$1006,0))&gt;=100000), " ",IF(INDEX($V$2:$AE$1001,MATCH(ROWS($O$2:O224),$O$2:$O$1001,0),MATCH(COLUMNS($V$1006:X1006),$V$1006:$AE$1006,0)), HYPERLINK("#",""), HYPERLINK(CONCATENATE("#Metadata!", ADDRESS(INDEX($Q$2:$Q$1001,MATCH(ROWS($O$2:O224),$O$2:$O$1001,0),0), INDEX($V$1004:$AE$1004,1,MATCH(COLUMNS($V$1006:X1006),$V$1006:$AE$1006,0)))),"Fix")))</f>
        <v>0</v>
      </c>
      <c r="E224" s="3">
        <f>IF(OR(INDEX($P$2:$P$1001,MATCH(ROWS($O$2:O224),$O$2:$O$1001,0),1)&gt;=100000,INDEX($V$1005:$AE$1005,1,MATCH(COLUMNS($V$1006:Y1006),$V$1006:$AE$1006,0))&gt;=100000), " ",IF(INDEX($V$2:$AE$1001,MATCH(ROWS($O$2:O224),$O$2:$O$1001,0),MATCH(COLUMNS($V$1006:Y1006),$V$1006:$AE$1006,0)), HYPERLINK("#",""), HYPERLINK(CONCATENATE("#Metadata!", ADDRESS(INDEX($Q$2:$Q$1001,MATCH(ROWS($O$2:O224),$O$2:$O$1001,0),0), INDEX($V$1004:$AE$1004,1,MATCH(COLUMNS($V$1006:Y1006),$V$1006:$AE$1006,0)))),"Fix")))</f>
        <v>0</v>
      </c>
      <c r="F224" s="3">
        <f>IF(OR(INDEX($P$2:$P$1001,MATCH(ROWS($O$2:O224),$O$2:$O$1001,0),1)&gt;=100000,INDEX($V$1005:$AE$1005,1,MATCH(COLUMNS($V$1006:Z1006),$V$1006:$AE$1006,0))&gt;=100000), " ",IF(INDEX($V$2:$AE$1001,MATCH(ROWS($O$2:O224),$O$2:$O$1001,0),MATCH(COLUMNS($V$1006:Z1006),$V$1006:$AE$1006,0)), HYPERLINK("#",""), HYPERLINK(CONCATENATE("#Metadata!", ADDRESS(INDEX($Q$2:$Q$1001,MATCH(ROWS($O$2:O224),$O$2:$O$1001,0),0), INDEX($V$1004:$AE$1004,1,MATCH(COLUMNS($V$1006:Z1006),$V$1006:$AE$1006,0)))),"Fix")))</f>
        <v>0</v>
      </c>
      <c r="G224" s="3">
        <f>IF(OR(INDEX($P$2:$P$1001,MATCH(ROWS($O$2:O224),$O$2:$O$1001,0),1)&gt;=100000,INDEX($V$1005:$AE$1005,1,MATCH(COLUMNS($V$1006:AA1006),$V$1006:$AE$1006,0))&gt;=100000), " ",IF(INDEX($V$2:$AE$1001,MATCH(ROWS($O$2:O224),$O$2:$O$1001,0),MATCH(COLUMNS($V$1006:AA1006),$V$1006:$AE$1006,0)), HYPERLINK("#",""), HYPERLINK(CONCATENATE("#Metadata!", ADDRESS(INDEX($Q$2:$Q$1001,MATCH(ROWS($O$2:O224),$O$2:$O$1001,0),0), INDEX($V$1004:$AE$1004,1,MATCH(COLUMNS($V$1006:AA1006),$V$1006:$AE$1006,0)))),"Fix")))</f>
        <v>0</v>
      </c>
      <c r="H224" s="3">
        <f>IF(OR(INDEX($P$2:$P$1001,MATCH(ROWS($O$2:O224),$O$2:$O$1001,0),1)&gt;=100000,INDEX($V$1005:$AE$1005,1,MATCH(COLUMNS($V$1006:AB1006),$V$1006:$AE$1006,0))&gt;=100000), " ",IF(INDEX($V$2:$AE$1001,MATCH(ROWS($O$2:O224),$O$2:$O$1001,0),MATCH(COLUMNS($V$1006:AB1006),$V$1006:$AE$1006,0)), HYPERLINK("#",""), HYPERLINK(CONCATENATE("#Metadata!", ADDRESS(INDEX($Q$2:$Q$1001,MATCH(ROWS($O$2:O224),$O$2:$O$1001,0),0), INDEX($V$1004:$AE$1004,1,MATCH(COLUMNS($V$1006:AB1006),$V$1006:$AE$1006,0)))),"Fix")))</f>
        <v>0</v>
      </c>
      <c r="I224" s="3">
        <f>IF(OR(INDEX($P$2:$P$1001,MATCH(ROWS($O$2:O224),$O$2:$O$1001,0),1)&gt;=100000,INDEX($V$1005:$AE$1005,1,MATCH(COLUMNS($V$1006:AC1006),$V$1006:$AE$1006,0))&gt;=100000), " ",IF(INDEX($V$2:$AE$1001,MATCH(ROWS($O$2:O224),$O$2:$O$1001,0),MATCH(COLUMNS($V$1006:AC1006),$V$1006:$AE$1006,0)), HYPERLINK("#",""), HYPERLINK(CONCATENATE("#Metadata!", ADDRESS(INDEX($Q$2:$Q$1001,MATCH(ROWS($O$2:O224),$O$2:$O$1001,0),0), INDEX($V$1004:$AE$1004,1,MATCH(COLUMNS($V$1006:AC1006),$V$1006:$AE$1006,0)))),"Fix")))</f>
        <v>0</v>
      </c>
      <c r="J224" s="3">
        <f>IF(OR(INDEX($P$2:$P$1001,MATCH(ROWS($O$2:O224),$O$2:$O$1001,0),1)&gt;=100000,INDEX($V$1005:$AE$1005,1,MATCH(COLUMNS($V$1006:AD1006),$V$1006:$AE$1006,0))&gt;=100000), " ",IF(INDEX($V$2:$AE$1001,MATCH(ROWS($O$2:O224),$O$2:$O$1001,0),MATCH(COLUMNS($V$1006:AD1006),$V$1006:$AE$1006,0)), HYPERLINK("#",""), HYPERLINK(CONCATENATE("#Metadata!", ADDRESS(INDEX($Q$2:$Q$1001,MATCH(ROWS($O$2:O224),$O$2:$O$1001,0),0), INDEX($V$1004:$AE$1004,1,MATCH(COLUMNS($V$1006:AD1006),$V$1006:$AE$1006,0)))),"Fix")))</f>
        <v>0</v>
      </c>
      <c r="K224" s="3">
        <f>IF(OR(INDEX($P$2:$P$1001,MATCH(ROWS($O$2:O224),$O$2:$O$1001,0),1)&gt;=100000,INDEX($V$1005:$AE$1005,1,MATCH(COLUMNS($V$1006:AE1006),$V$1006:$AE$1006,0))&gt;=100000), " ",IF(INDEX($V$2:$AE$1001,MATCH(ROWS($O$2:O224),$O$2:$O$1001,0),MATCH(COLUMNS($V$1006:AE1006),$V$1006:$AE$1006,0)), HYPERLINK("#",""), HYPERLINK(CONCATENATE("#Metadata!", ADDRESS(INDEX($Q$2:$Q$1001,MATCH(ROWS($O$2:O224),$O$2:$O$1001,0),0), INDEX($V$1004:$AE$1004,1,MATCH(COLUMNS($V$1006:AE1006),$V$1006:$AE$1006,0)))),"Fix")))</f>
        <v>0</v>
      </c>
      <c r="O224">
        <v>0</v>
      </c>
      <c r="P224">
        <v>0</v>
      </c>
      <c r="Q224">
        <v>0</v>
      </c>
      <c r="R224">
        <f>IF(S224,TRUE,AND(V224:AE224))</f>
        <v>0</v>
      </c>
      <c r="S224">
        <f>COUNTBLANK(Metadata!B224:K224)=COLUMNS(Metadata!B224:K224)</f>
        <v>0</v>
      </c>
      <c r="T224">
        <v>0</v>
      </c>
      <c r="V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W224">
        <f>AND(IF(Metadata!C224="",FALSE,TRUE),exact(Metadata!C224,"animal secretion"))</f>
        <v>0</v>
      </c>
      <c r="X224">
        <f>AND(IF(Metadata!D224="",FALSE,TRUE),exact(Metadata!D224,"saliva"))</f>
        <v>0</v>
      </c>
      <c r="Y224">
        <f>AND(IF(Metadata!E224="",FALSE,TRUE),exact(Metadata!E224,"human-oral"))</f>
        <v>0</v>
      </c>
      <c r="Z224">
        <f>AND(IF(Metadata!F224="",FALSE,TRUE),exact(Metadata!F224,"UBERON:oral cavity"))</f>
        <v>0</v>
      </c>
      <c r="AA224">
        <f>AND(IF(Metadata!G224="",FALSE,TRUE),exact(Metadata!G224,"UBERON:saliva"))</f>
        <v>0</v>
      </c>
      <c r="AB224">
        <f>AND(IF(Metadata!H224="",FALSE,TRUE),exact(Metadata!H224,"UBERON:tongue"))</f>
        <v>0</v>
      </c>
      <c r="AC224">
        <f>AND(IF(Metadata!I224="",FALSE,TRUE),exact(Metadata!I224,"tongue"))</f>
        <v>0</v>
      </c>
      <c r="AD224">
        <f>AND(IF(Metadata!J224="",FALSE,TRUE),exact(Metadata!J224,"human oral metagenome"))</f>
        <v>0</v>
      </c>
      <c r="AE224">
        <f>AND(IF(Metadata!K224="",FALSE,TRUE),exact(Metadata!K224,"447426"))</f>
        <v>0</v>
      </c>
    </row>
    <row r="225" spans="1:31">
      <c r="A225" s="4">
        <f>IF(B225=" "," ",HYPERLINK(CONCATENATE("#metadata!",ADDRESS(INDEX($Q$2:$Q$1001,MATCH(ROWS($O$2:O225),$O$2:$O$1001,0),0),1)),INDEX($T$2:$T$1001,MATCH(ROWS($O$2:O225),$O$2:$O$1001,0),0)))</f>
        <v>0</v>
      </c>
      <c r="B225" s="3">
        <f>IF(OR(INDEX($P$2:$P$1001,MATCH(ROWS($O$2:O225),$O$2:$O$1001,0),1)&gt;=100000,INDEX($V$1005:$AE$1005,1,MATCH(COLUMNS($V$1006:V1006),$V$1006:$AE$1006,0))&gt;=100000), " ",IF(INDEX($V$2:$AE$1001,MATCH(ROWS($O$2:O225),$O$2:$O$1001,0),MATCH(COLUMNS($V$1006:V1006),$V$1006:$AE$1006,0)), HYPERLINK("#",""), HYPERLINK(CONCATENATE("#Metadata!", ADDRESS(INDEX($Q$2:$Q$1001,MATCH(ROWS($O$2:O225),$O$2:$O$1001,0),0), INDEX($V$1004:$AE$1004,1,MATCH(COLUMNS($V$1006:V1006),$V$1006:$AE$1006,0)))),"Fix")))</f>
        <v>0</v>
      </c>
      <c r="C225" s="3">
        <f>IF(OR(INDEX($P$2:$P$1001,MATCH(ROWS($O$2:O225),$O$2:$O$1001,0),1)&gt;=100000,INDEX($V$1005:$AE$1005,1,MATCH(COLUMNS($V$1006:W1006),$V$1006:$AE$1006,0))&gt;=100000), " ",IF(INDEX($V$2:$AE$1001,MATCH(ROWS($O$2:O225),$O$2:$O$1001,0),MATCH(COLUMNS($V$1006:W1006),$V$1006:$AE$1006,0)), HYPERLINK("#",""), HYPERLINK(CONCATENATE("#Metadata!", ADDRESS(INDEX($Q$2:$Q$1001,MATCH(ROWS($O$2:O225),$O$2:$O$1001,0),0), INDEX($V$1004:$AE$1004,1,MATCH(COLUMNS($V$1006:W1006),$V$1006:$AE$1006,0)))),"Fix")))</f>
        <v>0</v>
      </c>
      <c r="D225" s="3">
        <f>IF(OR(INDEX($P$2:$P$1001,MATCH(ROWS($O$2:O225),$O$2:$O$1001,0),1)&gt;=100000,INDEX($V$1005:$AE$1005,1,MATCH(COLUMNS($V$1006:X1006),$V$1006:$AE$1006,0))&gt;=100000), " ",IF(INDEX($V$2:$AE$1001,MATCH(ROWS($O$2:O225),$O$2:$O$1001,0),MATCH(COLUMNS($V$1006:X1006),$V$1006:$AE$1006,0)), HYPERLINK("#",""), HYPERLINK(CONCATENATE("#Metadata!", ADDRESS(INDEX($Q$2:$Q$1001,MATCH(ROWS($O$2:O225),$O$2:$O$1001,0),0), INDEX($V$1004:$AE$1004,1,MATCH(COLUMNS($V$1006:X1006),$V$1006:$AE$1006,0)))),"Fix")))</f>
        <v>0</v>
      </c>
      <c r="E225" s="3">
        <f>IF(OR(INDEX($P$2:$P$1001,MATCH(ROWS($O$2:O225),$O$2:$O$1001,0),1)&gt;=100000,INDEX($V$1005:$AE$1005,1,MATCH(COLUMNS($V$1006:Y1006),$V$1006:$AE$1006,0))&gt;=100000), " ",IF(INDEX($V$2:$AE$1001,MATCH(ROWS($O$2:O225),$O$2:$O$1001,0),MATCH(COLUMNS($V$1006:Y1006),$V$1006:$AE$1006,0)), HYPERLINK("#",""), HYPERLINK(CONCATENATE("#Metadata!", ADDRESS(INDEX($Q$2:$Q$1001,MATCH(ROWS($O$2:O225),$O$2:$O$1001,0),0), INDEX($V$1004:$AE$1004,1,MATCH(COLUMNS($V$1006:Y1006),$V$1006:$AE$1006,0)))),"Fix")))</f>
        <v>0</v>
      </c>
      <c r="F225" s="3">
        <f>IF(OR(INDEX($P$2:$P$1001,MATCH(ROWS($O$2:O225),$O$2:$O$1001,0),1)&gt;=100000,INDEX($V$1005:$AE$1005,1,MATCH(COLUMNS($V$1006:Z1006),$V$1006:$AE$1006,0))&gt;=100000), " ",IF(INDEX($V$2:$AE$1001,MATCH(ROWS($O$2:O225),$O$2:$O$1001,0),MATCH(COLUMNS($V$1006:Z1006),$V$1006:$AE$1006,0)), HYPERLINK("#",""), HYPERLINK(CONCATENATE("#Metadata!", ADDRESS(INDEX($Q$2:$Q$1001,MATCH(ROWS($O$2:O225),$O$2:$O$1001,0),0), INDEX($V$1004:$AE$1004,1,MATCH(COLUMNS($V$1006:Z1006),$V$1006:$AE$1006,0)))),"Fix")))</f>
        <v>0</v>
      </c>
      <c r="G225" s="3">
        <f>IF(OR(INDEX($P$2:$P$1001,MATCH(ROWS($O$2:O225),$O$2:$O$1001,0),1)&gt;=100000,INDEX($V$1005:$AE$1005,1,MATCH(COLUMNS($V$1006:AA1006),$V$1006:$AE$1006,0))&gt;=100000), " ",IF(INDEX($V$2:$AE$1001,MATCH(ROWS($O$2:O225),$O$2:$O$1001,0),MATCH(COLUMNS($V$1006:AA1006),$V$1006:$AE$1006,0)), HYPERLINK("#",""), HYPERLINK(CONCATENATE("#Metadata!", ADDRESS(INDEX($Q$2:$Q$1001,MATCH(ROWS($O$2:O225),$O$2:$O$1001,0),0), INDEX($V$1004:$AE$1004,1,MATCH(COLUMNS($V$1006:AA1006),$V$1006:$AE$1006,0)))),"Fix")))</f>
        <v>0</v>
      </c>
      <c r="H225" s="3">
        <f>IF(OR(INDEX($P$2:$P$1001,MATCH(ROWS($O$2:O225),$O$2:$O$1001,0),1)&gt;=100000,INDEX($V$1005:$AE$1005,1,MATCH(COLUMNS($V$1006:AB1006),$V$1006:$AE$1006,0))&gt;=100000), " ",IF(INDEX($V$2:$AE$1001,MATCH(ROWS($O$2:O225),$O$2:$O$1001,0),MATCH(COLUMNS($V$1006:AB1006),$V$1006:$AE$1006,0)), HYPERLINK("#",""), HYPERLINK(CONCATENATE("#Metadata!", ADDRESS(INDEX($Q$2:$Q$1001,MATCH(ROWS($O$2:O225),$O$2:$O$1001,0),0), INDEX($V$1004:$AE$1004,1,MATCH(COLUMNS($V$1006:AB1006),$V$1006:$AE$1006,0)))),"Fix")))</f>
        <v>0</v>
      </c>
      <c r="I225" s="3">
        <f>IF(OR(INDEX($P$2:$P$1001,MATCH(ROWS($O$2:O225),$O$2:$O$1001,0),1)&gt;=100000,INDEX($V$1005:$AE$1005,1,MATCH(COLUMNS($V$1006:AC1006),$V$1006:$AE$1006,0))&gt;=100000), " ",IF(INDEX($V$2:$AE$1001,MATCH(ROWS($O$2:O225),$O$2:$O$1001,0),MATCH(COLUMNS($V$1006:AC1006),$V$1006:$AE$1006,0)), HYPERLINK("#",""), HYPERLINK(CONCATENATE("#Metadata!", ADDRESS(INDEX($Q$2:$Q$1001,MATCH(ROWS($O$2:O225),$O$2:$O$1001,0),0), INDEX($V$1004:$AE$1004,1,MATCH(COLUMNS($V$1006:AC1006),$V$1006:$AE$1006,0)))),"Fix")))</f>
        <v>0</v>
      </c>
      <c r="J225" s="3">
        <f>IF(OR(INDEX($P$2:$P$1001,MATCH(ROWS($O$2:O225),$O$2:$O$1001,0),1)&gt;=100000,INDEX($V$1005:$AE$1005,1,MATCH(COLUMNS($V$1006:AD1006),$V$1006:$AE$1006,0))&gt;=100000), " ",IF(INDEX($V$2:$AE$1001,MATCH(ROWS($O$2:O225),$O$2:$O$1001,0),MATCH(COLUMNS($V$1006:AD1006),$V$1006:$AE$1006,0)), HYPERLINK("#",""), HYPERLINK(CONCATENATE("#Metadata!", ADDRESS(INDEX($Q$2:$Q$1001,MATCH(ROWS($O$2:O225),$O$2:$O$1001,0),0), INDEX($V$1004:$AE$1004,1,MATCH(COLUMNS($V$1006:AD1006),$V$1006:$AE$1006,0)))),"Fix")))</f>
        <v>0</v>
      </c>
      <c r="K225" s="3">
        <f>IF(OR(INDEX($P$2:$P$1001,MATCH(ROWS($O$2:O225),$O$2:$O$1001,0),1)&gt;=100000,INDEX($V$1005:$AE$1005,1,MATCH(COLUMNS($V$1006:AE1006),$V$1006:$AE$1006,0))&gt;=100000), " ",IF(INDEX($V$2:$AE$1001,MATCH(ROWS($O$2:O225),$O$2:$O$1001,0),MATCH(COLUMNS($V$1006:AE1006),$V$1006:$AE$1006,0)), HYPERLINK("#",""), HYPERLINK(CONCATENATE("#Metadata!", ADDRESS(INDEX($Q$2:$Q$1001,MATCH(ROWS($O$2:O225),$O$2:$O$1001,0),0), INDEX($V$1004:$AE$1004,1,MATCH(COLUMNS($V$1006:AE1006),$V$1006:$AE$1006,0)))),"Fix")))</f>
        <v>0</v>
      </c>
      <c r="O225">
        <v>0</v>
      </c>
      <c r="P225">
        <v>0</v>
      </c>
      <c r="Q225">
        <v>0</v>
      </c>
      <c r="R225">
        <f>IF(S225,TRUE,AND(V225:AE225))</f>
        <v>0</v>
      </c>
      <c r="S225">
        <f>COUNTBLANK(Metadata!B225:K225)=COLUMNS(Metadata!B225:K225)</f>
        <v>0</v>
      </c>
      <c r="T225">
        <v>0</v>
      </c>
      <c r="V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W225">
        <f>AND(IF(Metadata!C225="",FALSE,TRUE),exact(Metadata!C225,"animal secretion"))</f>
        <v>0</v>
      </c>
      <c r="X225">
        <f>AND(IF(Metadata!D225="",FALSE,TRUE),exact(Metadata!D225,"saliva"))</f>
        <v>0</v>
      </c>
      <c r="Y225">
        <f>AND(IF(Metadata!E225="",FALSE,TRUE),exact(Metadata!E225,"human-oral"))</f>
        <v>0</v>
      </c>
      <c r="Z225">
        <f>AND(IF(Metadata!F225="",FALSE,TRUE),exact(Metadata!F225,"UBERON:oral cavity"))</f>
        <v>0</v>
      </c>
      <c r="AA225">
        <f>AND(IF(Metadata!G225="",FALSE,TRUE),exact(Metadata!G225,"UBERON:saliva"))</f>
        <v>0</v>
      </c>
      <c r="AB225">
        <f>AND(IF(Metadata!H225="",FALSE,TRUE),exact(Metadata!H225,"UBERON:tongue"))</f>
        <v>0</v>
      </c>
      <c r="AC225">
        <f>AND(IF(Metadata!I225="",FALSE,TRUE),exact(Metadata!I225,"tongue"))</f>
        <v>0</v>
      </c>
      <c r="AD225">
        <f>AND(IF(Metadata!J225="",FALSE,TRUE),exact(Metadata!J225,"human oral metagenome"))</f>
        <v>0</v>
      </c>
      <c r="AE225">
        <f>AND(IF(Metadata!K225="",FALSE,TRUE),exact(Metadata!K225,"447426"))</f>
        <v>0</v>
      </c>
    </row>
    <row r="226" spans="1:31">
      <c r="A226" s="4">
        <f>IF(B226=" "," ",HYPERLINK(CONCATENATE("#metadata!",ADDRESS(INDEX($Q$2:$Q$1001,MATCH(ROWS($O$2:O226),$O$2:$O$1001,0),0),1)),INDEX($T$2:$T$1001,MATCH(ROWS($O$2:O226),$O$2:$O$1001,0),0)))</f>
        <v>0</v>
      </c>
      <c r="B226" s="3">
        <f>IF(OR(INDEX($P$2:$P$1001,MATCH(ROWS($O$2:O226),$O$2:$O$1001,0),1)&gt;=100000,INDEX($V$1005:$AE$1005,1,MATCH(COLUMNS($V$1006:V1006),$V$1006:$AE$1006,0))&gt;=100000), " ",IF(INDEX($V$2:$AE$1001,MATCH(ROWS($O$2:O226),$O$2:$O$1001,0),MATCH(COLUMNS($V$1006:V1006),$V$1006:$AE$1006,0)), HYPERLINK("#",""), HYPERLINK(CONCATENATE("#Metadata!", ADDRESS(INDEX($Q$2:$Q$1001,MATCH(ROWS($O$2:O226),$O$2:$O$1001,0),0), INDEX($V$1004:$AE$1004,1,MATCH(COLUMNS($V$1006:V1006),$V$1006:$AE$1006,0)))),"Fix")))</f>
        <v>0</v>
      </c>
      <c r="C226" s="3">
        <f>IF(OR(INDEX($P$2:$P$1001,MATCH(ROWS($O$2:O226),$O$2:$O$1001,0),1)&gt;=100000,INDEX($V$1005:$AE$1005,1,MATCH(COLUMNS($V$1006:W1006),$V$1006:$AE$1006,0))&gt;=100000), " ",IF(INDEX($V$2:$AE$1001,MATCH(ROWS($O$2:O226),$O$2:$O$1001,0),MATCH(COLUMNS($V$1006:W1006),$V$1006:$AE$1006,0)), HYPERLINK("#",""), HYPERLINK(CONCATENATE("#Metadata!", ADDRESS(INDEX($Q$2:$Q$1001,MATCH(ROWS($O$2:O226),$O$2:$O$1001,0),0), INDEX($V$1004:$AE$1004,1,MATCH(COLUMNS($V$1006:W1006),$V$1006:$AE$1006,0)))),"Fix")))</f>
        <v>0</v>
      </c>
      <c r="D226" s="3">
        <f>IF(OR(INDEX($P$2:$P$1001,MATCH(ROWS($O$2:O226),$O$2:$O$1001,0),1)&gt;=100000,INDEX($V$1005:$AE$1005,1,MATCH(COLUMNS($V$1006:X1006),$V$1006:$AE$1006,0))&gt;=100000), " ",IF(INDEX($V$2:$AE$1001,MATCH(ROWS($O$2:O226),$O$2:$O$1001,0),MATCH(COLUMNS($V$1006:X1006),$V$1006:$AE$1006,0)), HYPERLINK("#",""), HYPERLINK(CONCATENATE("#Metadata!", ADDRESS(INDEX($Q$2:$Q$1001,MATCH(ROWS($O$2:O226),$O$2:$O$1001,0),0), INDEX($V$1004:$AE$1004,1,MATCH(COLUMNS($V$1006:X1006),$V$1006:$AE$1006,0)))),"Fix")))</f>
        <v>0</v>
      </c>
      <c r="E226" s="3">
        <f>IF(OR(INDEX($P$2:$P$1001,MATCH(ROWS($O$2:O226),$O$2:$O$1001,0),1)&gt;=100000,INDEX($V$1005:$AE$1005,1,MATCH(COLUMNS($V$1006:Y1006),$V$1006:$AE$1006,0))&gt;=100000), " ",IF(INDEX($V$2:$AE$1001,MATCH(ROWS($O$2:O226),$O$2:$O$1001,0),MATCH(COLUMNS($V$1006:Y1006),$V$1006:$AE$1006,0)), HYPERLINK("#",""), HYPERLINK(CONCATENATE("#Metadata!", ADDRESS(INDEX($Q$2:$Q$1001,MATCH(ROWS($O$2:O226),$O$2:$O$1001,0),0), INDEX($V$1004:$AE$1004,1,MATCH(COLUMNS($V$1006:Y1006),$V$1006:$AE$1006,0)))),"Fix")))</f>
        <v>0</v>
      </c>
      <c r="F226" s="3">
        <f>IF(OR(INDEX($P$2:$P$1001,MATCH(ROWS($O$2:O226),$O$2:$O$1001,0),1)&gt;=100000,INDEX($V$1005:$AE$1005,1,MATCH(COLUMNS($V$1006:Z1006),$V$1006:$AE$1006,0))&gt;=100000), " ",IF(INDEX($V$2:$AE$1001,MATCH(ROWS($O$2:O226),$O$2:$O$1001,0),MATCH(COLUMNS($V$1006:Z1006),$V$1006:$AE$1006,0)), HYPERLINK("#",""), HYPERLINK(CONCATENATE("#Metadata!", ADDRESS(INDEX($Q$2:$Q$1001,MATCH(ROWS($O$2:O226),$O$2:$O$1001,0),0), INDEX($V$1004:$AE$1004,1,MATCH(COLUMNS($V$1006:Z1006),$V$1006:$AE$1006,0)))),"Fix")))</f>
        <v>0</v>
      </c>
      <c r="G226" s="3">
        <f>IF(OR(INDEX($P$2:$P$1001,MATCH(ROWS($O$2:O226),$O$2:$O$1001,0),1)&gt;=100000,INDEX($V$1005:$AE$1005,1,MATCH(COLUMNS($V$1006:AA1006),$V$1006:$AE$1006,0))&gt;=100000), " ",IF(INDEX($V$2:$AE$1001,MATCH(ROWS($O$2:O226),$O$2:$O$1001,0),MATCH(COLUMNS($V$1006:AA1006),$V$1006:$AE$1006,0)), HYPERLINK("#",""), HYPERLINK(CONCATENATE("#Metadata!", ADDRESS(INDEX($Q$2:$Q$1001,MATCH(ROWS($O$2:O226),$O$2:$O$1001,0),0), INDEX($V$1004:$AE$1004,1,MATCH(COLUMNS($V$1006:AA1006),$V$1006:$AE$1006,0)))),"Fix")))</f>
        <v>0</v>
      </c>
      <c r="H226" s="3">
        <f>IF(OR(INDEX($P$2:$P$1001,MATCH(ROWS($O$2:O226),$O$2:$O$1001,0),1)&gt;=100000,INDEX($V$1005:$AE$1005,1,MATCH(COLUMNS($V$1006:AB1006),$V$1006:$AE$1006,0))&gt;=100000), " ",IF(INDEX($V$2:$AE$1001,MATCH(ROWS($O$2:O226),$O$2:$O$1001,0),MATCH(COLUMNS($V$1006:AB1006),$V$1006:$AE$1006,0)), HYPERLINK("#",""), HYPERLINK(CONCATENATE("#Metadata!", ADDRESS(INDEX($Q$2:$Q$1001,MATCH(ROWS($O$2:O226),$O$2:$O$1001,0),0), INDEX($V$1004:$AE$1004,1,MATCH(COLUMNS($V$1006:AB1006),$V$1006:$AE$1006,0)))),"Fix")))</f>
        <v>0</v>
      </c>
      <c r="I226" s="3">
        <f>IF(OR(INDEX($P$2:$P$1001,MATCH(ROWS($O$2:O226),$O$2:$O$1001,0),1)&gt;=100000,INDEX($V$1005:$AE$1005,1,MATCH(COLUMNS($V$1006:AC1006),$V$1006:$AE$1006,0))&gt;=100000), " ",IF(INDEX($V$2:$AE$1001,MATCH(ROWS($O$2:O226),$O$2:$O$1001,0),MATCH(COLUMNS($V$1006:AC1006),$V$1006:$AE$1006,0)), HYPERLINK("#",""), HYPERLINK(CONCATENATE("#Metadata!", ADDRESS(INDEX($Q$2:$Q$1001,MATCH(ROWS($O$2:O226),$O$2:$O$1001,0),0), INDEX($V$1004:$AE$1004,1,MATCH(COLUMNS($V$1006:AC1006),$V$1006:$AE$1006,0)))),"Fix")))</f>
        <v>0</v>
      </c>
      <c r="J226" s="3">
        <f>IF(OR(INDEX($P$2:$P$1001,MATCH(ROWS($O$2:O226),$O$2:$O$1001,0),1)&gt;=100000,INDEX($V$1005:$AE$1005,1,MATCH(COLUMNS($V$1006:AD1006),$V$1006:$AE$1006,0))&gt;=100000), " ",IF(INDEX($V$2:$AE$1001,MATCH(ROWS($O$2:O226),$O$2:$O$1001,0),MATCH(COLUMNS($V$1006:AD1006),$V$1006:$AE$1006,0)), HYPERLINK("#",""), HYPERLINK(CONCATENATE("#Metadata!", ADDRESS(INDEX($Q$2:$Q$1001,MATCH(ROWS($O$2:O226),$O$2:$O$1001,0),0), INDEX($V$1004:$AE$1004,1,MATCH(COLUMNS($V$1006:AD1006),$V$1006:$AE$1006,0)))),"Fix")))</f>
        <v>0</v>
      </c>
      <c r="K226" s="3">
        <f>IF(OR(INDEX($P$2:$P$1001,MATCH(ROWS($O$2:O226),$O$2:$O$1001,0),1)&gt;=100000,INDEX($V$1005:$AE$1005,1,MATCH(COLUMNS($V$1006:AE1006),$V$1006:$AE$1006,0))&gt;=100000), " ",IF(INDEX($V$2:$AE$1001,MATCH(ROWS($O$2:O226),$O$2:$O$1001,0),MATCH(COLUMNS($V$1006:AE1006),$V$1006:$AE$1006,0)), HYPERLINK("#",""), HYPERLINK(CONCATENATE("#Metadata!", ADDRESS(INDEX($Q$2:$Q$1001,MATCH(ROWS($O$2:O226),$O$2:$O$1001,0),0), INDEX($V$1004:$AE$1004,1,MATCH(COLUMNS($V$1006:AE1006),$V$1006:$AE$1006,0)))),"Fix")))</f>
        <v>0</v>
      </c>
      <c r="O226">
        <v>0</v>
      </c>
      <c r="P226">
        <v>0</v>
      </c>
      <c r="Q226">
        <v>0</v>
      </c>
      <c r="R226">
        <f>IF(S226,TRUE,AND(V226:AE226))</f>
        <v>0</v>
      </c>
      <c r="S226">
        <f>COUNTBLANK(Metadata!B226:K226)=COLUMNS(Metadata!B226:K226)</f>
        <v>0</v>
      </c>
      <c r="T226">
        <v>0</v>
      </c>
      <c r="V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W226">
        <f>AND(IF(Metadata!C226="",FALSE,TRUE),exact(Metadata!C226,"animal secretion"))</f>
        <v>0</v>
      </c>
      <c r="X226">
        <f>AND(IF(Metadata!D226="",FALSE,TRUE),exact(Metadata!D226,"saliva"))</f>
        <v>0</v>
      </c>
      <c r="Y226">
        <f>AND(IF(Metadata!E226="",FALSE,TRUE),exact(Metadata!E226,"human-oral"))</f>
        <v>0</v>
      </c>
      <c r="Z226">
        <f>AND(IF(Metadata!F226="",FALSE,TRUE),exact(Metadata!F226,"UBERON:oral cavity"))</f>
        <v>0</v>
      </c>
      <c r="AA226">
        <f>AND(IF(Metadata!G226="",FALSE,TRUE),exact(Metadata!G226,"UBERON:saliva"))</f>
        <v>0</v>
      </c>
      <c r="AB226">
        <f>AND(IF(Metadata!H226="",FALSE,TRUE),exact(Metadata!H226,"UBERON:tongue"))</f>
        <v>0</v>
      </c>
      <c r="AC226">
        <f>AND(IF(Metadata!I226="",FALSE,TRUE),exact(Metadata!I226,"tongue"))</f>
        <v>0</v>
      </c>
      <c r="AD226">
        <f>AND(IF(Metadata!J226="",FALSE,TRUE),exact(Metadata!J226,"human oral metagenome"))</f>
        <v>0</v>
      </c>
      <c r="AE226">
        <f>AND(IF(Metadata!K226="",FALSE,TRUE),exact(Metadata!K226,"447426"))</f>
        <v>0</v>
      </c>
    </row>
    <row r="227" spans="1:31">
      <c r="A227" s="4">
        <f>IF(B227=" "," ",HYPERLINK(CONCATENATE("#metadata!",ADDRESS(INDEX($Q$2:$Q$1001,MATCH(ROWS($O$2:O227),$O$2:$O$1001,0),0),1)),INDEX($T$2:$T$1001,MATCH(ROWS($O$2:O227),$O$2:$O$1001,0),0)))</f>
        <v>0</v>
      </c>
      <c r="B227" s="3">
        <f>IF(OR(INDEX($P$2:$P$1001,MATCH(ROWS($O$2:O227),$O$2:$O$1001,0),1)&gt;=100000,INDEX($V$1005:$AE$1005,1,MATCH(COLUMNS($V$1006:V1006),$V$1006:$AE$1006,0))&gt;=100000), " ",IF(INDEX($V$2:$AE$1001,MATCH(ROWS($O$2:O227),$O$2:$O$1001,0),MATCH(COLUMNS($V$1006:V1006),$V$1006:$AE$1006,0)), HYPERLINK("#",""), HYPERLINK(CONCATENATE("#Metadata!", ADDRESS(INDEX($Q$2:$Q$1001,MATCH(ROWS($O$2:O227),$O$2:$O$1001,0),0), INDEX($V$1004:$AE$1004,1,MATCH(COLUMNS($V$1006:V1006),$V$1006:$AE$1006,0)))),"Fix")))</f>
        <v>0</v>
      </c>
      <c r="C227" s="3">
        <f>IF(OR(INDEX($P$2:$P$1001,MATCH(ROWS($O$2:O227),$O$2:$O$1001,0),1)&gt;=100000,INDEX($V$1005:$AE$1005,1,MATCH(COLUMNS($V$1006:W1006),$V$1006:$AE$1006,0))&gt;=100000), " ",IF(INDEX($V$2:$AE$1001,MATCH(ROWS($O$2:O227),$O$2:$O$1001,0),MATCH(COLUMNS($V$1006:W1006),$V$1006:$AE$1006,0)), HYPERLINK("#",""), HYPERLINK(CONCATENATE("#Metadata!", ADDRESS(INDEX($Q$2:$Q$1001,MATCH(ROWS($O$2:O227),$O$2:$O$1001,0),0), INDEX($V$1004:$AE$1004,1,MATCH(COLUMNS($V$1006:W1006),$V$1006:$AE$1006,0)))),"Fix")))</f>
        <v>0</v>
      </c>
      <c r="D227" s="3">
        <f>IF(OR(INDEX($P$2:$P$1001,MATCH(ROWS($O$2:O227),$O$2:$O$1001,0),1)&gt;=100000,INDEX($V$1005:$AE$1005,1,MATCH(COLUMNS($V$1006:X1006),$V$1006:$AE$1006,0))&gt;=100000), " ",IF(INDEX($V$2:$AE$1001,MATCH(ROWS($O$2:O227),$O$2:$O$1001,0),MATCH(COLUMNS($V$1006:X1006),$V$1006:$AE$1006,0)), HYPERLINK("#",""), HYPERLINK(CONCATENATE("#Metadata!", ADDRESS(INDEX($Q$2:$Q$1001,MATCH(ROWS($O$2:O227),$O$2:$O$1001,0),0), INDEX($V$1004:$AE$1004,1,MATCH(COLUMNS($V$1006:X1006),$V$1006:$AE$1006,0)))),"Fix")))</f>
        <v>0</v>
      </c>
      <c r="E227" s="3">
        <f>IF(OR(INDEX($P$2:$P$1001,MATCH(ROWS($O$2:O227),$O$2:$O$1001,0),1)&gt;=100000,INDEX($V$1005:$AE$1005,1,MATCH(COLUMNS($V$1006:Y1006),$V$1006:$AE$1006,0))&gt;=100000), " ",IF(INDEX($V$2:$AE$1001,MATCH(ROWS($O$2:O227),$O$2:$O$1001,0),MATCH(COLUMNS($V$1006:Y1006),$V$1006:$AE$1006,0)), HYPERLINK("#",""), HYPERLINK(CONCATENATE("#Metadata!", ADDRESS(INDEX($Q$2:$Q$1001,MATCH(ROWS($O$2:O227),$O$2:$O$1001,0),0), INDEX($V$1004:$AE$1004,1,MATCH(COLUMNS($V$1006:Y1006),$V$1006:$AE$1006,0)))),"Fix")))</f>
        <v>0</v>
      </c>
      <c r="F227" s="3">
        <f>IF(OR(INDEX($P$2:$P$1001,MATCH(ROWS($O$2:O227),$O$2:$O$1001,0),1)&gt;=100000,INDEX($V$1005:$AE$1005,1,MATCH(COLUMNS($V$1006:Z1006),$V$1006:$AE$1006,0))&gt;=100000), " ",IF(INDEX($V$2:$AE$1001,MATCH(ROWS($O$2:O227),$O$2:$O$1001,0),MATCH(COLUMNS($V$1006:Z1006),$V$1006:$AE$1006,0)), HYPERLINK("#",""), HYPERLINK(CONCATENATE("#Metadata!", ADDRESS(INDEX($Q$2:$Q$1001,MATCH(ROWS($O$2:O227),$O$2:$O$1001,0),0), INDEX($V$1004:$AE$1004,1,MATCH(COLUMNS($V$1006:Z1006),$V$1006:$AE$1006,0)))),"Fix")))</f>
        <v>0</v>
      </c>
      <c r="G227" s="3">
        <f>IF(OR(INDEX($P$2:$P$1001,MATCH(ROWS($O$2:O227),$O$2:$O$1001,0),1)&gt;=100000,INDEX($V$1005:$AE$1005,1,MATCH(COLUMNS($V$1006:AA1006),$V$1006:$AE$1006,0))&gt;=100000), " ",IF(INDEX($V$2:$AE$1001,MATCH(ROWS($O$2:O227),$O$2:$O$1001,0),MATCH(COLUMNS($V$1006:AA1006),$V$1006:$AE$1006,0)), HYPERLINK("#",""), HYPERLINK(CONCATENATE("#Metadata!", ADDRESS(INDEX($Q$2:$Q$1001,MATCH(ROWS($O$2:O227),$O$2:$O$1001,0),0), INDEX($V$1004:$AE$1004,1,MATCH(COLUMNS($V$1006:AA1006),$V$1006:$AE$1006,0)))),"Fix")))</f>
        <v>0</v>
      </c>
      <c r="H227" s="3">
        <f>IF(OR(INDEX($P$2:$P$1001,MATCH(ROWS($O$2:O227),$O$2:$O$1001,0),1)&gt;=100000,INDEX($V$1005:$AE$1005,1,MATCH(COLUMNS($V$1006:AB1006),$V$1006:$AE$1006,0))&gt;=100000), " ",IF(INDEX($V$2:$AE$1001,MATCH(ROWS($O$2:O227),$O$2:$O$1001,0),MATCH(COLUMNS($V$1006:AB1006),$V$1006:$AE$1006,0)), HYPERLINK("#",""), HYPERLINK(CONCATENATE("#Metadata!", ADDRESS(INDEX($Q$2:$Q$1001,MATCH(ROWS($O$2:O227),$O$2:$O$1001,0),0), INDEX($V$1004:$AE$1004,1,MATCH(COLUMNS($V$1006:AB1006),$V$1006:$AE$1006,0)))),"Fix")))</f>
        <v>0</v>
      </c>
      <c r="I227" s="3">
        <f>IF(OR(INDEX($P$2:$P$1001,MATCH(ROWS($O$2:O227),$O$2:$O$1001,0),1)&gt;=100000,INDEX($V$1005:$AE$1005,1,MATCH(COLUMNS($V$1006:AC1006),$V$1006:$AE$1006,0))&gt;=100000), " ",IF(INDEX($V$2:$AE$1001,MATCH(ROWS($O$2:O227),$O$2:$O$1001,0),MATCH(COLUMNS($V$1006:AC1006),$V$1006:$AE$1006,0)), HYPERLINK("#",""), HYPERLINK(CONCATENATE("#Metadata!", ADDRESS(INDEX($Q$2:$Q$1001,MATCH(ROWS($O$2:O227),$O$2:$O$1001,0),0), INDEX($V$1004:$AE$1004,1,MATCH(COLUMNS($V$1006:AC1006),$V$1006:$AE$1006,0)))),"Fix")))</f>
        <v>0</v>
      </c>
      <c r="J227" s="3">
        <f>IF(OR(INDEX($P$2:$P$1001,MATCH(ROWS($O$2:O227),$O$2:$O$1001,0),1)&gt;=100000,INDEX($V$1005:$AE$1005,1,MATCH(COLUMNS($V$1006:AD1006),$V$1006:$AE$1006,0))&gt;=100000), " ",IF(INDEX($V$2:$AE$1001,MATCH(ROWS($O$2:O227),$O$2:$O$1001,0),MATCH(COLUMNS($V$1006:AD1006),$V$1006:$AE$1006,0)), HYPERLINK("#",""), HYPERLINK(CONCATENATE("#Metadata!", ADDRESS(INDEX($Q$2:$Q$1001,MATCH(ROWS($O$2:O227),$O$2:$O$1001,0),0), INDEX($V$1004:$AE$1004,1,MATCH(COLUMNS($V$1006:AD1006),$V$1006:$AE$1006,0)))),"Fix")))</f>
        <v>0</v>
      </c>
      <c r="K227" s="3">
        <f>IF(OR(INDEX($P$2:$P$1001,MATCH(ROWS($O$2:O227),$O$2:$O$1001,0),1)&gt;=100000,INDEX($V$1005:$AE$1005,1,MATCH(COLUMNS($V$1006:AE1006),$V$1006:$AE$1006,0))&gt;=100000), " ",IF(INDEX($V$2:$AE$1001,MATCH(ROWS($O$2:O227),$O$2:$O$1001,0),MATCH(COLUMNS($V$1006:AE1006),$V$1006:$AE$1006,0)), HYPERLINK("#",""), HYPERLINK(CONCATENATE("#Metadata!", ADDRESS(INDEX($Q$2:$Q$1001,MATCH(ROWS($O$2:O227),$O$2:$O$1001,0),0), INDEX($V$1004:$AE$1004,1,MATCH(COLUMNS($V$1006:AE1006),$V$1006:$AE$1006,0)))),"Fix")))</f>
        <v>0</v>
      </c>
      <c r="O227">
        <v>0</v>
      </c>
      <c r="P227">
        <v>0</v>
      </c>
      <c r="Q227">
        <v>0</v>
      </c>
      <c r="R227">
        <f>IF(S227,TRUE,AND(V227:AE227))</f>
        <v>0</v>
      </c>
      <c r="S227">
        <f>COUNTBLANK(Metadata!B227:K227)=COLUMNS(Metadata!B227:K227)</f>
        <v>0</v>
      </c>
      <c r="T227">
        <v>0</v>
      </c>
      <c r="V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W227">
        <f>AND(IF(Metadata!C227="",FALSE,TRUE),exact(Metadata!C227,"animal secretion"))</f>
        <v>0</v>
      </c>
      <c r="X227">
        <f>AND(IF(Metadata!D227="",FALSE,TRUE),exact(Metadata!D227,"saliva"))</f>
        <v>0</v>
      </c>
      <c r="Y227">
        <f>AND(IF(Metadata!E227="",FALSE,TRUE),exact(Metadata!E227,"human-oral"))</f>
        <v>0</v>
      </c>
      <c r="Z227">
        <f>AND(IF(Metadata!F227="",FALSE,TRUE),exact(Metadata!F227,"UBERON:oral cavity"))</f>
        <v>0</v>
      </c>
      <c r="AA227">
        <f>AND(IF(Metadata!G227="",FALSE,TRUE),exact(Metadata!G227,"UBERON:saliva"))</f>
        <v>0</v>
      </c>
      <c r="AB227">
        <f>AND(IF(Metadata!H227="",FALSE,TRUE),exact(Metadata!H227,"UBERON:tongue"))</f>
        <v>0</v>
      </c>
      <c r="AC227">
        <f>AND(IF(Metadata!I227="",FALSE,TRUE),exact(Metadata!I227,"tongue"))</f>
        <v>0</v>
      </c>
      <c r="AD227">
        <f>AND(IF(Metadata!J227="",FALSE,TRUE),exact(Metadata!J227,"human oral metagenome"))</f>
        <v>0</v>
      </c>
      <c r="AE227">
        <f>AND(IF(Metadata!K227="",FALSE,TRUE),exact(Metadata!K227,"447426"))</f>
        <v>0</v>
      </c>
    </row>
    <row r="228" spans="1:31">
      <c r="A228" s="4">
        <f>IF(B228=" "," ",HYPERLINK(CONCATENATE("#metadata!",ADDRESS(INDEX($Q$2:$Q$1001,MATCH(ROWS($O$2:O228),$O$2:$O$1001,0),0),1)),INDEX($T$2:$T$1001,MATCH(ROWS($O$2:O228),$O$2:$O$1001,0),0)))</f>
        <v>0</v>
      </c>
      <c r="B228" s="3">
        <f>IF(OR(INDEX($P$2:$P$1001,MATCH(ROWS($O$2:O228),$O$2:$O$1001,0),1)&gt;=100000,INDEX($V$1005:$AE$1005,1,MATCH(COLUMNS($V$1006:V1006),$V$1006:$AE$1006,0))&gt;=100000), " ",IF(INDEX($V$2:$AE$1001,MATCH(ROWS($O$2:O228),$O$2:$O$1001,0),MATCH(COLUMNS($V$1006:V1006),$V$1006:$AE$1006,0)), HYPERLINK("#",""), HYPERLINK(CONCATENATE("#Metadata!", ADDRESS(INDEX($Q$2:$Q$1001,MATCH(ROWS($O$2:O228),$O$2:$O$1001,0),0), INDEX($V$1004:$AE$1004,1,MATCH(COLUMNS($V$1006:V1006),$V$1006:$AE$1006,0)))),"Fix")))</f>
        <v>0</v>
      </c>
      <c r="C228" s="3">
        <f>IF(OR(INDEX($P$2:$P$1001,MATCH(ROWS($O$2:O228),$O$2:$O$1001,0),1)&gt;=100000,INDEX($V$1005:$AE$1005,1,MATCH(COLUMNS($V$1006:W1006),$V$1006:$AE$1006,0))&gt;=100000), " ",IF(INDEX($V$2:$AE$1001,MATCH(ROWS($O$2:O228),$O$2:$O$1001,0),MATCH(COLUMNS($V$1006:W1006),$V$1006:$AE$1006,0)), HYPERLINK("#",""), HYPERLINK(CONCATENATE("#Metadata!", ADDRESS(INDEX($Q$2:$Q$1001,MATCH(ROWS($O$2:O228),$O$2:$O$1001,0),0), INDEX($V$1004:$AE$1004,1,MATCH(COLUMNS($V$1006:W1006),$V$1006:$AE$1006,0)))),"Fix")))</f>
        <v>0</v>
      </c>
      <c r="D228" s="3">
        <f>IF(OR(INDEX($P$2:$P$1001,MATCH(ROWS($O$2:O228),$O$2:$O$1001,0),1)&gt;=100000,INDEX($V$1005:$AE$1005,1,MATCH(COLUMNS($V$1006:X1006),$V$1006:$AE$1006,0))&gt;=100000), " ",IF(INDEX($V$2:$AE$1001,MATCH(ROWS($O$2:O228),$O$2:$O$1001,0),MATCH(COLUMNS($V$1006:X1006),$V$1006:$AE$1006,0)), HYPERLINK("#",""), HYPERLINK(CONCATENATE("#Metadata!", ADDRESS(INDEX($Q$2:$Q$1001,MATCH(ROWS($O$2:O228),$O$2:$O$1001,0),0), INDEX($V$1004:$AE$1004,1,MATCH(COLUMNS($V$1006:X1006),$V$1006:$AE$1006,0)))),"Fix")))</f>
        <v>0</v>
      </c>
      <c r="E228" s="3">
        <f>IF(OR(INDEX($P$2:$P$1001,MATCH(ROWS($O$2:O228),$O$2:$O$1001,0),1)&gt;=100000,INDEX($V$1005:$AE$1005,1,MATCH(COLUMNS($V$1006:Y1006),$V$1006:$AE$1006,0))&gt;=100000), " ",IF(INDEX($V$2:$AE$1001,MATCH(ROWS($O$2:O228),$O$2:$O$1001,0),MATCH(COLUMNS($V$1006:Y1006),$V$1006:$AE$1006,0)), HYPERLINK("#",""), HYPERLINK(CONCATENATE("#Metadata!", ADDRESS(INDEX($Q$2:$Q$1001,MATCH(ROWS($O$2:O228),$O$2:$O$1001,0),0), INDEX($V$1004:$AE$1004,1,MATCH(COLUMNS($V$1006:Y1006),$V$1006:$AE$1006,0)))),"Fix")))</f>
        <v>0</v>
      </c>
      <c r="F228" s="3">
        <f>IF(OR(INDEX($P$2:$P$1001,MATCH(ROWS($O$2:O228),$O$2:$O$1001,0),1)&gt;=100000,INDEX($V$1005:$AE$1005,1,MATCH(COLUMNS($V$1006:Z1006),$V$1006:$AE$1006,0))&gt;=100000), " ",IF(INDEX($V$2:$AE$1001,MATCH(ROWS($O$2:O228),$O$2:$O$1001,0),MATCH(COLUMNS($V$1006:Z1006),$V$1006:$AE$1006,0)), HYPERLINK("#",""), HYPERLINK(CONCATENATE("#Metadata!", ADDRESS(INDEX($Q$2:$Q$1001,MATCH(ROWS($O$2:O228),$O$2:$O$1001,0),0), INDEX($V$1004:$AE$1004,1,MATCH(COLUMNS($V$1006:Z1006),$V$1006:$AE$1006,0)))),"Fix")))</f>
        <v>0</v>
      </c>
      <c r="G228" s="3">
        <f>IF(OR(INDEX($P$2:$P$1001,MATCH(ROWS($O$2:O228),$O$2:$O$1001,0),1)&gt;=100000,INDEX($V$1005:$AE$1005,1,MATCH(COLUMNS($V$1006:AA1006),$V$1006:$AE$1006,0))&gt;=100000), " ",IF(INDEX($V$2:$AE$1001,MATCH(ROWS($O$2:O228),$O$2:$O$1001,0),MATCH(COLUMNS($V$1006:AA1006),$V$1006:$AE$1006,0)), HYPERLINK("#",""), HYPERLINK(CONCATENATE("#Metadata!", ADDRESS(INDEX($Q$2:$Q$1001,MATCH(ROWS($O$2:O228),$O$2:$O$1001,0),0), INDEX($V$1004:$AE$1004,1,MATCH(COLUMNS($V$1006:AA1006),$V$1006:$AE$1006,0)))),"Fix")))</f>
        <v>0</v>
      </c>
      <c r="H228" s="3">
        <f>IF(OR(INDEX($P$2:$P$1001,MATCH(ROWS($O$2:O228),$O$2:$O$1001,0),1)&gt;=100000,INDEX($V$1005:$AE$1005,1,MATCH(COLUMNS($V$1006:AB1006),$V$1006:$AE$1006,0))&gt;=100000), " ",IF(INDEX($V$2:$AE$1001,MATCH(ROWS($O$2:O228),$O$2:$O$1001,0),MATCH(COLUMNS($V$1006:AB1006),$V$1006:$AE$1006,0)), HYPERLINK("#",""), HYPERLINK(CONCATENATE("#Metadata!", ADDRESS(INDEX($Q$2:$Q$1001,MATCH(ROWS($O$2:O228),$O$2:$O$1001,0),0), INDEX($V$1004:$AE$1004,1,MATCH(COLUMNS($V$1006:AB1006),$V$1006:$AE$1006,0)))),"Fix")))</f>
        <v>0</v>
      </c>
      <c r="I228" s="3">
        <f>IF(OR(INDEX($P$2:$P$1001,MATCH(ROWS($O$2:O228),$O$2:$O$1001,0),1)&gt;=100000,INDEX($V$1005:$AE$1005,1,MATCH(COLUMNS($V$1006:AC1006),$V$1006:$AE$1006,0))&gt;=100000), " ",IF(INDEX($V$2:$AE$1001,MATCH(ROWS($O$2:O228),$O$2:$O$1001,0),MATCH(COLUMNS($V$1006:AC1006),$V$1006:$AE$1006,0)), HYPERLINK("#",""), HYPERLINK(CONCATENATE("#Metadata!", ADDRESS(INDEX($Q$2:$Q$1001,MATCH(ROWS($O$2:O228),$O$2:$O$1001,0),0), INDEX($V$1004:$AE$1004,1,MATCH(COLUMNS($V$1006:AC1006),$V$1006:$AE$1006,0)))),"Fix")))</f>
        <v>0</v>
      </c>
      <c r="J228" s="3">
        <f>IF(OR(INDEX($P$2:$P$1001,MATCH(ROWS($O$2:O228),$O$2:$O$1001,0),1)&gt;=100000,INDEX($V$1005:$AE$1005,1,MATCH(COLUMNS($V$1006:AD1006),$V$1006:$AE$1006,0))&gt;=100000), " ",IF(INDEX($V$2:$AE$1001,MATCH(ROWS($O$2:O228),$O$2:$O$1001,0),MATCH(COLUMNS($V$1006:AD1006),$V$1006:$AE$1006,0)), HYPERLINK("#",""), HYPERLINK(CONCATENATE("#Metadata!", ADDRESS(INDEX($Q$2:$Q$1001,MATCH(ROWS($O$2:O228),$O$2:$O$1001,0),0), INDEX($V$1004:$AE$1004,1,MATCH(COLUMNS($V$1006:AD1006),$V$1006:$AE$1006,0)))),"Fix")))</f>
        <v>0</v>
      </c>
      <c r="K228" s="3">
        <f>IF(OR(INDEX($P$2:$P$1001,MATCH(ROWS($O$2:O228),$O$2:$O$1001,0),1)&gt;=100000,INDEX($V$1005:$AE$1005,1,MATCH(COLUMNS($V$1006:AE1006),$V$1006:$AE$1006,0))&gt;=100000), " ",IF(INDEX($V$2:$AE$1001,MATCH(ROWS($O$2:O228),$O$2:$O$1001,0),MATCH(COLUMNS($V$1006:AE1006),$V$1006:$AE$1006,0)), HYPERLINK("#",""), HYPERLINK(CONCATENATE("#Metadata!", ADDRESS(INDEX($Q$2:$Q$1001,MATCH(ROWS($O$2:O228),$O$2:$O$1001,0),0), INDEX($V$1004:$AE$1004,1,MATCH(COLUMNS($V$1006:AE1006),$V$1006:$AE$1006,0)))),"Fix")))</f>
        <v>0</v>
      </c>
      <c r="O228">
        <v>0</v>
      </c>
      <c r="P228">
        <v>0</v>
      </c>
      <c r="Q228">
        <v>0</v>
      </c>
      <c r="R228">
        <f>IF(S228,TRUE,AND(V228:AE228))</f>
        <v>0</v>
      </c>
      <c r="S228">
        <f>COUNTBLANK(Metadata!B228:K228)=COLUMNS(Metadata!B228:K228)</f>
        <v>0</v>
      </c>
      <c r="T228">
        <v>0</v>
      </c>
      <c r="V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W228">
        <f>AND(IF(Metadata!C228="",FALSE,TRUE),exact(Metadata!C228,"animal secretion"))</f>
        <v>0</v>
      </c>
      <c r="X228">
        <f>AND(IF(Metadata!D228="",FALSE,TRUE),exact(Metadata!D228,"saliva"))</f>
        <v>0</v>
      </c>
      <c r="Y228">
        <f>AND(IF(Metadata!E228="",FALSE,TRUE),exact(Metadata!E228,"human-oral"))</f>
        <v>0</v>
      </c>
      <c r="Z228">
        <f>AND(IF(Metadata!F228="",FALSE,TRUE),exact(Metadata!F228,"UBERON:oral cavity"))</f>
        <v>0</v>
      </c>
      <c r="AA228">
        <f>AND(IF(Metadata!G228="",FALSE,TRUE),exact(Metadata!G228,"UBERON:saliva"))</f>
        <v>0</v>
      </c>
      <c r="AB228">
        <f>AND(IF(Metadata!H228="",FALSE,TRUE),exact(Metadata!H228,"UBERON:tongue"))</f>
        <v>0</v>
      </c>
      <c r="AC228">
        <f>AND(IF(Metadata!I228="",FALSE,TRUE),exact(Metadata!I228,"tongue"))</f>
        <v>0</v>
      </c>
      <c r="AD228">
        <f>AND(IF(Metadata!J228="",FALSE,TRUE),exact(Metadata!J228,"human oral metagenome"))</f>
        <v>0</v>
      </c>
      <c r="AE228">
        <f>AND(IF(Metadata!K228="",FALSE,TRUE),exact(Metadata!K228,"447426"))</f>
        <v>0</v>
      </c>
    </row>
    <row r="229" spans="1:31">
      <c r="A229" s="4">
        <f>IF(B229=" "," ",HYPERLINK(CONCATENATE("#metadata!",ADDRESS(INDEX($Q$2:$Q$1001,MATCH(ROWS($O$2:O229),$O$2:$O$1001,0),0),1)),INDEX($T$2:$T$1001,MATCH(ROWS($O$2:O229),$O$2:$O$1001,0),0)))</f>
        <v>0</v>
      </c>
      <c r="B229" s="3">
        <f>IF(OR(INDEX($P$2:$P$1001,MATCH(ROWS($O$2:O229),$O$2:$O$1001,0),1)&gt;=100000,INDEX($V$1005:$AE$1005,1,MATCH(COLUMNS($V$1006:V1006),$V$1006:$AE$1006,0))&gt;=100000), " ",IF(INDEX($V$2:$AE$1001,MATCH(ROWS($O$2:O229),$O$2:$O$1001,0),MATCH(COLUMNS($V$1006:V1006),$V$1006:$AE$1006,0)), HYPERLINK("#",""), HYPERLINK(CONCATENATE("#Metadata!", ADDRESS(INDEX($Q$2:$Q$1001,MATCH(ROWS($O$2:O229),$O$2:$O$1001,0),0), INDEX($V$1004:$AE$1004,1,MATCH(COLUMNS($V$1006:V1006),$V$1006:$AE$1006,0)))),"Fix")))</f>
        <v>0</v>
      </c>
      <c r="C229" s="3">
        <f>IF(OR(INDEX($P$2:$P$1001,MATCH(ROWS($O$2:O229),$O$2:$O$1001,0),1)&gt;=100000,INDEX($V$1005:$AE$1005,1,MATCH(COLUMNS($V$1006:W1006),$V$1006:$AE$1006,0))&gt;=100000), " ",IF(INDEX($V$2:$AE$1001,MATCH(ROWS($O$2:O229),$O$2:$O$1001,0),MATCH(COLUMNS($V$1006:W1006),$V$1006:$AE$1006,0)), HYPERLINK("#",""), HYPERLINK(CONCATENATE("#Metadata!", ADDRESS(INDEX($Q$2:$Q$1001,MATCH(ROWS($O$2:O229),$O$2:$O$1001,0),0), INDEX($V$1004:$AE$1004,1,MATCH(COLUMNS($V$1006:W1006),$V$1006:$AE$1006,0)))),"Fix")))</f>
        <v>0</v>
      </c>
      <c r="D229" s="3">
        <f>IF(OR(INDEX($P$2:$P$1001,MATCH(ROWS($O$2:O229),$O$2:$O$1001,0),1)&gt;=100000,INDEX($V$1005:$AE$1005,1,MATCH(COLUMNS($V$1006:X1006),$V$1006:$AE$1006,0))&gt;=100000), " ",IF(INDEX($V$2:$AE$1001,MATCH(ROWS($O$2:O229),$O$2:$O$1001,0),MATCH(COLUMNS($V$1006:X1006),$V$1006:$AE$1006,0)), HYPERLINK("#",""), HYPERLINK(CONCATENATE("#Metadata!", ADDRESS(INDEX($Q$2:$Q$1001,MATCH(ROWS($O$2:O229),$O$2:$O$1001,0),0), INDEX($V$1004:$AE$1004,1,MATCH(COLUMNS($V$1006:X1006),$V$1006:$AE$1006,0)))),"Fix")))</f>
        <v>0</v>
      </c>
      <c r="E229" s="3">
        <f>IF(OR(INDEX($P$2:$P$1001,MATCH(ROWS($O$2:O229),$O$2:$O$1001,0),1)&gt;=100000,INDEX($V$1005:$AE$1005,1,MATCH(COLUMNS($V$1006:Y1006),$V$1006:$AE$1006,0))&gt;=100000), " ",IF(INDEX($V$2:$AE$1001,MATCH(ROWS($O$2:O229),$O$2:$O$1001,0),MATCH(COLUMNS($V$1006:Y1006),$V$1006:$AE$1006,0)), HYPERLINK("#",""), HYPERLINK(CONCATENATE("#Metadata!", ADDRESS(INDEX($Q$2:$Q$1001,MATCH(ROWS($O$2:O229),$O$2:$O$1001,0),0), INDEX($V$1004:$AE$1004,1,MATCH(COLUMNS($V$1006:Y1006),$V$1006:$AE$1006,0)))),"Fix")))</f>
        <v>0</v>
      </c>
      <c r="F229" s="3">
        <f>IF(OR(INDEX($P$2:$P$1001,MATCH(ROWS($O$2:O229),$O$2:$O$1001,0),1)&gt;=100000,INDEX($V$1005:$AE$1005,1,MATCH(COLUMNS($V$1006:Z1006),$V$1006:$AE$1006,0))&gt;=100000), " ",IF(INDEX($V$2:$AE$1001,MATCH(ROWS($O$2:O229),$O$2:$O$1001,0),MATCH(COLUMNS($V$1006:Z1006),$V$1006:$AE$1006,0)), HYPERLINK("#",""), HYPERLINK(CONCATENATE("#Metadata!", ADDRESS(INDEX($Q$2:$Q$1001,MATCH(ROWS($O$2:O229),$O$2:$O$1001,0),0), INDEX($V$1004:$AE$1004,1,MATCH(COLUMNS($V$1006:Z1006),$V$1006:$AE$1006,0)))),"Fix")))</f>
        <v>0</v>
      </c>
      <c r="G229" s="3">
        <f>IF(OR(INDEX($P$2:$P$1001,MATCH(ROWS($O$2:O229),$O$2:$O$1001,0),1)&gt;=100000,INDEX($V$1005:$AE$1005,1,MATCH(COLUMNS($V$1006:AA1006),$V$1006:$AE$1006,0))&gt;=100000), " ",IF(INDEX($V$2:$AE$1001,MATCH(ROWS($O$2:O229),$O$2:$O$1001,0),MATCH(COLUMNS($V$1006:AA1006),$V$1006:$AE$1006,0)), HYPERLINK("#",""), HYPERLINK(CONCATENATE("#Metadata!", ADDRESS(INDEX($Q$2:$Q$1001,MATCH(ROWS($O$2:O229),$O$2:$O$1001,0),0), INDEX($V$1004:$AE$1004,1,MATCH(COLUMNS($V$1006:AA1006),$V$1006:$AE$1006,0)))),"Fix")))</f>
        <v>0</v>
      </c>
      <c r="H229" s="3">
        <f>IF(OR(INDEX($P$2:$P$1001,MATCH(ROWS($O$2:O229),$O$2:$O$1001,0),1)&gt;=100000,INDEX($V$1005:$AE$1005,1,MATCH(COLUMNS($V$1006:AB1006),$V$1006:$AE$1006,0))&gt;=100000), " ",IF(INDEX($V$2:$AE$1001,MATCH(ROWS($O$2:O229),$O$2:$O$1001,0),MATCH(COLUMNS($V$1006:AB1006),$V$1006:$AE$1006,0)), HYPERLINK("#",""), HYPERLINK(CONCATENATE("#Metadata!", ADDRESS(INDEX($Q$2:$Q$1001,MATCH(ROWS($O$2:O229),$O$2:$O$1001,0),0), INDEX($V$1004:$AE$1004,1,MATCH(COLUMNS($V$1006:AB1006),$V$1006:$AE$1006,0)))),"Fix")))</f>
        <v>0</v>
      </c>
      <c r="I229" s="3">
        <f>IF(OR(INDEX($P$2:$P$1001,MATCH(ROWS($O$2:O229),$O$2:$O$1001,0),1)&gt;=100000,INDEX($V$1005:$AE$1005,1,MATCH(COLUMNS($V$1006:AC1006),$V$1006:$AE$1006,0))&gt;=100000), " ",IF(INDEX($V$2:$AE$1001,MATCH(ROWS($O$2:O229),$O$2:$O$1001,0),MATCH(COLUMNS($V$1006:AC1006),$V$1006:$AE$1006,0)), HYPERLINK("#",""), HYPERLINK(CONCATENATE("#Metadata!", ADDRESS(INDEX($Q$2:$Q$1001,MATCH(ROWS($O$2:O229),$O$2:$O$1001,0),0), INDEX($V$1004:$AE$1004,1,MATCH(COLUMNS($V$1006:AC1006),$V$1006:$AE$1006,0)))),"Fix")))</f>
        <v>0</v>
      </c>
      <c r="J229" s="3">
        <f>IF(OR(INDEX($P$2:$P$1001,MATCH(ROWS($O$2:O229),$O$2:$O$1001,0),1)&gt;=100000,INDEX($V$1005:$AE$1005,1,MATCH(COLUMNS($V$1006:AD1006),$V$1006:$AE$1006,0))&gt;=100000), " ",IF(INDEX($V$2:$AE$1001,MATCH(ROWS($O$2:O229),$O$2:$O$1001,0),MATCH(COLUMNS($V$1006:AD1006),$V$1006:$AE$1006,0)), HYPERLINK("#",""), HYPERLINK(CONCATENATE("#Metadata!", ADDRESS(INDEX($Q$2:$Q$1001,MATCH(ROWS($O$2:O229),$O$2:$O$1001,0),0), INDEX($V$1004:$AE$1004,1,MATCH(COLUMNS($V$1006:AD1006),$V$1006:$AE$1006,0)))),"Fix")))</f>
        <v>0</v>
      </c>
      <c r="K229" s="3">
        <f>IF(OR(INDEX($P$2:$P$1001,MATCH(ROWS($O$2:O229),$O$2:$O$1001,0),1)&gt;=100000,INDEX($V$1005:$AE$1005,1,MATCH(COLUMNS($V$1006:AE1006),$V$1006:$AE$1006,0))&gt;=100000), " ",IF(INDEX($V$2:$AE$1001,MATCH(ROWS($O$2:O229),$O$2:$O$1001,0),MATCH(COLUMNS($V$1006:AE1006),$V$1006:$AE$1006,0)), HYPERLINK("#",""), HYPERLINK(CONCATENATE("#Metadata!", ADDRESS(INDEX($Q$2:$Q$1001,MATCH(ROWS($O$2:O229),$O$2:$O$1001,0),0), INDEX($V$1004:$AE$1004,1,MATCH(COLUMNS($V$1006:AE1006),$V$1006:$AE$1006,0)))),"Fix")))</f>
        <v>0</v>
      </c>
      <c r="O229">
        <v>0</v>
      </c>
      <c r="P229">
        <v>0</v>
      </c>
      <c r="Q229">
        <v>0</v>
      </c>
      <c r="R229">
        <f>IF(S229,TRUE,AND(V229:AE229))</f>
        <v>0</v>
      </c>
      <c r="S229">
        <f>COUNTBLANK(Metadata!B229:K229)=COLUMNS(Metadata!B229:K229)</f>
        <v>0</v>
      </c>
      <c r="T229">
        <v>0</v>
      </c>
      <c r="V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W229">
        <f>AND(IF(Metadata!C229="",FALSE,TRUE),exact(Metadata!C229,"animal secretion"))</f>
        <v>0</v>
      </c>
      <c r="X229">
        <f>AND(IF(Metadata!D229="",FALSE,TRUE),exact(Metadata!D229,"saliva"))</f>
        <v>0</v>
      </c>
      <c r="Y229">
        <f>AND(IF(Metadata!E229="",FALSE,TRUE),exact(Metadata!E229,"human-oral"))</f>
        <v>0</v>
      </c>
      <c r="Z229">
        <f>AND(IF(Metadata!F229="",FALSE,TRUE),exact(Metadata!F229,"UBERON:oral cavity"))</f>
        <v>0</v>
      </c>
      <c r="AA229">
        <f>AND(IF(Metadata!G229="",FALSE,TRUE),exact(Metadata!G229,"UBERON:saliva"))</f>
        <v>0</v>
      </c>
      <c r="AB229">
        <f>AND(IF(Metadata!H229="",FALSE,TRUE),exact(Metadata!H229,"UBERON:tongue"))</f>
        <v>0</v>
      </c>
      <c r="AC229">
        <f>AND(IF(Metadata!I229="",FALSE,TRUE),exact(Metadata!I229,"tongue"))</f>
        <v>0</v>
      </c>
      <c r="AD229">
        <f>AND(IF(Metadata!J229="",FALSE,TRUE),exact(Metadata!J229,"human oral metagenome"))</f>
        <v>0</v>
      </c>
      <c r="AE229">
        <f>AND(IF(Metadata!K229="",FALSE,TRUE),exact(Metadata!K229,"447426"))</f>
        <v>0</v>
      </c>
    </row>
    <row r="230" spans="1:31">
      <c r="A230" s="4">
        <f>IF(B230=" "," ",HYPERLINK(CONCATENATE("#metadata!",ADDRESS(INDEX($Q$2:$Q$1001,MATCH(ROWS($O$2:O230),$O$2:$O$1001,0),0),1)),INDEX($T$2:$T$1001,MATCH(ROWS($O$2:O230),$O$2:$O$1001,0),0)))</f>
        <v>0</v>
      </c>
      <c r="B230" s="3">
        <f>IF(OR(INDEX($P$2:$P$1001,MATCH(ROWS($O$2:O230),$O$2:$O$1001,0),1)&gt;=100000,INDEX($V$1005:$AE$1005,1,MATCH(COLUMNS($V$1006:V1006),$V$1006:$AE$1006,0))&gt;=100000), " ",IF(INDEX($V$2:$AE$1001,MATCH(ROWS($O$2:O230),$O$2:$O$1001,0),MATCH(COLUMNS($V$1006:V1006),$V$1006:$AE$1006,0)), HYPERLINK("#",""), HYPERLINK(CONCATENATE("#Metadata!", ADDRESS(INDEX($Q$2:$Q$1001,MATCH(ROWS($O$2:O230),$O$2:$O$1001,0),0), INDEX($V$1004:$AE$1004,1,MATCH(COLUMNS($V$1006:V1006),$V$1006:$AE$1006,0)))),"Fix")))</f>
        <v>0</v>
      </c>
      <c r="C230" s="3">
        <f>IF(OR(INDEX($P$2:$P$1001,MATCH(ROWS($O$2:O230),$O$2:$O$1001,0),1)&gt;=100000,INDEX($V$1005:$AE$1005,1,MATCH(COLUMNS($V$1006:W1006),$V$1006:$AE$1006,0))&gt;=100000), " ",IF(INDEX($V$2:$AE$1001,MATCH(ROWS($O$2:O230),$O$2:$O$1001,0),MATCH(COLUMNS($V$1006:W1006),$V$1006:$AE$1006,0)), HYPERLINK("#",""), HYPERLINK(CONCATENATE("#Metadata!", ADDRESS(INDEX($Q$2:$Q$1001,MATCH(ROWS($O$2:O230),$O$2:$O$1001,0),0), INDEX($V$1004:$AE$1004,1,MATCH(COLUMNS($V$1006:W1006),$V$1006:$AE$1006,0)))),"Fix")))</f>
        <v>0</v>
      </c>
      <c r="D230" s="3">
        <f>IF(OR(INDEX($P$2:$P$1001,MATCH(ROWS($O$2:O230),$O$2:$O$1001,0),1)&gt;=100000,INDEX($V$1005:$AE$1005,1,MATCH(COLUMNS($V$1006:X1006),$V$1006:$AE$1006,0))&gt;=100000), " ",IF(INDEX($V$2:$AE$1001,MATCH(ROWS($O$2:O230),$O$2:$O$1001,0),MATCH(COLUMNS($V$1006:X1006),$V$1006:$AE$1006,0)), HYPERLINK("#",""), HYPERLINK(CONCATENATE("#Metadata!", ADDRESS(INDEX($Q$2:$Q$1001,MATCH(ROWS($O$2:O230),$O$2:$O$1001,0),0), INDEX($V$1004:$AE$1004,1,MATCH(COLUMNS($V$1006:X1006),$V$1006:$AE$1006,0)))),"Fix")))</f>
        <v>0</v>
      </c>
      <c r="E230" s="3">
        <f>IF(OR(INDEX($P$2:$P$1001,MATCH(ROWS($O$2:O230),$O$2:$O$1001,0),1)&gt;=100000,INDEX($V$1005:$AE$1005,1,MATCH(COLUMNS($V$1006:Y1006),$V$1006:$AE$1006,0))&gt;=100000), " ",IF(INDEX($V$2:$AE$1001,MATCH(ROWS($O$2:O230),$O$2:$O$1001,0),MATCH(COLUMNS($V$1006:Y1006),$V$1006:$AE$1006,0)), HYPERLINK("#",""), HYPERLINK(CONCATENATE("#Metadata!", ADDRESS(INDEX($Q$2:$Q$1001,MATCH(ROWS($O$2:O230),$O$2:$O$1001,0),0), INDEX($V$1004:$AE$1004,1,MATCH(COLUMNS($V$1006:Y1006),$V$1006:$AE$1006,0)))),"Fix")))</f>
        <v>0</v>
      </c>
      <c r="F230" s="3">
        <f>IF(OR(INDEX($P$2:$P$1001,MATCH(ROWS($O$2:O230),$O$2:$O$1001,0),1)&gt;=100000,INDEX($V$1005:$AE$1005,1,MATCH(COLUMNS($V$1006:Z1006),$V$1006:$AE$1006,0))&gt;=100000), " ",IF(INDEX($V$2:$AE$1001,MATCH(ROWS($O$2:O230),$O$2:$O$1001,0),MATCH(COLUMNS($V$1006:Z1006),$V$1006:$AE$1006,0)), HYPERLINK("#",""), HYPERLINK(CONCATENATE("#Metadata!", ADDRESS(INDEX($Q$2:$Q$1001,MATCH(ROWS($O$2:O230),$O$2:$O$1001,0),0), INDEX($V$1004:$AE$1004,1,MATCH(COLUMNS($V$1006:Z1006),$V$1006:$AE$1006,0)))),"Fix")))</f>
        <v>0</v>
      </c>
      <c r="G230" s="3">
        <f>IF(OR(INDEX($P$2:$P$1001,MATCH(ROWS($O$2:O230),$O$2:$O$1001,0),1)&gt;=100000,INDEX($V$1005:$AE$1005,1,MATCH(COLUMNS($V$1006:AA1006),$V$1006:$AE$1006,0))&gt;=100000), " ",IF(INDEX($V$2:$AE$1001,MATCH(ROWS($O$2:O230),$O$2:$O$1001,0),MATCH(COLUMNS($V$1006:AA1006),$V$1006:$AE$1006,0)), HYPERLINK("#",""), HYPERLINK(CONCATENATE("#Metadata!", ADDRESS(INDEX($Q$2:$Q$1001,MATCH(ROWS($O$2:O230),$O$2:$O$1001,0),0), INDEX($V$1004:$AE$1004,1,MATCH(COLUMNS($V$1006:AA1006),$V$1006:$AE$1006,0)))),"Fix")))</f>
        <v>0</v>
      </c>
      <c r="H230" s="3">
        <f>IF(OR(INDEX($P$2:$P$1001,MATCH(ROWS($O$2:O230),$O$2:$O$1001,0),1)&gt;=100000,INDEX($V$1005:$AE$1005,1,MATCH(COLUMNS($V$1006:AB1006),$V$1006:$AE$1006,0))&gt;=100000), " ",IF(INDEX($V$2:$AE$1001,MATCH(ROWS($O$2:O230),$O$2:$O$1001,0),MATCH(COLUMNS($V$1006:AB1006),$V$1006:$AE$1006,0)), HYPERLINK("#",""), HYPERLINK(CONCATENATE("#Metadata!", ADDRESS(INDEX($Q$2:$Q$1001,MATCH(ROWS($O$2:O230),$O$2:$O$1001,0),0), INDEX($V$1004:$AE$1004,1,MATCH(COLUMNS($V$1006:AB1006),$V$1006:$AE$1006,0)))),"Fix")))</f>
        <v>0</v>
      </c>
      <c r="I230" s="3">
        <f>IF(OR(INDEX($P$2:$P$1001,MATCH(ROWS($O$2:O230),$O$2:$O$1001,0),1)&gt;=100000,INDEX($V$1005:$AE$1005,1,MATCH(COLUMNS($V$1006:AC1006),$V$1006:$AE$1006,0))&gt;=100000), " ",IF(INDEX($V$2:$AE$1001,MATCH(ROWS($O$2:O230),$O$2:$O$1001,0),MATCH(COLUMNS($V$1006:AC1006),$V$1006:$AE$1006,0)), HYPERLINK("#",""), HYPERLINK(CONCATENATE("#Metadata!", ADDRESS(INDEX($Q$2:$Q$1001,MATCH(ROWS($O$2:O230),$O$2:$O$1001,0),0), INDEX($V$1004:$AE$1004,1,MATCH(COLUMNS($V$1006:AC1006),$V$1006:$AE$1006,0)))),"Fix")))</f>
        <v>0</v>
      </c>
      <c r="J230" s="3">
        <f>IF(OR(INDEX($P$2:$P$1001,MATCH(ROWS($O$2:O230),$O$2:$O$1001,0),1)&gt;=100000,INDEX($V$1005:$AE$1005,1,MATCH(COLUMNS($V$1006:AD1006),$V$1006:$AE$1006,0))&gt;=100000), " ",IF(INDEX($V$2:$AE$1001,MATCH(ROWS($O$2:O230),$O$2:$O$1001,0),MATCH(COLUMNS($V$1006:AD1006),$V$1006:$AE$1006,0)), HYPERLINK("#",""), HYPERLINK(CONCATENATE("#Metadata!", ADDRESS(INDEX($Q$2:$Q$1001,MATCH(ROWS($O$2:O230),$O$2:$O$1001,0),0), INDEX($V$1004:$AE$1004,1,MATCH(COLUMNS($V$1006:AD1006),$V$1006:$AE$1006,0)))),"Fix")))</f>
        <v>0</v>
      </c>
      <c r="K230" s="3">
        <f>IF(OR(INDEX($P$2:$P$1001,MATCH(ROWS($O$2:O230),$O$2:$O$1001,0),1)&gt;=100000,INDEX($V$1005:$AE$1005,1,MATCH(COLUMNS($V$1006:AE1006),$V$1006:$AE$1006,0))&gt;=100000), " ",IF(INDEX($V$2:$AE$1001,MATCH(ROWS($O$2:O230),$O$2:$O$1001,0),MATCH(COLUMNS($V$1006:AE1006),$V$1006:$AE$1006,0)), HYPERLINK("#",""), HYPERLINK(CONCATENATE("#Metadata!", ADDRESS(INDEX($Q$2:$Q$1001,MATCH(ROWS($O$2:O230),$O$2:$O$1001,0),0), INDEX($V$1004:$AE$1004,1,MATCH(COLUMNS($V$1006:AE1006),$V$1006:$AE$1006,0)))),"Fix")))</f>
        <v>0</v>
      </c>
      <c r="O230">
        <v>0</v>
      </c>
      <c r="P230">
        <v>0</v>
      </c>
      <c r="Q230">
        <v>0</v>
      </c>
      <c r="R230">
        <f>IF(S230,TRUE,AND(V230:AE230))</f>
        <v>0</v>
      </c>
      <c r="S230">
        <f>COUNTBLANK(Metadata!B230:K230)=COLUMNS(Metadata!B230:K230)</f>
        <v>0</v>
      </c>
      <c r="T230">
        <v>0</v>
      </c>
      <c r="V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W230">
        <f>AND(IF(Metadata!C230="",FALSE,TRUE),exact(Metadata!C230,"animal secretion"))</f>
        <v>0</v>
      </c>
      <c r="X230">
        <f>AND(IF(Metadata!D230="",FALSE,TRUE),exact(Metadata!D230,"saliva"))</f>
        <v>0</v>
      </c>
      <c r="Y230">
        <f>AND(IF(Metadata!E230="",FALSE,TRUE),exact(Metadata!E230,"human-oral"))</f>
        <v>0</v>
      </c>
      <c r="Z230">
        <f>AND(IF(Metadata!F230="",FALSE,TRUE),exact(Metadata!F230,"UBERON:oral cavity"))</f>
        <v>0</v>
      </c>
      <c r="AA230">
        <f>AND(IF(Metadata!G230="",FALSE,TRUE),exact(Metadata!G230,"UBERON:saliva"))</f>
        <v>0</v>
      </c>
      <c r="AB230">
        <f>AND(IF(Metadata!H230="",FALSE,TRUE),exact(Metadata!H230,"UBERON:tongue"))</f>
        <v>0</v>
      </c>
      <c r="AC230">
        <f>AND(IF(Metadata!I230="",FALSE,TRUE),exact(Metadata!I230,"tongue"))</f>
        <v>0</v>
      </c>
      <c r="AD230">
        <f>AND(IF(Metadata!J230="",FALSE,TRUE),exact(Metadata!J230,"human oral metagenome"))</f>
        <v>0</v>
      </c>
      <c r="AE230">
        <f>AND(IF(Metadata!K230="",FALSE,TRUE),exact(Metadata!K230,"447426"))</f>
        <v>0</v>
      </c>
    </row>
    <row r="231" spans="1:31">
      <c r="A231" s="4">
        <f>IF(B231=" "," ",HYPERLINK(CONCATENATE("#metadata!",ADDRESS(INDEX($Q$2:$Q$1001,MATCH(ROWS($O$2:O231),$O$2:$O$1001,0),0),1)),INDEX($T$2:$T$1001,MATCH(ROWS($O$2:O231),$O$2:$O$1001,0),0)))</f>
        <v>0</v>
      </c>
      <c r="B231" s="3">
        <f>IF(OR(INDEX($P$2:$P$1001,MATCH(ROWS($O$2:O231),$O$2:$O$1001,0),1)&gt;=100000,INDEX($V$1005:$AE$1005,1,MATCH(COLUMNS($V$1006:V1006),$V$1006:$AE$1006,0))&gt;=100000), " ",IF(INDEX($V$2:$AE$1001,MATCH(ROWS($O$2:O231),$O$2:$O$1001,0),MATCH(COLUMNS($V$1006:V1006),$V$1006:$AE$1006,0)), HYPERLINK("#",""), HYPERLINK(CONCATENATE("#Metadata!", ADDRESS(INDEX($Q$2:$Q$1001,MATCH(ROWS($O$2:O231),$O$2:$O$1001,0),0), INDEX($V$1004:$AE$1004,1,MATCH(COLUMNS($V$1006:V1006),$V$1006:$AE$1006,0)))),"Fix")))</f>
        <v>0</v>
      </c>
      <c r="C231" s="3">
        <f>IF(OR(INDEX($P$2:$P$1001,MATCH(ROWS($O$2:O231),$O$2:$O$1001,0),1)&gt;=100000,INDEX($V$1005:$AE$1005,1,MATCH(COLUMNS($V$1006:W1006),$V$1006:$AE$1006,0))&gt;=100000), " ",IF(INDEX($V$2:$AE$1001,MATCH(ROWS($O$2:O231),$O$2:$O$1001,0),MATCH(COLUMNS($V$1006:W1006),$V$1006:$AE$1006,0)), HYPERLINK("#",""), HYPERLINK(CONCATENATE("#Metadata!", ADDRESS(INDEX($Q$2:$Q$1001,MATCH(ROWS($O$2:O231),$O$2:$O$1001,0),0), INDEX($V$1004:$AE$1004,1,MATCH(COLUMNS($V$1006:W1006),$V$1006:$AE$1006,0)))),"Fix")))</f>
        <v>0</v>
      </c>
      <c r="D231" s="3">
        <f>IF(OR(INDEX($P$2:$P$1001,MATCH(ROWS($O$2:O231),$O$2:$O$1001,0),1)&gt;=100000,INDEX($V$1005:$AE$1005,1,MATCH(COLUMNS($V$1006:X1006),$V$1006:$AE$1006,0))&gt;=100000), " ",IF(INDEX($V$2:$AE$1001,MATCH(ROWS($O$2:O231),$O$2:$O$1001,0),MATCH(COLUMNS($V$1006:X1006),$V$1006:$AE$1006,0)), HYPERLINK("#",""), HYPERLINK(CONCATENATE("#Metadata!", ADDRESS(INDEX($Q$2:$Q$1001,MATCH(ROWS($O$2:O231),$O$2:$O$1001,0),0), INDEX($V$1004:$AE$1004,1,MATCH(COLUMNS($V$1006:X1006),$V$1006:$AE$1006,0)))),"Fix")))</f>
        <v>0</v>
      </c>
      <c r="E231" s="3">
        <f>IF(OR(INDEX($P$2:$P$1001,MATCH(ROWS($O$2:O231),$O$2:$O$1001,0),1)&gt;=100000,INDEX($V$1005:$AE$1005,1,MATCH(COLUMNS($V$1006:Y1006),$V$1006:$AE$1006,0))&gt;=100000), " ",IF(INDEX($V$2:$AE$1001,MATCH(ROWS($O$2:O231),$O$2:$O$1001,0),MATCH(COLUMNS($V$1006:Y1006),$V$1006:$AE$1006,0)), HYPERLINK("#",""), HYPERLINK(CONCATENATE("#Metadata!", ADDRESS(INDEX($Q$2:$Q$1001,MATCH(ROWS($O$2:O231),$O$2:$O$1001,0),0), INDEX($V$1004:$AE$1004,1,MATCH(COLUMNS($V$1006:Y1006),$V$1006:$AE$1006,0)))),"Fix")))</f>
        <v>0</v>
      </c>
      <c r="F231" s="3">
        <f>IF(OR(INDEX($P$2:$P$1001,MATCH(ROWS($O$2:O231),$O$2:$O$1001,0),1)&gt;=100000,INDEX($V$1005:$AE$1005,1,MATCH(COLUMNS($V$1006:Z1006),$V$1006:$AE$1006,0))&gt;=100000), " ",IF(INDEX($V$2:$AE$1001,MATCH(ROWS($O$2:O231),$O$2:$O$1001,0),MATCH(COLUMNS($V$1006:Z1006),$V$1006:$AE$1006,0)), HYPERLINK("#",""), HYPERLINK(CONCATENATE("#Metadata!", ADDRESS(INDEX($Q$2:$Q$1001,MATCH(ROWS($O$2:O231),$O$2:$O$1001,0),0), INDEX($V$1004:$AE$1004,1,MATCH(COLUMNS($V$1006:Z1006),$V$1006:$AE$1006,0)))),"Fix")))</f>
        <v>0</v>
      </c>
      <c r="G231" s="3">
        <f>IF(OR(INDEX($P$2:$P$1001,MATCH(ROWS($O$2:O231),$O$2:$O$1001,0),1)&gt;=100000,INDEX($V$1005:$AE$1005,1,MATCH(COLUMNS($V$1006:AA1006),$V$1006:$AE$1006,0))&gt;=100000), " ",IF(INDEX($V$2:$AE$1001,MATCH(ROWS($O$2:O231),$O$2:$O$1001,0),MATCH(COLUMNS($V$1006:AA1006),$V$1006:$AE$1006,0)), HYPERLINK("#",""), HYPERLINK(CONCATENATE("#Metadata!", ADDRESS(INDEX($Q$2:$Q$1001,MATCH(ROWS($O$2:O231),$O$2:$O$1001,0),0), INDEX($V$1004:$AE$1004,1,MATCH(COLUMNS($V$1006:AA1006),$V$1006:$AE$1006,0)))),"Fix")))</f>
        <v>0</v>
      </c>
      <c r="H231" s="3">
        <f>IF(OR(INDEX($P$2:$P$1001,MATCH(ROWS($O$2:O231),$O$2:$O$1001,0),1)&gt;=100000,INDEX($V$1005:$AE$1005,1,MATCH(COLUMNS($V$1006:AB1006),$V$1006:$AE$1006,0))&gt;=100000), " ",IF(INDEX($V$2:$AE$1001,MATCH(ROWS($O$2:O231),$O$2:$O$1001,0),MATCH(COLUMNS($V$1006:AB1006),$V$1006:$AE$1006,0)), HYPERLINK("#",""), HYPERLINK(CONCATENATE("#Metadata!", ADDRESS(INDEX($Q$2:$Q$1001,MATCH(ROWS($O$2:O231),$O$2:$O$1001,0),0), INDEX($V$1004:$AE$1004,1,MATCH(COLUMNS($V$1006:AB1006),$V$1006:$AE$1006,0)))),"Fix")))</f>
        <v>0</v>
      </c>
      <c r="I231" s="3">
        <f>IF(OR(INDEX($P$2:$P$1001,MATCH(ROWS($O$2:O231),$O$2:$O$1001,0),1)&gt;=100000,INDEX($V$1005:$AE$1005,1,MATCH(COLUMNS($V$1006:AC1006),$V$1006:$AE$1006,0))&gt;=100000), " ",IF(INDEX($V$2:$AE$1001,MATCH(ROWS($O$2:O231),$O$2:$O$1001,0),MATCH(COLUMNS($V$1006:AC1006),$V$1006:$AE$1006,0)), HYPERLINK("#",""), HYPERLINK(CONCATENATE("#Metadata!", ADDRESS(INDEX($Q$2:$Q$1001,MATCH(ROWS($O$2:O231),$O$2:$O$1001,0),0), INDEX($V$1004:$AE$1004,1,MATCH(COLUMNS($V$1006:AC1006),$V$1006:$AE$1006,0)))),"Fix")))</f>
        <v>0</v>
      </c>
      <c r="J231" s="3">
        <f>IF(OR(INDEX($P$2:$P$1001,MATCH(ROWS($O$2:O231),$O$2:$O$1001,0),1)&gt;=100000,INDEX($V$1005:$AE$1005,1,MATCH(COLUMNS($V$1006:AD1006),$V$1006:$AE$1006,0))&gt;=100000), " ",IF(INDEX($V$2:$AE$1001,MATCH(ROWS($O$2:O231),$O$2:$O$1001,0),MATCH(COLUMNS($V$1006:AD1006),$V$1006:$AE$1006,0)), HYPERLINK("#",""), HYPERLINK(CONCATENATE("#Metadata!", ADDRESS(INDEX($Q$2:$Q$1001,MATCH(ROWS($O$2:O231),$O$2:$O$1001,0),0), INDEX($V$1004:$AE$1004,1,MATCH(COLUMNS($V$1006:AD1006),$V$1006:$AE$1006,0)))),"Fix")))</f>
        <v>0</v>
      </c>
      <c r="K231" s="3">
        <f>IF(OR(INDEX($P$2:$P$1001,MATCH(ROWS($O$2:O231),$O$2:$O$1001,0),1)&gt;=100000,INDEX($V$1005:$AE$1005,1,MATCH(COLUMNS($V$1006:AE1006),$V$1006:$AE$1006,0))&gt;=100000), " ",IF(INDEX($V$2:$AE$1001,MATCH(ROWS($O$2:O231),$O$2:$O$1001,0),MATCH(COLUMNS($V$1006:AE1006),$V$1006:$AE$1006,0)), HYPERLINK("#",""), HYPERLINK(CONCATENATE("#Metadata!", ADDRESS(INDEX($Q$2:$Q$1001,MATCH(ROWS($O$2:O231),$O$2:$O$1001,0),0), INDEX($V$1004:$AE$1004,1,MATCH(COLUMNS($V$1006:AE1006),$V$1006:$AE$1006,0)))),"Fix")))</f>
        <v>0</v>
      </c>
      <c r="O231">
        <v>0</v>
      </c>
      <c r="P231">
        <v>0</v>
      </c>
      <c r="Q231">
        <v>0</v>
      </c>
      <c r="R231">
        <f>IF(S231,TRUE,AND(V231:AE231))</f>
        <v>0</v>
      </c>
      <c r="S231">
        <f>COUNTBLANK(Metadata!B231:K231)=COLUMNS(Metadata!B231:K231)</f>
        <v>0</v>
      </c>
      <c r="T231">
        <v>0</v>
      </c>
      <c r="V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W231">
        <f>AND(IF(Metadata!C231="",FALSE,TRUE),exact(Metadata!C231,"animal secretion"))</f>
        <v>0</v>
      </c>
      <c r="X231">
        <f>AND(IF(Metadata!D231="",FALSE,TRUE),exact(Metadata!D231,"saliva"))</f>
        <v>0</v>
      </c>
      <c r="Y231">
        <f>AND(IF(Metadata!E231="",FALSE,TRUE),exact(Metadata!E231,"human-oral"))</f>
        <v>0</v>
      </c>
      <c r="Z231">
        <f>AND(IF(Metadata!F231="",FALSE,TRUE),exact(Metadata!F231,"UBERON:oral cavity"))</f>
        <v>0</v>
      </c>
      <c r="AA231">
        <f>AND(IF(Metadata!G231="",FALSE,TRUE),exact(Metadata!G231,"UBERON:saliva"))</f>
        <v>0</v>
      </c>
      <c r="AB231">
        <f>AND(IF(Metadata!H231="",FALSE,TRUE),exact(Metadata!H231,"UBERON:tongue"))</f>
        <v>0</v>
      </c>
      <c r="AC231">
        <f>AND(IF(Metadata!I231="",FALSE,TRUE),exact(Metadata!I231,"tongue"))</f>
        <v>0</v>
      </c>
      <c r="AD231">
        <f>AND(IF(Metadata!J231="",FALSE,TRUE),exact(Metadata!J231,"human oral metagenome"))</f>
        <v>0</v>
      </c>
      <c r="AE231">
        <f>AND(IF(Metadata!K231="",FALSE,TRUE),exact(Metadata!K231,"447426"))</f>
        <v>0</v>
      </c>
    </row>
    <row r="232" spans="1:31">
      <c r="A232" s="4">
        <f>IF(B232=" "," ",HYPERLINK(CONCATENATE("#metadata!",ADDRESS(INDEX($Q$2:$Q$1001,MATCH(ROWS($O$2:O232),$O$2:$O$1001,0),0),1)),INDEX($T$2:$T$1001,MATCH(ROWS($O$2:O232),$O$2:$O$1001,0),0)))</f>
        <v>0</v>
      </c>
      <c r="B232" s="3">
        <f>IF(OR(INDEX($P$2:$P$1001,MATCH(ROWS($O$2:O232),$O$2:$O$1001,0),1)&gt;=100000,INDEX($V$1005:$AE$1005,1,MATCH(COLUMNS($V$1006:V1006),$V$1006:$AE$1006,0))&gt;=100000), " ",IF(INDEX($V$2:$AE$1001,MATCH(ROWS($O$2:O232),$O$2:$O$1001,0),MATCH(COLUMNS($V$1006:V1006),$V$1006:$AE$1006,0)), HYPERLINK("#",""), HYPERLINK(CONCATENATE("#Metadata!", ADDRESS(INDEX($Q$2:$Q$1001,MATCH(ROWS($O$2:O232),$O$2:$O$1001,0),0), INDEX($V$1004:$AE$1004,1,MATCH(COLUMNS($V$1006:V1006),$V$1006:$AE$1006,0)))),"Fix")))</f>
        <v>0</v>
      </c>
      <c r="C232" s="3">
        <f>IF(OR(INDEX($P$2:$P$1001,MATCH(ROWS($O$2:O232),$O$2:$O$1001,0),1)&gt;=100000,INDEX($V$1005:$AE$1005,1,MATCH(COLUMNS($V$1006:W1006),$V$1006:$AE$1006,0))&gt;=100000), " ",IF(INDEX($V$2:$AE$1001,MATCH(ROWS($O$2:O232),$O$2:$O$1001,0),MATCH(COLUMNS($V$1006:W1006),$V$1006:$AE$1006,0)), HYPERLINK("#",""), HYPERLINK(CONCATENATE("#Metadata!", ADDRESS(INDEX($Q$2:$Q$1001,MATCH(ROWS($O$2:O232),$O$2:$O$1001,0),0), INDEX($V$1004:$AE$1004,1,MATCH(COLUMNS($V$1006:W1006),$V$1006:$AE$1006,0)))),"Fix")))</f>
        <v>0</v>
      </c>
      <c r="D232" s="3">
        <f>IF(OR(INDEX($P$2:$P$1001,MATCH(ROWS($O$2:O232),$O$2:$O$1001,0),1)&gt;=100000,INDEX($V$1005:$AE$1005,1,MATCH(COLUMNS($V$1006:X1006),$V$1006:$AE$1006,0))&gt;=100000), " ",IF(INDEX($V$2:$AE$1001,MATCH(ROWS($O$2:O232),$O$2:$O$1001,0),MATCH(COLUMNS($V$1006:X1006),$V$1006:$AE$1006,0)), HYPERLINK("#",""), HYPERLINK(CONCATENATE("#Metadata!", ADDRESS(INDEX($Q$2:$Q$1001,MATCH(ROWS($O$2:O232),$O$2:$O$1001,0),0), INDEX($V$1004:$AE$1004,1,MATCH(COLUMNS($V$1006:X1006),$V$1006:$AE$1006,0)))),"Fix")))</f>
        <v>0</v>
      </c>
      <c r="E232" s="3">
        <f>IF(OR(INDEX($P$2:$P$1001,MATCH(ROWS($O$2:O232),$O$2:$O$1001,0),1)&gt;=100000,INDEX($V$1005:$AE$1005,1,MATCH(COLUMNS($V$1006:Y1006),$V$1006:$AE$1006,0))&gt;=100000), " ",IF(INDEX($V$2:$AE$1001,MATCH(ROWS($O$2:O232),$O$2:$O$1001,0),MATCH(COLUMNS($V$1006:Y1006),$V$1006:$AE$1006,0)), HYPERLINK("#",""), HYPERLINK(CONCATENATE("#Metadata!", ADDRESS(INDEX($Q$2:$Q$1001,MATCH(ROWS($O$2:O232),$O$2:$O$1001,0),0), INDEX($V$1004:$AE$1004,1,MATCH(COLUMNS($V$1006:Y1006),$V$1006:$AE$1006,0)))),"Fix")))</f>
        <v>0</v>
      </c>
      <c r="F232" s="3">
        <f>IF(OR(INDEX($P$2:$P$1001,MATCH(ROWS($O$2:O232),$O$2:$O$1001,0),1)&gt;=100000,INDEX($V$1005:$AE$1005,1,MATCH(COLUMNS($V$1006:Z1006),$V$1006:$AE$1006,0))&gt;=100000), " ",IF(INDEX($V$2:$AE$1001,MATCH(ROWS($O$2:O232),$O$2:$O$1001,0),MATCH(COLUMNS($V$1006:Z1006),$V$1006:$AE$1006,0)), HYPERLINK("#",""), HYPERLINK(CONCATENATE("#Metadata!", ADDRESS(INDEX($Q$2:$Q$1001,MATCH(ROWS($O$2:O232),$O$2:$O$1001,0),0), INDEX($V$1004:$AE$1004,1,MATCH(COLUMNS($V$1006:Z1006),$V$1006:$AE$1006,0)))),"Fix")))</f>
        <v>0</v>
      </c>
      <c r="G232" s="3">
        <f>IF(OR(INDEX($P$2:$P$1001,MATCH(ROWS($O$2:O232),$O$2:$O$1001,0),1)&gt;=100000,INDEX($V$1005:$AE$1005,1,MATCH(COLUMNS($V$1006:AA1006),$V$1006:$AE$1006,0))&gt;=100000), " ",IF(INDEX($V$2:$AE$1001,MATCH(ROWS($O$2:O232),$O$2:$O$1001,0),MATCH(COLUMNS($V$1006:AA1006),$V$1006:$AE$1006,0)), HYPERLINK("#",""), HYPERLINK(CONCATENATE("#Metadata!", ADDRESS(INDEX($Q$2:$Q$1001,MATCH(ROWS($O$2:O232),$O$2:$O$1001,0),0), INDEX($V$1004:$AE$1004,1,MATCH(COLUMNS($V$1006:AA1006),$V$1006:$AE$1006,0)))),"Fix")))</f>
        <v>0</v>
      </c>
      <c r="H232" s="3">
        <f>IF(OR(INDEX($P$2:$P$1001,MATCH(ROWS($O$2:O232),$O$2:$O$1001,0),1)&gt;=100000,INDEX($V$1005:$AE$1005,1,MATCH(COLUMNS($V$1006:AB1006),$V$1006:$AE$1006,0))&gt;=100000), " ",IF(INDEX($V$2:$AE$1001,MATCH(ROWS($O$2:O232),$O$2:$O$1001,0),MATCH(COLUMNS($V$1006:AB1006),$V$1006:$AE$1006,0)), HYPERLINK("#",""), HYPERLINK(CONCATENATE("#Metadata!", ADDRESS(INDEX($Q$2:$Q$1001,MATCH(ROWS($O$2:O232),$O$2:$O$1001,0),0), INDEX($V$1004:$AE$1004,1,MATCH(COLUMNS($V$1006:AB1006),$V$1006:$AE$1006,0)))),"Fix")))</f>
        <v>0</v>
      </c>
      <c r="I232" s="3">
        <f>IF(OR(INDEX($P$2:$P$1001,MATCH(ROWS($O$2:O232),$O$2:$O$1001,0),1)&gt;=100000,INDEX($V$1005:$AE$1005,1,MATCH(COLUMNS($V$1006:AC1006),$V$1006:$AE$1006,0))&gt;=100000), " ",IF(INDEX($V$2:$AE$1001,MATCH(ROWS($O$2:O232),$O$2:$O$1001,0),MATCH(COLUMNS($V$1006:AC1006),$V$1006:$AE$1006,0)), HYPERLINK("#",""), HYPERLINK(CONCATENATE("#Metadata!", ADDRESS(INDEX($Q$2:$Q$1001,MATCH(ROWS($O$2:O232),$O$2:$O$1001,0),0), INDEX($V$1004:$AE$1004,1,MATCH(COLUMNS($V$1006:AC1006),$V$1006:$AE$1006,0)))),"Fix")))</f>
        <v>0</v>
      </c>
      <c r="J232" s="3">
        <f>IF(OR(INDEX($P$2:$P$1001,MATCH(ROWS($O$2:O232),$O$2:$O$1001,0),1)&gt;=100000,INDEX($V$1005:$AE$1005,1,MATCH(COLUMNS($V$1006:AD1006),$V$1006:$AE$1006,0))&gt;=100000), " ",IF(INDEX($V$2:$AE$1001,MATCH(ROWS($O$2:O232),$O$2:$O$1001,0),MATCH(COLUMNS($V$1006:AD1006),$V$1006:$AE$1006,0)), HYPERLINK("#",""), HYPERLINK(CONCATENATE("#Metadata!", ADDRESS(INDEX($Q$2:$Q$1001,MATCH(ROWS($O$2:O232),$O$2:$O$1001,0),0), INDEX($V$1004:$AE$1004,1,MATCH(COLUMNS($V$1006:AD1006),$V$1006:$AE$1006,0)))),"Fix")))</f>
        <v>0</v>
      </c>
      <c r="K232" s="3">
        <f>IF(OR(INDEX($P$2:$P$1001,MATCH(ROWS($O$2:O232),$O$2:$O$1001,0),1)&gt;=100000,INDEX($V$1005:$AE$1005,1,MATCH(COLUMNS($V$1006:AE1006),$V$1006:$AE$1006,0))&gt;=100000), " ",IF(INDEX($V$2:$AE$1001,MATCH(ROWS($O$2:O232),$O$2:$O$1001,0),MATCH(COLUMNS($V$1006:AE1006),$V$1006:$AE$1006,0)), HYPERLINK("#",""), HYPERLINK(CONCATENATE("#Metadata!", ADDRESS(INDEX($Q$2:$Q$1001,MATCH(ROWS($O$2:O232),$O$2:$O$1001,0),0), INDEX($V$1004:$AE$1004,1,MATCH(COLUMNS($V$1006:AE1006),$V$1006:$AE$1006,0)))),"Fix")))</f>
        <v>0</v>
      </c>
      <c r="O232">
        <v>0</v>
      </c>
      <c r="P232">
        <v>0</v>
      </c>
      <c r="Q232">
        <v>0</v>
      </c>
      <c r="R232">
        <f>IF(S232,TRUE,AND(V232:AE232))</f>
        <v>0</v>
      </c>
      <c r="S232">
        <f>COUNTBLANK(Metadata!B232:K232)=COLUMNS(Metadata!B232:K232)</f>
        <v>0</v>
      </c>
      <c r="T232">
        <v>0</v>
      </c>
      <c r="V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W232">
        <f>AND(IF(Metadata!C232="",FALSE,TRUE),exact(Metadata!C232,"animal secretion"))</f>
        <v>0</v>
      </c>
      <c r="X232">
        <f>AND(IF(Metadata!D232="",FALSE,TRUE),exact(Metadata!D232,"saliva"))</f>
        <v>0</v>
      </c>
      <c r="Y232">
        <f>AND(IF(Metadata!E232="",FALSE,TRUE),exact(Metadata!E232,"human-oral"))</f>
        <v>0</v>
      </c>
      <c r="Z232">
        <f>AND(IF(Metadata!F232="",FALSE,TRUE),exact(Metadata!F232,"UBERON:oral cavity"))</f>
        <v>0</v>
      </c>
      <c r="AA232">
        <f>AND(IF(Metadata!G232="",FALSE,TRUE),exact(Metadata!G232,"UBERON:saliva"))</f>
        <v>0</v>
      </c>
      <c r="AB232">
        <f>AND(IF(Metadata!H232="",FALSE,TRUE),exact(Metadata!H232,"UBERON:tongue"))</f>
        <v>0</v>
      </c>
      <c r="AC232">
        <f>AND(IF(Metadata!I232="",FALSE,TRUE),exact(Metadata!I232,"tongue"))</f>
        <v>0</v>
      </c>
      <c r="AD232">
        <f>AND(IF(Metadata!J232="",FALSE,TRUE),exact(Metadata!J232,"human oral metagenome"))</f>
        <v>0</v>
      </c>
      <c r="AE232">
        <f>AND(IF(Metadata!K232="",FALSE,TRUE),exact(Metadata!K232,"447426"))</f>
        <v>0</v>
      </c>
    </row>
    <row r="233" spans="1:31">
      <c r="A233" s="4">
        <f>IF(B233=" "," ",HYPERLINK(CONCATENATE("#metadata!",ADDRESS(INDEX($Q$2:$Q$1001,MATCH(ROWS($O$2:O233),$O$2:$O$1001,0),0),1)),INDEX($T$2:$T$1001,MATCH(ROWS($O$2:O233),$O$2:$O$1001,0),0)))</f>
        <v>0</v>
      </c>
      <c r="B233" s="3">
        <f>IF(OR(INDEX($P$2:$P$1001,MATCH(ROWS($O$2:O233),$O$2:$O$1001,0),1)&gt;=100000,INDEX($V$1005:$AE$1005,1,MATCH(COLUMNS($V$1006:V1006),$V$1006:$AE$1006,0))&gt;=100000), " ",IF(INDEX($V$2:$AE$1001,MATCH(ROWS($O$2:O233),$O$2:$O$1001,0),MATCH(COLUMNS($V$1006:V1006),$V$1006:$AE$1006,0)), HYPERLINK("#",""), HYPERLINK(CONCATENATE("#Metadata!", ADDRESS(INDEX($Q$2:$Q$1001,MATCH(ROWS($O$2:O233),$O$2:$O$1001,0),0), INDEX($V$1004:$AE$1004,1,MATCH(COLUMNS($V$1006:V1006),$V$1006:$AE$1006,0)))),"Fix")))</f>
        <v>0</v>
      </c>
      <c r="C233" s="3">
        <f>IF(OR(INDEX($P$2:$P$1001,MATCH(ROWS($O$2:O233),$O$2:$O$1001,0),1)&gt;=100000,INDEX($V$1005:$AE$1005,1,MATCH(COLUMNS($V$1006:W1006),$V$1006:$AE$1006,0))&gt;=100000), " ",IF(INDEX($V$2:$AE$1001,MATCH(ROWS($O$2:O233),$O$2:$O$1001,0),MATCH(COLUMNS($V$1006:W1006),$V$1006:$AE$1006,0)), HYPERLINK("#",""), HYPERLINK(CONCATENATE("#Metadata!", ADDRESS(INDEX($Q$2:$Q$1001,MATCH(ROWS($O$2:O233),$O$2:$O$1001,0),0), INDEX($V$1004:$AE$1004,1,MATCH(COLUMNS($V$1006:W1006),$V$1006:$AE$1006,0)))),"Fix")))</f>
        <v>0</v>
      </c>
      <c r="D233" s="3">
        <f>IF(OR(INDEX($P$2:$P$1001,MATCH(ROWS($O$2:O233),$O$2:$O$1001,0),1)&gt;=100000,INDEX($V$1005:$AE$1005,1,MATCH(COLUMNS($V$1006:X1006),$V$1006:$AE$1006,0))&gt;=100000), " ",IF(INDEX($V$2:$AE$1001,MATCH(ROWS($O$2:O233),$O$2:$O$1001,0),MATCH(COLUMNS($V$1006:X1006),$V$1006:$AE$1006,0)), HYPERLINK("#",""), HYPERLINK(CONCATENATE("#Metadata!", ADDRESS(INDEX($Q$2:$Q$1001,MATCH(ROWS($O$2:O233),$O$2:$O$1001,0),0), INDEX($V$1004:$AE$1004,1,MATCH(COLUMNS($V$1006:X1006),$V$1006:$AE$1006,0)))),"Fix")))</f>
        <v>0</v>
      </c>
      <c r="E233" s="3">
        <f>IF(OR(INDEX($P$2:$P$1001,MATCH(ROWS($O$2:O233),$O$2:$O$1001,0),1)&gt;=100000,INDEX($V$1005:$AE$1005,1,MATCH(COLUMNS($V$1006:Y1006),$V$1006:$AE$1006,0))&gt;=100000), " ",IF(INDEX($V$2:$AE$1001,MATCH(ROWS($O$2:O233),$O$2:$O$1001,0),MATCH(COLUMNS($V$1006:Y1006),$V$1006:$AE$1006,0)), HYPERLINK("#",""), HYPERLINK(CONCATENATE("#Metadata!", ADDRESS(INDEX($Q$2:$Q$1001,MATCH(ROWS($O$2:O233),$O$2:$O$1001,0),0), INDEX($V$1004:$AE$1004,1,MATCH(COLUMNS($V$1006:Y1006),$V$1006:$AE$1006,0)))),"Fix")))</f>
        <v>0</v>
      </c>
      <c r="F233" s="3">
        <f>IF(OR(INDEX($P$2:$P$1001,MATCH(ROWS($O$2:O233),$O$2:$O$1001,0),1)&gt;=100000,INDEX($V$1005:$AE$1005,1,MATCH(COLUMNS($V$1006:Z1006),$V$1006:$AE$1006,0))&gt;=100000), " ",IF(INDEX($V$2:$AE$1001,MATCH(ROWS($O$2:O233),$O$2:$O$1001,0),MATCH(COLUMNS($V$1006:Z1006),$V$1006:$AE$1006,0)), HYPERLINK("#",""), HYPERLINK(CONCATENATE("#Metadata!", ADDRESS(INDEX($Q$2:$Q$1001,MATCH(ROWS($O$2:O233),$O$2:$O$1001,0),0), INDEX($V$1004:$AE$1004,1,MATCH(COLUMNS($V$1006:Z1006),$V$1006:$AE$1006,0)))),"Fix")))</f>
        <v>0</v>
      </c>
      <c r="G233" s="3">
        <f>IF(OR(INDEX($P$2:$P$1001,MATCH(ROWS($O$2:O233),$O$2:$O$1001,0),1)&gt;=100000,INDEX($V$1005:$AE$1005,1,MATCH(COLUMNS($V$1006:AA1006),$V$1006:$AE$1006,0))&gt;=100000), " ",IF(INDEX($V$2:$AE$1001,MATCH(ROWS($O$2:O233),$O$2:$O$1001,0),MATCH(COLUMNS($V$1006:AA1006),$V$1006:$AE$1006,0)), HYPERLINK("#",""), HYPERLINK(CONCATENATE("#Metadata!", ADDRESS(INDEX($Q$2:$Q$1001,MATCH(ROWS($O$2:O233),$O$2:$O$1001,0),0), INDEX($V$1004:$AE$1004,1,MATCH(COLUMNS($V$1006:AA1006),$V$1006:$AE$1006,0)))),"Fix")))</f>
        <v>0</v>
      </c>
      <c r="H233" s="3">
        <f>IF(OR(INDEX($P$2:$P$1001,MATCH(ROWS($O$2:O233),$O$2:$O$1001,0),1)&gt;=100000,INDEX($V$1005:$AE$1005,1,MATCH(COLUMNS($V$1006:AB1006),$V$1006:$AE$1006,0))&gt;=100000), " ",IF(INDEX($V$2:$AE$1001,MATCH(ROWS($O$2:O233),$O$2:$O$1001,0),MATCH(COLUMNS($V$1006:AB1006),$V$1006:$AE$1006,0)), HYPERLINK("#",""), HYPERLINK(CONCATENATE("#Metadata!", ADDRESS(INDEX($Q$2:$Q$1001,MATCH(ROWS($O$2:O233),$O$2:$O$1001,0),0), INDEX($V$1004:$AE$1004,1,MATCH(COLUMNS($V$1006:AB1006),$V$1006:$AE$1006,0)))),"Fix")))</f>
        <v>0</v>
      </c>
      <c r="I233" s="3">
        <f>IF(OR(INDEX($P$2:$P$1001,MATCH(ROWS($O$2:O233),$O$2:$O$1001,0),1)&gt;=100000,INDEX($V$1005:$AE$1005,1,MATCH(COLUMNS($V$1006:AC1006),$V$1006:$AE$1006,0))&gt;=100000), " ",IF(INDEX($V$2:$AE$1001,MATCH(ROWS($O$2:O233),$O$2:$O$1001,0),MATCH(COLUMNS($V$1006:AC1006),$V$1006:$AE$1006,0)), HYPERLINK("#",""), HYPERLINK(CONCATENATE("#Metadata!", ADDRESS(INDEX($Q$2:$Q$1001,MATCH(ROWS($O$2:O233),$O$2:$O$1001,0),0), INDEX($V$1004:$AE$1004,1,MATCH(COLUMNS($V$1006:AC1006),$V$1006:$AE$1006,0)))),"Fix")))</f>
        <v>0</v>
      </c>
      <c r="J233" s="3">
        <f>IF(OR(INDEX($P$2:$P$1001,MATCH(ROWS($O$2:O233),$O$2:$O$1001,0),1)&gt;=100000,INDEX($V$1005:$AE$1005,1,MATCH(COLUMNS($V$1006:AD1006),$V$1006:$AE$1006,0))&gt;=100000), " ",IF(INDEX($V$2:$AE$1001,MATCH(ROWS($O$2:O233),$O$2:$O$1001,0),MATCH(COLUMNS($V$1006:AD1006),$V$1006:$AE$1006,0)), HYPERLINK("#",""), HYPERLINK(CONCATENATE("#Metadata!", ADDRESS(INDEX($Q$2:$Q$1001,MATCH(ROWS($O$2:O233),$O$2:$O$1001,0),0), INDEX($V$1004:$AE$1004,1,MATCH(COLUMNS($V$1006:AD1006),$V$1006:$AE$1006,0)))),"Fix")))</f>
        <v>0</v>
      </c>
      <c r="K233" s="3">
        <f>IF(OR(INDEX($P$2:$P$1001,MATCH(ROWS($O$2:O233),$O$2:$O$1001,0),1)&gt;=100000,INDEX($V$1005:$AE$1005,1,MATCH(COLUMNS($V$1006:AE1006),$V$1006:$AE$1006,0))&gt;=100000), " ",IF(INDEX($V$2:$AE$1001,MATCH(ROWS($O$2:O233),$O$2:$O$1001,0),MATCH(COLUMNS($V$1006:AE1006),$V$1006:$AE$1006,0)), HYPERLINK("#",""), HYPERLINK(CONCATENATE("#Metadata!", ADDRESS(INDEX($Q$2:$Q$1001,MATCH(ROWS($O$2:O233),$O$2:$O$1001,0),0), INDEX($V$1004:$AE$1004,1,MATCH(COLUMNS($V$1006:AE1006),$V$1006:$AE$1006,0)))),"Fix")))</f>
        <v>0</v>
      </c>
      <c r="O233">
        <v>0</v>
      </c>
      <c r="P233">
        <v>0</v>
      </c>
      <c r="Q233">
        <v>0</v>
      </c>
      <c r="R233">
        <f>IF(S233,TRUE,AND(V233:AE233))</f>
        <v>0</v>
      </c>
      <c r="S233">
        <f>COUNTBLANK(Metadata!B233:K233)=COLUMNS(Metadata!B233:K233)</f>
        <v>0</v>
      </c>
      <c r="T233">
        <v>0</v>
      </c>
      <c r="V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W233">
        <f>AND(IF(Metadata!C233="",FALSE,TRUE),exact(Metadata!C233,"animal secretion"))</f>
        <v>0</v>
      </c>
      <c r="X233">
        <f>AND(IF(Metadata!D233="",FALSE,TRUE),exact(Metadata!D233,"saliva"))</f>
        <v>0</v>
      </c>
      <c r="Y233">
        <f>AND(IF(Metadata!E233="",FALSE,TRUE),exact(Metadata!E233,"human-oral"))</f>
        <v>0</v>
      </c>
      <c r="Z233">
        <f>AND(IF(Metadata!F233="",FALSE,TRUE),exact(Metadata!F233,"UBERON:oral cavity"))</f>
        <v>0</v>
      </c>
      <c r="AA233">
        <f>AND(IF(Metadata!G233="",FALSE,TRUE),exact(Metadata!G233,"UBERON:saliva"))</f>
        <v>0</v>
      </c>
      <c r="AB233">
        <f>AND(IF(Metadata!H233="",FALSE,TRUE),exact(Metadata!H233,"UBERON:tongue"))</f>
        <v>0</v>
      </c>
      <c r="AC233">
        <f>AND(IF(Metadata!I233="",FALSE,TRUE),exact(Metadata!I233,"tongue"))</f>
        <v>0</v>
      </c>
      <c r="AD233">
        <f>AND(IF(Metadata!J233="",FALSE,TRUE),exact(Metadata!J233,"human oral metagenome"))</f>
        <v>0</v>
      </c>
      <c r="AE233">
        <f>AND(IF(Metadata!K233="",FALSE,TRUE),exact(Metadata!K233,"447426"))</f>
        <v>0</v>
      </c>
    </row>
    <row r="234" spans="1:31">
      <c r="A234" s="4">
        <f>IF(B234=" "," ",HYPERLINK(CONCATENATE("#metadata!",ADDRESS(INDEX($Q$2:$Q$1001,MATCH(ROWS($O$2:O234),$O$2:$O$1001,0),0),1)),INDEX($T$2:$T$1001,MATCH(ROWS($O$2:O234),$O$2:$O$1001,0),0)))</f>
        <v>0</v>
      </c>
      <c r="B234" s="3">
        <f>IF(OR(INDEX($P$2:$P$1001,MATCH(ROWS($O$2:O234),$O$2:$O$1001,0),1)&gt;=100000,INDEX($V$1005:$AE$1005,1,MATCH(COLUMNS($V$1006:V1006),$V$1006:$AE$1006,0))&gt;=100000), " ",IF(INDEX($V$2:$AE$1001,MATCH(ROWS($O$2:O234),$O$2:$O$1001,0),MATCH(COLUMNS($V$1006:V1006),$V$1006:$AE$1006,0)), HYPERLINK("#",""), HYPERLINK(CONCATENATE("#Metadata!", ADDRESS(INDEX($Q$2:$Q$1001,MATCH(ROWS($O$2:O234),$O$2:$O$1001,0),0), INDEX($V$1004:$AE$1004,1,MATCH(COLUMNS($V$1006:V1006),$V$1006:$AE$1006,0)))),"Fix")))</f>
        <v>0</v>
      </c>
      <c r="C234" s="3">
        <f>IF(OR(INDEX($P$2:$P$1001,MATCH(ROWS($O$2:O234),$O$2:$O$1001,0),1)&gt;=100000,INDEX($V$1005:$AE$1005,1,MATCH(COLUMNS($V$1006:W1006),$V$1006:$AE$1006,0))&gt;=100000), " ",IF(INDEX($V$2:$AE$1001,MATCH(ROWS($O$2:O234),$O$2:$O$1001,0),MATCH(COLUMNS($V$1006:W1006),$V$1006:$AE$1006,0)), HYPERLINK("#",""), HYPERLINK(CONCATENATE("#Metadata!", ADDRESS(INDEX($Q$2:$Q$1001,MATCH(ROWS($O$2:O234),$O$2:$O$1001,0),0), INDEX($V$1004:$AE$1004,1,MATCH(COLUMNS($V$1006:W1006),$V$1006:$AE$1006,0)))),"Fix")))</f>
        <v>0</v>
      </c>
      <c r="D234" s="3">
        <f>IF(OR(INDEX($P$2:$P$1001,MATCH(ROWS($O$2:O234),$O$2:$O$1001,0),1)&gt;=100000,INDEX($V$1005:$AE$1005,1,MATCH(COLUMNS($V$1006:X1006),$V$1006:$AE$1006,0))&gt;=100000), " ",IF(INDEX($V$2:$AE$1001,MATCH(ROWS($O$2:O234),$O$2:$O$1001,0),MATCH(COLUMNS($V$1006:X1006),$V$1006:$AE$1006,0)), HYPERLINK("#",""), HYPERLINK(CONCATENATE("#Metadata!", ADDRESS(INDEX($Q$2:$Q$1001,MATCH(ROWS($O$2:O234),$O$2:$O$1001,0),0), INDEX($V$1004:$AE$1004,1,MATCH(COLUMNS($V$1006:X1006),$V$1006:$AE$1006,0)))),"Fix")))</f>
        <v>0</v>
      </c>
      <c r="E234" s="3">
        <f>IF(OR(INDEX($P$2:$P$1001,MATCH(ROWS($O$2:O234),$O$2:$O$1001,0),1)&gt;=100000,INDEX($V$1005:$AE$1005,1,MATCH(COLUMNS($V$1006:Y1006),$V$1006:$AE$1006,0))&gt;=100000), " ",IF(INDEX($V$2:$AE$1001,MATCH(ROWS($O$2:O234),$O$2:$O$1001,0),MATCH(COLUMNS($V$1006:Y1006),$V$1006:$AE$1006,0)), HYPERLINK("#",""), HYPERLINK(CONCATENATE("#Metadata!", ADDRESS(INDEX($Q$2:$Q$1001,MATCH(ROWS($O$2:O234),$O$2:$O$1001,0),0), INDEX($V$1004:$AE$1004,1,MATCH(COLUMNS($V$1006:Y1006),$V$1006:$AE$1006,0)))),"Fix")))</f>
        <v>0</v>
      </c>
      <c r="F234" s="3">
        <f>IF(OR(INDEX($P$2:$P$1001,MATCH(ROWS($O$2:O234),$O$2:$O$1001,0),1)&gt;=100000,INDEX($V$1005:$AE$1005,1,MATCH(COLUMNS($V$1006:Z1006),$V$1006:$AE$1006,0))&gt;=100000), " ",IF(INDEX($V$2:$AE$1001,MATCH(ROWS($O$2:O234),$O$2:$O$1001,0),MATCH(COLUMNS($V$1006:Z1006),$V$1006:$AE$1006,0)), HYPERLINK("#",""), HYPERLINK(CONCATENATE("#Metadata!", ADDRESS(INDEX($Q$2:$Q$1001,MATCH(ROWS($O$2:O234),$O$2:$O$1001,0),0), INDEX($V$1004:$AE$1004,1,MATCH(COLUMNS($V$1006:Z1006),$V$1006:$AE$1006,0)))),"Fix")))</f>
        <v>0</v>
      </c>
      <c r="G234" s="3">
        <f>IF(OR(INDEX($P$2:$P$1001,MATCH(ROWS($O$2:O234),$O$2:$O$1001,0),1)&gt;=100000,INDEX($V$1005:$AE$1005,1,MATCH(COLUMNS($V$1006:AA1006),$V$1006:$AE$1006,0))&gt;=100000), " ",IF(INDEX($V$2:$AE$1001,MATCH(ROWS($O$2:O234),$O$2:$O$1001,0),MATCH(COLUMNS($V$1006:AA1006),$V$1006:$AE$1006,0)), HYPERLINK("#",""), HYPERLINK(CONCATENATE("#Metadata!", ADDRESS(INDEX($Q$2:$Q$1001,MATCH(ROWS($O$2:O234),$O$2:$O$1001,0),0), INDEX($V$1004:$AE$1004,1,MATCH(COLUMNS($V$1006:AA1006),$V$1006:$AE$1006,0)))),"Fix")))</f>
        <v>0</v>
      </c>
      <c r="H234" s="3">
        <f>IF(OR(INDEX($P$2:$P$1001,MATCH(ROWS($O$2:O234),$O$2:$O$1001,0),1)&gt;=100000,INDEX($V$1005:$AE$1005,1,MATCH(COLUMNS($V$1006:AB1006),$V$1006:$AE$1006,0))&gt;=100000), " ",IF(INDEX($V$2:$AE$1001,MATCH(ROWS($O$2:O234),$O$2:$O$1001,0),MATCH(COLUMNS($V$1006:AB1006),$V$1006:$AE$1006,0)), HYPERLINK("#",""), HYPERLINK(CONCATENATE("#Metadata!", ADDRESS(INDEX($Q$2:$Q$1001,MATCH(ROWS($O$2:O234),$O$2:$O$1001,0),0), INDEX($V$1004:$AE$1004,1,MATCH(COLUMNS($V$1006:AB1006),$V$1006:$AE$1006,0)))),"Fix")))</f>
        <v>0</v>
      </c>
      <c r="I234" s="3">
        <f>IF(OR(INDEX($P$2:$P$1001,MATCH(ROWS($O$2:O234),$O$2:$O$1001,0),1)&gt;=100000,INDEX($V$1005:$AE$1005,1,MATCH(COLUMNS($V$1006:AC1006),$V$1006:$AE$1006,0))&gt;=100000), " ",IF(INDEX($V$2:$AE$1001,MATCH(ROWS($O$2:O234),$O$2:$O$1001,0),MATCH(COLUMNS($V$1006:AC1006),$V$1006:$AE$1006,0)), HYPERLINK("#",""), HYPERLINK(CONCATENATE("#Metadata!", ADDRESS(INDEX($Q$2:$Q$1001,MATCH(ROWS($O$2:O234),$O$2:$O$1001,0),0), INDEX($V$1004:$AE$1004,1,MATCH(COLUMNS($V$1006:AC1006),$V$1006:$AE$1006,0)))),"Fix")))</f>
        <v>0</v>
      </c>
      <c r="J234" s="3">
        <f>IF(OR(INDEX($P$2:$P$1001,MATCH(ROWS($O$2:O234),$O$2:$O$1001,0),1)&gt;=100000,INDEX($V$1005:$AE$1005,1,MATCH(COLUMNS($V$1006:AD1006),$V$1006:$AE$1006,0))&gt;=100000), " ",IF(INDEX($V$2:$AE$1001,MATCH(ROWS($O$2:O234),$O$2:$O$1001,0),MATCH(COLUMNS($V$1006:AD1006),$V$1006:$AE$1006,0)), HYPERLINK("#",""), HYPERLINK(CONCATENATE("#Metadata!", ADDRESS(INDEX($Q$2:$Q$1001,MATCH(ROWS($O$2:O234),$O$2:$O$1001,0),0), INDEX($V$1004:$AE$1004,1,MATCH(COLUMNS($V$1006:AD1006),$V$1006:$AE$1006,0)))),"Fix")))</f>
        <v>0</v>
      </c>
      <c r="K234" s="3">
        <f>IF(OR(INDEX($P$2:$P$1001,MATCH(ROWS($O$2:O234),$O$2:$O$1001,0),1)&gt;=100000,INDEX($V$1005:$AE$1005,1,MATCH(COLUMNS($V$1006:AE1006),$V$1006:$AE$1006,0))&gt;=100000), " ",IF(INDEX($V$2:$AE$1001,MATCH(ROWS($O$2:O234),$O$2:$O$1001,0),MATCH(COLUMNS($V$1006:AE1006),$V$1006:$AE$1006,0)), HYPERLINK("#",""), HYPERLINK(CONCATENATE("#Metadata!", ADDRESS(INDEX($Q$2:$Q$1001,MATCH(ROWS($O$2:O234),$O$2:$O$1001,0),0), INDEX($V$1004:$AE$1004,1,MATCH(COLUMNS($V$1006:AE1006),$V$1006:$AE$1006,0)))),"Fix")))</f>
        <v>0</v>
      </c>
      <c r="O234">
        <v>0</v>
      </c>
      <c r="P234">
        <v>0</v>
      </c>
      <c r="Q234">
        <v>0</v>
      </c>
      <c r="R234">
        <f>IF(S234,TRUE,AND(V234:AE234))</f>
        <v>0</v>
      </c>
      <c r="S234">
        <f>COUNTBLANK(Metadata!B234:K234)=COLUMNS(Metadata!B234:K234)</f>
        <v>0</v>
      </c>
      <c r="T234">
        <v>0</v>
      </c>
      <c r="V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W234">
        <f>AND(IF(Metadata!C234="",FALSE,TRUE),exact(Metadata!C234,"animal secretion"))</f>
        <v>0</v>
      </c>
      <c r="X234">
        <f>AND(IF(Metadata!D234="",FALSE,TRUE),exact(Metadata!D234,"saliva"))</f>
        <v>0</v>
      </c>
      <c r="Y234">
        <f>AND(IF(Metadata!E234="",FALSE,TRUE),exact(Metadata!E234,"human-oral"))</f>
        <v>0</v>
      </c>
      <c r="Z234">
        <f>AND(IF(Metadata!F234="",FALSE,TRUE),exact(Metadata!F234,"UBERON:oral cavity"))</f>
        <v>0</v>
      </c>
      <c r="AA234">
        <f>AND(IF(Metadata!G234="",FALSE,TRUE),exact(Metadata!G234,"UBERON:saliva"))</f>
        <v>0</v>
      </c>
      <c r="AB234">
        <f>AND(IF(Metadata!H234="",FALSE,TRUE),exact(Metadata!H234,"UBERON:tongue"))</f>
        <v>0</v>
      </c>
      <c r="AC234">
        <f>AND(IF(Metadata!I234="",FALSE,TRUE),exact(Metadata!I234,"tongue"))</f>
        <v>0</v>
      </c>
      <c r="AD234">
        <f>AND(IF(Metadata!J234="",FALSE,TRUE),exact(Metadata!J234,"human oral metagenome"))</f>
        <v>0</v>
      </c>
      <c r="AE234">
        <f>AND(IF(Metadata!K234="",FALSE,TRUE),exact(Metadata!K234,"447426"))</f>
        <v>0</v>
      </c>
    </row>
    <row r="235" spans="1:31">
      <c r="A235" s="4">
        <f>IF(B235=" "," ",HYPERLINK(CONCATENATE("#metadata!",ADDRESS(INDEX($Q$2:$Q$1001,MATCH(ROWS($O$2:O235),$O$2:$O$1001,0),0),1)),INDEX($T$2:$T$1001,MATCH(ROWS($O$2:O235),$O$2:$O$1001,0),0)))</f>
        <v>0</v>
      </c>
      <c r="B235" s="3">
        <f>IF(OR(INDEX($P$2:$P$1001,MATCH(ROWS($O$2:O235),$O$2:$O$1001,0),1)&gt;=100000,INDEX($V$1005:$AE$1005,1,MATCH(COLUMNS($V$1006:V1006),$V$1006:$AE$1006,0))&gt;=100000), " ",IF(INDEX($V$2:$AE$1001,MATCH(ROWS($O$2:O235),$O$2:$O$1001,0),MATCH(COLUMNS($V$1006:V1006),$V$1006:$AE$1006,0)), HYPERLINK("#",""), HYPERLINK(CONCATENATE("#Metadata!", ADDRESS(INDEX($Q$2:$Q$1001,MATCH(ROWS($O$2:O235),$O$2:$O$1001,0),0), INDEX($V$1004:$AE$1004,1,MATCH(COLUMNS($V$1006:V1006),$V$1006:$AE$1006,0)))),"Fix")))</f>
        <v>0</v>
      </c>
      <c r="C235" s="3">
        <f>IF(OR(INDEX($P$2:$P$1001,MATCH(ROWS($O$2:O235),$O$2:$O$1001,0),1)&gt;=100000,INDEX($V$1005:$AE$1005,1,MATCH(COLUMNS($V$1006:W1006),$V$1006:$AE$1006,0))&gt;=100000), " ",IF(INDEX($V$2:$AE$1001,MATCH(ROWS($O$2:O235),$O$2:$O$1001,0),MATCH(COLUMNS($V$1006:W1006),$V$1006:$AE$1006,0)), HYPERLINK("#",""), HYPERLINK(CONCATENATE("#Metadata!", ADDRESS(INDEX($Q$2:$Q$1001,MATCH(ROWS($O$2:O235),$O$2:$O$1001,0),0), INDEX($V$1004:$AE$1004,1,MATCH(COLUMNS($V$1006:W1006),$V$1006:$AE$1006,0)))),"Fix")))</f>
        <v>0</v>
      </c>
      <c r="D235" s="3">
        <f>IF(OR(INDEX($P$2:$P$1001,MATCH(ROWS($O$2:O235),$O$2:$O$1001,0),1)&gt;=100000,INDEX($V$1005:$AE$1005,1,MATCH(COLUMNS($V$1006:X1006),$V$1006:$AE$1006,0))&gt;=100000), " ",IF(INDEX($V$2:$AE$1001,MATCH(ROWS($O$2:O235),$O$2:$O$1001,0),MATCH(COLUMNS($V$1006:X1006),$V$1006:$AE$1006,0)), HYPERLINK("#",""), HYPERLINK(CONCATENATE("#Metadata!", ADDRESS(INDEX($Q$2:$Q$1001,MATCH(ROWS($O$2:O235),$O$2:$O$1001,0),0), INDEX($V$1004:$AE$1004,1,MATCH(COLUMNS($V$1006:X1006),$V$1006:$AE$1006,0)))),"Fix")))</f>
        <v>0</v>
      </c>
      <c r="E235" s="3">
        <f>IF(OR(INDEX($P$2:$P$1001,MATCH(ROWS($O$2:O235),$O$2:$O$1001,0),1)&gt;=100000,INDEX($V$1005:$AE$1005,1,MATCH(COLUMNS($V$1006:Y1006),$V$1006:$AE$1006,0))&gt;=100000), " ",IF(INDEX($V$2:$AE$1001,MATCH(ROWS($O$2:O235),$O$2:$O$1001,0),MATCH(COLUMNS($V$1006:Y1006),$V$1006:$AE$1006,0)), HYPERLINK("#",""), HYPERLINK(CONCATENATE("#Metadata!", ADDRESS(INDEX($Q$2:$Q$1001,MATCH(ROWS($O$2:O235),$O$2:$O$1001,0),0), INDEX($V$1004:$AE$1004,1,MATCH(COLUMNS($V$1006:Y1006),$V$1006:$AE$1006,0)))),"Fix")))</f>
        <v>0</v>
      </c>
      <c r="F235" s="3">
        <f>IF(OR(INDEX($P$2:$P$1001,MATCH(ROWS($O$2:O235),$O$2:$O$1001,0),1)&gt;=100000,INDEX($V$1005:$AE$1005,1,MATCH(COLUMNS($V$1006:Z1006),$V$1006:$AE$1006,0))&gt;=100000), " ",IF(INDEX($V$2:$AE$1001,MATCH(ROWS($O$2:O235),$O$2:$O$1001,0),MATCH(COLUMNS($V$1006:Z1006),$V$1006:$AE$1006,0)), HYPERLINK("#",""), HYPERLINK(CONCATENATE("#Metadata!", ADDRESS(INDEX($Q$2:$Q$1001,MATCH(ROWS($O$2:O235),$O$2:$O$1001,0),0), INDEX($V$1004:$AE$1004,1,MATCH(COLUMNS($V$1006:Z1006),$V$1006:$AE$1006,0)))),"Fix")))</f>
        <v>0</v>
      </c>
      <c r="G235" s="3">
        <f>IF(OR(INDEX($P$2:$P$1001,MATCH(ROWS($O$2:O235),$O$2:$O$1001,0),1)&gt;=100000,INDEX($V$1005:$AE$1005,1,MATCH(COLUMNS($V$1006:AA1006),$V$1006:$AE$1006,0))&gt;=100000), " ",IF(INDEX($V$2:$AE$1001,MATCH(ROWS($O$2:O235),$O$2:$O$1001,0),MATCH(COLUMNS($V$1006:AA1006),$V$1006:$AE$1006,0)), HYPERLINK("#",""), HYPERLINK(CONCATENATE("#Metadata!", ADDRESS(INDEX($Q$2:$Q$1001,MATCH(ROWS($O$2:O235),$O$2:$O$1001,0),0), INDEX($V$1004:$AE$1004,1,MATCH(COLUMNS($V$1006:AA1006),$V$1006:$AE$1006,0)))),"Fix")))</f>
        <v>0</v>
      </c>
      <c r="H235" s="3">
        <f>IF(OR(INDEX($P$2:$P$1001,MATCH(ROWS($O$2:O235),$O$2:$O$1001,0),1)&gt;=100000,INDEX($V$1005:$AE$1005,1,MATCH(COLUMNS($V$1006:AB1006),$V$1006:$AE$1006,0))&gt;=100000), " ",IF(INDEX($V$2:$AE$1001,MATCH(ROWS($O$2:O235),$O$2:$O$1001,0),MATCH(COLUMNS($V$1006:AB1006),$V$1006:$AE$1006,0)), HYPERLINK("#",""), HYPERLINK(CONCATENATE("#Metadata!", ADDRESS(INDEX($Q$2:$Q$1001,MATCH(ROWS($O$2:O235),$O$2:$O$1001,0),0), INDEX($V$1004:$AE$1004,1,MATCH(COLUMNS($V$1006:AB1006),$V$1006:$AE$1006,0)))),"Fix")))</f>
        <v>0</v>
      </c>
      <c r="I235" s="3">
        <f>IF(OR(INDEX($P$2:$P$1001,MATCH(ROWS($O$2:O235),$O$2:$O$1001,0),1)&gt;=100000,INDEX($V$1005:$AE$1005,1,MATCH(COLUMNS($V$1006:AC1006),$V$1006:$AE$1006,0))&gt;=100000), " ",IF(INDEX($V$2:$AE$1001,MATCH(ROWS($O$2:O235),$O$2:$O$1001,0),MATCH(COLUMNS($V$1006:AC1006),$V$1006:$AE$1006,0)), HYPERLINK("#",""), HYPERLINK(CONCATENATE("#Metadata!", ADDRESS(INDEX($Q$2:$Q$1001,MATCH(ROWS($O$2:O235),$O$2:$O$1001,0),0), INDEX($V$1004:$AE$1004,1,MATCH(COLUMNS($V$1006:AC1006),$V$1006:$AE$1006,0)))),"Fix")))</f>
        <v>0</v>
      </c>
      <c r="J235" s="3">
        <f>IF(OR(INDEX($P$2:$P$1001,MATCH(ROWS($O$2:O235),$O$2:$O$1001,0),1)&gt;=100000,INDEX($V$1005:$AE$1005,1,MATCH(COLUMNS($V$1006:AD1006),$V$1006:$AE$1006,0))&gt;=100000), " ",IF(INDEX($V$2:$AE$1001,MATCH(ROWS($O$2:O235),$O$2:$O$1001,0),MATCH(COLUMNS($V$1006:AD1006),$V$1006:$AE$1006,0)), HYPERLINK("#",""), HYPERLINK(CONCATENATE("#Metadata!", ADDRESS(INDEX($Q$2:$Q$1001,MATCH(ROWS($O$2:O235),$O$2:$O$1001,0),0), INDEX($V$1004:$AE$1004,1,MATCH(COLUMNS($V$1006:AD1006),$V$1006:$AE$1006,0)))),"Fix")))</f>
        <v>0</v>
      </c>
      <c r="K235" s="3">
        <f>IF(OR(INDEX($P$2:$P$1001,MATCH(ROWS($O$2:O235),$O$2:$O$1001,0),1)&gt;=100000,INDEX($V$1005:$AE$1005,1,MATCH(COLUMNS($V$1006:AE1006),$V$1006:$AE$1006,0))&gt;=100000), " ",IF(INDEX($V$2:$AE$1001,MATCH(ROWS($O$2:O235),$O$2:$O$1001,0),MATCH(COLUMNS($V$1006:AE1006),$V$1006:$AE$1006,0)), HYPERLINK("#",""), HYPERLINK(CONCATENATE("#Metadata!", ADDRESS(INDEX($Q$2:$Q$1001,MATCH(ROWS($O$2:O235),$O$2:$O$1001,0),0), INDEX($V$1004:$AE$1004,1,MATCH(COLUMNS($V$1006:AE1006),$V$1006:$AE$1006,0)))),"Fix")))</f>
        <v>0</v>
      </c>
      <c r="O235">
        <v>0</v>
      </c>
      <c r="P235">
        <v>0</v>
      </c>
      <c r="Q235">
        <v>0</v>
      </c>
      <c r="R235">
        <f>IF(S235,TRUE,AND(V235:AE235))</f>
        <v>0</v>
      </c>
      <c r="S235">
        <f>COUNTBLANK(Metadata!B235:K235)=COLUMNS(Metadata!B235:K235)</f>
        <v>0</v>
      </c>
      <c r="T235">
        <v>0</v>
      </c>
      <c r="V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W235">
        <f>AND(IF(Metadata!C235="",FALSE,TRUE),exact(Metadata!C235,"animal secretion"))</f>
        <v>0</v>
      </c>
      <c r="X235">
        <f>AND(IF(Metadata!D235="",FALSE,TRUE),exact(Metadata!D235,"saliva"))</f>
        <v>0</v>
      </c>
      <c r="Y235">
        <f>AND(IF(Metadata!E235="",FALSE,TRUE),exact(Metadata!E235,"human-oral"))</f>
        <v>0</v>
      </c>
      <c r="Z235">
        <f>AND(IF(Metadata!F235="",FALSE,TRUE),exact(Metadata!F235,"UBERON:oral cavity"))</f>
        <v>0</v>
      </c>
      <c r="AA235">
        <f>AND(IF(Metadata!G235="",FALSE,TRUE),exact(Metadata!G235,"UBERON:saliva"))</f>
        <v>0</v>
      </c>
      <c r="AB235">
        <f>AND(IF(Metadata!H235="",FALSE,TRUE),exact(Metadata!H235,"UBERON:tongue"))</f>
        <v>0</v>
      </c>
      <c r="AC235">
        <f>AND(IF(Metadata!I235="",FALSE,TRUE),exact(Metadata!I235,"tongue"))</f>
        <v>0</v>
      </c>
      <c r="AD235">
        <f>AND(IF(Metadata!J235="",FALSE,TRUE),exact(Metadata!J235,"human oral metagenome"))</f>
        <v>0</v>
      </c>
      <c r="AE235">
        <f>AND(IF(Metadata!K235="",FALSE,TRUE),exact(Metadata!K235,"447426"))</f>
        <v>0</v>
      </c>
    </row>
    <row r="236" spans="1:31">
      <c r="A236" s="4">
        <f>IF(B236=" "," ",HYPERLINK(CONCATENATE("#metadata!",ADDRESS(INDEX($Q$2:$Q$1001,MATCH(ROWS($O$2:O236),$O$2:$O$1001,0),0),1)),INDEX($T$2:$T$1001,MATCH(ROWS($O$2:O236),$O$2:$O$1001,0),0)))</f>
        <v>0</v>
      </c>
      <c r="B236" s="3">
        <f>IF(OR(INDEX($P$2:$P$1001,MATCH(ROWS($O$2:O236),$O$2:$O$1001,0),1)&gt;=100000,INDEX($V$1005:$AE$1005,1,MATCH(COLUMNS($V$1006:V1006),$V$1006:$AE$1006,0))&gt;=100000), " ",IF(INDEX($V$2:$AE$1001,MATCH(ROWS($O$2:O236),$O$2:$O$1001,0),MATCH(COLUMNS($V$1006:V1006),$V$1006:$AE$1006,0)), HYPERLINK("#",""), HYPERLINK(CONCATENATE("#Metadata!", ADDRESS(INDEX($Q$2:$Q$1001,MATCH(ROWS($O$2:O236),$O$2:$O$1001,0),0), INDEX($V$1004:$AE$1004,1,MATCH(COLUMNS($V$1006:V1006),$V$1006:$AE$1006,0)))),"Fix")))</f>
        <v>0</v>
      </c>
      <c r="C236" s="3">
        <f>IF(OR(INDEX($P$2:$P$1001,MATCH(ROWS($O$2:O236),$O$2:$O$1001,0),1)&gt;=100000,INDEX($V$1005:$AE$1005,1,MATCH(COLUMNS($V$1006:W1006),$V$1006:$AE$1006,0))&gt;=100000), " ",IF(INDEX($V$2:$AE$1001,MATCH(ROWS($O$2:O236),$O$2:$O$1001,0),MATCH(COLUMNS($V$1006:W1006),$V$1006:$AE$1006,0)), HYPERLINK("#",""), HYPERLINK(CONCATENATE("#Metadata!", ADDRESS(INDEX($Q$2:$Q$1001,MATCH(ROWS($O$2:O236),$O$2:$O$1001,0),0), INDEX($V$1004:$AE$1004,1,MATCH(COLUMNS($V$1006:W1006),$V$1006:$AE$1006,0)))),"Fix")))</f>
        <v>0</v>
      </c>
      <c r="D236" s="3">
        <f>IF(OR(INDEX($P$2:$P$1001,MATCH(ROWS($O$2:O236),$O$2:$O$1001,0),1)&gt;=100000,INDEX($V$1005:$AE$1005,1,MATCH(COLUMNS($V$1006:X1006),$V$1006:$AE$1006,0))&gt;=100000), " ",IF(INDEX($V$2:$AE$1001,MATCH(ROWS($O$2:O236),$O$2:$O$1001,0),MATCH(COLUMNS($V$1006:X1006),$V$1006:$AE$1006,0)), HYPERLINK("#",""), HYPERLINK(CONCATENATE("#Metadata!", ADDRESS(INDEX($Q$2:$Q$1001,MATCH(ROWS($O$2:O236),$O$2:$O$1001,0),0), INDEX($V$1004:$AE$1004,1,MATCH(COLUMNS($V$1006:X1006),$V$1006:$AE$1006,0)))),"Fix")))</f>
        <v>0</v>
      </c>
      <c r="E236" s="3">
        <f>IF(OR(INDEX($P$2:$P$1001,MATCH(ROWS($O$2:O236),$O$2:$O$1001,0),1)&gt;=100000,INDEX($V$1005:$AE$1005,1,MATCH(COLUMNS($V$1006:Y1006),$V$1006:$AE$1006,0))&gt;=100000), " ",IF(INDEX($V$2:$AE$1001,MATCH(ROWS($O$2:O236),$O$2:$O$1001,0),MATCH(COLUMNS($V$1006:Y1006),$V$1006:$AE$1006,0)), HYPERLINK("#",""), HYPERLINK(CONCATENATE("#Metadata!", ADDRESS(INDEX($Q$2:$Q$1001,MATCH(ROWS($O$2:O236),$O$2:$O$1001,0),0), INDEX($V$1004:$AE$1004,1,MATCH(COLUMNS($V$1006:Y1006),$V$1006:$AE$1006,0)))),"Fix")))</f>
        <v>0</v>
      </c>
      <c r="F236" s="3">
        <f>IF(OR(INDEX($P$2:$P$1001,MATCH(ROWS($O$2:O236),$O$2:$O$1001,0),1)&gt;=100000,INDEX($V$1005:$AE$1005,1,MATCH(COLUMNS($V$1006:Z1006),$V$1006:$AE$1006,0))&gt;=100000), " ",IF(INDEX($V$2:$AE$1001,MATCH(ROWS($O$2:O236),$O$2:$O$1001,0),MATCH(COLUMNS($V$1006:Z1006),$V$1006:$AE$1006,0)), HYPERLINK("#",""), HYPERLINK(CONCATENATE("#Metadata!", ADDRESS(INDEX($Q$2:$Q$1001,MATCH(ROWS($O$2:O236),$O$2:$O$1001,0),0), INDEX($V$1004:$AE$1004,1,MATCH(COLUMNS($V$1006:Z1006),$V$1006:$AE$1006,0)))),"Fix")))</f>
        <v>0</v>
      </c>
      <c r="G236" s="3">
        <f>IF(OR(INDEX($P$2:$P$1001,MATCH(ROWS($O$2:O236),$O$2:$O$1001,0),1)&gt;=100000,INDEX($V$1005:$AE$1005,1,MATCH(COLUMNS($V$1006:AA1006),$V$1006:$AE$1006,0))&gt;=100000), " ",IF(INDEX($V$2:$AE$1001,MATCH(ROWS($O$2:O236),$O$2:$O$1001,0),MATCH(COLUMNS($V$1006:AA1006),$V$1006:$AE$1006,0)), HYPERLINK("#",""), HYPERLINK(CONCATENATE("#Metadata!", ADDRESS(INDEX($Q$2:$Q$1001,MATCH(ROWS($O$2:O236),$O$2:$O$1001,0),0), INDEX($V$1004:$AE$1004,1,MATCH(COLUMNS($V$1006:AA1006),$V$1006:$AE$1006,0)))),"Fix")))</f>
        <v>0</v>
      </c>
      <c r="H236" s="3">
        <f>IF(OR(INDEX($P$2:$P$1001,MATCH(ROWS($O$2:O236),$O$2:$O$1001,0),1)&gt;=100000,INDEX($V$1005:$AE$1005,1,MATCH(COLUMNS($V$1006:AB1006),$V$1006:$AE$1006,0))&gt;=100000), " ",IF(INDEX($V$2:$AE$1001,MATCH(ROWS($O$2:O236),$O$2:$O$1001,0),MATCH(COLUMNS($V$1006:AB1006),$V$1006:$AE$1006,0)), HYPERLINK("#",""), HYPERLINK(CONCATENATE("#Metadata!", ADDRESS(INDEX($Q$2:$Q$1001,MATCH(ROWS($O$2:O236),$O$2:$O$1001,0),0), INDEX($V$1004:$AE$1004,1,MATCH(COLUMNS($V$1006:AB1006),$V$1006:$AE$1006,0)))),"Fix")))</f>
        <v>0</v>
      </c>
      <c r="I236" s="3">
        <f>IF(OR(INDEX($P$2:$P$1001,MATCH(ROWS($O$2:O236),$O$2:$O$1001,0),1)&gt;=100000,INDEX($V$1005:$AE$1005,1,MATCH(COLUMNS($V$1006:AC1006),$V$1006:$AE$1006,0))&gt;=100000), " ",IF(INDEX($V$2:$AE$1001,MATCH(ROWS($O$2:O236),$O$2:$O$1001,0),MATCH(COLUMNS($V$1006:AC1006),$V$1006:$AE$1006,0)), HYPERLINK("#",""), HYPERLINK(CONCATENATE("#Metadata!", ADDRESS(INDEX($Q$2:$Q$1001,MATCH(ROWS($O$2:O236),$O$2:$O$1001,0),0), INDEX($V$1004:$AE$1004,1,MATCH(COLUMNS($V$1006:AC1006),$V$1006:$AE$1006,0)))),"Fix")))</f>
        <v>0</v>
      </c>
      <c r="J236" s="3">
        <f>IF(OR(INDEX($P$2:$P$1001,MATCH(ROWS($O$2:O236),$O$2:$O$1001,0),1)&gt;=100000,INDEX($V$1005:$AE$1005,1,MATCH(COLUMNS($V$1006:AD1006),$V$1006:$AE$1006,0))&gt;=100000), " ",IF(INDEX($V$2:$AE$1001,MATCH(ROWS($O$2:O236),$O$2:$O$1001,0),MATCH(COLUMNS($V$1006:AD1006),$V$1006:$AE$1006,0)), HYPERLINK("#",""), HYPERLINK(CONCATENATE("#Metadata!", ADDRESS(INDEX($Q$2:$Q$1001,MATCH(ROWS($O$2:O236),$O$2:$O$1001,0),0), INDEX($V$1004:$AE$1004,1,MATCH(COLUMNS($V$1006:AD1006),$V$1006:$AE$1006,0)))),"Fix")))</f>
        <v>0</v>
      </c>
      <c r="K236" s="3">
        <f>IF(OR(INDEX($P$2:$P$1001,MATCH(ROWS($O$2:O236),$O$2:$O$1001,0),1)&gt;=100000,INDEX($V$1005:$AE$1005,1,MATCH(COLUMNS($V$1006:AE1006),$V$1006:$AE$1006,0))&gt;=100000), " ",IF(INDEX($V$2:$AE$1001,MATCH(ROWS($O$2:O236),$O$2:$O$1001,0),MATCH(COLUMNS($V$1006:AE1006),$V$1006:$AE$1006,0)), HYPERLINK("#",""), HYPERLINK(CONCATENATE("#Metadata!", ADDRESS(INDEX($Q$2:$Q$1001,MATCH(ROWS($O$2:O236),$O$2:$O$1001,0),0), INDEX($V$1004:$AE$1004,1,MATCH(COLUMNS($V$1006:AE1006),$V$1006:$AE$1006,0)))),"Fix")))</f>
        <v>0</v>
      </c>
      <c r="O236">
        <v>0</v>
      </c>
      <c r="P236">
        <v>0</v>
      </c>
      <c r="Q236">
        <v>0</v>
      </c>
      <c r="R236">
        <f>IF(S236,TRUE,AND(V236:AE236))</f>
        <v>0</v>
      </c>
      <c r="S236">
        <f>COUNTBLANK(Metadata!B236:K236)=COLUMNS(Metadata!B236:K236)</f>
        <v>0</v>
      </c>
      <c r="T236">
        <v>0</v>
      </c>
      <c r="V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W236">
        <f>AND(IF(Metadata!C236="",FALSE,TRUE),exact(Metadata!C236,"animal secretion"))</f>
        <v>0</v>
      </c>
      <c r="X236">
        <f>AND(IF(Metadata!D236="",FALSE,TRUE),exact(Metadata!D236,"saliva"))</f>
        <v>0</v>
      </c>
      <c r="Y236">
        <f>AND(IF(Metadata!E236="",FALSE,TRUE),exact(Metadata!E236,"human-oral"))</f>
        <v>0</v>
      </c>
      <c r="Z236">
        <f>AND(IF(Metadata!F236="",FALSE,TRUE),exact(Metadata!F236,"UBERON:oral cavity"))</f>
        <v>0</v>
      </c>
      <c r="AA236">
        <f>AND(IF(Metadata!G236="",FALSE,TRUE),exact(Metadata!G236,"UBERON:saliva"))</f>
        <v>0</v>
      </c>
      <c r="AB236">
        <f>AND(IF(Metadata!H236="",FALSE,TRUE),exact(Metadata!H236,"UBERON:tongue"))</f>
        <v>0</v>
      </c>
      <c r="AC236">
        <f>AND(IF(Metadata!I236="",FALSE,TRUE),exact(Metadata!I236,"tongue"))</f>
        <v>0</v>
      </c>
      <c r="AD236">
        <f>AND(IF(Metadata!J236="",FALSE,TRUE),exact(Metadata!J236,"human oral metagenome"))</f>
        <v>0</v>
      </c>
      <c r="AE236">
        <f>AND(IF(Metadata!K236="",FALSE,TRUE),exact(Metadata!K236,"447426"))</f>
        <v>0</v>
      </c>
    </row>
    <row r="237" spans="1:31">
      <c r="A237" s="4">
        <f>IF(B237=" "," ",HYPERLINK(CONCATENATE("#metadata!",ADDRESS(INDEX($Q$2:$Q$1001,MATCH(ROWS($O$2:O237),$O$2:$O$1001,0),0),1)),INDEX($T$2:$T$1001,MATCH(ROWS($O$2:O237),$O$2:$O$1001,0),0)))</f>
        <v>0</v>
      </c>
      <c r="B237" s="3">
        <f>IF(OR(INDEX($P$2:$P$1001,MATCH(ROWS($O$2:O237),$O$2:$O$1001,0),1)&gt;=100000,INDEX($V$1005:$AE$1005,1,MATCH(COLUMNS($V$1006:V1006),$V$1006:$AE$1006,0))&gt;=100000), " ",IF(INDEX($V$2:$AE$1001,MATCH(ROWS($O$2:O237),$O$2:$O$1001,0),MATCH(COLUMNS($V$1006:V1006),$V$1006:$AE$1006,0)), HYPERLINK("#",""), HYPERLINK(CONCATENATE("#Metadata!", ADDRESS(INDEX($Q$2:$Q$1001,MATCH(ROWS($O$2:O237),$O$2:$O$1001,0),0), INDEX($V$1004:$AE$1004,1,MATCH(COLUMNS($V$1006:V1006),$V$1006:$AE$1006,0)))),"Fix")))</f>
        <v>0</v>
      </c>
      <c r="C237" s="3">
        <f>IF(OR(INDEX($P$2:$P$1001,MATCH(ROWS($O$2:O237),$O$2:$O$1001,0),1)&gt;=100000,INDEX($V$1005:$AE$1005,1,MATCH(COLUMNS($V$1006:W1006),$V$1006:$AE$1006,0))&gt;=100000), " ",IF(INDEX($V$2:$AE$1001,MATCH(ROWS($O$2:O237),$O$2:$O$1001,0),MATCH(COLUMNS($V$1006:W1006),$V$1006:$AE$1006,0)), HYPERLINK("#",""), HYPERLINK(CONCATENATE("#Metadata!", ADDRESS(INDEX($Q$2:$Q$1001,MATCH(ROWS($O$2:O237),$O$2:$O$1001,0),0), INDEX($V$1004:$AE$1004,1,MATCH(COLUMNS($V$1006:W1006),$V$1006:$AE$1006,0)))),"Fix")))</f>
        <v>0</v>
      </c>
      <c r="D237" s="3">
        <f>IF(OR(INDEX($P$2:$P$1001,MATCH(ROWS($O$2:O237),$O$2:$O$1001,0),1)&gt;=100000,INDEX($V$1005:$AE$1005,1,MATCH(COLUMNS($V$1006:X1006),$V$1006:$AE$1006,0))&gt;=100000), " ",IF(INDEX($V$2:$AE$1001,MATCH(ROWS($O$2:O237),$O$2:$O$1001,0),MATCH(COLUMNS($V$1006:X1006),$V$1006:$AE$1006,0)), HYPERLINK("#",""), HYPERLINK(CONCATENATE("#Metadata!", ADDRESS(INDEX($Q$2:$Q$1001,MATCH(ROWS($O$2:O237),$O$2:$O$1001,0),0), INDEX($V$1004:$AE$1004,1,MATCH(COLUMNS($V$1006:X1006),$V$1006:$AE$1006,0)))),"Fix")))</f>
        <v>0</v>
      </c>
      <c r="E237" s="3">
        <f>IF(OR(INDEX($P$2:$P$1001,MATCH(ROWS($O$2:O237),$O$2:$O$1001,0),1)&gt;=100000,INDEX($V$1005:$AE$1005,1,MATCH(COLUMNS($V$1006:Y1006),$V$1006:$AE$1006,0))&gt;=100000), " ",IF(INDEX($V$2:$AE$1001,MATCH(ROWS($O$2:O237),$O$2:$O$1001,0),MATCH(COLUMNS($V$1006:Y1006),$V$1006:$AE$1006,0)), HYPERLINK("#",""), HYPERLINK(CONCATENATE("#Metadata!", ADDRESS(INDEX($Q$2:$Q$1001,MATCH(ROWS($O$2:O237),$O$2:$O$1001,0),0), INDEX($V$1004:$AE$1004,1,MATCH(COLUMNS($V$1006:Y1006),$V$1006:$AE$1006,0)))),"Fix")))</f>
        <v>0</v>
      </c>
      <c r="F237" s="3">
        <f>IF(OR(INDEX($P$2:$P$1001,MATCH(ROWS($O$2:O237),$O$2:$O$1001,0),1)&gt;=100000,INDEX($V$1005:$AE$1005,1,MATCH(COLUMNS($V$1006:Z1006),$V$1006:$AE$1006,0))&gt;=100000), " ",IF(INDEX($V$2:$AE$1001,MATCH(ROWS($O$2:O237),$O$2:$O$1001,0),MATCH(COLUMNS($V$1006:Z1006),$V$1006:$AE$1006,0)), HYPERLINK("#",""), HYPERLINK(CONCATENATE("#Metadata!", ADDRESS(INDEX($Q$2:$Q$1001,MATCH(ROWS($O$2:O237),$O$2:$O$1001,0),0), INDEX($V$1004:$AE$1004,1,MATCH(COLUMNS($V$1006:Z1006),$V$1006:$AE$1006,0)))),"Fix")))</f>
        <v>0</v>
      </c>
      <c r="G237" s="3">
        <f>IF(OR(INDEX($P$2:$P$1001,MATCH(ROWS($O$2:O237),$O$2:$O$1001,0),1)&gt;=100000,INDEX($V$1005:$AE$1005,1,MATCH(COLUMNS($V$1006:AA1006),$V$1006:$AE$1006,0))&gt;=100000), " ",IF(INDEX($V$2:$AE$1001,MATCH(ROWS($O$2:O237),$O$2:$O$1001,0),MATCH(COLUMNS($V$1006:AA1006),$V$1006:$AE$1006,0)), HYPERLINK("#",""), HYPERLINK(CONCATENATE("#Metadata!", ADDRESS(INDEX($Q$2:$Q$1001,MATCH(ROWS($O$2:O237),$O$2:$O$1001,0),0), INDEX($V$1004:$AE$1004,1,MATCH(COLUMNS($V$1006:AA1006),$V$1006:$AE$1006,0)))),"Fix")))</f>
        <v>0</v>
      </c>
      <c r="H237" s="3">
        <f>IF(OR(INDEX($P$2:$P$1001,MATCH(ROWS($O$2:O237),$O$2:$O$1001,0),1)&gt;=100000,INDEX($V$1005:$AE$1005,1,MATCH(COLUMNS($V$1006:AB1006),$V$1006:$AE$1006,0))&gt;=100000), " ",IF(INDEX($V$2:$AE$1001,MATCH(ROWS($O$2:O237),$O$2:$O$1001,0),MATCH(COLUMNS($V$1006:AB1006),$V$1006:$AE$1006,0)), HYPERLINK("#",""), HYPERLINK(CONCATENATE("#Metadata!", ADDRESS(INDEX($Q$2:$Q$1001,MATCH(ROWS($O$2:O237),$O$2:$O$1001,0),0), INDEX($V$1004:$AE$1004,1,MATCH(COLUMNS($V$1006:AB1006),$V$1006:$AE$1006,0)))),"Fix")))</f>
        <v>0</v>
      </c>
      <c r="I237" s="3">
        <f>IF(OR(INDEX($P$2:$P$1001,MATCH(ROWS($O$2:O237),$O$2:$O$1001,0),1)&gt;=100000,INDEX($V$1005:$AE$1005,1,MATCH(COLUMNS($V$1006:AC1006),$V$1006:$AE$1006,0))&gt;=100000), " ",IF(INDEX($V$2:$AE$1001,MATCH(ROWS($O$2:O237),$O$2:$O$1001,0),MATCH(COLUMNS($V$1006:AC1006),$V$1006:$AE$1006,0)), HYPERLINK("#",""), HYPERLINK(CONCATENATE("#Metadata!", ADDRESS(INDEX($Q$2:$Q$1001,MATCH(ROWS($O$2:O237),$O$2:$O$1001,0),0), INDEX($V$1004:$AE$1004,1,MATCH(COLUMNS($V$1006:AC1006),$V$1006:$AE$1006,0)))),"Fix")))</f>
        <v>0</v>
      </c>
      <c r="J237" s="3">
        <f>IF(OR(INDEX($P$2:$P$1001,MATCH(ROWS($O$2:O237),$O$2:$O$1001,0),1)&gt;=100000,INDEX($V$1005:$AE$1005,1,MATCH(COLUMNS($V$1006:AD1006),$V$1006:$AE$1006,0))&gt;=100000), " ",IF(INDEX($V$2:$AE$1001,MATCH(ROWS($O$2:O237),$O$2:$O$1001,0),MATCH(COLUMNS($V$1006:AD1006),$V$1006:$AE$1006,0)), HYPERLINK("#",""), HYPERLINK(CONCATENATE("#Metadata!", ADDRESS(INDEX($Q$2:$Q$1001,MATCH(ROWS($O$2:O237),$O$2:$O$1001,0),0), INDEX($V$1004:$AE$1004,1,MATCH(COLUMNS($V$1006:AD1006),$V$1006:$AE$1006,0)))),"Fix")))</f>
        <v>0</v>
      </c>
      <c r="K237" s="3">
        <f>IF(OR(INDEX($P$2:$P$1001,MATCH(ROWS($O$2:O237),$O$2:$O$1001,0),1)&gt;=100000,INDEX($V$1005:$AE$1005,1,MATCH(COLUMNS($V$1006:AE1006),$V$1006:$AE$1006,0))&gt;=100000), " ",IF(INDEX($V$2:$AE$1001,MATCH(ROWS($O$2:O237),$O$2:$O$1001,0),MATCH(COLUMNS($V$1006:AE1006),$V$1006:$AE$1006,0)), HYPERLINK("#",""), HYPERLINK(CONCATENATE("#Metadata!", ADDRESS(INDEX($Q$2:$Q$1001,MATCH(ROWS($O$2:O237),$O$2:$O$1001,0),0), INDEX($V$1004:$AE$1004,1,MATCH(COLUMNS($V$1006:AE1006),$V$1006:$AE$1006,0)))),"Fix")))</f>
        <v>0</v>
      </c>
      <c r="O237">
        <v>0</v>
      </c>
      <c r="P237">
        <v>0</v>
      </c>
      <c r="Q237">
        <v>0</v>
      </c>
      <c r="R237">
        <f>IF(S237,TRUE,AND(V237:AE237))</f>
        <v>0</v>
      </c>
      <c r="S237">
        <f>COUNTBLANK(Metadata!B237:K237)=COLUMNS(Metadata!B237:K237)</f>
        <v>0</v>
      </c>
      <c r="T237">
        <v>0</v>
      </c>
      <c r="V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W237">
        <f>AND(IF(Metadata!C237="",FALSE,TRUE),exact(Metadata!C237,"animal secretion"))</f>
        <v>0</v>
      </c>
      <c r="X237">
        <f>AND(IF(Metadata!D237="",FALSE,TRUE),exact(Metadata!D237,"saliva"))</f>
        <v>0</v>
      </c>
      <c r="Y237">
        <f>AND(IF(Metadata!E237="",FALSE,TRUE),exact(Metadata!E237,"human-oral"))</f>
        <v>0</v>
      </c>
      <c r="Z237">
        <f>AND(IF(Metadata!F237="",FALSE,TRUE),exact(Metadata!F237,"UBERON:oral cavity"))</f>
        <v>0</v>
      </c>
      <c r="AA237">
        <f>AND(IF(Metadata!G237="",FALSE,TRUE),exact(Metadata!G237,"UBERON:saliva"))</f>
        <v>0</v>
      </c>
      <c r="AB237">
        <f>AND(IF(Metadata!H237="",FALSE,TRUE),exact(Metadata!H237,"UBERON:tongue"))</f>
        <v>0</v>
      </c>
      <c r="AC237">
        <f>AND(IF(Metadata!I237="",FALSE,TRUE),exact(Metadata!I237,"tongue"))</f>
        <v>0</v>
      </c>
      <c r="AD237">
        <f>AND(IF(Metadata!J237="",FALSE,TRUE),exact(Metadata!J237,"human oral metagenome"))</f>
        <v>0</v>
      </c>
      <c r="AE237">
        <f>AND(IF(Metadata!K237="",FALSE,TRUE),exact(Metadata!K237,"447426"))</f>
        <v>0</v>
      </c>
    </row>
    <row r="238" spans="1:31">
      <c r="A238" s="4">
        <f>IF(B238=" "," ",HYPERLINK(CONCATENATE("#metadata!",ADDRESS(INDEX($Q$2:$Q$1001,MATCH(ROWS($O$2:O238),$O$2:$O$1001,0),0),1)),INDEX($T$2:$T$1001,MATCH(ROWS($O$2:O238),$O$2:$O$1001,0),0)))</f>
        <v>0</v>
      </c>
      <c r="B238" s="3">
        <f>IF(OR(INDEX($P$2:$P$1001,MATCH(ROWS($O$2:O238),$O$2:$O$1001,0),1)&gt;=100000,INDEX($V$1005:$AE$1005,1,MATCH(COLUMNS($V$1006:V1006),$V$1006:$AE$1006,0))&gt;=100000), " ",IF(INDEX($V$2:$AE$1001,MATCH(ROWS($O$2:O238),$O$2:$O$1001,0),MATCH(COLUMNS($V$1006:V1006),$V$1006:$AE$1006,0)), HYPERLINK("#",""), HYPERLINK(CONCATENATE("#Metadata!", ADDRESS(INDEX($Q$2:$Q$1001,MATCH(ROWS($O$2:O238),$O$2:$O$1001,0),0), INDEX($V$1004:$AE$1004,1,MATCH(COLUMNS($V$1006:V1006),$V$1006:$AE$1006,0)))),"Fix")))</f>
        <v>0</v>
      </c>
      <c r="C238" s="3">
        <f>IF(OR(INDEX($P$2:$P$1001,MATCH(ROWS($O$2:O238),$O$2:$O$1001,0),1)&gt;=100000,INDEX($V$1005:$AE$1005,1,MATCH(COLUMNS($V$1006:W1006),$V$1006:$AE$1006,0))&gt;=100000), " ",IF(INDEX($V$2:$AE$1001,MATCH(ROWS($O$2:O238),$O$2:$O$1001,0),MATCH(COLUMNS($V$1006:W1006),$V$1006:$AE$1006,0)), HYPERLINK("#",""), HYPERLINK(CONCATENATE("#Metadata!", ADDRESS(INDEX($Q$2:$Q$1001,MATCH(ROWS($O$2:O238),$O$2:$O$1001,0),0), INDEX($V$1004:$AE$1004,1,MATCH(COLUMNS($V$1006:W1006),$V$1006:$AE$1006,0)))),"Fix")))</f>
        <v>0</v>
      </c>
      <c r="D238" s="3">
        <f>IF(OR(INDEX($P$2:$P$1001,MATCH(ROWS($O$2:O238),$O$2:$O$1001,0),1)&gt;=100000,INDEX($V$1005:$AE$1005,1,MATCH(COLUMNS($V$1006:X1006),$V$1006:$AE$1006,0))&gt;=100000), " ",IF(INDEX($V$2:$AE$1001,MATCH(ROWS($O$2:O238),$O$2:$O$1001,0),MATCH(COLUMNS($V$1006:X1006),$V$1006:$AE$1006,0)), HYPERLINK("#",""), HYPERLINK(CONCATENATE("#Metadata!", ADDRESS(INDEX($Q$2:$Q$1001,MATCH(ROWS($O$2:O238),$O$2:$O$1001,0),0), INDEX($V$1004:$AE$1004,1,MATCH(COLUMNS($V$1006:X1006),$V$1006:$AE$1006,0)))),"Fix")))</f>
        <v>0</v>
      </c>
      <c r="E238" s="3">
        <f>IF(OR(INDEX($P$2:$P$1001,MATCH(ROWS($O$2:O238),$O$2:$O$1001,0),1)&gt;=100000,INDEX($V$1005:$AE$1005,1,MATCH(COLUMNS($V$1006:Y1006),$V$1006:$AE$1006,0))&gt;=100000), " ",IF(INDEX($V$2:$AE$1001,MATCH(ROWS($O$2:O238),$O$2:$O$1001,0),MATCH(COLUMNS($V$1006:Y1006),$V$1006:$AE$1006,0)), HYPERLINK("#",""), HYPERLINK(CONCATENATE("#Metadata!", ADDRESS(INDEX($Q$2:$Q$1001,MATCH(ROWS($O$2:O238),$O$2:$O$1001,0),0), INDEX($V$1004:$AE$1004,1,MATCH(COLUMNS($V$1006:Y1006),$V$1006:$AE$1006,0)))),"Fix")))</f>
        <v>0</v>
      </c>
      <c r="F238" s="3">
        <f>IF(OR(INDEX($P$2:$P$1001,MATCH(ROWS($O$2:O238),$O$2:$O$1001,0),1)&gt;=100000,INDEX($V$1005:$AE$1005,1,MATCH(COLUMNS($V$1006:Z1006),$V$1006:$AE$1006,0))&gt;=100000), " ",IF(INDEX($V$2:$AE$1001,MATCH(ROWS($O$2:O238),$O$2:$O$1001,0),MATCH(COLUMNS($V$1006:Z1006),$V$1006:$AE$1006,0)), HYPERLINK("#",""), HYPERLINK(CONCATENATE("#Metadata!", ADDRESS(INDEX($Q$2:$Q$1001,MATCH(ROWS($O$2:O238),$O$2:$O$1001,0),0), INDEX($V$1004:$AE$1004,1,MATCH(COLUMNS($V$1006:Z1006),$V$1006:$AE$1006,0)))),"Fix")))</f>
        <v>0</v>
      </c>
      <c r="G238" s="3">
        <f>IF(OR(INDEX($P$2:$P$1001,MATCH(ROWS($O$2:O238),$O$2:$O$1001,0),1)&gt;=100000,INDEX($V$1005:$AE$1005,1,MATCH(COLUMNS($V$1006:AA1006),$V$1006:$AE$1006,0))&gt;=100000), " ",IF(INDEX($V$2:$AE$1001,MATCH(ROWS($O$2:O238),$O$2:$O$1001,0),MATCH(COLUMNS($V$1006:AA1006),$V$1006:$AE$1006,0)), HYPERLINK("#",""), HYPERLINK(CONCATENATE("#Metadata!", ADDRESS(INDEX($Q$2:$Q$1001,MATCH(ROWS($O$2:O238),$O$2:$O$1001,0),0), INDEX($V$1004:$AE$1004,1,MATCH(COLUMNS($V$1006:AA1006),$V$1006:$AE$1006,0)))),"Fix")))</f>
        <v>0</v>
      </c>
      <c r="H238" s="3">
        <f>IF(OR(INDEX($P$2:$P$1001,MATCH(ROWS($O$2:O238),$O$2:$O$1001,0),1)&gt;=100000,INDEX($V$1005:$AE$1005,1,MATCH(COLUMNS($V$1006:AB1006),$V$1006:$AE$1006,0))&gt;=100000), " ",IF(INDEX($V$2:$AE$1001,MATCH(ROWS($O$2:O238),$O$2:$O$1001,0),MATCH(COLUMNS($V$1006:AB1006),$V$1006:$AE$1006,0)), HYPERLINK("#",""), HYPERLINK(CONCATENATE("#Metadata!", ADDRESS(INDEX($Q$2:$Q$1001,MATCH(ROWS($O$2:O238),$O$2:$O$1001,0),0), INDEX($V$1004:$AE$1004,1,MATCH(COLUMNS($V$1006:AB1006),$V$1006:$AE$1006,0)))),"Fix")))</f>
        <v>0</v>
      </c>
      <c r="I238" s="3">
        <f>IF(OR(INDEX($P$2:$P$1001,MATCH(ROWS($O$2:O238),$O$2:$O$1001,0),1)&gt;=100000,INDEX($V$1005:$AE$1005,1,MATCH(COLUMNS($V$1006:AC1006),$V$1006:$AE$1006,0))&gt;=100000), " ",IF(INDEX($V$2:$AE$1001,MATCH(ROWS($O$2:O238),$O$2:$O$1001,0),MATCH(COLUMNS($V$1006:AC1006),$V$1006:$AE$1006,0)), HYPERLINK("#",""), HYPERLINK(CONCATENATE("#Metadata!", ADDRESS(INDEX($Q$2:$Q$1001,MATCH(ROWS($O$2:O238),$O$2:$O$1001,0),0), INDEX($V$1004:$AE$1004,1,MATCH(COLUMNS($V$1006:AC1006),$V$1006:$AE$1006,0)))),"Fix")))</f>
        <v>0</v>
      </c>
      <c r="J238" s="3">
        <f>IF(OR(INDEX($P$2:$P$1001,MATCH(ROWS($O$2:O238),$O$2:$O$1001,0),1)&gt;=100000,INDEX($V$1005:$AE$1005,1,MATCH(COLUMNS($V$1006:AD1006),$V$1006:$AE$1006,0))&gt;=100000), " ",IF(INDEX($V$2:$AE$1001,MATCH(ROWS($O$2:O238),$O$2:$O$1001,0),MATCH(COLUMNS($V$1006:AD1006),$V$1006:$AE$1006,0)), HYPERLINK("#",""), HYPERLINK(CONCATENATE("#Metadata!", ADDRESS(INDEX($Q$2:$Q$1001,MATCH(ROWS($O$2:O238),$O$2:$O$1001,0),0), INDEX($V$1004:$AE$1004,1,MATCH(COLUMNS($V$1006:AD1006),$V$1006:$AE$1006,0)))),"Fix")))</f>
        <v>0</v>
      </c>
      <c r="K238" s="3">
        <f>IF(OR(INDEX($P$2:$P$1001,MATCH(ROWS($O$2:O238),$O$2:$O$1001,0),1)&gt;=100000,INDEX($V$1005:$AE$1005,1,MATCH(COLUMNS($V$1006:AE1006),$V$1006:$AE$1006,0))&gt;=100000), " ",IF(INDEX($V$2:$AE$1001,MATCH(ROWS($O$2:O238),$O$2:$O$1001,0),MATCH(COLUMNS($V$1006:AE1006),$V$1006:$AE$1006,0)), HYPERLINK("#",""), HYPERLINK(CONCATENATE("#Metadata!", ADDRESS(INDEX($Q$2:$Q$1001,MATCH(ROWS($O$2:O238),$O$2:$O$1001,0),0), INDEX($V$1004:$AE$1004,1,MATCH(COLUMNS($V$1006:AE1006),$V$1006:$AE$1006,0)))),"Fix")))</f>
        <v>0</v>
      </c>
      <c r="O238">
        <v>0</v>
      </c>
      <c r="P238">
        <v>0</v>
      </c>
      <c r="Q238">
        <v>0</v>
      </c>
      <c r="R238">
        <f>IF(S238,TRUE,AND(V238:AE238))</f>
        <v>0</v>
      </c>
      <c r="S238">
        <f>COUNTBLANK(Metadata!B238:K238)=COLUMNS(Metadata!B238:K238)</f>
        <v>0</v>
      </c>
      <c r="T238">
        <v>0</v>
      </c>
      <c r="V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W238">
        <f>AND(IF(Metadata!C238="",FALSE,TRUE),exact(Metadata!C238,"animal secretion"))</f>
        <v>0</v>
      </c>
      <c r="X238">
        <f>AND(IF(Metadata!D238="",FALSE,TRUE),exact(Metadata!D238,"saliva"))</f>
        <v>0</v>
      </c>
      <c r="Y238">
        <f>AND(IF(Metadata!E238="",FALSE,TRUE),exact(Metadata!E238,"human-oral"))</f>
        <v>0</v>
      </c>
      <c r="Z238">
        <f>AND(IF(Metadata!F238="",FALSE,TRUE),exact(Metadata!F238,"UBERON:oral cavity"))</f>
        <v>0</v>
      </c>
      <c r="AA238">
        <f>AND(IF(Metadata!G238="",FALSE,TRUE),exact(Metadata!G238,"UBERON:saliva"))</f>
        <v>0</v>
      </c>
      <c r="AB238">
        <f>AND(IF(Metadata!H238="",FALSE,TRUE),exact(Metadata!H238,"UBERON:tongue"))</f>
        <v>0</v>
      </c>
      <c r="AC238">
        <f>AND(IF(Metadata!I238="",FALSE,TRUE),exact(Metadata!I238,"tongue"))</f>
        <v>0</v>
      </c>
      <c r="AD238">
        <f>AND(IF(Metadata!J238="",FALSE,TRUE),exact(Metadata!J238,"human oral metagenome"))</f>
        <v>0</v>
      </c>
      <c r="AE238">
        <f>AND(IF(Metadata!K238="",FALSE,TRUE),exact(Metadata!K238,"447426"))</f>
        <v>0</v>
      </c>
    </row>
    <row r="239" spans="1:31">
      <c r="A239" s="4">
        <f>IF(B239=" "," ",HYPERLINK(CONCATENATE("#metadata!",ADDRESS(INDEX($Q$2:$Q$1001,MATCH(ROWS($O$2:O239),$O$2:$O$1001,0),0),1)),INDEX($T$2:$T$1001,MATCH(ROWS($O$2:O239),$O$2:$O$1001,0),0)))</f>
        <v>0</v>
      </c>
      <c r="B239" s="3">
        <f>IF(OR(INDEX($P$2:$P$1001,MATCH(ROWS($O$2:O239),$O$2:$O$1001,0),1)&gt;=100000,INDEX($V$1005:$AE$1005,1,MATCH(COLUMNS($V$1006:V1006),$V$1006:$AE$1006,0))&gt;=100000), " ",IF(INDEX($V$2:$AE$1001,MATCH(ROWS($O$2:O239),$O$2:$O$1001,0),MATCH(COLUMNS($V$1006:V1006),$V$1006:$AE$1006,0)), HYPERLINK("#",""), HYPERLINK(CONCATENATE("#Metadata!", ADDRESS(INDEX($Q$2:$Q$1001,MATCH(ROWS($O$2:O239),$O$2:$O$1001,0),0), INDEX($V$1004:$AE$1004,1,MATCH(COLUMNS($V$1006:V1006),$V$1006:$AE$1006,0)))),"Fix")))</f>
        <v>0</v>
      </c>
      <c r="C239" s="3">
        <f>IF(OR(INDEX($P$2:$P$1001,MATCH(ROWS($O$2:O239),$O$2:$O$1001,0),1)&gt;=100000,INDEX($V$1005:$AE$1005,1,MATCH(COLUMNS($V$1006:W1006),$V$1006:$AE$1006,0))&gt;=100000), " ",IF(INDEX($V$2:$AE$1001,MATCH(ROWS($O$2:O239),$O$2:$O$1001,0),MATCH(COLUMNS($V$1006:W1006),$V$1006:$AE$1006,0)), HYPERLINK("#",""), HYPERLINK(CONCATENATE("#Metadata!", ADDRESS(INDEX($Q$2:$Q$1001,MATCH(ROWS($O$2:O239),$O$2:$O$1001,0),0), INDEX($V$1004:$AE$1004,1,MATCH(COLUMNS($V$1006:W1006),$V$1006:$AE$1006,0)))),"Fix")))</f>
        <v>0</v>
      </c>
      <c r="D239" s="3">
        <f>IF(OR(INDEX($P$2:$P$1001,MATCH(ROWS($O$2:O239),$O$2:$O$1001,0),1)&gt;=100000,INDEX($V$1005:$AE$1005,1,MATCH(COLUMNS($V$1006:X1006),$V$1006:$AE$1006,0))&gt;=100000), " ",IF(INDEX($V$2:$AE$1001,MATCH(ROWS($O$2:O239),$O$2:$O$1001,0),MATCH(COLUMNS($V$1006:X1006),$V$1006:$AE$1006,0)), HYPERLINK("#",""), HYPERLINK(CONCATENATE("#Metadata!", ADDRESS(INDEX($Q$2:$Q$1001,MATCH(ROWS($O$2:O239),$O$2:$O$1001,0),0), INDEX($V$1004:$AE$1004,1,MATCH(COLUMNS($V$1006:X1006),$V$1006:$AE$1006,0)))),"Fix")))</f>
        <v>0</v>
      </c>
      <c r="E239" s="3">
        <f>IF(OR(INDEX($P$2:$P$1001,MATCH(ROWS($O$2:O239),$O$2:$O$1001,0),1)&gt;=100000,INDEX($V$1005:$AE$1005,1,MATCH(COLUMNS($V$1006:Y1006),$V$1006:$AE$1006,0))&gt;=100000), " ",IF(INDEX($V$2:$AE$1001,MATCH(ROWS($O$2:O239),$O$2:$O$1001,0),MATCH(COLUMNS($V$1006:Y1006),$V$1006:$AE$1006,0)), HYPERLINK("#",""), HYPERLINK(CONCATENATE("#Metadata!", ADDRESS(INDEX($Q$2:$Q$1001,MATCH(ROWS($O$2:O239),$O$2:$O$1001,0),0), INDEX($V$1004:$AE$1004,1,MATCH(COLUMNS($V$1006:Y1006),$V$1006:$AE$1006,0)))),"Fix")))</f>
        <v>0</v>
      </c>
      <c r="F239" s="3">
        <f>IF(OR(INDEX($P$2:$P$1001,MATCH(ROWS($O$2:O239),$O$2:$O$1001,0),1)&gt;=100000,INDEX($V$1005:$AE$1005,1,MATCH(COLUMNS($V$1006:Z1006),$V$1006:$AE$1006,0))&gt;=100000), " ",IF(INDEX($V$2:$AE$1001,MATCH(ROWS($O$2:O239),$O$2:$O$1001,0),MATCH(COLUMNS($V$1006:Z1006),$V$1006:$AE$1006,0)), HYPERLINK("#",""), HYPERLINK(CONCATENATE("#Metadata!", ADDRESS(INDEX($Q$2:$Q$1001,MATCH(ROWS($O$2:O239),$O$2:$O$1001,0),0), INDEX($V$1004:$AE$1004,1,MATCH(COLUMNS($V$1006:Z1006),$V$1006:$AE$1006,0)))),"Fix")))</f>
        <v>0</v>
      </c>
      <c r="G239" s="3">
        <f>IF(OR(INDEX($P$2:$P$1001,MATCH(ROWS($O$2:O239),$O$2:$O$1001,0),1)&gt;=100000,INDEX($V$1005:$AE$1005,1,MATCH(COLUMNS($V$1006:AA1006),$V$1006:$AE$1006,0))&gt;=100000), " ",IF(INDEX($V$2:$AE$1001,MATCH(ROWS($O$2:O239),$O$2:$O$1001,0),MATCH(COLUMNS($V$1006:AA1006),$V$1006:$AE$1006,0)), HYPERLINK("#",""), HYPERLINK(CONCATENATE("#Metadata!", ADDRESS(INDEX($Q$2:$Q$1001,MATCH(ROWS($O$2:O239),$O$2:$O$1001,0),0), INDEX($V$1004:$AE$1004,1,MATCH(COLUMNS($V$1006:AA1006),$V$1006:$AE$1006,0)))),"Fix")))</f>
        <v>0</v>
      </c>
      <c r="H239" s="3">
        <f>IF(OR(INDEX($P$2:$P$1001,MATCH(ROWS($O$2:O239),$O$2:$O$1001,0),1)&gt;=100000,INDEX($V$1005:$AE$1005,1,MATCH(COLUMNS($V$1006:AB1006),$V$1006:$AE$1006,0))&gt;=100000), " ",IF(INDEX($V$2:$AE$1001,MATCH(ROWS($O$2:O239),$O$2:$O$1001,0),MATCH(COLUMNS($V$1006:AB1006),$V$1006:$AE$1006,0)), HYPERLINK("#",""), HYPERLINK(CONCATENATE("#Metadata!", ADDRESS(INDEX($Q$2:$Q$1001,MATCH(ROWS($O$2:O239),$O$2:$O$1001,0),0), INDEX($V$1004:$AE$1004,1,MATCH(COLUMNS($V$1006:AB1006),$V$1006:$AE$1006,0)))),"Fix")))</f>
        <v>0</v>
      </c>
      <c r="I239" s="3">
        <f>IF(OR(INDEX($P$2:$P$1001,MATCH(ROWS($O$2:O239),$O$2:$O$1001,0),1)&gt;=100000,INDEX($V$1005:$AE$1005,1,MATCH(COLUMNS($V$1006:AC1006),$V$1006:$AE$1006,0))&gt;=100000), " ",IF(INDEX($V$2:$AE$1001,MATCH(ROWS($O$2:O239),$O$2:$O$1001,0),MATCH(COLUMNS($V$1006:AC1006),$V$1006:$AE$1006,0)), HYPERLINK("#",""), HYPERLINK(CONCATENATE("#Metadata!", ADDRESS(INDEX($Q$2:$Q$1001,MATCH(ROWS($O$2:O239),$O$2:$O$1001,0),0), INDEX($V$1004:$AE$1004,1,MATCH(COLUMNS($V$1006:AC1006),$V$1006:$AE$1006,0)))),"Fix")))</f>
        <v>0</v>
      </c>
      <c r="J239" s="3">
        <f>IF(OR(INDEX($P$2:$P$1001,MATCH(ROWS($O$2:O239),$O$2:$O$1001,0),1)&gt;=100000,INDEX($V$1005:$AE$1005,1,MATCH(COLUMNS($V$1006:AD1006),$V$1006:$AE$1006,0))&gt;=100000), " ",IF(INDEX($V$2:$AE$1001,MATCH(ROWS($O$2:O239),$O$2:$O$1001,0),MATCH(COLUMNS($V$1006:AD1006),$V$1006:$AE$1006,0)), HYPERLINK("#",""), HYPERLINK(CONCATENATE("#Metadata!", ADDRESS(INDEX($Q$2:$Q$1001,MATCH(ROWS($O$2:O239),$O$2:$O$1001,0),0), INDEX($V$1004:$AE$1004,1,MATCH(COLUMNS($V$1006:AD1006),$V$1006:$AE$1006,0)))),"Fix")))</f>
        <v>0</v>
      </c>
      <c r="K239" s="3">
        <f>IF(OR(INDEX($P$2:$P$1001,MATCH(ROWS($O$2:O239),$O$2:$O$1001,0),1)&gt;=100000,INDEX($V$1005:$AE$1005,1,MATCH(COLUMNS($V$1006:AE1006),$V$1006:$AE$1006,0))&gt;=100000), " ",IF(INDEX($V$2:$AE$1001,MATCH(ROWS($O$2:O239),$O$2:$O$1001,0),MATCH(COLUMNS($V$1006:AE1006),$V$1006:$AE$1006,0)), HYPERLINK("#",""), HYPERLINK(CONCATENATE("#Metadata!", ADDRESS(INDEX($Q$2:$Q$1001,MATCH(ROWS($O$2:O239),$O$2:$O$1001,0),0), INDEX($V$1004:$AE$1004,1,MATCH(COLUMNS($V$1006:AE1006),$V$1006:$AE$1006,0)))),"Fix")))</f>
        <v>0</v>
      </c>
      <c r="O239">
        <v>0</v>
      </c>
      <c r="P239">
        <v>0</v>
      </c>
      <c r="Q239">
        <v>0</v>
      </c>
      <c r="R239">
        <f>IF(S239,TRUE,AND(V239:AE239))</f>
        <v>0</v>
      </c>
      <c r="S239">
        <f>COUNTBLANK(Metadata!B239:K239)=COLUMNS(Metadata!B239:K239)</f>
        <v>0</v>
      </c>
      <c r="T239">
        <v>0</v>
      </c>
      <c r="V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W239">
        <f>AND(IF(Metadata!C239="",FALSE,TRUE),exact(Metadata!C239,"animal secretion"))</f>
        <v>0</v>
      </c>
      <c r="X239">
        <f>AND(IF(Metadata!D239="",FALSE,TRUE),exact(Metadata!D239,"saliva"))</f>
        <v>0</v>
      </c>
      <c r="Y239">
        <f>AND(IF(Metadata!E239="",FALSE,TRUE),exact(Metadata!E239,"human-oral"))</f>
        <v>0</v>
      </c>
      <c r="Z239">
        <f>AND(IF(Metadata!F239="",FALSE,TRUE),exact(Metadata!F239,"UBERON:oral cavity"))</f>
        <v>0</v>
      </c>
      <c r="AA239">
        <f>AND(IF(Metadata!G239="",FALSE,TRUE),exact(Metadata!G239,"UBERON:saliva"))</f>
        <v>0</v>
      </c>
      <c r="AB239">
        <f>AND(IF(Metadata!H239="",FALSE,TRUE),exact(Metadata!H239,"UBERON:tongue"))</f>
        <v>0</v>
      </c>
      <c r="AC239">
        <f>AND(IF(Metadata!I239="",FALSE,TRUE),exact(Metadata!I239,"tongue"))</f>
        <v>0</v>
      </c>
      <c r="AD239">
        <f>AND(IF(Metadata!J239="",FALSE,TRUE),exact(Metadata!J239,"human oral metagenome"))</f>
        <v>0</v>
      </c>
      <c r="AE239">
        <f>AND(IF(Metadata!K239="",FALSE,TRUE),exact(Metadata!K239,"447426"))</f>
        <v>0</v>
      </c>
    </row>
    <row r="240" spans="1:31">
      <c r="A240" s="4">
        <f>IF(B240=" "," ",HYPERLINK(CONCATENATE("#metadata!",ADDRESS(INDEX($Q$2:$Q$1001,MATCH(ROWS($O$2:O240),$O$2:$O$1001,0),0),1)),INDEX($T$2:$T$1001,MATCH(ROWS($O$2:O240),$O$2:$O$1001,0),0)))</f>
        <v>0</v>
      </c>
      <c r="B240" s="3">
        <f>IF(OR(INDEX($P$2:$P$1001,MATCH(ROWS($O$2:O240),$O$2:$O$1001,0),1)&gt;=100000,INDEX($V$1005:$AE$1005,1,MATCH(COLUMNS($V$1006:V1006),$V$1006:$AE$1006,0))&gt;=100000), " ",IF(INDEX($V$2:$AE$1001,MATCH(ROWS($O$2:O240),$O$2:$O$1001,0),MATCH(COLUMNS($V$1006:V1006),$V$1006:$AE$1006,0)), HYPERLINK("#",""), HYPERLINK(CONCATENATE("#Metadata!", ADDRESS(INDEX($Q$2:$Q$1001,MATCH(ROWS($O$2:O240),$O$2:$O$1001,0),0), INDEX($V$1004:$AE$1004,1,MATCH(COLUMNS($V$1006:V1006),$V$1006:$AE$1006,0)))),"Fix")))</f>
        <v>0</v>
      </c>
      <c r="C240" s="3">
        <f>IF(OR(INDEX($P$2:$P$1001,MATCH(ROWS($O$2:O240),$O$2:$O$1001,0),1)&gt;=100000,INDEX($V$1005:$AE$1005,1,MATCH(COLUMNS($V$1006:W1006),$V$1006:$AE$1006,0))&gt;=100000), " ",IF(INDEX($V$2:$AE$1001,MATCH(ROWS($O$2:O240),$O$2:$O$1001,0),MATCH(COLUMNS($V$1006:W1006),$V$1006:$AE$1006,0)), HYPERLINK("#",""), HYPERLINK(CONCATENATE("#Metadata!", ADDRESS(INDEX($Q$2:$Q$1001,MATCH(ROWS($O$2:O240),$O$2:$O$1001,0),0), INDEX($V$1004:$AE$1004,1,MATCH(COLUMNS($V$1006:W1006),$V$1006:$AE$1006,0)))),"Fix")))</f>
        <v>0</v>
      </c>
      <c r="D240" s="3">
        <f>IF(OR(INDEX($P$2:$P$1001,MATCH(ROWS($O$2:O240),$O$2:$O$1001,0),1)&gt;=100000,INDEX($V$1005:$AE$1005,1,MATCH(COLUMNS($V$1006:X1006),$V$1006:$AE$1006,0))&gt;=100000), " ",IF(INDEX($V$2:$AE$1001,MATCH(ROWS($O$2:O240),$O$2:$O$1001,0),MATCH(COLUMNS($V$1006:X1006),$V$1006:$AE$1006,0)), HYPERLINK("#",""), HYPERLINK(CONCATENATE("#Metadata!", ADDRESS(INDEX($Q$2:$Q$1001,MATCH(ROWS($O$2:O240),$O$2:$O$1001,0),0), INDEX($V$1004:$AE$1004,1,MATCH(COLUMNS($V$1006:X1006),$V$1006:$AE$1006,0)))),"Fix")))</f>
        <v>0</v>
      </c>
      <c r="E240" s="3">
        <f>IF(OR(INDEX($P$2:$P$1001,MATCH(ROWS($O$2:O240),$O$2:$O$1001,0),1)&gt;=100000,INDEX($V$1005:$AE$1005,1,MATCH(COLUMNS($V$1006:Y1006),$V$1006:$AE$1006,0))&gt;=100000), " ",IF(INDEX($V$2:$AE$1001,MATCH(ROWS($O$2:O240),$O$2:$O$1001,0),MATCH(COLUMNS($V$1006:Y1006),$V$1006:$AE$1006,0)), HYPERLINK("#",""), HYPERLINK(CONCATENATE("#Metadata!", ADDRESS(INDEX($Q$2:$Q$1001,MATCH(ROWS($O$2:O240),$O$2:$O$1001,0),0), INDEX($V$1004:$AE$1004,1,MATCH(COLUMNS($V$1006:Y1006),$V$1006:$AE$1006,0)))),"Fix")))</f>
        <v>0</v>
      </c>
      <c r="F240" s="3">
        <f>IF(OR(INDEX($P$2:$P$1001,MATCH(ROWS($O$2:O240),$O$2:$O$1001,0),1)&gt;=100000,INDEX($V$1005:$AE$1005,1,MATCH(COLUMNS($V$1006:Z1006),$V$1006:$AE$1006,0))&gt;=100000), " ",IF(INDEX($V$2:$AE$1001,MATCH(ROWS($O$2:O240),$O$2:$O$1001,0),MATCH(COLUMNS($V$1006:Z1006),$V$1006:$AE$1006,0)), HYPERLINK("#",""), HYPERLINK(CONCATENATE("#Metadata!", ADDRESS(INDEX($Q$2:$Q$1001,MATCH(ROWS($O$2:O240),$O$2:$O$1001,0),0), INDEX($V$1004:$AE$1004,1,MATCH(COLUMNS($V$1006:Z1006),$V$1006:$AE$1006,0)))),"Fix")))</f>
        <v>0</v>
      </c>
      <c r="G240" s="3">
        <f>IF(OR(INDEX($P$2:$P$1001,MATCH(ROWS($O$2:O240),$O$2:$O$1001,0),1)&gt;=100000,INDEX($V$1005:$AE$1005,1,MATCH(COLUMNS($V$1006:AA1006),$V$1006:$AE$1006,0))&gt;=100000), " ",IF(INDEX($V$2:$AE$1001,MATCH(ROWS($O$2:O240),$O$2:$O$1001,0),MATCH(COLUMNS($V$1006:AA1006),$V$1006:$AE$1006,0)), HYPERLINK("#",""), HYPERLINK(CONCATENATE("#Metadata!", ADDRESS(INDEX($Q$2:$Q$1001,MATCH(ROWS($O$2:O240),$O$2:$O$1001,0),0), INDEX($V$1004:$AE$1004,1,MATCH(COLUMNS($V$1006:AA1006),$V$1006:$AE$1006,0)))),"Fix")))</f>
        <v>0</v>
      </c>
      <c r="H240" s="3">
        <f>IF(OR(INDEX($P$2:$P$1001,MATCH(ROWS($O$2:O240),$O$2:$O$1001,0),1)&gt;=100000,INDEX($V$1005:$AE$1005,1,MATCH(COLUMNS($V$1006:AB1006),$V$1006:$AE$1006,0))&gt;=100000), " ",IF(INDEX($V$2:$AE$1001,MATCH(ROWS($O$2:O240),$O$2:$O$1001,0),MATCH(COLUMNS($V$1006:AB1006),$V$1006:$AE$1006,0)), HYPERLINK("#",""), HYPERLINK(CONCATENATE("#Metadata!", ADDRESS(INDEX($Q$2:$Q$1001,MATCH(ROWS($O$2:O240),$O$2:$O$1001,0),0), INDEX($V$1004:$AE$1004,1,MATCH(COLUMNS($V$1006:AB1006),$V$1006:$AE$1006,0)))),"Fix")))</f>
        <v>0</v>
      </c>
      <c r="I240" s="3">
        <f>IF(OR(INDEX($P$2:$P$1001,MATCH(ROWS($O$2:O240),$O$2:$O$1001,0),1)&gt;=100000,INDEX($V$1005:$AE$1005,1,MATCH(COLUMNS($V$1006:AC1006),$V$1006:$AE$1006,0))&gt;=100000), " ",IF(INDEX($V$2:$AE$1001,MATCH(ROWS($O$2:O240),$O$2:$O$1001,0),MATCH(COLUMNS($V$1006:AC1006),$V$1006:$AE$1006,0)), HYPERLINK("#",""), HYPERLINK(CONCATENATE("#Metadata!", ADDRESS(INDEX($Q$2:$Q$1001,MATCH(ROWS($O$2:O240),$O$2:$O$1001,0),0), INDEX($V$1004:$AE$1004,1,MATCH(COLUMNS($V$1006:AC1006),$V$1006:$AE$1006,0)))),"Fix")))</f>
        <v>0</v>
      </c>
      <c r="J240" s="3">
        <f>IF(OR(INDEX($P$2:$P$1001,MATCH(ROWS($O$2:O240),$O$2:$O$1001,0),1)&gt;=100000,INDEX($V$1005:$AE$1005,1,MATCH(COLUMNS($V$1006:AD1006),$V$1006:$AE$1006,0))&gt;=100000), " ",IF(INDEX($V$2:$AE$1001,MATCH(ROWS($O$2:O240),$O$2:$O$1001,0),MATCH(COLUMNS($V$1006:AD1006),$V$1006:$AE$1006,0)), HYPERLINK("#",""), HYPERLINK(CONCATENATE("#Metadata!", ADDRESS(INDEX($Q$2:$Q$1001,MATCH(ROWS($O$2:O240),$O$2:$O$1001,0),0), INDEX($V$1004:$AE$1004,1,MATCH(COLUMNS($V$1006:AD1006),$V$1006:$AE$1006,0)))),"Fix")))</f>
        <v>0</v>
      </c>
      <c r="K240" s="3">
        <f>IF(OR(INDEX($P$2:$P$1001,MATCH(ROWS($O$2:O240),$O$2:$O$1001,0),1)&gt;=100000,INDEX($V$1005:$AE$1005,1,MATCH(COLUMNS($V$1006:AE1006),$V$1006:$AE$1006,0))&gt;=100000), " ",IF(INDEX($V$2:$AE$1001,MATCH(ROWS($O$2:O240),$O$2:$O$1001,0),MATCH(COLUMNS($V$1006:AE1006),$V$1006:$AE$1006,0)), HYPERLINK("#",""), HYPERLINK(CONCATENATE("#Metadata!", ADDRESS(INDEX($Q$2:$Q$1001,MATCH(ROWS($O$2:O240),$O$2:$O$1001,0),0), INDEX($V$1004:$AE$1004,1,MATCH(COLUMNS($V$1006:AE1006),$V$1006:$AE$1006,0)))),"Fix")))</f>
        <v>0</v>
      </c>
      <c r="O240">
        <v>0</v>
      </c>
      <c r="P240">
        <v>0</v>
      </c>
      <c r="Q240">
        <v>0</v>
      </c>
      <c r="R240">
        <f>IF(S240,TRUE,AND(V240:AE240))</f>
        <v>0</v>
      </c>
      <c r="S240">
        <f>COUNTBLANK(Metadata!B240:K240)=COLUMNS(Metadata!B240:K240)</f>
        <v>0</v>
      </c>
      <c r="T240">
        <v>0</v>
      </c>
      <c r="V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W240">
        <f>AND(IF(Metadata!C240="",FALSE,TRUE),exact(Metadata!C240,"animal secretion"))</f>
        <v>0</v>
      </c>
      <c r="X240">
        <f>AND(IF(Metadata!D240="",FALSE,TRUE),exact(Metadata!D240,"saliva"))</f>
        <v>0</v>
      </c>
      <c r="Y240">
        <f>AND(IF(Metadata!E240="",FALSE,TRUE),exact(Metadata!E240,"human-oral"))</f>
        <v>0</v>
      </c>
      <c r="Z240">
        <f>AND(IF(Metadata!F240="",FALSE,TRUE),exact(Metadata!F240,"UBERON:oral cavity"))</f>
        <v>0</v>
      </c>
      <c r="AA240">
        <f>AND(IF(Metadata!G240="",FALSE,TRUE),exact(Metadata!G240,"UBERON:saliva"))</f>
        <v>0</v>
      </c>
      <c r="AB240">
        <f>AND(IF(Metadata!H240="",FALSE,TRUE),exact(Metadata!H240,"UBERON:tongue"))</f>
        <v>0</v>
      </c>
      <c r="AC240">
        <f>AND(IF(Metadata!I240="",FALSE,TRUE),exact(Metadata!I240,"tongue"))</f>
        <v>0</v>
      </c>
      <c r="AD240">
        <f>AND(IF(Metadata!J240="",FALSE,TRUE),exact(Metadata!J240,"human oral metagenome"))</f>
        <v>0</v>
      </c>
      <c r="AE240">
        <f>AND(IF(Metadata!K240="",FALSE,TRUE),exact(Metadata!K240,"447426"))</f>
        <v>0</v>
      </c>
    </row>
    <row r="241" spans="1:31">
      <c r="A241" s="4">
        <f>IF(B241=" "," ",HYPERLINK(CONCATENATE("#metadata!",ADDRESS(INDEX($Q$2:$Q$1001,MATCH(ROWS($O$2:O241),$O$2:$O$1001,0),0),1)),INDEX($T$2:$T$1001,MATCH(ROWS($O$2:O241),$O$2:$O$1001,0),0)))</f>
        <v>0</v>
      </c>
      <c r="B241" s="3">
        <f>IF(OR(INDEX($P$2:$P$1001,MATCH(ROWS($O$2:O241),$O$2:$O$1001,0),1)&gt;=100000,INDEX($V$1005:$AE$1005,1,MATCH(COLUMNS($V$1006:V1006),$V$1006:$AE$1006,0))&gt;=100000), " ",IF(INDEX($V$2:$AE$1001,MATCH(ROWS($O$2:O241),$O$2:$O$1001,0),MATCH(COLUMNS($V$1006:V1006),$V$1006:$AE$1006,0)), HYPERLINK("#",""), HYPERLINK(CONCATENATE("#Metadata!", ADDRESS(INDEX($Q$2:$Q$1001,MATCH(ROWS($O$2:O241),$O$2:$O$1001,0),0), INDEX($V$1004:$AE$1004,1,MATCH(COLUMNS($V$1006:V1006),$V$1006:$AE$1006,0)))),"Fix")))</f>
        <v>0</v>
      </c>
      <c r="C241" s="3">
        <f>IF(OR(INDEX($P$2:$P$1001,MATCH(ROWS($O$2:O241),$O$2:$O$1001,0),1)&gt;=100000,INDEX($V$1005:$AE$1005,1,MATCH(COLUMNS($V$1006:W1006),$V$1006:$AE$1006,0))&gt;=100000), " ",IF(INDEX($V$2:$AE$1001,MATCH(ROWS($O$2:O241),$O$2:$O$1001,0),MATCH(COLUMNS($V$1006:W1006),$V$1006:$AE$1006,0)), HYPERLINK("#",""), HYPERLINK(CONCATENATE("#Metadata!", ADDRESS(INDEX($Q$2:$Q$1001,MATCH(ROWS($O$2:O241),$O$2:$O$1001,0),0), INDEX($V$1004:$AE$1004,1,MATCH(COLUMNS($V$1006:W1006),$V$1006:$AE$1006,0)))),"Fix")))</f>
        <v>0</v>
      </c>
      <c r="D241" s="3">
        <f>IF(OR(INDEX($P$2:$P$1001,MATCH(ROWS($O$2:O241),$O$2:$O$1001,0),1)&gt;=100000,INDEX($V$1005:$AE$1005,1,MATCH(COLUMNS($V$1006:X1006),$V$1006:$AE$1006,0))&gt;=100000), " ",IF(INDEX($V$2:$AE$1001,MATCH(ROWS($O$2:O241),$O$2:$O$1001,0),MATCH(COLUMNS($V$1006:X1006),$V$1006:$AE$1006,0)), HYPERLINK("#",""), HYPERLINK(CONCATENATE("#Metadata!", ADDRESS(INDEX($Q$2:$Q$1001,MATCH(ROWS($O$2:O241),$O$2:$O$1001,0),0), INDEX($V$1004:$AE$1004,1,MATCH(COLUMNS($V$1006:X1006),$V$1006:$AE$1006,0)))),"Fix")))</f>
        <v>0</v>
      </c>
      <c r="E241" s="3">
        <f>IF(OR(INDEX($P$2:$P$1001,MATCH(ROWS($O$2:O241),$O$2:$O$1001,0),1)&gt;=100000,INDEX($V$1005:$AE$1005,1,MATCH(COLUMNS($V$1006:Y1006),$V$1006:$AE$1006,0))&gt;=100000), " ",IF(INDEX($V$2:$AE$1001,MATCH(ROWS($O$2:O241),$O$2:$O$1001,0),MATCH(COLUMNS($V$1006:Y1006),$V$1006:$AE$1006,0)), HYPERLINK("#",""), HYPERLINK(CONCATENATE("#Metadata!", ADDRESS(INDEX($Q$2:$Q$1001,MATCH(ROWS($O$2:O241),$O$2:$O$1001,0),0), INDEX($V$1004:$AE$1004,1,MATCH(COLUMNS($V$1006:Y1006),$V$1006:$AE$1006,0)))),"Fix")))</f>
        <v>0</v>
      </c>
      <c r="F241" s="3">
        <f>IF(OR(INDEX($P$2:$P$1001,MATCH(ROWS($O$2:O241),$O$2:$O$1001,0),1)&gt;=100000,INDEX($V$1005:$AE$1005,1,MATCH(COLUMNS($V$1006:Z1006),$V$1006:$AE$1006,0))&gt;=100000), " ",IF(INDEX($V$2:$AE$1001,MATCH(ROWS($O$2:O241),$O$2:$O$1001,0),MATCH(COLUMNS($V$1006:Z1006),$V$1006:$AE$1006,0)), HYPERLINK("#",""), HYPERLINK(CONCATENATE("#Metadata!", ADDRESS(INDEX($Q$2:$Q$1001,MATCH(ROWS($O$2:O241),$O$2:$O$1001,0),0), INDEX($V$1004:$AE$1004,1,MATCH(COLUMNS($V$1006:Z1006),$V$1006:$AE$1006,0)))),"Fix")))</f>
        <v>0</v>
      </c>
      <c r="G241" s="3">
        <f>IF(OR(INDEX($P$2:$P$1001,MATCH(ROWS($O$2:O241),$O$2:$O$1001,0),1)&gt;=100000,INDEX($V$1005:$AE$1005,1,MATCH(COLUMNS($V$1006:AA1006),$V$1006:$AE$1006,0))&gt;=100000), " ",IF(INDEX($V$2:$AE$1001,MATCH(ROWS($O$2:O241),$O$2:$O$1001,0),MATCH(COLUMNS($V$1006:AA1006),$V$1006:$AE$1006,0)), HYPERLINK("#",""), HYPERLINK(CONCATENATE("#Metadata!", ADDRESS(INDEX($Q$2:$Q$1001,MATCH(ROWS($O$2:O241),$O$2:$O$1001,0),0), INDEX($V$1004:$AE$1004,1,MATCH(COLUMNS($V$1006:AA1006),$V$1006:$AE$1006,0)))),"Fix")))</f>
        <v>0</v>
      </c>
      <c r="H241" s="3">
        <f>IF(OR(INDEX($P$2:$P$1001,MATCH(ROWS($O$2:O241),$O$2:$O$1001,0),1)&gt;=100000,INDEX($V$1005:$AE$1005,1,MATCH(COLUMNS($V$1006:AB1006),$V$1006:$AE$1006,0))&gt;=100000), " ",IF(INDEX($V$2:$AE$1001,MATCH(ROWS($O$2:O241),$O$2:$O$1001,0),MATCH(COLUMNS($V$1006:AB1006),$V$1006:$AE$1006,0)), HYPERLINK("#",""), HYPERLINK(CONCATENATE("#Metadata!", ADDRESS(INDEX($Q$2:$Q$1001,MATCH(ROWS($O$2:O241),$O$2:$O$1001,0),0), INDEX($V$1004:$AE$1004,1,MATCH(COLUMNS($V$1006:AB1006),$V$1006:$AE$1006,0)))),"Fix")))</f>
        <v>0</v>
      </c>
      <c r="I241" s="3">
        <f>IF(OR(INDEX($P$2:$P$1001,MATCH(ROWS($O$2:O241),$O$2:$O$1001,0),1)&gt;=100000,INDEX($V$1005:$AE$1005,1,MATCH(COLUMNS($V$1006:AC1006),$V$1006:$AE$1006,0))&gt;=100000), " ",IF(INDEX($V$2:$AE$1001,MATCH(ROWS($O$2:O241),$O$2:$O$1001,0),MATCH(COLUMNS($V$1006:AC1006),$V$1006:$AE$1006,0)), HYPERLINK("#",""), HYPERLINK(CONCATENATE("#Metadata!", ADDRESS(INDEX($Q$2:$Q$1001,MATCH(ROWS($O$2:O241),$O$2:$O$1001,0),0), INDEX($V$1004:$AE$1004,1,MATCH(COLUMNS($V$1006:AC1006),$V$1006:$AE$1006,0)))),"Fix")))</f>
        <v>0</v>
      </c>
      <c r="J241" s="3">
        <f>IF(OR(INDEX($P$2:$P$1001,MATCH(ROWS($O$2:O241),$O$2:$O$1001,0),1)&gt;=100000,INDEX($V$1005:$AE$1005,1,MATCH(COLUMNS($V$1006:AD1006),$V$1006:$AE$1006,0))&gt;=100000), " ",IF(INDEX($V$2:$AE$1001,MATCH(ROWS($O$2:O241),$O$2:$O$1001,0),MATCH(COLUMNS($V$1006:AD1006),$V$1006:$AE$1006,0)), HYPERLINK("#",""), HYPERLINK(CONCATENATE("#Metadata!", ADDRESS(INDEX($Q$2:$Q$1001,MATCH(ROWS($O$2:O241),$O$2:$O$1001,0),0), INDEX($V$1004:$AE$1004,1,MATCH(COLUMNS($V$1006:AD1006),$V$1006:$AE$1006,0)))),"Fix")))</f>
        <v>0</v>
      </c>
      <c r="K241" s="3">
        <f>IF(OR(INDEX($P$2:$P$1001,MATCH(ROWS($O$2:O241),$O$2:$O$1001,0),1)&gt;=100000,INDEX($V$1005:$AE$1005,1,MATCH(COLUMNS($V$1006:AE1006),$V$1006:$AE$1006,0))&gt;=100000), " ",IF(INDEX($V$2:$AE$1001,MATCH(ROWS($O$2:O241),$O$2:$O$1001,0),MATCH(COLUMNS($V$1006:AE1006),$V$1006:$AE$1006,0)), HYPERLINK("#",""), HYPERLINK(CONCATENATE("#Metadata!", ADDRESS(INDEX($Q$2:$Q$1001,MATCH(ROWS($O$2:O241),$O$2:$O$1001,0),0), INDEX($V$1004:$AE$1004,1,MATCH(COLUMNS($V$1006:AE1006),$V$1006:$AE$1006,0)))),"Fix")))</f>
        <v>0</v>
      </c>
      <c r="O241">
        <v>0</v>
      </c>
      <c r="P241">
        <v>0</v>
      </c>
      <c r="Q241">
        <v>0</v>
      </c>
      <c r="R241">
        <f>IF(S241,TRUE,AND(V241:AE241))</f>
        <v>0</v>
      </c>
      <c r="S241">
        <f>COUNTBLANK(Metadata!B241:K241)=COLUMNS(Metadata!B241:K241)</f>
        <v>0</v>
      </c>
      <c r="T241">
        <v>0</v>
      </c>
      <c r="V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W241">
        <f>AND(IF(Metadata!C241="",FALSE,TRUE),exact(Metadata!C241,"animal secretion"))</f>
        <v>0</v>
      </c>
      <c r="X241">
        <f>AND(IF(Metadata!D241="",FALSE,TRUE),exact(Metadata!D241,"saliva"))</f>
        <v>0</v>
      </c>
      <c r="Y241">
        <f>AND(IF(Metadata!E241="",FALSE,TRUE),exact(Metadata!E241,"human-oral"))</f>
        <v>0</v>
      </c>
      <c r="Z241">
        <f>AND(IF(Metadata!F241="",FALSE,TRUE),exact(Metadata!F241,"UBERON:oral cavity"))</f>
        <v>0</v>
      </c>
      <c r="AA241">
        <f>AND(IF(Metadata!G241="",FALSE,TRUE),exact(Metadata!G241,"UBERON:saliva"))</f>
        <v>0</v>
      </c>
      <c r="AB241">
        <f>AND(IF(Metadata!H241="",FALSE,TRUE),exact(Metadata!H241,"UBERON:tongue"))</f>
        <v>0</v>
      </c>
      <c r="AC241">
        <f>AND(IF(Metadata!I241="",FALSE,TRUE),exact(Metadata!I241,"tongue"))</f>
        <v>0</v>
      </c>
      <c r="AD241">
        <f>AND(IF(Metadata!J241="",FALSE,TRUE),exact(Metadata!J241,"human oral metagenome"))</f>
        <v>0</v>
      </c>
      <c r="AE241">
        <f>AND(IF(Metadata!K241="",FALSE,TRUE),exact(Metadata!K241,"447426"))</f>
        <v>0</v>
      </c>
    </row>
    <row r="242" spans="1:31">
      <c r="A242" s="4">
        <f>IF(B242=" "," ",HYPERLINK(CONCATENATE("#metadata!",ADDRESS(INDEX($Q$2:$Q$1001,MATCH(ROWS($O$2:O242),$O$2:$O$1001,0),0),1)),INDEX($T$2:$T$1001,MATCH(ROWS($O$2:O242),$O$2:$O$1001,0),0)))</f>
        <v>0</v>
      </c>
      <c r="B242" s="3">
        <f>IF(OR(INDEX($P$2:$P$1001,MATCH(ROWS($O$2:O242),$O$2:$O$1001,0),1)&gt;=100000,INDEX($V$1005:$AE$1005,1,MATCH(COLUMNS($V$1006:V1006),$V$1006:$AE$1006,0))&gt;=100000), " ",IF(INDEX($V$2:$AE$1001,MATCH(ROWS($O$2:O242),$O$2:$O$1001,0),MATCH(COLUMNS($V$1006:V1006),$V$1006:$AE$1006,0)), HYPERLINK("#",""), HYPERLINK(CONCATENATE("#Metadata!", ADDRESS(INDEX($Q$2:$Q$1001,MATCH(ROWS($O$2:O242),$O$2:$O$1001,0),0), INDEX($V$1004:$AE$1004,1,MATCH(COLUMNS($V$1006:V1006),$V$1006:$AE$1006,0)))),"Fix")))</f>
        <v>0</v>
      </c>
      <c r="C242" s="3">
        <f>IF(OR(INDEX($P$2:$P$1001,MATCH(ROWS($O$2:O242),$O$2:$O$1001,0),1)&gt;=100000,INDEX($V$1005:$AE$1005,1,MATCH(COLUMNS($V$1006:W1006),$V$1006:$AE$1006,0))&gt;=100000), " ",IF(INDEX($V$2:$AE$1001,MATCH(ROWS($O$2:O242),$O$2:$O$1001,0),MATCH(COLUMNS($V$1006:W1006),$V$1006:$AE$1006,0)), HYPERLINK("#",""), HYPERLINK(CONCATENATE("#Metadata!", ADDRESS(INDEX($Q$2:$Q$1001,MATCH(ROWS($O$2:O242),$O$2:$O$1001,0),0), INDEX($V$1004:$AE$1004,1,MATCH(COLUMNS($V$1006:W1006),$V$1006:$AE$1006,0)))),"Fix")))</f>
        <v>0</v>
      </c>
      <c r="D242" s="3">
        <f>IF(OR(INDEX($P$2:$P$1001,MATCH(ROWS($O$2:O242),$O$2:$O$1001,0),1)&gt;=100000,INDEX($V$1005:$AE$1005,1,MATCH(COLUMNS($V$1006:X1006),$V$1006:$AE$1006,0))&gt;=100000), " ",IF(INDEX($V$2:$AE$1001,MATCH(ROWS($O$2:O242),$O$2:$O$1001,0),MATCH(COLUMNS($V$1006:X1006),$V$1006:$AE$1006,0)), HYPERLINK("#",""), HYPERLINK(CONCATENATE("#Metadata!", ADDRESS(INDEX($Q$2:$Q$1001,MATCH(ROWS($O$2:O242),$O$2:$O$1001,0),0), INDEX($V$1004:$AE$1004,1,MATCH(COLUMNS($V$1006:X1006),$V$1006:$AE$1006,0)))),"Fix")))</f>
        <v>0</v>
      </c>
      <c r="E242" s="3">
        <f>IF(OR(INDEX($P$2:$P$1001,MATCH(ROWS($O$2:O242),$O$2:$O$1001,0),1)&gt;=100000,INDEX($V$1005:$AE$1005,1,MATCH(COLUMNS($V$1006:Y1006),$V$1006:$AE$1006,0))&gt;=100000), " ",IF(INDEX($V$2:$AE$1001,MATCH(ROWS($O$2:O242),$O$2:$O$1001,0),MATCH(COLUMNS($V$1006:Y1006),$V$1006:$AE$1006,0)), HYPERLINK("#",""), HYPERLINK(CONCATENATE("#Metadata!", ADDRESS(INDEX($Q$2:$Q$1001,MATCH(ROWS($O$2:O242),$O$2:$O$1001,0),0), INDEX($V$1004:$AE$1004,1,MATCH(COLUMNS($V$1006:Y1006),$V$1006:$AE$1006,0)))),"Fix")))</f>
        <v>0</v>
      </c>
      <c r="F242" s="3">
        <f>IF(OR(INDEX($P$2:$P$1001,MATCH(ROWS($O$2:O242),$O$2:$O$1001,0),1)&gt;=100000,INDEX($V$1005:$AE$1005,1,MATCH(COLUMNS($V$1006:Z1006),$V$1006:$AE$1006,0))&gt;=100000), " ",IF(INDEX($V$2:$AE$1001,MATCH(ROWS($O$2:O242),$O$2:$O$1001,0),MATCH(COLUMNS($V$1006:Z1006),$V$1006:$AE$1006,0)), HYPERLINK("#",""), HYPERLINK(CONCATENATE("#Metadata!", ADDRESS(INDEX($Q$2:$Q$1001,MATCH(ROWS($O$2:O242),$O$2:$O$1001,0),0), INDEX($V$1004:$AE$1004,1,MATCH(COLUMNS($V$1006:Z1006),$V$1006:$AE$1006,0)))),"Fix")))</f>
        <v>0</v>
      </c>
      <c r="G242" s="3">
        <f>IF(OR(INDEX($P$2:$P$1001,MATCH(ROWS($O$2:O242),$O$2:$O$1001,0),1)&gt;=100000,INDEX($V$1005:$AE$1005,1,MATCH(COLUMNS($V$1006:AA1006),$V$1006:$AE$1006,0))&gt;=100000), " ",IF(INDEX($V$2:$AE$1001,MATCH(ROWS($O$2:O242),$O$2:$O$1001,0),MATCH(COLUMNS($V$1006:AA1006),$V$1006:$AE$1006,0)), HYPERLINK("#",""), HYPERLINK(CONCATENATE("#Metadata!", ADDRESS(INDEX($Q$2:$Q$1001,MATCH(ROWS($O$2:O242),$O$2:$O$1001,0),0), INDEX($V$1004:$AE$1004,1,MATCH(COLUMNS($V$1006:AA1006),$V$1006:$AE$1006,0)))),"Fix")))</f>
        <v>0</v>
      </c>
      <c r="H242" s="3">
        <f>IF(OR(INDEX($P$2:$P$1001,MATCH(ROWS($O$2:O242),$O$2:$O$1001,0),1)&gt;=100000,INDEX($V$1005:$AE$1005,1,MATCH(COLUMNS($V$1006:AB1006),$V$1006:$AE$1006,0))&gt;=100000), " ",IF(INDEX($V$2:$AE$1001,MATCH(ROWS($O$2:O242),$O$2:$O$1001,0),MATCH(COLUMNS($V$1006:AB1006),$V$1006:$AE$1006,0)), HYPERLINK("#",""), HYPERLINK(CONCATENATE("#Metadata!", ADDRESS(INDEX($Q$2:$Q$1001,MATCH(ROWS($O$2:O242),$O$2:$O$1001,0),0), INDEX($V$1004:$AE$1004,1,MATCH(COLUMNS($V$1006:AB1006),$V$1006:$AE$1006,0)))),"Fix")))</f>
        <v>0</v>
      </c>
      <c r="I242" s="3">
        <f>IF(OR(INDEX($P$2:$P$1001,MATCH(ROWS($O$2:O242),$O$2:$O$1001,0),1)&gt;=100000,INDEX($V$1005:$AE$1005,1,MATCH(COLUMNS($V$1006:AC1006),$V$1006:$AE$1006,0))&gt;=100000), " ",IF(INDEX($V$2:$AE$1001,MATCH(ROWS($O$2:O242),$O$2:$O$1001,0),MATCH(COLUMNS($V$1006:AC1006),$V$1006:$AE$1006,0)), HYPERLINK("#",""), HYPERLINK(CONCATENATE("#Metadata!", ADDRESS(INDEX($Q$2:$Q$1001,MATCH(ROWS($O$2:O242),$O$2:$O$1001,0),0), INDEX($V$1004:$AE$1004,1,MATCH(COLUMNS($V$1006:AC1006),$V$1006:$AE$1006,0)))),"Fix")))</f>
        <v>0</v>
      </c>
      <c r="J242" s="3">
        <f>IF(OR(INDEX($P$2:$P$1001,MATCH(ROWS($O$2:O242),$O$2:$O$1001,0),1)&gt;=100000,INDEX($V$1005:$AE$1005,1,MATCH(COLUMNS($V$1006:AD1006),$V$1006:$AE$1006,0))&gt;=100000), " ",IF(INDEX($V$2:$AE$1001,MATCH(ROWS($O$2:O242),$O$2:$O$1001,0),MATCH(COLUMNS($V$1006:AD1006),$V$1006:$AE$1006,0)), HYPERLINK("#",""), HYPERLINK(CONCATENATE("#Metadata!", ADDRESS(INDEX($Q$2:$Q$1001,MATCH(ROWS($O$2:O242),$O$2:$O$1001,0),0), INDEX($V$1004:$AE$1004,1,MATCH(COLUMNS($V$1006:AD1006),$V$1006:$AE$1006,0)))),"Fix")))</f>
        <v>0</v>
      </c>
      <c r="K242" s="3">
        <f>IF(OR(INDEX($P$2:$P$1001,MATCH(ROWS($O$2:O242),$O$2:$O$1001,0),1)&gt;=100000,INDEX($V$1005:$AE$1005,1,MATCH(COLUMNS($V$1006:AE1006),$V$1006:$AE$1006,0))&gt;=100000), " ",IF(INDEX($V$2:$AE$1001,MATCH(ROWS($O$2:O242),$O$2:$O$1001,0),MATCH(COLUMNS($V$1006:AE1006),$V$1006:$AE$1006,0)), HYPERLINK("#",""), HYPERLINK(CONCATENATE("#Metadata!", ADDRESS(INDEX($Q$2:$Q$1001,MATCH(ROWS($O$2:O242),$O$2:$O$1001,0),0), INDEX($V$1004:$AE$1004,1,MATCH(COLUMNS($V$1006:AE1006),$V$1006:$AE$1006,0)))),"Fix")))</f>
        <v>0</v>
      </c>
      <c r="O242">
        <v>0</v>
      </c>
      <c r="P242">
        <v>0</v>
      </c>
      <c r="Q242">
        <v>0</v>
      </c>
      <c r="R242">
        <f>IF(S242,TRUE,AND(V242:AE242))</f>
        <v>0</v>
      </c>
      <c r="S242">
        <f>COUNTBLANK(Metadata!B242:K242)=COLUMNS(Metadata!B242:K242)</f>
        <v>0</v>
      </c>
      <c r="T242">
        <v>0</v>
      </c>
      <c r="V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W242">
        <f>AND(IF(Metadata!C242="",FALSE,TRUE),exact(Metadata!C242,"animal secretion"))</f>
        <v>0</v>
      </c>
      <c r="X242">
        <f>AND(IF(Metadata!D242="",FALSE,TRUE),exact(Metadata!D242,"saliva"))</f>
        <v>0</v>
      </c>
      <c r="Y242">
        <f>AND(IF(Metadata!E242="",FALSE,TRUE),exact(Metadata!E242,"human-oral"))</f>
        <v>0</v>
      </c>
      <c r="Z242">
        <f>AND(IF(Metadata!F242="",FALSE,TRUE),exact(Metadata!F242,"UBERON:oral cavity"))</f>
        <v>0</v>
      </c>
      <c r="AA242">
        <f>AND(IF(Metadata!G242="",FALSE,TRUE),exact(Metadata!G242,"UBERON:saliva"))</f>
        <v>0</v>
      </c>
      <c r="AB242">
        <f>AND(IF(Metadata!H242="",FALSE,TRUE),exact(Metadata!H242,"UBERON:tongue"))</f>
        <v>0</v>
      </c>
      <c r="AC242">
        <f>AND(IF(Metadata!I242="",FALSE,TRUE),exact(Metadata!I242,"tongue"))</f>
        <v>0</v>
      </c>
      <c r="AD242">
        <f>AND(IF(Metadata!J242="",FALSE,TRUE),exact(Metadata!J242,"human oral metagenome"))</f>
        <v>0</v>
      </c>
      <c r="AE242">
        <f>AND(IF(Metadata!K242="",FALSE,TRUE),exact(Metadata!K242,"447426"))</f>
        <v>0</v>
      </c>
    </row>
    <row r="243" spans="1:31">
      <c r="A243" s="4">
        <f>IF(B243=" "," ",HYPERLINK(CONCATENATE("#metadata!",ADDRESS(INDEX($Q$2:$Q$1001,MATCH(ROWS($O$2:O243),$O$2:$O$1001,0),0),1)),INDEX($T$2:$T$1001,MATCH(ROWS($O$2:O243),$O$2:$O$1001,0),0)))</f>
        <v>0</v>
      </c>
      <c r="B243" s="3">
        <f>IF(OR(INDEX($P$2:$P$1001,MATCH(ROWS($O$2:O243),$O$2:$O$1001,0),1)&gt;=100000,INDEX($V$1005:$AE$1005,1,MATCH(COLUMNS($V$1006:V1006),$V$1006:$AE$1006,0))&gt;=100000), " ",IF(INDEX($V$2:$AE$1001,MATCH(ROWS($O$2:O243),$O$2:$O$1001,0),MATCH(COLUMNS($V$1006:V1006),$V$1006:$AE$1006,0)), HYPERLINK("#",""), HYPERLINK(CONCATENATE("#Metadata!", ADDRESS(INDEX($Q$2:$Q$1001,MATCH(ROWS($O$2:O243),$O$2:$O$1001,0),0), INDEX($V$1004:$AE$1004,1,MATCH(COLUMNS($V$1006:V1006),$V$1006:$AE$1006,0)))),"Fix")))</f>
        <v>0</v>
      </c>
      <c r="C243" s="3">
        <f>IF(OR(INDEX($P$2:$P$1001,MATCH(ROWS($O$2:O243),$O$2:$O$1001,0),1)&gt;=100000,INDEX($V$1005:$AE$1005,1,MATCH(COLUMNS($V$1006:W1006),$V$1006:$AE$1006,0))&gt;=100000), " ",IF(INDEX($V$2:$AE$1001,MATCH(ROWS($O$2:O243),$O$2:$O$1001,0),MATCH(COLUMNS($V$1006:W1006),$V$1006:$AE$1006,0)), HYPERLINK("#",""), HYPERLINK(CONCATENATE("#Metadata!", ADDRESS(INDEX($Q$2:$Q$1001,MATCH(ROWS($O$2:O243),$O$2:$O$1001,0),0), INDEX($V$1004:$AE$1004,1,MATCH(COLUMNS($V$1006:W1006),$V$1006:$AE$1006,0)))),"Fix")))</f>
        <v>0</v>
      </c>
      <c r="D243" s="3">
        <f>IF(OR(INDEX($P$2:$P$1001,MATCH(ROWS($O$2:O243),$O$2:$O$1001,0),1)&gt;=100000,INDEX($V$1005:$AE$1005,1,MATCH(COLUMNS($V$1006:X1006),$V$1006:$AE$1006,0))&gt;=100000), " ",IF(INDEX($V$2:$AE$1001,MATCH(ROWS($O$2:O243),$O$2:$O$1001,0),MATCH(COLUMNS($V$1006:X1006),$V$1006:$AE$1006,0)), HYPERLINK("#",""), HYPERLINK(CONCATENATE("#Metadata!", ADDRESS(INDEX($Q$2:$Q$1001,MATCH(ROWS($O$2:O243),$O$2:$O$1001,0),0), INDEX($V$1004:$AE$1004,1,MATCH(COLUMNS($V$1006:X1006),$V$1006:$AE$1006,0)))),"Fix")))</f>
        <v>0</v>
      </c>
      <c r="E243" s="3">
        <f>IF(OR(INDEX($P$2:$P$1001,MATCH(ROWS($O$2:O243),$O$2:$O$1001,0),1)&gt;=100000,INDEX($V$1005:$AE$1005,1,MATCH(COLUMNS($V$1006:Y1006),$V$1006:$AE$1006,0))&gt;=100000), " ",IF(INDEX($V$2:$AE$1001,MATCH(ROWS($O$2:O243),$O$2:$O$1001,0),MATCH(COLUMNS($V$1006:Y1006),$V$1006:$AE$1006,0)), HYPERLINK("#",""), HYPERLINK(CONCATENATE("#Metadata!", ADDRESS(INDEX($Q$2:$Q$1001,MATCH(ROWS($O$2:O243),$O$2:$O$1001,0),0), INDEX($V$1004:$AE$1004,1,MATCH(COLUMNS($V$1006:Y1006),$V$1006:$AE$1006,0)))),"Fix")))</f>
        <v>0</v>
      </c>
      <c r="F243" s="3">
        <f>IF(OR(INDEX($P$2:$P$1001,MATCH(ROWS($O$2:O243),$O$2:$O$1001,0),1)&gt;=100000,INDEX($V$1005:$AE$1005,1,MATCH(COLUMNS($V$1006:Z1006),$V$1006:$AE$1006,0))&gt;=100000), " ",IF(INDEX($V$2:$AE$1001,MATCH(ROWS($O$2:O243),$O$2:$O$1001,0),MATCH(COLUMNS($V$1006:Z1006),$V$1006:$AE$1006,0)), HYPERLINK("#",""), HYPERLINK(CONCATENATE("#Metadata!", ADDRESS(INDEX($Q$2:$Q$1001,MATCH(ROWS($O$2:O243),$O$2:$O$1001,0),0), INDEX($V$1004:$AE$1004,1,MATCH(COLUMNS($V$1006:Z1006),$V$1006:$AE$1006,0)))),"Fix")))</f>
        <v>0</v>
      </c>
      <c r="G243" s="3">
        <f>IF(OR(INDEX($P$2:$P$1001,MATCH(ROWS($O$2:O243),$O$2:$O$1001,0),1)&gt;=100000,INDEX($V$1005:$AE$1005,1,MATCH(COLUMNS($V$1006:AA1006),$V$1006:$AE$1006,0))&gt;=100000), " ",IF(INDEX($V$2:$AE$1001,MATCH(ROWS($O$2:O243),$O$2:$O$1001,0),MATCH(COLUMNS($V$1006:AA1006),$V$1006:$AE$1006,0)), HYPERLINK("#",""), HYPERLINK(CONCATENATE("#Metadata!", ADDRESS(INDEX($Q$2:$Q$1001,MATCH(ROWS($O$2:O243),$O$2:$O$1001,0),0), INDEX($V$1004:$AE$1004,1,MATCH(COLUMNS($V$1006:AA1006),$V$1006:$AE$1006,0)))),"Fix")))</f>
        <v>0</v>
      </c>
      <c r="H243" s="3">
        <f>IF(OR(INDEX($P$2:$P$1001,MATCH(ROWS($O$2:O243),$O$2:$O$1001,0),1)&gt;=100000,INDEX($V$1005:$AE$1005,1,MATCH(COLUMNS($V$1006:AB1006),$V$1006:$AE$1006,0))&gt;=100000), " ",IF(INDEX($V$2:$AE$1001,MATCH(ROWS($O$2:O243),$O$2:$O$1001,0),MATCH(COLUMNS($V$1006:AB1006),$V$1006:$AE$1006,0)), HYPERLINK("#",""), HYPERLINK(CONCATENATE("#Metadata!", ADDRESS(INDEX($Q$2:$Q$1001,MATCH(ROWS($O$2:O243),$O$2:$O$1001,0),0), INDEX($V$1004:$AE$1004,1,MATCH(COLUMNS($V$1006:AB1006),$V$1006:$AE$1006,0)))),"Fix")))</f>
        <v>0</v>
      </c>
      <c r="I243" s="3">
        <f>IF(OR(INDEX($P$2:$P$1001,MATCH(ROWS($O$2:O243),$O$2:$O$1001,0),1)&gt;=100000,INDEX($V$1005:$AE$1005,1,MATCH(COLUMNS($V$1006:AC1006),$V$1006:$AE$1006,0))&gt;=100000), " ",IF(INDEX($V$2:$AE$1001,MATCH(ROWS($O$2:O243),$O$2:$O$1001,0),MATCH(COLUMNS($V$1006:AC1006),$V$1006:$AE$1006,0)), HYPERLINK("#",""), HYPERLINK(CONCATENATE("#Metadata!", ADDRESS(INDEX($Q$2:$Q$1001,MATCH(ROWS($O$2:O243),$O$2:$O$1001,0),0), INDEX($V$1004:$AE$1004,1,MATCH(COLUMNS($V$1006:AC1006),$V$1006:$AE$1006,0)))),"Fix")))</f>
        <v>0</v>
      </c>
      <c r="J243" s="3">
        <f>IF(OR(INDEX($P$2:$P$1001,MATCH(ROWS($O$2:O243),$O$2:$O$1001,0),1)&gt;=100000,INDEX($V$1005:$AE$1005,1,MATCH(COLUMNS($V$1006:AD1006),$V$1006:$AE$1006,0))&gt;=100000), " ",IF(INDEX($V$2:$AE$1001,MATCH(ROWS($O$2:O243),$O$2:$O$1001,0),MATCH(COLUMNS($V$1006:AD1006),$V$1006:$AE$1006,0)), HYPERLINK("#",""), HYPERLINK(CONCATENATE("#Metadata!", ADDRESS(INDEX($Q$2:$Q$1001,MATCH(ROWS($O$2:O243),$O$2:$O$1001,0),0), INDEX($V$1004:$AE$1004,1,MATCH(COLUMNS($V$1006:AD1006),$V$1006:$AE$1006,0)))),"Fix")))</f>
        <v>0</v>
      </c>
      <c r="K243" s="3">
        <f>IF(OR(INDEX($P$2:$P$1001,MATCH(ROWS($O$2:O243),$O$2:$O$1001,0),1)&gt;=100000,INDEX($V$1005:$AE$1005,1,MATCH(COLUMNS($V$1006:AE1006),$V$1006:$AE$1006,0))&gt;=100000), " ",IF(INDEX($V$2:$AE$1001,MATCH(ROWS($O$2:O243),$O$2:$O$1001,0),MATCH(COLUMNS($V$1006:AE1006),$V$1006:$AE$1006,0)), HYPERLINK("#",""), HYPERLINK(CONCATENATE("#Metadata!", ADDRESS(INDEX($Q$2:$Q$1001,MATCH(ROWS($O$2:O243),$O$2:$O$1001,0),0), INDEX($V$1004:$AE$1004,1,MATCH(COLUMNS($V$1006:AE1006),$V$1006:$AE$1006,0)))),"Fix")))</f>
        <v>0</v>
      </c>
      <c r="O243">
        <v>0</v>
      </c>
      <c r="P243">
        <v>0</v>
      </c>
      <c r="Q243">
        <v>0</v>
      </c>
      <c r="R243">
        <f>IF(S243,TRUE,AND(V243:AE243))</f>
        <v>0</v>
      </c>
      <c r="S243">
        <f>COUNTBLANK(Metadata!B243:K243)=COLUMNS(Metadata!B243:K243)</f>
        <v>0</v>
      </c>
      <c r="T243">
        <v>0</v>
      </c>
      <c r="V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W243">
        <f>AND(IF(Metadata!C243="",FALSE,TRUE),exact(Metadata!C243,"animal secretion"))</f>
        <v>0</v>
      </c>
      <c r="X243">
        <f>AND(IF(Metadata!D243="",FALSE,TRUE),exact(Metadata!D243,"saliva"))</f>
        <v>0</v>
      </c>
      <c r="Y243">
        <f>AND(IF(Metadata!E243="",FALSE,TRUE),exact(Metadata!E243,"human-oral"))</f>
        <v>0</v>
      </c>
      <c r="Z243">
        <f>AND(IF(Metadata!F243="",FALSE,TRUE),exact(Metadata!F243,"UBERON:oral cavity"))</f>
        <v>0</v>
      </c>
      <c r="AA243">
        <f>AND(IF(Metadata!G243="",FALSE,TRUE),exact(Metadata!G243,"UBERON:saliva"))</f>
        <v>0</v>
      </c>
      <c r="AB243">
        <f>AND(IF(Metadata!H243="",FALSE,TRUE),exact(Metadata!H243,"UBERON:tongue"))</f>
        <v>0</v>
      </c>
      <c r="AC243">
        <f>AND(IF(Metadata!I243="",FALSE,TRUE),exact(Metadata!I243,"tongue"))</f>
        <v>0</v>
      </c>
      <c r="AD243">
        <f>AND(IF(Metadata!J243="",FALSE,TRUE),exact(Metadata!J243,"human oral metagenome"))</f>
        <v>0</v>
      </c>
      <c r="AE243">
        <f>AND(IF(Metadata!K243="",FALSE,TRUE),exact(Metadata!K243,"447426"))</f>
        <v>0</v>
      </c>
    </row>
    <row r="244" spans="1:31">
      <c r="A244" s="4">
        <f>IF(B244=" "," ",HYPERLINK(CONCATENATE("#metadata!",ADDRESS(INDEX($Q$2:$Q$1001,MATCH(ROWS($O$2:O244),$O$2:$O$1001,0),0),1)),INDEX($T$2:$T$1001,MATCH(ROWS($O$2:O244),$O$2:$O$1001,0),0)))</f>
        <v>0</v>
      </c>
      <c r="B244" s="3">
        <f>IF(OR(INDEX($P$2:$P$1001,MATCH(ROWS($O$2:O244),$O$2:$O$1001,0),1)&gt;=100000,INDEX($V$1005:$AE$1005,1,MATCH(COLUMNS($V$1006:V1006),$V$1006:$AE$1006,0))&gt;=100000), " ",IF(INDEX($V$2:$AE$1001,MATCH(ROWS($O$2:O244),$O$2:$O$1001,0),MATCH(COLUMNS($V$1006:V1006),$V$1006:$AE$1006,0)), HYPERLINK("#",""), HYPERLINK(CONCATENATE("#Metadata!", ADDRESS(INDEX($Q$2:$Q$1001,MATCH(ROWS($O$2:O244),$O$2:$O$1001,0),0), INDEX($V$1004:$AE$1004,1,MATCH(COLUMNS($V$1006:V1006),$V$1006:$AE$1006,0)))),"Fix")))</f>
        <v>0</v>
      </c>
      <c r="C244" s="3">
        <f>IF(OR(INDEX($P$2:$P$1001,MATCH(ROWS($O$2:O244),$O$2:$O$1001,0),1)&gt;=100000,INDEX($V$1005:$AE$1005,1,MATCH(COLUMNS($V$1006:W1006),$V$1006:$AE$1006,0))&gt;=100000), " ",IF(INDEX($V$2:$AE$1001,MATCH(ROWS($O$2:O244),$O$2:$O$1001,0),MATCH(COLUMNS($V$1006:W1006),$V$1006:$AE$1006,0)), HYPERLINK("#",""), HYPERLINK(CONCATENATE("#Metadata!", ADDRESS(INDEX($Q$2:$Q$1001,MATCH(ROWS($O$2:O244),$O$2:$O$1001,0),0), INDEX($V$1004:$AE$1004,1,MATCH(COLUMNS($V$1006:W1006),$V$1006:$AE$1006,0)))),"Fix")))</f>
        <v>0</v>
      </c>
      <c r="D244" s="3">
        <f>IF(OR(INDEX($P$2:$P$1001,MATCH(ROWS($O$2:O244),$O$2:$O$1001,0),1)&gt;=100000,INDEX($V$1005:$AE$1005,1,MATCH(COLUMNS($V$1006:X1006),$V$1006:$AE$1006,0))&gt;=100000), " ",IF(INDEX($V$2:$AE$1001,MATCH(ROWS($O$2:O244),$O$2:$O$1001,0),MATCH(COLUMNS($V$1006:X1006),$V$1006:$AE$1006,0)), HYPERLINK("#",""), HYPERLINK(CONCATENATE("#Metadata!", ADDRESS(INDEX($Q$2:$Q$1001,MATCH(ROWS($O$2:O244),$O$2:$O$1001,0),0), INDEX($V$1004:$AE$1004,1,MATCH(COLUMNS($V$1006:X1006),$V$1006:$AE$1006,0)))),"Fix")))</f>
        <v>0</v>
      </c>
      <c r="E244" s="3">
        <f>IF(OR(INDEX($P$2:$P$1001,MATCH(ROWS($O$2:O244),$O$2:$O$1001,0),1)&gt;=100000,INDEX($V$1005:$AE$1005,1,MATCH(COLUMNS($V$1006:Y1006),$V$1006:$AE$1006,0))&gt;=100000), " ",IF(INDEX($V$2:$AE$1001,MATCH(ROWS($O$2:O244),$O$2:$O$1001,0),MATCH(COLUMNS($V$1006:Y1006),$V$1006:$AE$1006,0)), HYPERLINK("#",""), HYPERLINK(CONCATENATE("#Metadata!", ADDRESS(INDEX($Q$2:$Q$1001,MATCH(ROWS($O$2:O244),$O$2:$O$1001,0),0), INDEX($V$1004:$AE$1004,1,MATCH(COLUMNS($V$1006:Y1006),$V$1006:$AE$1006,0)))),"Fix")))</f>
        <v>0</v>
      </c>
      <c r="F244" s="3">
        <f>IF(OR(INDEX($P$2:$P$1001,MATCH(ROWS($O$2:O244),$O$2:$O$1001,0),1)&gt;=100000,INDEX($V$1005:$AE$1005,1,MATCH(COLUMNS($V$1006:Z1006),$V$1006:$AE$1006,0))&gt;=100000), " ",IF(INDEX($V$2:$AE$1001,MATCH(ROWS($O$2:O244),$O$2:$O$1001,0),MATCH(COLUMNS($V$1006:Z1006),$V$1006:$AE$1006,0)), HYPERLINK("#",""), HYPERLINK(CONCATENATE("#Metadata!", ADDRESS(INDEX($Q$2:$Q$1001,MATCH(ROWS($O$2:O244),$O$2:$O$1001,0),0), INDEX($V$1004:$AE$1004,1,MATCH(COLUMNS($V$1006:Z1006),$V$1006:$AE$1006,0)))),"Fix")))</f>
        <v>0</v>
      </c>
      <c r="G244" s="3">
        <f>IF(OR(INDEX($P$2:$P$1001,MATCH(ROWS($O$2:O244),$O$2:$O$1001,0),1)&gt;=100000,INDEX($V$1005:$AE$1005,1,MATCH(COLUMNS($V$1006:AA1006),$V$1006:$AE$1006,0))&gt;=100000), " ",IF(INDEX($V$2:$AE$1001,MATCH(ROWS($O$2:O244),$O$2:$O$1001,0),MATCH(COLUMNS($V$1006:AA1006),$V$1006:$AE$1006,0)), HYPERLINK("#",""), HYPERLINK(CONCATENATE("#Metadata!", ADDRESS(INDEX($Q$2:$Q$1001,MATCH(ROWS($O$2:O244),$O$2:$O$1001,0),0), INDEX($V$1004:$AE$1004,1,MATCH(COLUMNS($V$1006:AA1006),$V$1006:$AE$1006,0)))),"Fix")))</f>
        <v>0</v>
      </c>
      <c r="H244" s="3">
        <f>IF(OR(INDEX($P$2:$P$1001,MATCH(ROWS($O$2:O244),$O$2:$O$1001,0),1)&gt;=100000,INDEX($V$1005:$AE$1005,1,MATCH(COLUMNS($V$1006:AB1006),$V$1006:$AE$1006,0))&gt;=100000), " ",IF(INDEX($V$2:$AE$1001,MATCH(ROWS($O$2:O244),$O$2:$O$1001,0),MATCH(COLUMNS($V$1006:AB1006),$V$1006:$AE$1006,0)), HYPERLINK("#",""), HYPERLINK(CONCATENATE("#Metadata!", ADDRESS(INDEX($Q$2:$Q$1001,MATCH(ROWS($O$2:O244),$O$2:$O$1001,0),0), INDEX($V$1004:$AE$1004,1,MATCH(COLUMNS($V$1006:AB1006),$V$1006:$AE$1006,0)))),"Fix")))</f>
        <v>0</v>
      </c>
      <c r="I244" s="3">
        <f>IF(OR(INDEX($P$2:$P$1001,MATCH(ROWS($O$2:O244),$O$2:$O$1001,0),1)&gt;=100000,INDEX($V$1005:$AE$1005,1,MATCH(COLUMNS($V$1006:AC1006),$V$1006:$AE$1006,0))&gt;=100000), " ",IF(INDEX($V$2:$AE$1001,MATCH(ROWS($O$2:O244),$O$2:$O$1001,0),MATCH(COLUMNS($V$1006:AC1006),$V$1006:$AE$1006,0)), HYPERLINK("#",""), HYPERLINK(CONCATENATE("#Metadata!", ADDRESS(INDEX($Q$2:$Q$1001,MATCH(ROWS($O$2:O244),$O$2:$O$1001,0),0), INDEX($V$1004:$AE$1004,1,MATCH(COLUMNS($V$1006:AC1006),$V$1006:$AE$1006,0)))),"Fix")))</f>
        <v>0</v>
      </c>
      <c r="J244" s="3">
        <f>IF(OR(INDEX($P$2:$P$1001,MATCH(ROWS($O$2:O244),$O$2:$O$1001,0),1)&gt;=100000,INDEX($V$1005:$AE$1005,1,MATCH(COLUMNS($V$1006:AD1006),$V$1006:$AE$1006,0))&gt;=100000), " ",IF(INDEX($V$2:$AE$1001,MATCH(ROWS($O$2:O244),$O$2:$O$1001,0),MATCH(COLUMNS($V$1006:AD1006),$V$1006:$AE$1006,0)), HYPERLINK("#",""), HYPERLINK(CONCATENATE("#Metadata!", ADDRESS(INDEX($Q$2:$Q$1001,MATCH(ROWS($O$2:O244),$O$2:$O$1001,0),0), INDEX($V$1004:$AE$1004,1,MATCH(COLUMNS($V$1006:AD1006),$V$1006:$AE$1006,0)))),"Fix")))</f>
        <v>0</v>
      </c>
      <c r="K244" s="3">
        <f>IF(OR(INDEX($P$2:$P$1001,MATCH(ROWS($O$2:O244),$O$2:$O$1001,0),1)&gt;=100000,INDEX($V$1005:$AE$1005,1,MATCH(COLUMNS($V$1006:AE1006),$V$1006:$AE$1006,0))&gt;=100000), " ",IF(INDEX($V$2:$AE$1001,MATCH(ROWS($O$2:O244),$O$2:$O$1001,0),MATCH(COLUMNS($V$1006:AE1006),$V$1006:$AE$1006,0)), HYPERLINK("#",""), HYPERLINK(CONCATENATE("#Metadata!", ADDRESS(INDEX($Q$2:$Q$1001,MATCH(ROWS($O$2:O244),$O$2:$O$1001,0),0), INDEX($V$1004:$AE$1004,1,MATCH(COLUMNS($V$1006:AE1006),$V$1006:$AE$1006,0)))),"Fix")))</f>
        <v>0</v>
      </c>
      <c r="O244">
        <v>0</v>
      </c>
      <c r="P244">
        <v>0</v>
      </c>
      <c r="Q244">
        <v>0</v>
      </c>
      <c r="R244">
        <f>IF(S244,TRUE,AND(V244:AE244))</f>
        <v>0</v>
      </c>
      <c r="S244">
        <f>COUNTBLANK(Metadata!B244:K244)=COLUMNS(Metadata!B244:K244)</f>
        <v>0</v>
      </c>
      <c r="T244">
        <v>0</v>
      </c>
      <c r="V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W244">
        <f>AND(IF(Metadata!C244="",FALSE,TRUE),exact(Metadata!C244,"animal secretion"))</f>
        <v>0</v>
      </c>
      <c r="X244">
        <f>AND(IF(Metadata!D244="",FALSE,TRUE),exact(Metadata!D244,"saliva"))</f>
        <v>0</v>
      </c>
      <c r="Y244">
        <f>AND(IF(Metadata!E244="",FALSE,TRUE),exact(Metadata!E244,"human-oral"))</f>
        <v>0</v>
      </c>
      <c r="Z244">
        <f>AND(IF(Metadata!F244="",FALSE,TRUE),exact(Metadata!F244,"UBERON:oral cavity"))</f>
        <v>0</v>
      </c>
      <c r="AA244">
        <f>AND(IF(Metadata!G244="",FALSE,TRUE),exact(Metadata!G244,"UBERON:saliva"))</f>
        <v>0</v>
      </c>
      <c r="AB244">
        <f>AND(IF(Metadata!H244="",FALSE,TRUE),exact(Metadata!H244,"UBERON:tongue"))</f>
        <v>0</v>
      </c>
      <c r="AC244">
        <f>AND(IF(Metadata!I244="",FALSE,TRUE),exact(Metadata!I244,"tongue"))</f>
        <v>0</v>
      </c>
      <c r="AD244">
        <f>AND(IF(Metadata!J244="",FALSE,TRUE),exact(Metadata!J244,"human oral metagenome"))</f>
        <v>0</v>
      </c>
      <c r="AE244">
        <f>AND(IF(Metadata!K244="",FALSE,TRUE),exact(Metadata!K244,"447426"))</f>
        <v>0</v>
      </c>
    </row>
    <row r="245" spans="1:31">
      <c r="A245" s="4">
        <f>IF(B245=" "," ",HYPERLINK(CONCATENATE("#metadata!",ADDRESS(INDEX($Q$2:$Q$1001,MATCH(ROWS($O$2:O245),$O$2:$O$1001,0),0),1)),INDEX($T$2:$T$1001,MATCH(ROWS($O$2:O245),$O$2:$O$1001,0),0)))</f>
        <v>0</v>
      </c>
      <c r="B245" s="3">
        <f>IF(OR(INDEX($P$2:$P$1001,MATCH(ROWS($O$2:O245),$O$2:$O$1001,0),1)&gt;=100000,INDEX($V$1005:$AE$1005,1,MATCH(COLUMNS($V$1006:V1006),$V$1006:$AE$1006,0))&gt;=100000), " ",IF(INDEX($V$2:$AE$1001,MATCH(ROWS($O$2:O245),$O$2:$O$1001,0),MATCH(COLUMNS($V$1006:V1006),$V$1006:$AE$1006,0)), HYPERLINK("#",""), HYPERLINK(CONCATENATE("#Metadata!", ADDRESS(INDEX($Q$2:$Q$1001,MATCH(ROWS($O$2:O245),$O$2:$O$1001,0),0), INDEX($V$1004:$AE$1004,1,MATCH(COLUMNS($V$1006:V1006),$V$1006:$AE$1006,0)))),"Fix")))</f>
        <v>0</v>
      </c>
      <c r="C245" s="3">
        <f>IF(OR(INDEX($P$2:$P$1001,MATCH(ROWS($O$2:O245),$O$2:$O$1001,0),1)&gt;=100000,INDEX($V$1005:$AE$1005,1,MATCH(COLUMNS($V$1006:W1006),$V$1006:$AE$1006,0))&gt;=100000), " ",IF(INDEX($V$2:$AE$1001,MATCH(ROWS($O$2:O245),$O$2:$O$1001,0),MATCH(COLUMNS($V$1006:W1006),$V$1006:$AE$1006,0)), HYPERLINK("#",""), HYPERLINK(CONCATENATE("#Metadata!", ADDRESS(INDEX($Q$2:$Q$1001,MATCH(ROWS($O$2:O245),$O$2:$O$1001,0),0), INDEX($V$1004:$AE$1004,1,MATCH(COLUMNS($V$1006:W1006),$V$1006:$AE$1006,0)))),"Fix")))</f>
        <v>0</v>
      </c>
      <c r="D245" s="3">
        <f>IF(OR(INDEX($P$2:$P$1001,MATCH(ROWS($O$2:O245),$O$2:$O$1001,0),1)&gt;=100000,INDEX($V$1005:$AE$1005,1,MATCH(COLUMNS($V$1006:X1006),$V$1006:$AE$1006,0))&gt;=100000), " ",IF(INDEX($V$2:$AE$1001,MATCH(ROWS($O$2:O245),$O$2:$O$1001,0),MATCH(COLUMNS($V$1006:X1006),$V$1006:$AE$1006,0)), HYPERLINK("#",""), HYPERLINK(CONCATENATE("#Metadata!", ADDRESS(INDEX($Q$2:$Q$1001,MATCH(ROWS($O$2:O245),$O$2:$O$1001,0),0), INDEX($V$1004:$AE$1004,1,MATCH(COLUMNS($V$1006:X1006),$V$1006:$AE$1006,0)))),"Fix")))</f>
        <v>0</v>
      </c>
      <c r="E245" s="3">
        <f>IF(OR(INDEX($P$2:$P$1001,MATCH(ROWS($O$2:O245),$O$2:$O$1001,0),1)&gt;=100000,INDEX($V$1005:$AE$1005,1,MATCH(COLUMNS($V$1006:Y1006),$V$1006:$AE$1006,0))&gt;=100000), " ",IF(INDEX($V$2:$AE$1001,MATCH(ROWS($O$2:O245),$O$2:$O$1001,0),MATCH(COLUMNS($V$1006:Y1006),$V$1006:$AE$1006,0)), HYPERLINK("#",""), HYPERLINK(CONCATENATE("#Metadata!", ADDRESS(INDEX($Q$2:$Q$1001,MATCH(ROWS($O$2:O245),$O$2:$O$1001,0),0), INDEX($V$1004:$AE$1004,1,MATCH(COLUMNS($V$1006:Y1006),$V$1006:$AE$1006,0)))),"Fix")))</f>
        <v>0</v>
      </c>
      <c r="F245" s="3">
        <f>IF(OR(INDEX($P$2:$P$1001,MATCH(ROWS($O$2:O245),$O$2:$O$1001,0),1)&gt;=100000,INDEX($V$1005:$AE$1005,1,MATCH(COLUMNS($V$1006:Z1006),$V$1006:$AE$1006,0))&gt;=100000), " ",IF(INDEX($V$2:$AE$1001,MATCH(ROWS($O$2:O245),$O$2:$O$1001,0),MATCH(COLUMNS($V$1006:Z1006),$V$1006:$AE$1006,0)), HYPERLINK("#",""), HYPERLINK(CONCATENATE("#Metadata!", ADDRESS(INDEX($Q$2:$Q$1001,MATCH(ROWS($O$2:O245),$O$2:$O$1001,0),0), INDEX($V$1004:$AE$1004,1,MATCH(COLUMNS($V$1006:Z1006),$V$1006:$AE$1006,0)))),"Fix")))</f>
        <v>0</v>
      </c>
      <c r="G245" s="3">
        <f>IF(OR(INDEX($P$2:$P$1001,MATCH(ROWS($O$2:O245),$O$2:$O$1001,0),1)&gt;=100000,INDEX($V$1005:$AE$1005,1,MATCH(COLUMNS($V$1006:AA1006),$V$1006:$AE$1006,0))&gt;=100000), " ",IF(INDEX($V$2:$AE$1001,MATCH(ROWS($O$2:O245),$O$2:$O$1001,0),MATCH(COLUMNS($V$1006:AA1006),$V$1006:$AE$1006,0)), HYPERLINK("#",""), HYPERLINK(CONCATENATE("#Metadata!", ADDRESS(INDEX($Q$2:$Q$1001,MATCH(ROWS($O$2:O245),$O$2:$O$1001,0),0), INDEX($V$1004:$AE$1004,1,MATCH(COLUMNS($V$1006:AA1006),$V$1006:$AE$1006,0)))),"Fix")))</f>
        <v>0</v>
      </c>
      <c r="H245" s="3">
        <f>IF(OR(INDEX($P$2:$P$1001,MATCH(ROWS($O$2:O245),$O$2:$O$1001,0),1)&gt;=100000,INDEX($V$1005:$AE$1005,1,MATCH(COLUMNS($V$1006:AB1006),$V$1006:$AE$1006,0))&gt;=100000), " ",IF(INDEX($V$2:$AE$1001,MATCH(ROWS($O$2:O245),$O$2:$O$1001,0),MATCH(COLUMNS($V$1006:AB1006),$V$1006:$AE$1006,0)), HYPERLINK("#",""), HYPERLINK(CONCATENATE("#Metadata!", ADDRESS(INDEX($Q$2:$Q$1001,MATCH(ROWS($O$2:O245),$O$2:$O$1001,0),0), INDEX($V$1004:$AE$1004,1,MATCH(COLUMNS($V$1006:AB1006),$V$1006:$AE$1006,0)))),"Fix")))</f>
        <v>0</v>
      </c>
      <c r="I245" s="3">
        <f>IF(OR(INDEX($P$2:$P$1001,MATCH(ROWS($O$2:O245),$O$2:$O$1001,0),1)&gt;=100000,INDEX($V$1005:$AE$1005,1,MATCH(COLUMNS($V$1006:AC1006),$V$1006:$AE$1006,0))&gt;=100000), " ",IF(INDEX($V$2:$AE$1001,MATCH(ROWS($O$2:O245),$O$2:$O$1001,0),MATCH(COLUMNS($V$1006:AC1006),$V$1006:$AE$1006,0)), HYPERLINK("#",""), HYPERLINK(CONCATENATE("#Metadata!", ADDRESS(INDEX($Q$2:$Q$1001,MATCH(ROWS($O$2:O245),$O$2:$O$1001,0),0), INDEX($V$1004:$AE$1004,1,MATCH(COLUMNS($V$1006:AC1006),$V$1006:$AE$1006,0)))),"Fix")))</f>
        <v>0</v>
      </c>
      <c r="J245" s="3">
        <f>IF(OR(INDEX($P$2:$P$1001,MATCH(ROWS($O$2:O245),$O$2:$O$1001,0),1)&gt;=100000,INDEX($V$1005:$AE$1005,1,MATCH(COLUMNS($V$1006:AD1006),$V$1006:$AE$1006,0))&gt;=100000), " ",IF(INDEX($V$2:$AE$1001,MATCH(ROWS($O$2:O245),$O$2:$O$1001,0),MATCH(COLUMNS($V$1006:AD1006),$V$1006:$AE$1006,0)), HYPERLINK("#",""), HYPERLINK(CONCATENATE("#Metadata!", ADDRESS(INDEX($Q$2:$Q$1001,MATCH(ROWS($O$2:O245),$O$2:$O$1001,0),0), INDEX($V$1004:$AE$1004,1,MATCH(COLUMNS($V$1006:AD1006),$V$1006:$AE$1006,0)))),"Fix")))</f>
        <v>0</v>
      </c>
      <c r="K245" s="3">
        <f>IF(OR(INDEX($P$2:$P$1001,MATCH(ROWS($O$2:O245),$O$2:$O$1001,0),1)&gt;=100000,INDEX($V$1005:$AE$1005,1,MATCH(COLUMNS($V$1006:AE1006),$V$1006:$AE$1006,0))&gt;=100000), " ",IF(INDEX($V$2:$AE$1001,MATCH(ROWS($O$2:O245),$O$2:$O$1001,0),MATCH(COLUMNS($V$1006:AE1006),$V$1006:$AE$1006,0)), HYPERLINK("#",""), HYPERLINK(CONCATENATE("#Metadata!", ADDRESS(INDEX($Q$2:$Q$1001,MATCH(ROWS($O$2:O245),$O$2:$O$1001,0),0), INDEX($V$1004:$AE$1004,1,MATCH(COLUMNS($V$1006:AE1006),$V$1006:$AE$1006,0)))),"Fix")))</f>
        <v>0</v>
      </c>
      <c r="O245">
        <v>0</v>
      </c>
      <c r="P245">
        <v>0</v>
      </c>
      <c r="Q245">
        <v>0</v>
      </c>
      <c r="R245">
        <f>IF(S245,TRUE,AND(V245:AE245))</f>
        <v>0</v>
      </c>
      <c r="S245">
        <f>COUNTBLANK(Metadata!B245:K245)=COLUMNS(Metadata!B245:K245)</f>
        <v>0</v>
      </c>
      <c r="T245">
        <v>0</v>
      </c>
      <c r="V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W245">
        <f>AND(IF(Metadata!C245="",FALSE,TRUE),exact(Metadata!C245,"animal secretion"))</f>
        <v>0</v>
      </c>
      <c r="X245">
        <f>AND(IF(Metadata!D245="",FALSE,TRUE),exact(Metadata!D245,"saliva"))</f>
        <v>0</v>
      </c>
      <c r="Y245">
        <f>AND(IF(Metadata!E245="",FALSE,TRUE),exact(Metadata!E245,"human-oral"))</f>
        <v>0</v>
      </c>
      <c r="Z245">
        <f>AND(IF(Metadata!F245="",FALSE,TRUE),exact(Metadata!F245,"UBERON:oral cavity"))</f>
        <v>0</v>
      </c>
      <c r="AA245">
        <f>AND(IF(Metadata!G245="",FALSE,TRUE),exact(Metadata!G245,"UBERON:saliva"))</f>
        <v>0</v>
      </c>
      <c r="AB245">
        <f>AND(IF(Metadata!H245="",FALSE,TRUE),exact(Metadata!H245,"UBERON:tongue"))</f>
        <v>0</v>
      </c>
      <c r="AC245">
        <f>AND(IF(Metadata!I245="",FALSE,TRUE),exact(Metadata!I245,"tongue"))</f>
        <v>0</v>
      </c>
      <c r="AD245">
        <f>AND(IF(Metadata!J245="",FALSE,TRUE),exact(Metadata!J245,"human oral metagenome"))</f>
        <v>0</v>
      </c>
      <c r="AE245">
        <f>AND(IF(Metadata!K245="",FALSE,TRUE),exact(Metadata!K245,"447426"))</f>
        <v>0</v>
      </c>
    </row>
    <row r="246" spans="1:31">
      <c r="A246" s="4">
        <f>IF(B246=" "," ",HYPERLINK(CONCATENATE("#metadata!",ADDRESS(INDEX($Q$2:$Q$1001,MATCH(ROWS($O$2:O246),$O$2:$O$1001,0),0),1)),INDEX($T$2:$T$1001,MATCH(ROWS($O$2:O246),$O$2:$O$1001,0),0)))</f>
        <v>0</v>
      </c>
      <c r="B246" s="3">
        <f>IF(OR(INDEX($P$2:$P$1001,MATCH(ROWS($O$2:O246),$O$2:$O$1001,0),1)&gt;=100000,INDEX($V$1005:$AE$1005,1,MATCH(COLUMNS($V$1006:V1006),$V$1006:$AE$1006,0))&gt;=100000), " ",IF(INDEX($V$2:$AE$1001,MATCH(ROWS($O$2:O246),$O$2:$O$1001,0),MATCH(COLUMNS($V$1006:V1006),$V$1006:$AE$1006,0)), HYPERLINK("#",""), HYPERLINK(CONCATENATE("#Metadata!", ADDRESS(INDEX($Q$2:$Q$1001,MATCH(ROWS($O$2:O246),$O$2:$O$1001,0),0), INDEX($V$1004:$AE$1004,1,MATCH(COLUMNS($V$1006:V1006),$V$1006:$AE$1006,0)))),"Fix")))</f>
        <v>0</v>
      </c>
      <c r="C246" s="3">
        <f>IF(OR(INDEX($P$2:$P$1001,MATCH(ROWS($O$2:O246),$O$2:$O$1001,0),1)&gt;=100000,INDEX($V$1005:$AE$1005,1,MATCH(COLUMNS($V$1006:W1006),$V$1006:$AE$1006,0))&gt;=100000), " ",IF(INDEX($V$2:$AE$1001,MATCH(ROWS($O$2:O246),$O$2:$O$1001,0),MATCH(COLUMNS($V$1006:W1006),$V$1006:$AE$1006,0)), HYPERLINK("#",""), HYPERLINK(CONCATENATE("#Metadata!", ADDRESS(INDEX($Q$2:$Q$1001,MATCH(ROWS($O$2:O246),$O$2:$O$1001,0),0), INDEX($V$1004:$AE$1004,1,MATCH(COLUMNS($V$1006:W1006),$V$1006:$AE$1006,0)))),"Fix")))</f>
        <v>0</v>
      </c>
      <c r="D246" s="3">
        <f>IF(OR(INDEX($P$2:$P$1001,MATCH(ROWS($O$2:O246),$O$2:$O$1001,0),1)&gt;=100000,INDEX($V$1005:$AE$1005,1,MATCH(COLUMNS($V$1006:X1006),$V$1006:$AE$1006,0))&gt;=100000), " ",IF(INDEX($V$2:$AE$1001,MATCH(ROWS($O$2:O246),$O$2:$O$1001,0),MATCH(COLUMNS($V$1006:X1006),$V$1006:$AE$1006,0)), HYPERLINK("#",""), HYPERLINK(CONCATENATE("#Metadata!", ADDRESS(INDEX($Q$2:$Q$1001,MATCH(ROWS($O$2:O246),$O$2:$O$1001,0),0), INDEX($V$1004:$AE$1004,1,MATCH(COLUMNS($V$1006:X1006),$V$1006:$AE$1006,0)))),"Fix")))</f>
        <v>0</v>
      </c>
      <c r="E246" s="3">
        <f>IF(OR(INDEX($P$2:$P$1001,MATCH(ROWS($O$2:O246),$O$2:$O$1001,0),1)&gt;=100000,INDEX($V$1005:$AE$1005,1,MATCH(COLUMNS($V$1006:Y1006),$V$1006:$AE$1006,0))&gt;=100000), " ",IF(INDEX($V$2:$AE$1001,MATCH(ROWS($O$2:O246),$O$2:$O$1001,0),MATCH(COLUMNS($V$1006:Y1006),$V$1006:$AE$1006,0)), HYPERLINK("#",""), HYPERLINK(CONCATENATE("#Metadata!", ADDRESS(INDEX($Q$2:$Q$1001,MATCH(ROWS($O$2:O246),$O$2:$O$1001,0),0), INDEX($V$1004:$AE$1004,1,MATCH(COLUMNS($V$1006:Y1006),$V$1006:$AE$1006,0)))),"Fix")))</f>
        <v>0</v>
      </c>
      <c r="F246" s="3">
        <f>IF(OR(INDEX($P$2:$P$1001,MATCH(ROWS($O$2:O246),$O$2:$O$1001,0),1)&gt;=100000,INDEX($V$1005:$AE$1005,1,MATCH(COLUMNS($V$1006:Z1006),$V$1006:$AE$1006,0))&gt;=100000), " ",IF(INDEX($V$2:$AE$1001,MATCH(ROWS($O$2:O246),$O$2:$O$1001,0),MATCH(COLUMNS($V$1006:Z1006),$V$1006:$AE$1006,0)), HYPERLINK("#",""), HYPERLINK(CONCATENATE("#Metadata!", ADDRESS(INDEX($Q$2:$Q$1001,MATCH(ROWS($O$2:O246),$O$2:$O$1001,0),0), INDEX($V$1004:$AE$1004,1,MATCH(COLUMNS($V$1006:Z1006),$V$1006:$AE$1006,0)))),"Fix")))</f>
        <v>0</v>
      </c>
      <c r="G246" s="3">
        <f>IF(OR(INDEX($P$2:$P$1001,MATCH(ROWS($O$2:O246),$O$2:$O$1001,0),1)&gt;=100000,INDEX($V$1005:$AE$1005,1,MATCH(COLUMNS($V$1006:AA1006),$V$1006:$AE$1006,0))&gt;=100000), " ",IF(INDEX($V$2:$AE$1001,MATCH(ROWS($O$2:O246),$O$2:$O$1001,0),MATCH(COLUMNS($V$1006:AA1006),$V$1006:$AE$1006,0)), HYPERLINK("#",""), HYPERLINK(CONCATENATE("#Metadata!", ADDRESS(INDEX($Q$2:$Q$1001,MATCH(ROWS($O$2:O246),$O$2:$O$1001,0),0), INDEX($V$1004:$AE$1004,1,MATCH(COLUMNS($V$1006:AA1006),$V$1006:$AE$1006,0)))),"Fix")))</f>
        <v>0</v>
      </c>
      <c r="H246" s="3">
        <f>IF(OR(INDEX($P$2:$P$1001,MATCH(ROWS($O$2:O246),$O$2:$O$1001,0),1)&gt;=100000,INDEX($V$1005:$AE$1005,1,MATCH(COLUMNS($V$1006:AB1006),$V$1006:$AE$1006,0))&gt;=100000), " ",IF(INDEX($V$2:$AE$1001,MATCH(ROWS($O$2:O246),$O$2:$O$1001,0),MATCH(COLUMNS($V$1006:AB1006),$V$1006:$AE$1006,0)), HYPERLINK("#",""), HYPERLINK(CONCATENATE("#Metadata!", ADDRESS(INDEX($Q$2:$Q$1001,MATCH(ROWS($O$2:O246),$O$2:$O$1001,0),0), INDEX($V$1004:$AE$1004,1,MATCH(COLUMNS($V$1006:AB1006),$V$1006:$AE$1006,0)))),"Fix")))</f>
        <v>0</v>
      </c>
      <c r="I246" s="3">
        <f>IF(OR(INDEX($P$2:$P$1001,MATCH(ROWS($O$2:O246),$O$2:$O$1001,0),1)&gt;=100000,INDEX($V$1005:$AE$1005,1,MATCH(COLUMNS($V$1006:AC1006),$V$1006:$AE$1006,0))&gt;=100000), " ",IF(INDEX($V$2:$AE$1001,MATCH(ROWS($O$2:O246),$O$2:$O$1001,0),MATCH(COLUMNS($V$1006:AC1006),$V$1006:$AE$1006,0)), HYPERLINK("#",""), HYPERLINK(CONCATENATE("#Metadata!", ADDRESS(INDEX($Q$2:$Q$1001,MATCH(ROWS($O$2:O246),$O$2:$O$1001,0),0), INDEX($V$1004:$AE$1004,1,MATCH(COLUMNS($V$1006:AC1006),$V$1006:$AE$1006,0)))),"Fix")))</f>
        <v>0</v>
      </c>
      <c r="J246" s="3">
        <f>IF(OR(INDEX($P$2:$P$1001,MATCH(ROWS($O$2:O246),$O$2:$O$1001,0),1)&gt;=100000,INDEX($V$1005:$AE$1005,1,MATCH(COLUMNS($V$1006:AD1006),$V$1006:$AE$1006,0))&gt;=100000), " ",IF(INDEX($V$2:$AE$1001,MATCH(ROWS($O$2:O246),$O$2:$O$1001,0),MATCH(COLUMNS($V$1006:AD1006),$V$1006:$AE$1006,0)), HYPERLINK("#",""), HYPERLINK(CONCATENATE("#Metadata!", ADDRESS(INDEX($Q$2:$Q$1001,MATCH(ROWS($O$2:O246),$O$2:$O$1001,0),0), INDEX($V$1004:$AE$1004,1,MATCH(COLUMNS($V$1006:AD1006),$V$1006:$AE$1006,0)))),"Fix")))</f>
        <v>0</v>
      </c>
      <c r="K246" s="3">
        <f>IF(OR(INDEX($P$2:$P$1001,MATCH(ROWS($O$2:O246),$O$2:$O$1001,0),1)&gt;=100000,INDEX($V$1005:$AE$1005,1,MATCH(COLUMNS($V$1006:AE1006),$V$1006:$AE$1006,0))&gt;=100000), " ",IF(INDEX($V$2:$AE$1001,MATCH(ROWS($O$2:O246),$O$2:$O$1001,0),MATCH(COLUMNS($V$1006:AE1006),$V$1006:$AE$1006,0)), HYPERLINK("#",""), HYPERLINK(CONCATENATE("#Metadata!", ADDRESS(INDEX($Q$2:$Q$1001,MATCH(ROWS($O$2:O246),$O$2:$O$1001,0),0), INDEX($V$1004:$AE$1004,1,MATCH(COLUMNS($V$1006:AE1006),$V$1006:$AE$1006,0)))),"Fix")))</f>
        <v>0</v>
      </c>
      <c r="O246">
        <v>0</v>
      </c>
      <c r="P246">
        <v>0</v>
      </c>
      <c r="Q246">
        <v>0</v>
      </c>
      <c r="R246">
        <f>IF(S246,TRUE,AND(V246:AE246))</f>
        <v>0</v>
      </c>
      <c r="S246">
        <f>COUNTBLANK(Metadata!B246:K246)=COLUMNS(Metadata!B246:K246)</f>
        <v>0</v>
      </c>
      <c r="T246">
        <v>0</v>
      </c>
      <c r="V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W246">
        <f>AND(IF(Metadata!C246="",FALSE,TRUE),exact(Metadata!C246,"animal secretion"))</f>
        <v>0</v>
      </c>
      <c r="X246">
        <f>AND(IF(Metadata!D246="",FALSE,TRUE),exact(Metadata!D246,"saliva"))</f>
        <v>0</v>
      </c>
      <c r="Y246">
        <f>AND(IF(Metadata!E246="",FALSE,TRUE),exact(Metadata!E246,"human-oral"))</f>
        <v>0</v>
      </c>
      <c r="Z246">
        <f>AND(IF(Metadata!F246="",FALSE,TRUE),exact(Metadata!F246,"UBERON:oral cavity"))</f>
        <v>0</v>
      </c>
      <c r="AA246">
        <f>AND(IF(Metadata!G246="",FALSE,TRUE),exact(Metadata!G246,"UBERON:saliva"))</f>
        <v>0</v>
      </c>
      <c r="AB246">
        <f>AND(IF(Metadata!H246="",FALSE,TRUE),exact(Metadata!H246,"UBERON:tongue"))</f>
        <v>0</v>
      </c>
      <c r="AC246">
        <f>AND(IF(Metadata!I246="",FALSE,TRUE),exact(Metadata!I246,"tongue"))</f>
        <v>0</v>
      </c>
      <c r="AD246">
        <f>AND(IF(Metadata!J246="",FALSE,TRUE),exact(Metadata!J246,"human oral metagenome"))</f>
        <v>0</v>
      </c>
      <c r="AE246">
        <f>AND(IF(Metadata!K246="",FALSE,TRUE),exact(Metadata!K246,"447426"))</f>
        <v>0</v>
      </c>
    </row>
    <row r="247" spans="1:31">
      <c r="A247" s="4">
        <f>IF(B247=" "," ",HYPERLINK(CONCATENATE("#metadata!",ADDRESS(INDEX($Q$2:$Q$1001,MATCH(ROWS($O$2:O247),$O$2:$O$1001,0),0),1)),INDEX($T$2:$T$1001,MATCH(ROWS($O$2:O247),$O$2:$O$1001,0),0)))</f>
        <v>0</v>
      </c>
      <c r="B247" s="3">
        <f>IF(OR(INDEX($P$2:$P$1001,MATCH(ROWS($O$2:O247),$O$2:$O$1001,0),1)&gt;=100000,INDEX($V$1005:$AE$1005,1,MATCH(COLUMNS($V$1006:V1006),$V$1006:$AE$1006,0))&gt;=100000), " ",IF(INDEX($V$2:$AE$1001,MATCH(ROWS($O$2:O247),$O$2:$O$1001,0),MATCH(COLUMNS($V$1006:V1006),$V$1006:$AE$1006,0)), HYPERLINK("#",""), HYPERLINK(CONCATENATE("#Metadata!", ADDRESS(INDEX($Q$2:$Q$1001,MATCH(ROWS($O$2:O247),$O$2:$O$1001,0),0), INDEX($V$1004:$AE$1004,1,MATCH(COLUMNS($V$1006:V1006),$V$1006:$AE$1006,0)))),"Fix")))</f>
        <v>0</v>
      </c>
      <c r="C247" s="3">
        <f>IF(OR(INDEX($P$2:$P$1001,MATCH(ROWS($O$2:O247),$O$2:$O$1001,0),1)&gt;=100000,INDEX($V$1005:$AE$1005,1,MATCH(COLUMNS($V$1006:W1006),$V$1006:$AE$1006,0))&gt;=100000), " ",IF(INDEX($V$2:$AE$1001,MATCH(ROWS($O$2:O247),$O$2:$O$1001,0),MATCH(COLUMNS($V$1006:W1006),$V$1006:$AE$1006,0)), HYPERLINK("#",""), HYPERLINK(CONCATENATE("#Metadata!", ADDRESS(INDEX($Q$2:$Q$1001,MATCH(ROWS($O$2:O247),$O$2:$O$1001,0),0), INDEX($V$1004:$AE$1004,1,MATCH(COLUMNS($V$1006:W1006),$V$1006:$AE$1006,0)))),"Fix")))</f>
        <v>0</v>
      </c>
      <c r="D247" s="3">
        <f>IF(OR(INDEX($P$2:$P$1001,MATCH(ROWS($O$2:O247),$O$2:$O$1001,0),1)&gt;=100000,INDEX($V$1005:$AE$1005,1,MATCH(COLUMNS($V$1006:X1006),$V$1006:$AE$1006,0))&gt;=100000), " ",IF(INDEX($V$2:$AE$1001,MATCH(ROWS($O$2:O247),$O$2:$O$1001,0),MATCH(COLUMNS($V$1006:X1006),$V$1006:$AE$1006,0)), HYPERLINK("#",""), HYPERLINK(CONCATENATE("#Metadata!", ADDRESS(INDEX($Q$2:$Q$1001,MATCH(ROWS($O$2:O247),$O$2:$O$1001,0),0), INDEX($V$1004:$AE$1004,1,MATCH(COLUMNS($V$1006:X1006),$V$1006:$AE$1006,0)))),"Fix")))</f>
        <v>0</v>
      </c>
      <c r="E247" s="3">
        <f>IF(OR(INDEX($P$2:$P$1001,MATCH(ROWS($O$2:O247),$O$2:$O$1001,0),1)&gt;=100000,INDEX($V$1005:$AE$1005,1,MATCH(COLUMNS($V$1006:Y1006),$V$1006:$AE$1006,0))&gt;=100000), " ",IF(INDEX($V$2:$AE$1001,MATCH(ROWS($O$2:O247),$O$2:$O$1001,0),MATCH(COLUMNS($V$1006:Y1006),$V$1006:$AE$1006,0)), HYPERLINK("#",""), HYPERLINK(CONCATENATE("#Metadata!", ADDRESS(INDEX($Q$2:$Q$1001,MATCH(ROWS($O$2:O247),$O$2:$O$1001,0),0), INDEX($V$1004:$AE$1004,1,MATCH(COLUMNS($V$1006:Y1006),$V$1006:$AE$1006,0)))),"Fix")))</f>
        <v>0</v>
      </c>
      <c r="F247" s="3">
        <f>IF(OR(INDEX($P$2:$P$1001,MATCH(ROWS($O$2:O247),$O$2:$O$1001,0),1)&gt;=100000,INDEX($V$1005:$AE$1005,1,MATCH(COLUMNS($V$1006:Z1006),$V$1006:$AE$1006,0))&gt;=100000), " ",IF(INDEX($V$2:$AE$1001,MATCH(ROWS($O$2:O247),$O$2:$O$1001,0),MATCH(COLUMNS($V$1006:Z1006),$V$1006:$AE$1006,0)), HYPERLINK("#",""), HYPERLINK(CONCATENATE("#Metadata!", ADDRESS(INDEX($Q$2:$Q$1001,MATCH(ROWS($O$2:O247),$O$2:$O$1001,0),0), INDEX($V$1004:$AE$1004,1,MATCH(COLUMNS($V$1006:Z1006),$V$1006:$AE$1006,0)))),"Fix")))</f>
        <v>0</v>
      </c>
      <c r="G247" s="3">
        <f>IF(OR(INDEX($P$2:$P$1001,MATCH(ROWS($O$2:O247),$O$2:$O$1001,0),1)&gt;=100000,INDEX($V$1005:$AE$1005,1,MATCH(COLUMNS($V$1006:AA1006),$V$1006:$AE$1006,0))&gt;=100000), " ",IF(INDEX($V$2:$AE$1001,MATCH(ROWS($O$2:O247),$O$2:$O$1001,0),MATCH(COLUMNS($V$1006:AA1006),$V$1006:$AE$1006,0)), HYPERLINK("#",""), HYPERLINK(CONCATENATE("#Metadata!", ADDRESS(INDEX($Q$2:$Q$1001,MATCH(ROWS($O$2:O247),$O$2:$O$1001,0),0), INDEX($V$1004:$AE$1004,1,MATCH(COLUMNS($V$1006:AA1006),$V$1006:$AE$1006,0)))),"Fix")))</f>
        <v>0</v>
      </c>
      <c r="H247" s="3">
        <f>IF(OR(INDEX($P$2:$P$1001,MATCH(ROWS($O$2:O247),$O$2:$O$1001,0),1)&gt;=100000,INDEX($V$1005:$AE$1005,1,MATCH(COLUMNS($V$1006:AB1006),$V$1006:$AE$1006,0))&gt;=100000), " ",IF(INDEX($V$2:$AE$1001,MATCH(ROWS($O$2:O247),$O$2:$O$1001,0),MATCH(COLUMNS($V$1006:AB1006),$V$1006:$AE$1006,0)), HYPERLINK("#",""), HYPERLINK(CONCATENATE("#Metadata!", ADDRESS(INDEX($Q$2:$Q$1001,MATCH(ROWS($O$2:O247),$O$2:$O$1001,0),0), INDEX($V$1004:$AE$1004,1,MATCH(COLUMNS($V$1006:AB1006),$V$1006:$AE$1006,0)))),"Fix")))</f>
        <v>0</v>
      </c>
      <c r="I247" s="3">
        <f>IF(OR(INDEX($P$2:$P$1001,MATCH(ROWS($O$2:O247),$O$2:$O$1001,0),1)&gt;=100000,INDEX($V$1005:$AE$1005,1,MATCH(COLUMNS($V$1006:AC1006),$V$1006:$AE$1006,0))&gt;=100000), " ",IF(INDEX($V$2:$AE$1001,MATCH(ROWS($O$2:O247),$O$2:$O$1001,0),MATCH(COLUMNS($V$1006:AC1006),$V$1006:$AE$1006,0)), HYPERLINK("#",""), HYPERLINK(CONCATENATE("#Metadata!", ADDRESS(INDEX($Q$2:$Q$1001,MATCH(ROWS($O$2:O247),$O$2:$O$1001,0),0), INDEX($V$1004:$AE$1004,1,MATCH(COLUMNS($V$1006:AC1006),$V$1006:$AE$1006,0)))),"Fix")))</f>
        <v>0</v>
      </c>
      <c r="J247" s="3">
        <f>IF(OR(INDEX($P$2:$P$1001,MATCH(ROWS($O$2:O247),$O$2:$O$1001,0),1)&gt;=100000,INDEX($V$1005:$AE$1005,1,MATCH(COLUMNS($V$1006:AD1006),$V$1006:$AE$1006,0))&gt;=100000), " ",IF(INDEX($V$2:$AE$1001,MATCH(ROWS($O$2:O247),$O$2:$O$1001,0),MATCH(COLUMNS($V$1006:AD1006),$V$1006:$AE$1006,0)), HYPERLINK("#",""), HYPERLINK(CONCATENATE("#Metadata!", ADDRESS(INDEX($Q$2:$Q$1001,MATCH(ROWS($O$2:O247),$O$2:$O$1001,0),0), INDEX($V$1004:$AE$1004,1,MATCH(COLUMNS($V$1006:AD1006),$V$1006:$AE$1006,0)))),"Fix")))</f>
        <v>0</v>
      </c>
      <c r="K247" s="3">
        <f>IF(OR(INDEX($P$2:$P$1001,MATCH(ROWS($O$2:O247),$O$2:$O$1001,0),1)&gt;=100000,INDEX($V$1005:$AE$1005,1,MATCH(COLUMNS($V$1006:AE1006),$V$1006:$AE$1006,0))&gt;=100000), " ",IF(INDEX($V$2:$AE$1001,MATCH(ROWS($O$2:O247),$O$2:$O$1001,0),MATCH(COLUMNS($V$1006:AE1006),$V$1006:$AE$1006,0)), HYPERLINK("#",""), HYPERLINK(CONCATENATE("#Metadata!", ADDRESS(INDEX($Q$2:$Q$1001,MATCH(ROWS($O$2:O247),$O$2:$O$1001,0),0), INDEX($V$1004:$AE$1004,1,MATCH(COLUMNS($V$1006:AE1006),$V$1006:$AE$1006,0)))),"Fix")))</f>
        <v>0</v>
      </c>
      <c r="O247">
        <v>0</v>
      </c>
      <c r="P247">
        <v>0</v>
      </c>
      <c r="Q247">
        <v>0</v>
      </c>
      <c r="R247">
        <f>IF(S247,TRUE,AND(V247:AE247))</f>
        <v>0</v>
      </c>
      <c r="S247">
        <f>COUNTBLANK(Metadata!B247:K247)=COLUMNS(Metadata!B247:K247)</f>
        <v>0</v>
      </c>
      <c r="T247">
        <v>0</v>
      </c>
      <c r="V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W247">
        <f>AND(IF(Metadata!C247="",FALSE,TRUE),exact(Metadata!C247,"animal secretion"))</f>
        <v>0</v>
      </c>
      <c r="X247">
        <f>AND(IF(Metadata!D247="",FALSE,TRUE),exact(Metadata!D247,"saliva"))</f>
        <v>0</v>
      </c>
      <c r="Y247">
        <f>AND(IF(Metadata!E247="",FALSE,TRUE),exact(Metadata!E247,"human-oral"))</f>
        <v>0</v>
      </c>
      <c r="Z247">
        <f>AND(IF(Metadata!F247="",FALSE,TRUE),exact(Metadata!F247,"UBERON:oral cavity"))</f>
        <v>0</v>
      </c>
      <c r="AA247">
        <f>AND(IF(Metadata!G247="",FALSE,TRUE),exact(Metadata!G247,"UBERON:saliva"))</f>
        <v>0</v>
      </c>
      <c r="AB247">
        <f>AND(IF(Metadata!H247="",FALSE,TRUE),exact(Metadata!H247,"UBERON:tongue"))</f>
        <v>0</v>
      </c>
      <c r="AC247">
        <f>AND(IF(Metadata!I247="",FALSE,TRUE),exact(Metadata!I247,"tongue"))</f>
        <v>0</v>
      </c>
      <c r="AD247">
        <f>AND(IF(Metadata!J247="",FALSE,TRUE),exact(Metadata!J247,"human oral metagenome"))</f>
        <v>0</v>
      </c>
      <c r="AE247">
        <f>AND(IF(Metadata!K247="",FALSE,TRUE),exact(Metadata!K247,"447426"))</f>
        <v>0</v>
      </c>
    </row>
    <row r="248" spans="1:31">
      <c r="A248" s="4">
        <f>IF(B248=" "," ",HYPERLINK(CONCATENATE("#metadata!",ADDRESS(INDEX($Q$2:$Q$1001,MATCH(ROWS($O$2:O248),$O$2:$O$1001,0),0),1)),INDEX($T$2:$T$1001,MATCH(ROWS($O$2:O248),$O$2:$O$1001,0),0)))</f>
        <v>0</v>
      </c>
      <c r="B248" s="3">
        <f>IF(OR(INDEX($P$2:$P$1001,MATCH(ROWS($O$2:O248),$O$2:$O$1001,0),1)&gt;=100000,INDEX($V$1005:$AE$1005,1,MATCH(COLUMNS($V$1006:V1006),$V$1006:$AE$1006,0))&gt;=100000), " ",IF(INDEX($V$2:$AE$1001,MATCH(ROWS($O$2:O248),$O$2:$O$1001,0),MATCH(COLUMNS($V$1006:V1006),$V$1006:$AE$1006,0)), HYPERLINK("#",""), HYPERLINK(CONCATENATE("#Metadata!", ADDRESS(INDEX($Q$2:$Q$1001,MATCH(ROWS($O$2:O248),$O$2:$O$1001,0),0), INDEX($V$1004:$AE$1004,1,MATCH(COLUMNS($V$1006:V1006),$V$1006:$AE$1006,0)))),"Fix")))</f>
        <v>0</v>
      </c>
      <c r="C248" s="3">
        <f>IF(OR(INDEX($P$2:$P$1001,MATCH(ROWS($O$2:O248),$O$2:$O$1001,0),1)&gt;=100000,INDEX($V$1005:$AE$1005,1,MATCH(COLUMNS($V$1006:W1006),$V$1006:$AE$1006,0))&gt;=100000), " ",IF(INDEX($V$2:$AE$1001,MATCH(ROWS($O$2:O248),$O$2:$O$1001,0),MATCH(COLUMNS($V$1006:W1006),$V$1006:$AE$1006,0)), HYPERLINK("#",""), HYPERLINK(CONCATENATE("#Metadata!", ADDRESS(INDEX($Q$2:$Q$1001,MATCH(ROWS($O$2:O248),$O$2:$O$1001,0),0), INDEX($V$1004:$AE$1004,1,MATCH(COLUMNS($V$1006:W1006),$V$1006:$AE$1006,0)))),"Fix")))</f>
        <v>0</v>
      </c>
      <c r="D248" s="3">
        <f>IF(OR(INDEX($P$2:$P$1001,MATCH(ROWS($O$2:O248),$O$2:$O$1001,0),1)&gt;=100000,INDEX($V$1005:$AE$1005,1,MATCH(COLUMNS($V$1006:X1006),$V$1006:$AE$1006,0))&gt;=100000), " ",IF(INDEX($V$2:$AE$1001,MATCH(ROWS($O$2:O248),$O$2:$O$1001,0),MATCH(COLUMNS($V$1006:X1006),$V$1006:$AE$1006,0)), HYPERLINK("#",""), HYPERLINK(CONCATENATE("#Metadata!", ADDRESS(INDEX($Q$2:$Q$1001,MATCH(ROWS($O$2:O248),$O$2:$O$1001,0),0), INDEX($V$1004:$AE$1004,1,MATCH(COLUMNS($V$1006:X1006),$V$1006:$AE$1006,0)))),"Fix")))</f>
        <v>0</v>
      </c>
      <c r="E248" s="3">
        <f>IF(OR(INDEX($P$2:$P$1001,MATCH(ROWS($O$2:O248),$O$2:$O$1001,0),1)&gt;=100000,INDEX($V$1005:$AE$1005,1,MATCH(COLUMNS($V$1006:Y1006),$V$1006:$AE$1006,0))&gt;=100000), " ",IF(INDEX($V$2:$AE$1001,MATCH(ROWS($O$2:O248),$O$2:$O$1001,0),MATCH(COLUMNS($V$1006:Y1006),$V$1006:$AE$1006,0)), HYPERLINK("#",""), HYPERLINK(CONCATENATE("#Metadata!", ADDRESS(INDEX($Q$2:$Q$1001,MATCH(ROWS($O$2:O248),$O$2:$O$1001,0),0), INDEX($V$1004:$AE$1004,1,MATCH(COLUMNS($V$1006:Y1006),$V$1006:$AE$1006,0)))),"Fix")))</f>
        <v>0</v>
      </c>
      <c r="F248" s="3">
        <f>IF(OR(INDEX($P$2:$P$1001,MATCH(ROWS($O$2:O248),$O$2:$O$1001,0),1)&gt;=100000,INDEX($V$1005:$AE$1005,1,MATCH(COLUMNS($V$1006:Z1006),$V$1006:$AE$1006,0))&gt;=100000), " ",IF(INDEX($V$2:$AE$1001,MATCH(ROWS($O$2:O248),$O$2:$O$1001,0),MATCH(COLUMNS($V$1006:Z1006),$V$1006:$AE$1006,0)), HYPERLINK("#",""), HYPERLINK(CONCATENATE("#Metadata!", ADDRESS(INDEX($Q$2:$Q$1001,MATCH(ROWS($O$2:O248),$O$2:$O$1001,0),0), INDEX($V$1004:$AE$1004,1,MATCH(COLUMNS($V$1006:Z1006),$V$1006:$AE$1006,0)))),"Fix")))</f>
        <v>0</v>
      </c>
      <c r="G248" s="3">
        <f>IF(OR(INDEX($P$2:$P$1001,MATCH(ROWS($O$2:O248),$O$2:$O$1001,0),1)&gt;=100000,INDEX($V$1005:$AE$1005,1,MATCH(COLUMNS($V$1006:AA1006),$V$1006:$AE$1006,0))&gt;=100000), " ",IF(INDEX($V$2:$AE$1001,MATCH(ROWS($O$2:O248),$O$2:$O$1001,0),MATCH(COLUMNS($V$1006:AA1006),$V$1006:$AE$1006,0)), HYPERLINK("#",""), HYPERLINK(CONCATENATE("#Metadata!", ADDRESS(INDEX($Q$2:$Q$1001,MATCH(ROWS($O$2:O248),$O$2:$O$1001,0),0), INDEX($V$1004:$AE$1004,1,MATCH(COLUMNS($V$1006:AA1006),$V$1006:$AE$1006,0)))),"Fix")))</f>
        <v>0</v>
      </c>
      <c r="H248" s="3">
        <f>IF(OR(INDEX($P$2:$P$1001,MATCH(ROWS($O$2:O248),$O$2:$O$1001,0),1)&gt;=100000,INDEX($V$1005:$AE$1005,1,MATCH(COLUMNS($V$1006:AB1006),$V$1006:$AE$1006,0))&gt;=100000), " ",IF(INDEX($V$2:$AE$1001,MATCH(ROWS($O$2:O248),$O$2:$O$1001,0),MATCH(COLUMNS($V$1006:AB1006),$V$1006:$AE$1006,0)), HYPERLINK("#",""), HYPERLINK(CONCATENATE("#Metadata!", ADDRESS(INDEX($Q$2:$Q$1001,MATCH(ROWS($O$2:O248),$O$2:$O$1001,0),0), INDEX($V$1004:$AE$1004,1,MATCH(COLUMNS($V$1006:AB1006),$V$1006:$AE$1006,0)))),"Fix")))</f>
        <v>0</v>
      </c>
      <c r="I248" s="3">
        <f>IF(OR(INDEX($P$2:$P$1001,MATCH(ROWS($O$2:O248),$O$2:$O$1001,0),1)&gt;=100000,INDEX($V$1005:$AE$1005,1,MATCH(COLUMNS($V$1006:AC1006),$V$1006:$AE$1006,0))&gt;=100000), " ",IF(INDEX($V$2:$AE$1001,MATCH(ROWS($O$2:O248),$O$2:$O$1001,0),MATCH(COLUMNS($V$1006:AC1006),$V$1006:$AE$1006,0)), HYPERLINK("#",""), HYPERLINK(CONCATENATE("#Metadata!", ADDRESS(INDEX($Q$2:$Q$1001,MATCH(ROWS($O$2:O248),$O$2:$O$1001,0),0), INDEX($V$1004:$AE$1004,1,MATCH(COLUMNS($V$1006:AC1006),$V$1006:$AE$1006,0)))),"Fix")))</f>
        <v>0</v>
      </c>
      <c r="J248" s="3">
        <f>IF(OR(INDEX($P$2:$P$1001,MATCH(ROWS($O$2:O248),$O$2:$O$1001,0),1)&gt;=100000,INDEX($V$1005:$AE$1005,1,MATCH(COLUMNS($V$1006:AD1006),$V$1006:$AE$1006,0))&gt;=100000), " ",IF(INDEX($V$2:$AE$1001,MATCH(ROWS($O$2:O248),$O$2:$O$1001,0),MATCH(COLUMNS($V$1006:AD1006),$V$1006:$AE$1006,0)), HYPERLINK("#",""), HYPERLINK(CONCATENATE("#Metadata!", ADDRESS(INDEX($Q$2:$Q$1001,MATCH(ROWS($O$2:O248),$O$2:$O$1001,0),0), INDEX($V$1004:$AE$1004,1,MATCH(COLUMNS($V$1006:AD1006),$V$1006:$AE$1006,0)))),"Fix")))</f>
        <v>0</v>
      </c>
      <c r="K248" s="3">
        <f>IF(OR(INDEX($P$2:$P$1001,MATCH(ROWS($O$2:O248),$O$2:$O$1001,0),1)&gt;=100000,INDEX($V$1005:$AE$1005,1,MATCH(COLUMNS($V$1006:AE1006),$V$1006:$AE$1006,0))&gt;=100000), " ",IF(INDEX($V$2:$AE$1001,MATCH(ROWS($O$2:O248),$O$2:$O$1001,0),MATCH(COLUMNS($V$1006:AE1006),$V$1006:$AE$1006,0)), HYPERLINK("#",""), HYPERLINK(CONCATENATE("#Metadata!", ADDRESS(INDEX($Q$2:$Q$1001,MATCH(ROWS($O$2:O248),$O$2:$O$1001,0),0), INDEX($V$1004:$AE$1004,1,MATCH(COLUMNS($V$1006:AE1006),$V$1006:$AE$1006,0)))),"Fix")))</f>
        <v>0</v>
      </c>
      <c r="O248">
        <v>0</v>
      </c>
      <c r="P248">
        <v>0</v>
      </c>
      <c r="Q248">
        <v>0</v>
      </c>
      <c r="R248">
        <f>IF(S248,TRUE,AND(V248:AE248))</f>
        <v>0</v>
      </c>
      <c r="S248">
        <f>COUNTBLANK(Metadata!B248:K248)=COLUMNS(Metadata!B248:K248)</f>
        <v>0</v>
      </c>
      <c r="T248">
        <v>0</v>
      </c>
      <c r="V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W248">
        <f>AND(IF(Metadata!C248="",FALSE,TRUE),exact(Metadata!C248,"animal secretion"))</f>
        <v>0</v>
      </c>
      <c r="X248">
        <f>AND(IF(Metadata!D248="",FALSE,TRUE),exact(Metadata!D248,"saliva"))</f>
        <v>0</v>
      </c>
      <c r="Y248">
        <f>AND(IF(Metadata!E248="",FALSE,TRUE),exact(Metadata!E248,"human-oral"))</f>
        <v>0</v>
      </c>
      <c r="Z248">
        <f>AND(IF(Metadata!F248="",FALSE,TRUE),exact(Metadata!F248,"UBERON:oral cavity"))</f>
        <v>0</v>
      </c>
      <c r="AA248">
        <f>AND(IF(Metadata!G248="",FALSE,TRUE),exact(Metadata!G248,"UBERON:saliva"))</f>
        <v>0</v>
      </c>
      <c r="AB248">
        <f>AND(IF(Metadata!H248="",FALSE,TRUE),exact(Metadata!H248,"UBERON:tongue"))</f>
        <v>0</v>
      </c>
      <c r="AC248">
        <f>AND(IF(Metadata!I248="",FALSE,TRUE),exact(Metadata!I248,"tongue"))</f>
        <v>0</v>
      </c>
      <c r="AD248">
        <f>AND(IF(Metadata!J248="",FALSE,TRUE),exact(Metadata!J248,"human oral metagenome"))</f>
        <v>0</v>
      </c>
      <c r="AE248">
        <f>AND(IF(Metadata!K248="",FALSE,TRUE),exact(Metadata!K248,"447426"))</f>
        <v>0</v>
      </c>
    </row>
    <row r="249" spans="1:31">
      <c r="A249" s="4">
        <f>IF(B249=" "," ",HYPERLINK(CONCATENATE("#metadata!",ADDRESS(INDEX($Q$2:$Q$1001,MATCH(ROWS($O$2:O249),$O$2:$O$1001,0),0),1)),INDEX($T$2:$T$1001,MATCH(ROWS($O$2:O249),$O$2:$O$1001,0),0)))</f>
        <v>0</v>
      </c>
      <c r="B249" s="3">
        <f>IF(OR(INDEX($P$2:$P$1001,MATCH(ROWS($O$2:O249),$O$2:$O$1001,0),1)&gt;=100000,INDEX($V$1005:$AE$1005,1,MATCH(COLUMNS($V$1006:V1006),$V$1006:$AE$1006,0))&gt;=100000), " ",IF(INDEX($V$2:$AE$1001,MATCH(ROWS($O$2:O249),$O$2:$O$1001,0),MATCH(COLUMNS($V$1006:V1006),$V$1006:$AE$1006,0)), HYPERLINK("#",""), HYPERLINK(CONCATENATE("#Metadata!", ADDRESS(INDEX($Q$2:$Q$1001,MATCH(ROWS($O$2:O249),$O$2:$O$1001,0),0), INDEX($V$1004:$AE$1004,1,MATCH(COLUMNS($V$1006:V1006),$V$1006:$AE$1006,0)))),"Fix")))</f>
        <v>0</v>
      </c>
      <c r="C249" s="3">
        <f>IF(OR(INDEX($P$2:$P$1001,MATCH(ROWS($O$2:O249),$O$2:$O$1001,0),1)&gt;=100000,INDEX($V$1005:$AE$1005,1,MATCH(COLUMNS($V$1006:W1006),$V$1006:$AE$1006,0))&gt;=100000), " ",IF(INDEX($V$2:$AE$1001,MATCH(ROWS($O$2:O249),$O$2:$O$1001,0),MATCH(COLUMNS($V$1006:W1006),$V$1006:$AE$1006,0)), HYPERLINK("#",""), HYPERLINK(CONCATENATE("#Metadata!", ADDRESS(INDEX($Q$2:$Q$1001,MATCH(ROWS($O$2:O249),$O$2:$O$1001,0),0), INDEX($V$1004:$AE$1004,1,MATCH(COLUMNS($V$1006:W1006),$V$1006:$AE$1006,0)))),"Fix")))</f>
        <v>0</v>
      </c>
      <c r="D249" s="3">
        <f>IF(OR(INDEX($P$2:$P$1001,MATCH(ROWS($O$2:O249),$O$2:$O$1001,0),1)&gt;=100000,INDEX($V$1005:$AE$1005,1,MATCH(COLUMNS($V$1006:X1006),$V$1006:$AE$1006,0))&gt;=100000), " ",IF(INDEX($V$2:$AE$1001,MATCH(ROWS($O$2:O249),$O$2:$O$1001,0),MATCH(COLUMNS($V$1006:X1006),$V$1006:$AE$1006,0)), HYPERLINK("#",""), HYPERLINK(CONCATENATE("#Metadata!", ADDRESS(INDEX($Q$2:$Q$1001,MATCH(ROWS($O$2:O249),$O$2:$O$1001,0),0), INDEX($V$1004:$AE$1004,1,MATCH(COLUMNS($V$1006:X1006),$V$1006:$AE$1006,0)))),"Fix")))</f>
        <v>0</v>
      </c>
      <c r="E249" s="3">
        <f>IF(OR(INDEX($P$2:$P$1001,MATCH(ROWS($O$2:O249),$O$2:$O$1001,0),1)&gt;=100000,INDEX($V$1005:$AE$1005,1,MATCH(COLUMNS($V$1006:Y1006),$V$1006:$AE$1006,0))&gt;=100000), " ",IF(INDEX($V$2:$AE$1001,MATCH(ROWS($O$2:O249),$O$2:$O$1001,0),MATCH(COLUMNS($V$1006:Y1006),$V$1006:$AE$1006,0)), HYPERLINK("#",""), HYPERLINK(CONCATENATE("#Metadata!", ADDRESS(INDEX($Q$2:$Q$1001,MATCH(ROWS($O$2:O249),$O$2:$O$1001,0),0), INDEX($V$1004:$AE$1004,1,MATCH(COLUMNS($V$1006:Y1006),$V$1006:$AE$1006,0)))),"Fix")))</f>
        <v>0</v>
      </c>
      <c r="F249" s="3">
        <f>IF(OR(INDEX($P$2:$P$1001,MATCH(ROWS($O$2:O249),$O$2:$O$1001,0),1)&gt;=100000,INDEX($V$1005:$AE$1005,1,MATCH(COLUMNS($V$1006:Z1006),$V$1006:$AE$1006,0))&gt;=100000), " ",IF(INDEX($V$2:$AE$1001,MATCH(ROWS($O$2:O249),$O$2:$O$1001,0),MATCH(COLUMNS($V$1006:Z1006),$V$1006:$AE$1006,0)), HYPERLINK("#",""), HYPERLINK(CONCATENATE("#Metadata!", ADDRESS(INDEX($Q$2:$Q$1001,MATCH(ROWS($O$2:O249),$O$2:$O$1001,0),0), INDEX($V$1004:$AE$1004,1,MATCH(COLUMNS($V$1006:Z1006),$V$1006:$AE$1006,0)))),"Fix")))</f>
        <v>0</v>
      </c>
      <c r="G249" s="3">
        <f>IF(OR(INDEX($P$2:$P$1001,MATCH(ROWS($O$2:O249),$O$2:$O$1001,0),1)&gt;=100000,INDEX($V$1005:$AE$1005,1,MATCH(COLUMNS($V$1006:AA1006),$V$1006:$AE$1006,0))&gt;=100000), " ",IF(INDEX($V$2:$AE$1001,MATCH(ROWS($O$2:O249),$O$2:$O$1001,0),MATCH(COLUMNS($V$1006:AA1006),$V$1006:$AE$1006,0)), HYPERLINK("#",""), HYPERLINK(CONCATENATE("#Metadata!", ADDRESS(INDEX($Q$2:$Q$1001,MATCH(ROWS($O$2:O249),$O$2:$O$1001,0),0), INDEX($V$1004:$AE$1004,1,MATCH(COLUMNS($V$1006:AA1006),$V$1006:$AE$1006,0)))),"Fix")))</f>
        <v>0</v>
      </c>
      <c r="H249" s="3">
        <f>IF(OR(INDEX($P$2:$P$1001,MATCH(ROWS($O$2:O249),$O$2:$O$1001,0),1)&gt;=100000,INDEX($V$1005:$AE$1005,1,MATCH(COLUMNS($V$1006:AB1006),$V$1006:$AE$1006,0))&gt;=100000), " ",IF(INDEX($V$2:$AE$1001,MATCH(ROWS($O$2:O249),$O$2:$O$1001,0),MATCH(COLUMNS($V$1006:AB1006),$V$1006:$AE$1006,0)), HYPERLINK("#",""), HYPERLINK(CONCATENATE("#Metadata!", ADDRESS(INDEX($Q$2:$Q$1001,MATCH(ROWS($O$2:O249),$O$2:$O$1001,0),0), INDEX($V$1004:$AE$1004,1,MATCH(COLUMNS($V$1006:AB1006),$V$1006:$AE$1006,0)))),"Fix")))</f>
        <v>0</v>
      </c>
      <c r="I249" s="3">
        <f>IF(OR(INDEX($P$2:$P$1001,MATCH(ROWS($O$2:O249),$O$2:$O$1001,0),1)&gt;=100000,INDEX($V$1005:$AE$1005,1,MATCH(COLUMNS($V$1006:AC1006),$V$1006:$AE$1006,0))&gt;=100000), " ",IF(INDEX($V$2:$AE$1001,MATCH(ROWS($O$2:O249),$O$2:$O$1001,0),MATCH(COLUMNS($V$1006:AC1006),$V$1006:$AE$1006,0)), HYPERLINK("#",""), HYPERLINK(CONCATENATE("#Metadata!", ADDRESS(INDEX($Q$2:$Q$1001,MATCH(ROWS($O$2:O249),$O$2:$O$1001,0),0), INDEX($V$1004:$AE$1004,1,MATCH(COLUMNS($V$1006:AC1006),$V$1006:$AE$1006,0)))),"Fix")))</f>
        <v>0</v>
      </c>
      <c r="J249" s="3">
        <f>IF(OR(INDEX($P$2:$P$1001,MATCH(ROWS($O$2:O249),$O$2:$O$1001,0),1)&gt;=100000,INDEX($V$1005:$AE$1005,1,MATCH(COLUMNS($V$1006:AD1006),$V$1006:$AE$1006,0))&gt;=100000), " ",IF(INDEX($V$2:$AE$1001,MATCH(ROWS($O$2:O249),$O$2:$O$1001,0),MATCH(COLUMNS($V$1006:AD1006),$V$1006:$AE$1006,0)), HYPERLINK("#",""), HYPERLINK(CONCATENATE("#Metadata!", ADDRESS(INDEX($Q$2:$Q$1001,MATCH(ROWS($O$2:O249),$O$2:$O$1001,0),0), INDEX($V$1004:$AE$1004,1,MATCH(COLUMNS($V$1006:AD1006),$V$1006:$AE$1006,0)))),"Fix")))</f>
        <v>0</v>
      </c>
      <c r="K249" s="3">
        <f>IF(OR(INDEX($P$2:$P$1001,MATCH(ROWS($O$2:O249),$O$2:$O$1001,0),1)&gt;=100000,INDEX($V$1005:$AE$1005,1,MATCH(COLUMNS($V$1006:AE1006),$V$1006:$AE$1006,0))&gt;=100000), " ",IF(INDEX($V$2:$AE$1001,MATCH(ROWS($O$2:O249),$O$2:$O$1001,0),MATCH(COLUMNS($V$1006:AE1006),$V$1006:$AE$1006,0)), HYPERLINK("#",""), HYPERLINK(CONCATENATE("#Metadata!", ADDRESS(INDEX($Q$2:$Q$1001,MATCH(ROWS($O$2:O249),$O$2:$O$1001,0),0), INDEX($V$1004:$AE$1004,1,MATCH(COLUMNS($V$1006:AE1006),$V$1006:$AE$1006,0)))),"Fix")))</f>
        <v>0</v>
      </c>
      <c r="O249">
        <v>0</v>
      </c>
      <c r="P249">
        <v>0</v>
      </c>
      <c r="Q249">
        <v>0</v>
      </c>
      <c r="R249">
        <f>IF(S249,TRUE,AND(V249:AE249))</f>
        <v>0</v>
      </c>
      <c r="S249">
        <f>COUNTBLANK(Metadata!B249:K249)=COLUMNS(Metadata!B249:K249)</f>
        <v>0</v>
      </c>
      <c r="T249">
        <v>0</v>
      </c>
      <c r="V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W249">
        <f>AND(IF(Metadata!C249="",FALSE,TRUE),exact(Metadata!C249,"animal secretion"))</f>
        <v>0</v>
      </c>
      <c r="X249">
        <f>AND(IF(Metadata!D249="",FALSE,TRUE),exact(Metadata!D249,"saliva"))</f>
        <v>0</v>
      </c>
      <c r="Y249">
        <f>AND(IF(Metadata!E249="",FALSE,TRUE),exact(Metadata!E249,"human-oral"))</f>
        <v>0</v>
      </c>
      <c r="Z249">
        <f>AND(IF(Metadata!F249="",FALSE,TRUE),exact(Metadata!F249,"UBERON:oral cavity"))</f>
        <v>0</v>
      </c>
      <c r="AA249">
        <f>AND(IF(Metadata!G249="",FALSE,TRUE),exact(Metadata!G249,"UBERON:saliva"))</f>
        <v>0</v>
      </c>
      <c r="AB249">
        <f>AND(IF(Metadata!H249="",FALSE,TRUE),exact(Metadata!H249,"UBERON:tongue"))</f>
        <v>0</v>
      </c>
      <c r="AC249">
        <f>AND(IF(Metadata!I249="",FALSE,TRUE),exact(Metadata!I249,"tongue"))</f>
        <v>0</v>
      </c>
      <c r="AD249">
        <f>AND(IF(Metadata!J249="",FALSE,TRUE),exact(Metadata!J249,"human oral metagenome"))</f>
        <v>0</v>
      </c>
      <c r="AE249">
        <f>AND(IF(Metadata!K249="",FALSE,TRUE),exact(Metadata!K249,"447426"))</f>
        <v>0</v>
      </c>
    </row>
    <row r="250" spans="1:31">
      <c r="A250" s="4">
        <f>IF(B250=" "," ",HYPERLINK(CONCATENATE("#metadata!",ADDRESS(INDEX($Q$2:$Q$1001,MATCH(ROWS($O$2:O250),$O$2:$O$1001,0),0),1)),INDEX($T$2:$T$1001,MATCH(ROWS($O$2:O250),$O$2:$O$1001,0),0)))</f>
        <v>0</v>
      </c>
      <c r="B250" s="3">
        <f>IF(OR(INDEX($P$2:$P$1001,MATCH(ROWS($O$2:O250),$O$2:$O$1001,0),1)&gt;=100000,INDEX($V$1005:$AE$1005,1,MATCH(COLUMNS($V$1006:V1006),$V$1006:$AE$1006,0))&gt;=100000), " ",IF(INDEX($V$2:$AE$1001,MATCH(ROWS($O$2:O250),$O$2:$O$1001,0),MATCH(COLUMNS($V$1006:V1006),$V$1006:$AE$1006,0)), HYPERLINK("#",""), HYPERLINK(CONCATENATE("#Metadata!", ADDRESS(INDEX($Q$2:$Q$1001,MATCH(ROWS($O$2:O250),$O$2:$O$1001,0),0), INDEX($V$1004:$AE$1004,1,MATCH(COLUMNS($V$1006:V1006),$V$1006:$AE$1006,0)))),"Fix")))</f>
        <v>0</v>
      </c>
      <c r="C250" s="3">
        <f>IF(OR(INDEX($P$2:$P$1001,MATCH(ROWS($O$2:O250),$O$2:$O$1001,0),1)&gt;=100000,INDEX($V$1005:$AE$1005,1,MATCH(COLUMNS($V$1006:W1006),$V$1006:$AE$1006,0))&gt;=100000), " ",IF(INDEX($V$2:$AE$1001,MATCH(ROWS($O$2:O250),$O$2:$O$1001,0),MATCH(COLUMNS($V$1006:W1006),$V$1006:$AE$1006,0)), HYPERLINK("#",""), HYPERLINK(CONCATENATE("#Metadata!", ADDRESS(INDEX($Q$2:$Q$1001,MATCH(ROWS($O$2:O250),$O$2:$O$1001,0),0), INDEX($V$1004:$AE$1004,1,MATCH(COLUMNS($V$1006:W1006),$V$1006:$AE$1006,0)))),"Fix")))</f>
        <v>0</v>
      </c>
      <c r="D250" s="3">
        <f>IF(OR(INDEX($P$2:$P$1001,MATCH(ROWS($O$2:O250),$O$2:$O$1001,0),1)&gt;=100000,INDEX($V$1005:$AE$1005,1,MATCH(COLUMNS($V$1006:X1006),$V$1006:$AE$1006,0))&gt;=100000), " ",IF(INDEX($V$2:$AE$1001,MATCH(ROWS($O$2:O250),$O$2:$O$1001,0),MATCH(COLUMNS($V$1006:X1006),$V$1006:$AE$1006,0)), HYPERLINK("#",""), HYPERLINK(CONCATENATE("#Metadata!", ADDRESS(INDEX($Q$2:$Q$1001,MATCH(ROWS($O$2:O250),$O$2:$O$1001,0),0), INDEX($V$1004:$AE$1004,1,MATCH(COLUMNS($V$1006:X1006),$V$1006:$AE$1006,0)))),"Fix")))</f>
        <v>0</v>
      </c>
      <c r="E250" s="3">
        <f>IF(OR(INDEX($P$2:$P$1001,MATCH(ROWS($O$2:O250),$O$2:$O$1001,0),1)&gt;=100000,INDEX($V$1005:$AE$1005,1,MATCH(COLUMNS($V$1006:Y1006),$V$1006:$AE$1006,0))&gt;=100000), " ",IF(INDEX($V$2:$AE$1001,MATCH(ROWS($O$2:O250),$O$2:$O$1001,0),MATCH(COLUMNS($V$1006:Y1006),$V$1006:$AE$1006,0)), HYPERLINK("#",""), HYPERLINK(CONCATENATE("#Metadata!", ADDRESS(INDEX($Q$2:$Q$1001,MATCH(ROWS($O$2:O250),$O$2:$O$1001,0),0), INDEX($V$1004:$AE$1004,1,MATCH(COLUMNS($V$1006:Y1006),$V$1006:$AE$1006,0)))),"Fix")))</f>
        <v>0</v>
      </c>
      <c r="F250" s="3">
        <f>IF(OR(INDEX($P$2:$P$1001,MATCH(ROWS($O$2:O250),$O$2:$O$1001,0),1)&gt;=100000,INDEX($V$1005:$AE$1005,1,MATCH(COLUMNS($V$1006:Z1006),$V$1006:$AE$1006,0))&gt;=100000), " ",IF(INDEX($V$2:$AE$1001,MATCH(ROWS($O$2:O250),$O$2:$O$1001,0),MATCH(COLUMNS($V$1006:Z1006),$V$1006:$AE$1006,0)), HYPERLINK("#",""), HYPERLINK(CONCATENATE("#Metadata!", ADDRESS(INDEX($Q$2:$Q$1001,MATCH(ROWS($O$2:O250),$O$2:$O$1001,0),0), INDEX($V$1004:$AE$1004,1,MATCH(COLUMNS($V$1006:Z1006),$V$1006:$AE$1006,0)))),"Fix")))</f>
        <v>0</v>
      </c>
      <c r="G250" s="3">
        <f>IF(OR(INDEX($P$2:$P$1001,MATCH(ROWS($O$2:O250),$O$2:$O$1001,0),1)&gt;=100000,INDEX($V$1005:$AE$1005,1,MATCH(COLUMNS($V$1006:AA1006),$V$1006:$AE$1006,0))&gt;=100000), " ",IF(INDEX($V$2:$AE$1001,MATCH(ROWS($O$2:O250),$O$2:$O$1001,0),MATCH(COLUMNS($V$1006:AA1006),$V$1006:$AE$1006,0)), HYPERLINK("#",""), HYPERLINK(CONCATENATE("#Metadata!", ADDRESS(INDEX($Q$2:$Q$1001,MATCH(ROWS($O$2:O250),$O$2:$O$1001,0),0), INDEX($V$1004:$AE$1004,1,MATCH(COLUMNS($V$1006:AA1006),$V$1006:$AE$1006,0)))),"Fix")))</f>
        <v>0</v>
      </c>
      <c r="H250" s="3">
        <f>IF(OR(INDEX($P$2:$P$1001,MATCH(ROWS($O$2:O250),$O$2:$O$1001,0),1)&gt;=100000,INDEX($V$1005:$AE$1005,1,MATCH(COLUMNS($V$1006:AB1006),$V$1006:$AE$1006,0))&gt;=100000), " ",IF(INDEX($V$2:$AE$1001,MATCH(ROWS($O$2:O250),$O$2:$O$1001,0),MATCH(COLUMNS($V$1006:AB1006),$V$1006:$AE$1006,0)), HYPERLINK("#",""), HYPERLINK(CONCATENATE("#Metadata!", ADDRESS(INDEX($Q$2:$Q$1001,MATCH(ROWS($O$2:O250),$O$2:$O$1001,0),0), INDEX($V$1004:$AE$1004,1,MATCH(COLUMNS($V$1006:AB1006),$V$1006:$AE$1006,0)))),"Fix")))</f>
        <v>0</v>
      </c>
      <c r="I250" s="3">
        <f>IF(OR(INDEX($P$2:$P$1001,MATCH(ROWS($O$2:O250),$O$2:$O$1001,0),1)&gt;=100000,INDEX($V$1005:$AE$1005,1,MATCH(COLUMNS($V$1006:AC1006),$V$1006:$AE$1006,0))&gt;=100000), " ",IF(INDEX($V$2:$AE$1001,MATCH(ROWS($O$2:O250),$O$2:$O$1001,0),MATCH(COLUMNS($V$1006:AC1006),$V$1006:$AE$1006,0)), HYPERLINK("#",""), HYPERLINK(CONCATENATE("#Metadata!", ADDRESS(INDEX($Q$2:$Q$1001,MATCH(ROWS($O$2:O250),$O$2:$O$1001,0),0), INDEX($V$1004:$AE$1004,1,MATCH(COLUMNS($V$1006:AC1006),$V$1006:$AE$1006,0)))),"Fix")))</f>
        <v>0</v>
      </c>
      <c r="J250" s="3">
        <f>IF(OR(INDEX($P$2:$P$1001,MATCH(ROWS($O$2:O250),$O$2:$O$1001,0),1)&gt;=100000,INDEX($V$1005:$AE$1005,1,MATCH(COLUMNS($V$1006:AD1006),$V$1006:$AE$1006,0))&gt;=100000), " ",IF(INDEX($V$2:$AE$1001,MATCH(ROWS($O$2:O250),$O$2:$O$1001,0),MATCH(COLUMNS($V$1006:AD1006),$V$1006:$AE$1006,0)), HYPERLINK("#",""), HYPERLINK(CONCATENATE("#Metadata!", ADDRESS(INDEX($Q$2:$Q$1001,MATCH(ROWS($O$2:O250),$O$2:$O$1001,0),0), INDEX($V$1004:$AE$1004,1,MATCH(COLUMNS($V$1006:AD1006),$V$1006:$AE$1006,0)))),"Fix")))</f>
        <v>0</v>
      </c>
      <c r="K250" s="3">
        <f>IF(OR(INDEX($P$2:$P$1001,MATCH(ROWS($O$2:O250),$O$2:$O$1001,0),1)&gt;=100000,INDEX($V$1005:$AE$1005,1,MATCH(COLUMNS($V$1006:AE1006),$V$1006:$AE$1006,0))&gt;=100000), " ",IF(INDEX($V$2:$AE$1001,MATCH(ROWS($O$2:O250),$O$2:$O$1001,0),MATCH(COLUMNS($V$1006:AE1006),$V$1006:$AE$1006,0)), HYPERLINK("#",""), HYPERLINK(CONCATENATE("#Metadata!", ADDRESS(INDEX($Q$2:$Q$1001,MATCH(ROWS($O$2:O250),$O$2:$O$1001,0),0), INDEX($V$1004:$AE$1004,1,MATCH(COLUMNS($V$1006:AE1006),$V$1006:$AE$1006,0)))),"Fix")))</f>
        <v>0</v>
      </c>
      <c r="O250">
        <v>0</v>
      </c>
      <c r="P250">
        <v>0</v>
      </c>
      <c r="Q250">
        <v>0</v>
      </c>
      <c r="R250">
        <f>IF(S250,TRUE,AND(V250:AE250))</f>
        <v>0</v>
      </c>
      <c r="S250">
        <f>COUNTBLANK(Metadata!B250:K250)=COLUMNS(Metadata!B250:K250)</f>
        <v>0</v>
      </c>
      <c r="T250">
        <v>0</v>
      </c>
      <c r="V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W250">
        <f>AND(IF(Metadata!C250="",FALSE,TRUE),exact(Metadata!C250,"animal secretion"))</f>
        <v>0</v>
      </c>
      <c r="X250">
        <f>AND(IF(Metadata!D250="",FALSE,TRUE),exact(Metadata!D250,"saliva"))</f>
        <v>0</v>
      </c>
      <c r="Y250">
        <f>AND(IF(Metadata!E250="",FALSE,TRUE),exact(Metadata!E250,"human-oral"))</f>
        <v>0</v>
      </c>
      <c r="Z250">
        <f>AND(IF(Metadata!F250="",FALSE,TRUE),exact(Metadata!F250,"UBERON:oral cavity"))</f>
        <v>0</v>
      </c>
      <c r="AA250">
        <f>AND(IF(Metadata!G250="",FALSE,TRUE),exact(Metadata!G250,"UBERON:saliva"))</f>
        <v>0</v>
      </c>
      <c r="AB250">
        <f>AND(IF(Metadata!H250="",FALSE,TRUE),exact(Metadata!H250,"UBERON:tongue"))</f>
        <v>0</v>
      </c>
      <c r="AC250">
        <f>AND(IF(Metadata!I250="",FALSE,TRUE),exact(Metadata!I250,"tongue"))</f>
        <v>0</v>
      </c>
      <c r="AD250">
        <f>AND(IF(Metadata!J250="",FALSE,TRUE),exact(Metadata!J250,"human oral metagenome"))</f>
        <v>0</v>
      </c>
      <c r="AE250">
        <f>AND(IF(Metadata!K250="",FALSE,TRUE),exact(Metadata!K250,"447426"))</f>
        <v>0</v>
      </c>
    </row>
    <row r="251" spans="1:31">
      <c r="A251" s="4">
        <f>IF(B251=" "," ",HYPERLINK(CONCATENATE("#metadata!",ADDRESS(INDEX($Q$2:$Q$1001,MATCH(ROWS($O$2:O251),$O$2:$O$1001,0),0),1)),INDEX($T$2:$T$1001,MATCH(ROWS($O$2:O251),$O$2:$O$1001,0),0)))</f>
        <v>0</v>
      </c>
      <c r="B251" s="3">
        <f>IF(OR(INDEX($P$2:$P$1001,MATCH(ROWS($O$2:O251),$O$2:$O$1001,0),1)&gt;=100000,INDEX($V$1005:$AE$1005,1,MATCH(COLUMNS($V$1006:V1006),$V$1006:$AE$1006,0))&gt;=100000), " ",IF(INDEX($V$2:$AE$1001,MATCH(ROWS($O$2:O251),$O$2:$O$1001,0),MATCH(COLUMNS($V$1006:V1006),$V$1006:$AE$1006,0)), HYPERLINK("#",""), HYPERLINK(CONCATENATE("#Metadata!", ADDRESS(INDEX($Q$2:$Q$1001,MATCH(ROWS($O$2:O251),$O$2:$O$1001,0),0), INDEX($V$1004:$AE$1004,1,MATCH(COLUMNS($V$1006:V1006),$V$1006:$AE$1006,0)))),"Fix")))</f>
        <v>0</v>
      </c>
      <c r="C251" s="3">
        <f>IF(OR(INDEX($P$2:$P$1001,MATCH(ROWS($O$2:O251),$O$2:$O$1001,0),1)&gt;=100000,INDEX($V$1005:$AE$1005,1,MATCH(COLUMNS($V$1006:W1006),$V$1006:$AE$1006,0))&gt;=100000), " ",IF(INDEX($V$2:$AE$1001,MATCH(ROWS($O$2:O251),$O$2:$O$1001,0),MATCH(COLUMNS($V$1006:W1006),$V$1006:$AE$1006,0)), HYPERLINK("#",""), HYPERLINK(CONCATENATE("#Metadata!", ADDRESS(INDEX($Q$2:$Q$1001,MATCH(ROWS($O$2:O251),$O$2:$O$1001,0),0), INDEX($V$1004:$AE$1004,1,MATCH(COLUMNS($V$1006:W1006),$V$1006:$AE$1006,0)))),"Fix")))</f>
        <v>0</v>
      </c>
      <c r="D251" s="3">
        <f>IF(OR(INDEX($P$2:$P$1001,MATCH(ROWS($O$2:O251),$O$2:$O$1001,0),1)&gt;=100000,INDEX($V$1005:$AE$1005,1,MATCH(COLUMNS($V$1006:X1006),$V$1006:$AE$1006,0))&gt;=100000), " ",IF(INDEX($V$2:$AE$1001,MATCH(ROWS($O$2:O251),$O$2:$O$1001,0),MATCH(COLUMNS($V$1006:X1006),$V$1006:$AE$1006,0)), HYPERLINK("#",""), HYPERLINK(CONCATENATE("#Metadata!", ADDRESS(INDEX($Q$2:$Q$1001,MATCH(ROWS($O$2:O251),$O$2:$O$1001,0),0), INDEX($V$1004:$AE$1004,1,MATCH(COLUMNS($V$1006:X1006),$V$1006:$AE$1006,0)))),"Fix")))</f>
        <v>0</v>
      </c>
      <c r="E251" s="3">
        <f>IF(OR(INDEX($P$2:$P$1001,MATCH(ROWS($O$2:O251),$O$2:$O$1001,0),1)&gt;=100000,INDEX($V$1005:$AE$1005,1,MATCH(COLUMNS($V$1006:Y1006),$V$1006:$AE$1006,0))&gt;=100000), " ",IF(INDEX($V$2:$AE$1001,MATCH(ROWS($O$2:O251),$O$2:$O$1001,0),MATCH(COLUMNS($V$1006:Y1006),$V$1006:$AE$1006,0)), HYPERLINK("#",""), HYPERLINK(CONCATENATE("#Metadata!", ADDRESS(INDEX($Q$2:$Q$1001,MATCH(ROWS($O$2:O251),$O$2:$O$1001,0),0), INDEX($V$1004:$AE$1004,1,MATCH(COLUMNS($V$1006:Y1006),$V$1006:$AE$1006,0)))),"Fix")))</f>
        <v>0</v>
      </c>
      <c r="F251" s="3">
        <f>IF(OR(INDEX($P$2:$P$1001,MATCH(ROWS($O$2:O251),$O$2:$O$1001,0),1)&gt;=100000,INDEX($V$1005:$AE$1005,1,MATCH(COLUMNS($V$1006:Z1006),$V$1006:$AE$1006,0))&gt;=100000), " ",IF(INDEX($V$2:$AE$1001,MATCH(ROWS($O$2:O251),$O$2:$O$1001,0),MATCH(COLUMNS($V$1006:Z1006),$V$1006:$AE$1006,0)), HYPERLINK("#",""), HYPERLINK(CONCATENATE("#Metadata!", ADDRESS(INDEX($Q$2:$Q$1001,MATCH(ROWS($O$2:O251),$O$2:$O$1001,0),0), INDEX($V$1004:$AE$1004,1,MATCH(COLUMNS($V$1006:Z1006),$V$1006:$AE$1006,0)))),"Fix")))</f>
        <v>0</v>
      </c>
      <c r="G251" s="3">
        <f>IF(OR(INDEX($P$2:$P$1001,MATCH(ROWS($O$2:O251),$O$2:$O$1001,0),1)&gt;=100000,INDEX($V$1005:$AE$1005,1,MATCH(COLUMNS($V$1006:AA1006),$V$1006:$AE$1006,0))&gt;=100000), " ",IF(INDEX($V$2:$AE$1001,MATCH(ROWS($O$2:O251),$O$2:$O$1001,0),MATCH(COLUMNS($V$1006:AA1006),$V$1006:$AE$1006,0)), HYPERLINK("#",""), HYPERLINK(CONCATENATE("#Metadata!", ADDRESS(INDEX($Q$2:$Q$1001,MATCH(ROWS($O$2:O251),$O$2:$O$1001,0),0), INDEX($V$1004:$AE$1004,1,MATCH(COLUMNS($V$1006:AA1006),$V$1006:$AE$1006,0)))),"Fix")))</f>
        <v>0</v>
      </c>
      <c r="H251" s="3">
        <f>IF(OR(INDEX($P$2:$P$1001,MATCH(ROWS($O$2:O251),$O$2:$O$1001,0),1)&gt;=100000,INDEX($V$1005:$AE$1005,1,MATCH(COLUMNS($V$1006:AB1006),$V$1006:$AE$1006,0))&gt;=100000), " ",IF(INDEX($V$2:$AE$1001,MATCH(ROWS($O$2:O251),$O$2:$O$1001,0),MATCH(COLUMNS($V$1006:AB1006),$V$1006:$AE$1006,0)), HYPERLINK("#",""), HYPERLINK(CONCATENATE("#Metadata!", ADDRESS(INDEX($Q$2:$Q$1001,MATCH(ROWS($O$2:O251),$O$2:$O$1001,0),0), INDEX($V$1004:$AE$1004,1,MATCH(COLUMNS($V$1006:AB1006),$V$1006:$AE$1006,0)))),"Fix")))</f>
        <v>0</v>
      </c>
      <c r="I251" s="3">
        <f>IF(OR(INDEX($P$2:$P$1001,MATCH(ROWS($O$2:O251),$O$2:$O$1001,0),1)&gt;=100000,INDEX($V$1005:$AE$1005,1,MATCH(COLUMNS($V$1006:AC1006),$V$1006:$AE$1006,0))&gt;=100000), " ",IF(INDEX($V$2:$AE$1001,MATCH(ROWS($O$2:O251),$O$2:$O$1001,0),MATCH(COLUMNS($V$1006:AC1006),$V$1006:$AE$1006,0)), HYPERLINK("#",""), HYPERLINK(CONCATENATE("#Metadata!", ADDRESS(INDEX($Q$2:$Q$1001,MATCH(ROWS($O$2:O251),$O$2:$O$1001,0),0), INDEX($V$1004:$AE$1004,1,MATCH(COLUMNS($V$1006:AC1006),$V$1006:$AE$1006,0)))),"Fix")))</f>
        <v>0</v>
      </c>
      <c r="J251" s="3">
        <f>IF(OR(INDEX($P$2:$P$1001,MATCH(ROWS($O$2:O251),$O$2:$O$1001,0),1)&gt;=100000,INDEX($V$1005:$AE$1005,1,MATCH(COLUMNS($V$1006:AD1006),$V$1006:$AE$1006,0))&gt;=100000), " ",IF(INDEX($V$2:$AE$1001,MATCH(ROWS($O$2:O251),$O$2:$O$1001,0),MATCH(COLUMNS($V$1006:AD1006),$V$1006:$AE$1006,0)), HYPERLINK("#",""), HYPERLINK(CONCATENATE("#Metadata!", ADDRESS(INDEX($Q$2:$Q$1001,MATCH(ROWS($O$2:O251),$O$2:$O$1001,0),0), INDEX($V$1004:$AE$1004,1,MATCH(COLUMNS($V$1006:AD1006),$V$1006:$AE$1006,0)))),"Fix")))</f>
        <v>0</v>
      </c>
      <c r="K251" s="3">
        <f>IF(OR(INDEX($P$2:$P$1001,MATCH(ROWS($O$2:O251),$O$2:$O$1001,0),1)&gt;=100000,INDEX($V$1005:$AE$1005,1,MATCH(COLUMNS($V$1006:AE1006),$V$1006:$AE$1006,0))&gt;=100000), " ",IF(INDEX($V$2:$AE$1001,MATCH(ROWS($O$2:O251),$O$2:$O$1001,0),MATCH(COLUMNS($V$1006:AE1006),$V$1006:$AE$1006,0)), HYPERLINK("#",""), HYPERLINK(CONCATENATE("#Metadata!", ADDRESS(INDEX($Q$2:$Q$1001,MATCH(ROWS($O$2:O251),$O$2:$O$1001,0),0), INDEX($V$1004:$AE$1004,1,MATCH(COLUMNS($V$1006:AE1006),$V$1006:$AE$1006,0)))),"Fix")))</f>
        <v>0</v>
      </c>
      <c r="O251">
        <v>0</v>
      </c>
      <c r="P251">
        <v>0</v>
      </c>
      <c r="Q251">
        <v>0</v>
      </c>
      <c r="R251">
        <f>IF(S251,TRUE,AND(V251:AE251))</f>
        <v>0</v>
      </c>
      <c r="S251">
        <f>COUNTBLANK(Metadata!B251:K251)=COLUMNS(Metadata!B251:K251)</f>
        <v>0</v>
      </c>
      <c r="T251">
        <v>0</v>
      </c>
      <c r="V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W251">
        <f>AND(IF(Metadata!C251="",FALSE,TRUE),exact(Metadata!C251,"animal secretion"))</f>
        <v>0</v>
      </c>
      <c r="X251">
        <f>AND(IF(Metadata!D251="",FALSE,TRUE),exact(Metadata!D251,"saliva"))</f>
        <v>0</v>
      </c>
      <c r="Y251">
        <f>AND(IF(Metadata!E251="",FALSE,TRUE),exact(Metadata!E251,"human-oral"))</f>
        <v>0</v>
      </c>
      <c r="Z251">
        <f>AND(IF(Metadata!F251="",FALSE,TRUE),exact(Metadata!F251,"UBERON:oral cavity"))</f>
        <v>0</v>
      </c>
      <c r="AA251">
        <f>AND(IF(Metadata!G251="",FALSE,TRUE),exact(Metadata!G251,"UBERON:saliva"))</f>
        <v>0</v>
      </c>
      <c r="AB251">
        <f>AND(IF(Metadata!H251="",FALSE,TRUE),exact(Metadata!H251,"UBERON:tongue"))</f>
        <v>0</v>
      </c>
      <c r="AC251">
        <f>AND(IF(Metadata!I251="",FALSE,TRUE),exact(Metadata!I251,"tongue"))</f>
        <v>0</v>
      </c>
      <c r="AD251">
        <f>AND(IF(Metadata!J251="",FALSE,TRUE),exact(Metadata!J251,"human oral metagenome"))</f>
        <v>0</v>
      </c>
      <c r="AE251">
        <f>AND(IF(Metadata!K251="",FALSE,TRUE),exact(Metadata!K251,"447426"))</f>
        <v>0</v>
      </c>
    </row>
    <row r="252" spans="1:31">
      <c r="A252" s="4">
        <f>IF(B252=" "," ",HYPERLINK(CONCATENATE("#metadata!",ADDRESS(INDEX($Q$2:$Q$1001,MATCH(ROWS($O$2:O252),$O$2:$O$1001,0),0),1)),INDEX($T$2:$T$1001,MATCH(ROWS($O$2:O252),$O$2:$O$1001,0),0)))</f>
        <v>0</v>
      </c>
      <c r="B252" s="3">
        <f>IF(OR(INDEX($P$2:$P$1001,MATCH(ROWS($O$2:O252),$O$2:$O$1001,0),1)&gt;=100000,INDEX($V$1005:$AE$1005,1,MATCH(COLUMNS($V$1006:V1006),$V$1006:$AE$1006,0))&gt;=100000), " ",IF(INDEX($V$2:$AE$1001,MATCH(ROWS($O$2:O252),$O$2:$O$1001,0),MATCH(COLUMNS($V$1006:V1006),$V$1006:$AE$1006,0)), HYPERLINK("#",""), HYPERLINK(CONCATENATE("#Metadata!", ADDRESS(INDEX($Q$2:$Q$1001,MATCH(ROWS($O$2:O252),$O$2:$O$1001,0),0), INDEX($V$1004:$AE$1004,1,MATCH(COLUMNS($V$1006:V1006),$V$1006:$AE$1006,0)))),"Fix")))</f>
        <v>0</v>
      </c>
      <c r="C252" s="3">
        <f>IF(OR(INDEX($P$2:$P$1001,MATCH(ROWS($O$2:O252),$O$2:$O$1001,0),1)&gt;=100000,INDEX($V$1005:$AE$1005,1,MATCH(COLUMNS($V$1006:W1006),$V$1006:$AE$1006,0))&gt;=100000), " ",IF(INDEX($V$2:$AE$1001,MATCH(ROWS($O$2:O252),$O$2:$O$1001,0),MATCH(COLUMNS($V$1006:W1006),$V$1006:$AE$1006,0)), HYPERLINK("#",""), HYPERLINK(CONCATENATE("#Metadata!", ADDRESS(INDEX($Q$2:$Q$1001,MATCH(ROWS($O$2:O252),$O$2:$O$1001,0),0), INDEX($V$1004:$AE$1004,1,MATCH(COLUMNS($V$1006:W1006),$V$1006:$AE$1006,0)))),"Fix")))</f>
        <v>0</v>
      </c>
      <c r="D252" s="3">
        <f>IF(OR(INDEX($P$2:$P$1001,MATCH(ROWS($O$2:O252),$O$2:$O$1001,0),1)&gt;=100000,INDEX($V$1005:$AE$1005,1,MATCH(COLUMNS($V$1006:X1006),$V$1006:$AE$1006,0))&gt;=100000), " ",IF(INDEX($V$2:$AE$1001,MATCH(ROWS($O$2:O252),$O$2:$O$1001,0),MATCH(COLUMNS($V$1006:X1006),$V$1006:$AE$1006,0)), HYPERLINK("#",""), HYPERLINK(CONCATENATE("#Metadata!", ADDRESS(INDEX($Q$2:$Q$1001,MATCH(ROWS($O$2:O252),$O$2:$O$1001,0),0), INDEX($V$1004:$AE$1004,1,MATCH(COLUMNS($V$1006:X1006),$V$1006:$AE$1006,0)))),"Fix")))</f>
        <v>0</v>
      </c>
      <c r="E252" s="3">
        <f>IF(OR(INDEX($P$2:$P$1001,MATCH(ROWS($O$2:O252),$O$2:$O$1001,0),1)&gt;=100000,INDEX($V$1005:$AE$1005,1,MATCH(COLUMNS($V$1006:Y1006),$V$1006:$AE$1006,0))&gt;=100000), " ",IF(INDEX($V$2:$AE$1001,MATCH(ROWS($O$2:O252),$O$2:$O$1001,0),MATCH(COLUMNS($V$1006:Y1006),$V$1006:$AE$1006,0)), HYPERLINK("#",""), HYPERLINK(CONCATENATE("#Metadata!", ADDRESS(INDEX($Q$2:$Q$1001,MATCH(ROWS($O$2:O252),$O$2:$O$1001,0),0), INDEX($V$1004:$AE$1004,1,MATCH(COLUMNS($V$1006:Y1006),$V$1006:$AE$1006,0)))),"Fix")))</f>
        <v>0</v>
      </c>
      <c r="F252" s="3">
        <f>IF(OR(INDEX($P$2:$P$1001,MATCH(ROWS($O$2:O252),$O$2:$O$1001,0),1)&gt;=100000,INDEX($V$1005:$AE$1005,1,MATCH(COLUMNS($V$1006:Z1006),$V$1006:$AE$1006,0))&gt;=100000), " ",IF(INDEX($V$2:$AE$1001,MATCH(ROWS($O$2:O252),$O$2:$O$1001,0),MATCH(COLUMNS($V$1006:Z1006),$V$1006:$AE$1006,0)), HYPERLINK("#",""), HYPERLINK(CONCATENATE("#Metadata!", ADDRESS(INDEX($Q$2:$Q$1001,MATCH(ROWS($O$2:O252),$O$2:$O$1001,0),0), INDEX($V$1004:$AE$1004,1,MATCH(COLUMNS($V$1006:Z1006),$V$1006:$AE$1006,0)))),"Fix")))</f>
        <v>0</v>
      </c>
      <c r="G252" s="3">
        <f>IF(OR(INDEX($P$2:$P$1001,MATCH(ROWS($O$2:O252),$O$2:$O$1001,0),1)&gt;=100000,INDEX($V$1005:$AE$1005,1,MATCH(COLUMNS($V$1006:AA1006),$V$1006:$AE$1006,0))&gt;=100000), " ",IF(INDEX($V$2:$AE$1001,MATCH(ROWS($O$2:O252),$O$2:$O$1001,0),MATCH(COLUMNS($V$1006:AA1006),$V$1006:$AE$1006,0)), HYPERLINK("#",""), HYPERLINK(CONCATENATE("#Metadata!", ADDRESS(INDEX($Q$2:$Q$1001,MATCH(ROWS($O$2:O252),$O$2:$O$1001,0),0), INDEX($V$1004:$AE$1004,1,MATCH(COLUMNS($V$1006:AA1006),$V$1006:$AE$1006,0)))),"Fix")))</f>
        <v>0</v>
      </c>
      <c r="H252" s="3">
        <f>IF(OR(INDEX($P$2:$P$1001,MATCH(ROWS($O$2:O252),$O$2:$O$1001,0),1)&gt;=100000,INDEX($V$1005:$AE$1005,1,MATCH(COLUMNS($V$1006:AB1006),$V$1006:$AE$1006,0))&gt;=100000), " ",IF(INDEX($V$2:$AE$1001,MATCH(ROWS($O$2:O252),$O$2:$O$1001,0),MATCH(COLUMNS($V$1006:AB1006),$V$1006:$AE$1006,0)), HYPERLINK("#",""), HYPERLINK(CONCATENATE("#Metadata!", ADDRESS(INDEX($Q$2:$Q$1001,MATCH(ROWS($O$2:O252),$O$2:$O$1001,0),0), INDEX($V$1004:$AE$1004,1,MATCH(COLUMNS($V$1006:AB1006),$V$1006:$AE$1006,0)))),"Fix")))</f>
        <v>0</v>
      </c>
      <c r="I252" s="3">
        <f>IF(OR(INDEX($P$2:$P$1001,MATCH(ROWS($O$2:O252),$O$2:$O$1001,0),1)&gt;=100000,INDEX($V$1005:$AE$1005,1,MATCH(COLUMNS($V$1006:AC1006),$V$1006:$AE$1006,0))&gt;=100000), " ",IF(INDEX($V$2:$AE$1001,MATCH(ROWS($O$2:O252),$O$2:$O$1001,0),MATCH(COLUMNS($V$1006:AC1006),$V$1006:$AE$1006,0)), HYPERLINK("#",""), HYPERLINK(CONCATENATE("#Metadata!", ADDRESS(INDEX($Q$2:$Q$1001,MATCH(ROWS($O$2:O252),$O$2:$O$1001,0),0), INDEX($V$1004:$AE$1004,1,MATCH(COLUMNS($V$1006:AC1006),$V$1006:$AE$1006,0)))),"Fix")))</f>
        <v>0</v>
      </c>
      <c r="J252" s="3">
        <f>IF(OR(INDEX($P$2:$P$1001,MATCH(ROWS($O$2:O252),$O$2:$O$1001,0),1)&gt;=100000,INDEX($V$1005:$AE$1005,1,MATCH(COLUMNS($V$1006:AD1006),$V$1006:$AE$1006,0))&gt;=100000), " ",IF(INDEX($V$2:$AE$1001,MATCH(ROWS($O$2:O252),$O$2:$O$1001,0),MATCH(COLUMNS($V$1006:AD1006),$V$1006:$AE$1006,0)), HYPERLINK("#",""), HYPERLINK(CONCATENATE("#Metadata!", ADDRESS(INDEX($Q$2:$Q$1001,MATCH(ROWS($O$2:O252),$O$2:$O$1001,0),0), INDEX($V$1004:$AE$1004,1,MATCH(COLUMNS($V$1006:AD1006),$V$1006:$AE$1006,0)))),"Fix")))</f>
        <v>0</v>
      </c>
      <c r="K252" s="3">
        <f>IF(OR(INDEX($P$2:$P$1001,MATCH(ROWS($O$2:O252),$O$2:$O$1001,0),1)&gt;=100000,INDEX($V$1005:$AE$1005,1,MATCH(COLUMNS($V$1006:AE1006),$V$1006:$AE$1006,0))&gt;=100000), " ",IF(INDEX($V$2:$AE$1001,MATCH(ROWS($O$2:O252),$O$2:$O$1001,0),MATCH(COLUMNS($V$1006:AE1006),$V$1006:$AE$1006,0)), HYPERLINK("#",""), HYPERLINK(CONCATENATE("#Metadata!", ADDRESS(INDEX($Q$2:$Q$1001,MATCH(ROWS($O$2:O252),$O$2:$O$1001,0),0), INDEX($V$1004:$AE$1004,1,MATCH(COLUMNS($V$1006:AE1006),$V$1006:$AE$1006,0)))),"Fix")))</f>
        <v>0</v>
      </c>
      <c r="O252">
        <v>0</v>
      </c>
      <c r="P252">
        <v>0</v>
      </c>
      <c r="Q252">
        <v>0</v>
      </c>
      <c r="R252">
        <f>IF(S252,TRUE,AND(V252:AE252))</f>
        <v>0</v>
      </c>
      <c r="S252">
        <f>COUNTBLANK(Metadata!B252:K252)=COLUMNS(Metadata!B252:K252)</f>
        <v>0</v>
      </c>
      <c r="T252">
        <v>0</v>
      </c>
      <c r="V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W252">
        <f>AND(IF(Metadata!C252="",FALSE,TRUE),exact(Metadata!C252,"animal secretion"))</f>
        <v>0</v>
      </c>
      <c r="X252">
        <f>AND(IF(Metadata!D252="",FALSE,TRUE),exact(Metadata!D252,"saliva"))</f>
        <v>0</v>
      </c>
      <c r="Y252">
        <f>AND(IF(Metadata!E252="",FALSE,TRUE),exact(Metadata!E252,"human-oral"))</f>
        <v>0</v>
      </c>
      <c r="Z252">
        <f>AND(IF(Metadata!F252="",FALSE,TRUE),exact(Metadata!F252,"UBERON:oral cavity"))</f>
        <v>0</v>
      </c>
      <c r="AA252">
        <f>AND(IF(Metadata!G252="",FALSE,TRUE),exact(Metadata!G252,"UBERON:saliva"))</f>
        <v>0</v>
      </c>
      <c r="AB252">
        <f>AND(IF(Metadata!H252="",FALSE,TRUE),exact(Metadata!H252,"UBERON:tongue"))</f>
        <v>0</v>
      </c>
      <c r="AC252">
        <f>AND(IF(Metadata!I252="",FALSE,TRUE),exact(Metadata!I252,"tongue"))</f>
        <v>0</v>
      </c>
      <c r="AD252">
        <f>AND(IF(Metadata!J252="",FALSE,TRUE),exact(Metadata!J252,"human oral metagenome"))</f>
        <v>0</v>
      </c>
      <c r="AE252">
        <f>AND(IF(Metadata!K252="",FALSE,TRUE),exact(Metadata!K252,"447426"))</f>
        <v>0</v>
      </c>
    </row>
    <row r="253" spans="1:31">
      <c r="A253" s="4">
        <f>IF(B253=" "," ",HYPERLINK(CONCATENATE("#metadata!",ADDRESS(INDEX($Q$2:$Q$1001,MATCH(ROWS($O$2:O253),$O$2:$O$1001,0),0),1)),INDEX($T$2:$T$1001,MATCH(ROWS($O$2:O253),$O$2:$O$1001,0),0)))</f>
        <v>0</v>
      </c>
      <c r="B253" s="3">
        <f>IF(OR(INDEX($P$2:$P$1001,MATCH(ROWS($O$2:O253),$O$2:$O$1001,0),1)&gt;=100000,INDEX($V$1005:$AE$1005,1,MATCH(COLUMNS($V$1006:V1006),$V$1006:$AE$1006,0))&gt;=100000), " ",IF(INDEX($V$2:$AE$1001,MATCH(ROWS($O$2:O253),$O$2:$O$1001,0),MATCH(COLUMNS($V$1006:V1006),$V$1006:$AE$1006,0)), HYPERLINK("#",""), HYPERLINK(CONCATENATE("#Metadata!", ADDRESS(INDEX($Q$2:$Q$1001,MATCH(ROWS($O$2:O253),$O$2:$O$1001,0),0), INDEX($V$1004:$AE$1004,1,MATCH(COLUMNS($V$1006:V1006),$V$1006:$AE$1006,0)))),"Fix")))</f>
        <v>0</v>
      </c>
      <c r="C253" s="3">
        <f>IF(OR(INDEX($P$2:$P$1001,MATCH(ROWS($O$2:O253),$O$2:$O$1001,0),1)&gt;=100000,INDEX($V$1005:$AE$1005,1,MATCH(COLUMNS($V$1006:W1006),$V$1006:$AE$1006,0))&gt;=100000), " ",IF(INDEX($V$2:$AE$1001,MATCH(ROWS($O$2:O253),$O$2:$O$1001,0),MATCH(COLUMNS($V$1006:W1006),$V$1006:$AE$1006,0)), HYPERLINK("#",""), HYPERLINK(CONCATENATE("#Metadata!", ADDRESS(INDEX($Q$2:$Q$1001,MATCH(ROWS($O$2:O253),$O$2:$O$1001,0),0), INDEX($V$1004:$AE$1004,1,MATCH(COLUMNS($V$1006:W1006),$V$1006:$AE$1006,0)))),"Fix")))</f>
        <v>0</v>
      </c>
      <c r="D253" s="3">
        <f>IF(OR(INDEX($P$2:$P$1001,MATCH(ROWS($O$2:O253),$O$2:$O$1001,0),1)&gt;=100000,INDEX($V$1005:$AE$1005,1,MATCH(COLUMNS($V$1006:X1006),$V$1006:$AE$1006,0))&gt;=100000), " ",IF(INDEX($V$2:$AE$1001,MATCH(ROWS($O$2:O253),$O$2:$O$1001,0),MATCH(COLUMNS($V$1006:X1006),$V$1006:$AE$1006,0)), HYPERLINK("#",""), HYPERLINK(CONCATENATE("#Metadata!", ADDRESS(INDEX($Q$2:$Q$1001,MATCH(ROWS($O$2:O253),$O$2:$O$1001,0),0), INDEX($V$1004:$AE$1004,1,MATCH(COLUMNS($V$1006:X1006),$V$1006:$AE$1006,0)))),"Fix")))</f>
        <v>0</v>
      </c>
      <c r="E253" s="3">
        <f>IF(OR(INDEX($P$2:$P$1001,MATCH(ROWS($O$2:O253),$O$2:$O$1001,0),1)&gt;=100000,INDEX($V$1005:$AE$1005,1,MATCH(COLUMNS($V$1006:Y1006),$V$1006:$AE$1006,0))&gt;=100000), " ",IF(INDEX($V$2:$AE$1001,MATCH(ROWS($O$2:O253),$O$2:$O$1001,0),MATCH(COLUMNS($V$1006:Y1006),$V$1006:$AE$1006,0)), HYPERLINK("#",""), HYPERLINK(CONCATENATE("#Metadata!", ADDRESS(INDEX($Q$2:$Q$1001,MATCH(ROWS($O$2:O253),$O$2:$O$1001,0),0), INDEX($V$1004:$AE$1004,1,MATCH(COLUMNS($V$1006:Y1006),$V$1006:$AE$1006,0)))),"Fix")))</f>
        <v>0</v>
      </c>
      <c r="F253" s="3">
        <f>IF(OR(INDEX($P$2:$P$1001,MATCH(ROWS($O$2:O253),$O$2:$O$1001,0),1)&gt;=100000,INDEX($V$1005:$AE$1005,1,MATCH(COLUMNS($V$1006:Z1006),$V$1006:$AE$1006,0))&gt;=100000), " ",IF(INDEX($V$2:$AE$1001,MATCH(ROWS($O$2:O253),$O$2:$O$1001,0),MATCH(COLUMNS($V$1006:Z1006),$V$1006:$AE$1006,0)), HYPERLINK("#",""), HYPERLINK(CONCATENATE("#Metadata!", ADDRESS(INDEX($Q$2:$Q$1001,MATCH(ROWS($O$2:O253),$O$2:$O$1001,0),0), INDEX($V$1004:$AE$1004,1,MATCH(COLUMNS($V$1006:Z1006),$V$1006:$AE$1006,0)))),"Fix")))</f>
        <v>0</v>
      </c>
      <c r="G253" s="3">
        <f>IF(OR(INDEX($P$2:$P$1001,MATCH(ROWS($O$2:O253),$O$2:$O$1001,0),1)&gt;=100000,INDEX($V$1005:$AE$1005,1,MATCH(COLUMNS($V$1006:AA1006),$V$1006:$AE$1006,0))&gt;=100000), " ",IF(INDEX($V$2:$AE$1001,MATCH(ROWS($O$2:O253),$O$2:$O$1001,0),MATCH(COLUMNS($V$1006:AA1006),$V$1006:$AE$1006,0)), HYPERLINK("#",""), HYPERLINK(CONCATENATE("#Metadata!", ADDRESS(INDEX($Q$2:$Q$1001,MATCH(ROWS($O$2:O253),$O$2:$O$1001,0),0), INDEX($V$1004:$AE$1004,1,MATCH(COLUMNS($V$1006:AA1006),$V$1006:$AE$1006,0)))),"Fix")))</f>
        <v>0</v>
      </c>
      <c r="H253" s="3">
        <f>IF(OR(INDEX($P$2:$P$1001,MATCH(ROWS($O$2:O253),$O$2:$O$1001,0),1)&gt;=100000,INDEX($V$1005:$AE$1005,1,MATCH(COLUMNS($V$1006:AB1006),$V$1006:$AE$1006,0))&gt;=100000), " ",IF(INDEX($V$2:$AE$1001,MATCH(ROWS($O$2:O253),$O$2:$O$1001,0),MATCH(COLUMNS($V$1006:AB1006),$V$1006:$AE$1006,0)), HYPERLINK("#",""), HYPERLINK(CONCATENATE("#Metadata!", ADDRESS(INDEX($Q$2:$Q$1001,MATCH(ROWS($O$2:O253),$O$2:$O$1001,0),0), INDEX($V$1004:$AE$1004,1,MATCH(COLUMNS($V$1006:AB1006),$V$1006:$AE$1006,0)))),"Fix")))</f>
        <v>0</v>
      </c>
      <c r="I253" s="3">
        <f>IF(OR(INDEX($P$2:$P$1001,MATCH(ROWS($O$2:O253),$O$2:$O$1001,0),1)&gt;=100000,INDEX($V$1005:$AE$1005,1,MATCH(COLUMNS($V$1006:AC1006),$V$1006:$AE$1006,0))&gt;=100000), " ",IF(INDEX($V$2:$AE$1001,MATCH(ROWS($O$2:O253),$O$2:$O$1001,0),MATCH(COLUMNS($V$1006:AC1006),$V$1006:$AE$1006,0)), HYPERLINK("#",""), HYPERLINK(CONCATENATE("#Metadata!", ADDRESS(INDEX($Q$2:$Q$1001,MATCH(ROWS($O$2:O253),$O$2:$O$1001,0),0), INDEX($V$1004:$AE$1004,1,MATCH(COLUMNS($V$1006:AC1006),$V$1006:$AE$1006,0)))),"Fix")))</f>
        <v>0</v>
      </c>
      <c r="J253" s="3">
        <f>IF(OR(INDEX($P$2:$P$1001,MATCH(ROWS($O$2:O253),$O$2:$O$1001,0),1)&gt;=100000,INDEX($V$1005:$AE$1005,1,MATCH(COLUMNS($V$1006:AD1006),$V$1006:$AE$1006,0))&gt;=100000), " ",IF(INDEX($V$2:$AE$1001,MATCH(ROWS($O$2:O253),$O$2:$O$1001,0),MATCH(COLUMNS($V$1006:AD1006),$V$1006:$AE$1006,0)), HYPERLINK("#",""), HYPERLINK(CONCATENATE("#Metadata!", ADDRESS(INDEX($Q$2:$Q$1001,MATCH(ROWS($O$2:O253),$O$2:$O$1001,0),0), INDEX($V$1004:$AE$1004,1,MATCH(COLUMNS($V$1006:AD1006),$V$1006:$AE$1006,0)))),"Fix")))</f>
        <v>0</v>
      </c>
      <c r="K253" s="3">
        <f>IF(OR(INDEX($P$2:$P$1001,MATCH(ROWS($O$2:O253),$O$2:$O$1001,0),1)&gt;=100000,INDEX($V$1005:$AE$1005,1,MATCH(COLUMNS($V$1006:AE1006),$V$1006:$AE$1006,0))&gt;=100000), " ",IF(INDEX($V$2:$AE$1001,MATCH(ROWS($O$2:O253),$O$2:$O$1001,0),MATCH(COLUMNS($V$1006:AE1006),$V$1006:$AE$1006,0)), HYPERLINK("#",""), HYPERLINK(CONCATENATE("#Metadata!", ADDRESS(INDEX($Q$2:$Q$1001,MATCH(ROWS($O$2:O253),$O$2:$O$1001,0),0), INDEX($V$1004:$AE$1004,1,MATCH(COLUMNS($V$1006:AE1006),$V$1006:$AE$1006,0)))),"Fix")))</f>
        <v>0</v>
      </c>
      <c r="O253">
        <v>0</v>
      </c>
      <c r="P253">
        <v>0</v>
      </c>
      <c r="Q253">
        <v>0</v>
      </c>
      <c r="R253">
        <f>IF(S253,TRUE,AND(V253:AE253))</f>
        <v>0</v>
      </c>
      <c r="S253">
        <f>COUNTBLANK(Metadata!B253:K253)=COLUMNS(Metadata!B253:K253)</f>
        <v>0</v>
      </c>
      <c r="T253">
        <v>0</v>
      </c>
      <c r="V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W253">
        <f>AND(IF(Metadata!C253="",FALSE,TRUE),exact(Metadata!C253,"animal secretion"))</f>
        <v>0</v>
      </c>
      <c r="X253">
        <f>AND(IF(Metadata!D253="",FALSE,TRUE),exact(Metadata!D253,"saliva"))</f>
        <v>0</v>
      </c>
      <c r="Y253">
        <f>AND(IF(Metadata!E253="",FALSE,TRUE),exact(Metadata!E253,"human-oral"))</f>
        <v>0</v>
      </c>
      <c r="Z253">
        <f>AND(IF(Metadata!F253="",FALSE,TRUE),exact(Metadata!F253,"UBERON:oral cavity"))</f>
        <v>0</v>
      </c>
      <c r="AA253">
        <f>AND(IF(Metadata!G253="",FALSE,TRUE),exact(Metadata!G253,"UBERON:saliva"))</f>
        <v>0</v>
      </c>
      <c r="AB253">
        <f>AND(IF(Metadata!H253="",FALSE,TRUE),exact(Metadata!H253,"UBERON:tongue"))</f>
        <v>0</v>
      </c>
      <c r="AC253">
        <f>AND(IF(Metadata!I253="",FALSE,TRUE),exact(Metadata!I253,"tongue"))</f>
        <v>0</v>
      </c>
      <c r="AD253">
        <f>AND(IF(Metadata!J253="",FALSE,TRUE),exact(Metadata!J253,"human oral metagenome"))</f>
        <v>0</v>
      </c>
      <c r="AE253">
        <f>AND(IF(Metadata!K253="",FALSE,TRUE),exact(Metadata!K253,"447426"))</f>
        <v>0</v>
      </c>
    </row>
    <row r="254" spans="1:31">
      <c r="A254" s="4">
        <f>IF(B254=" "," ",HYPERLINK(CONCATENATE("#metadata!",ADDRESS(INDEX($Q$2:$Q$1001,MATCH(ROWS($O$2:O254),$O$2:$O$1001,0),0),1)),INDEX($T$2:$T$1001,MATCH(ROWS($O$2:O254),$O$2:$O$1001,0),0)))</f>
        <v>0</v>
      </c>
      <c r="B254" s="3">
        <f>IF(OR(INDEX($P$2:$P$1001,MATCH(ROWS($O$2:O254),$O$2:$O$1001,0),1)&gt;=100000,INDEX($V$1005:$AE$1005,1,MATCH(COLUMNS($V$1006:V1006),$V$1006:$AE$1006,0))&gt;=100000), " ",IF(INDEX($V$2:$AE$1001,MATCH(ROWS($O$2:O254),$O$2:$O$1001,0),MATCH(COLUMNS($V$1006:V1006),$V$1006:$AE$1006,0)), HYPERLINK("#",""), HYPERLINK(CONCATENATE("#Metadata!", ADDRESS(INDEX($Q$2:$Q$1001,MATCH(ROWS($O$2:O254),$O$2:$O$1001,0),0), INDEX($V$1004:$AE$1004,1,MATCH(COLUMNS($V$1006:V1006),$V$1006:$AE$1006,0)))),"Fix")))</f>
        <v>0</v>
      </c>
      <c r="C254" s="3">
        <f>IF(OR(INDEX($P$2:$P$1001,MATCH(ROWS($O$2:O254),$O$2:$O$1001,0),1)&gt;=100000,INDEX($V$1005:$AE$1005,1,MATCH(COLUMNS($V$1006:W1006),$V$1006:$AE$1006,0))&gt;=100000), " ",IF(INDEX($V$2:$AE$1001,MATCH(ROWS($O$2:O254),$O$2:$O$1001,0),MATCH(COLUMNS($V$1006:W1006),$V$1006:$AE$1006,0)), HYPERLINK("#",""), HYPERLINK(CONCATENATE("#Metadata!", ADDRESS(INDEX($Q$2:$Q$1001,MATCH(ROWS($O$2:O254),$O$2:$O$1001,0),0), INDEX($V$1004:$AE$1004,1,MATCH(COLUMNS($V$1006:W1006),$V$1006:$AE$1006,0)))),"Fix")))</f>
        <v>0</v>
      </c>
      <c r="D254" s="3">
        <f>IF(OR(INDEX($P$2:$P$1001,MATCH(ROWS($O$2:O254),$O$2:$O$1001,0),1)&gt;=100000,INDEX($V$1005:$AE$1005,1,MATCH(COLUMNS($V$1006:X1006),$V$1006:$AE$1006,0))&gt;=100000), " ",IF(INDEX($V$2:$AE$1001,MATCH(ROWS($O$2:O254),$O$2:$O$1001,0),MATCH(COLUMNS($V$1006:X1006),$V$1006:$AE$1006,0)), HYPERLINK("#",""), HYPERLINK(CONCATENATE("#Metadata!", ADDRESS(INDEX($Q$2:$Q$1001,MATCH(ROWS($O$2:O254),$O$2:$O$1001,0),0), INDEX($V$1004:$AE$1004,1,MATCH(COLUMNS($V$1006:X1006),$V$1006:$AE$1006,0)))),"Fix")))</f>
        <v>0</v>
      </c>
      <c r="E254" s="3">
        <f>IF(OR(INDEX($P$2:$P$1001,MATCH(ROWS($O$2:O254),$O$2:$O$1001,0),1)&gt;=100000,INDEX($V$1005:$AE$1005,1,MATCH(COLUMNS($V$1006:Y1006),$V$1006:$AE$1006,0))&gt;=100000), " ",IF(INDEX($V$2:$AE$1001,MATCH(ROWS($O$2:O254),$O$2:$O$1001,0),MATCH(COLUMNS($V$1006:Y1006),$V$1006:$AE$1006,0)), HYPERLINK("#",""), HYPERLINK(CONCATENATE("#Metadata!", ADDRESS(INDEX($Q$2:$Q$1001,MATCH(ROWS($O$2:O254),$O$2:$O$1001,0),0), INDEX($V$1004:$AE$1004,1,MATCH(COLUMNS($V$1006:Y1006),$V$1006:$AE$1006,0)))),"Fix")))</f>
        <v>0</v>
      </c>
      <c r="F254" s="3">
        <f>IF(OR(INDEX($P$2:$P$1001,MATCH(ROWS($O$2:O254),$O$2:$O$1001,0),1)&gt;=100000,INDEX($V$1005:$AE$1005,1,MATCH(COLUMNS($V$1006:Z1006),$V$1006:$AE$1006,0))&gt;=100000), " ",IF(INDEX($V$2:$AE$1001,MATCH(ROWS($O$2:O254),$O$2:$O$1001,0),MATCH(COLUMNS($V$1006:Z1006),$V$1006:$AE$1006,0)), HYPERLINK("#",""), HYPERLINK(CONCATENATE("#Metadata!", ADDRESS(INDEX($Q$2:$Q$1001,MATCH(ROWS($O$2:O254),$O$2:$O$1001,0),0), INDEX($V$1004:$AE$1004,1,MATCH(COLUMNS($V$1006:Z1006),$V$1006:$AE$1006,0)))),"Fix")))</f>
        <v>0</v>
      </c>
      <c r="G254" s="3">
        <f>IF(OR(INDEX($P$2:$P$1001,MATCH(ROWS($O$2:O254),$O$2:$O$1001,0),1)&gt;=100000,INDEX($V$1005:$AE$1005,1,MATCH(COLUMNS($V$1006:AA1006),$V$1006:$AE$1006,0))&gt;=100000), " ",IF(INDEX($V$2:$AE$1001,MATCH(ROWS($O$2:O254),$O$2:$O$1001,0),MATCH(COLUMNS($V$1006:AA1006),$V$1006:$AE$1006,0)), HYPERLINK("#",""), HYPERLINK(CONCATENATE("#Metadata!", ADDRESS(INDEX($Q$2:$Q$1001,MATCH(ROWS($O$2:O254),$O$2:$O$1001,0),0), INDEX($V$1004:$AE$1004,1,MATCH(COLUMNS($V$1006:AA1006),$V$1006:$AE$1006,0)))),"Fix")))</f>
        <v>0</v>
      </c>
      <c r="H254" s="3">
        <f>IF(OR(INDEX($P$2:$P$1001,MATCH(ROWS($O$2:O254),$O$2:$O$1001,0),1)&gt;=100000,INDEX($V$1005:$AE$1005,1,MATCH(COLUMNS($V$1006:AB1006),$V$1006:$AE$1006,0))&gt;=100000), " ",IF(INDEX($V$2:$AE$1001,MATCH(ROWS($O$2:O254),$O$2:$O$1001,0),MATCH(COLUMNS($V$1006:AB1006),$V$1006:$AE$1006,0)), HYPERLINK("#",""), HYPERLINK(CONCATENATE("#Metadata!", ADDRESS(INDEX($Q$2:$Q$1001,MATCH(ROWS($O$2:O254),$O$2:$O$1001,0),0), INDEX($V$1004:$AE$1004,1,MATCH(COLUMNS($V$1006:AB1006),$V$1006:$AE$1006,0)))),"Fix")))</f>
        <v>0</v>
      </c>
      <c r="I254" s="3">
        <f>IF(OR(INDEX($P$2:$P$1001,MATCH(ROWS($O$2:O254),$O$2:$O$1001,0),1)&gt;=100000,INDEX($V$1005:$AE$1005,1,MATCH(COLUMNS($V$1006:AC1006),$V$1006:$AE$1006,0))&gt;=100000), " ",IF(INDEX($V$2:$AE$1001,MATCH(ROWS($O$2:O254),$O$2:$O$1001,0),MATCH(COLUMNS($V$1006:AC1006),$V$1006:$AE$1006,0)), HYPERLINK("#",""), HYPERLINK(CONCATENATE("#Metadata!", ADDRESS(INDEX($Q$2:$Q$1001,MATCH(ROWS($O$2:O254),$O$2:$O$1001,0),0), INDEX($V$1004:$AE$1004,1,MATCH(COLUMNS($V$1006:AC1006),$V$1006:$AE$1006,0)))),"Fix")))</f>
        <v>0</v>
      </c>
      <c r="J254" s="3">
        <f>IF(OR(INDEX($P$2:$P$1001,MATCH(ROWS($O$2:O254),$O$2:$O$1001,0),1)&gt;=100000,INDEX($V$1005:$AE$1005,1,MATCH(COLUMNS($V$1006:AD1006),$V$1006:$AE$1006,0))&gt;=100000), " ",IF(INDEX($V$2:$AE$1001,MATCH(ROWS($O$2:O254),$O$2:$O$1001,0),MATCH(COLUMNS($V$1006:AD1006),$V$1006:$AE$1006,0)), HYPERLINK("#",""), HYPERLINK(CONCATENATE("#Metadata!", ADDRESS(INDEX($Q$2:$Q$1001,MATCH(ROWS($O$2:O254),$O$2:$O$1001,0),0), INDEX($V$1004:$AE$1004,1,MATCH(COLUMNS($V$1006:AD1006),$V$1006:$AE$1006,0)))),"Fix")))</f>
        <v>0</v>
      </c>
      <c r="K254" s="3">
        <f>IF(OR(INDEX($P$2:$P$1001,MATCH(ROWS($O$2:O254),$O$2:$O$1001,0),1)&gt;=100000,INDEX($V$1005:$AE$1005,1,MATCH(COLUMNS($V$1006:AE1006),$V$1006:$AE$1006,0))&gt;=100000), " ",IF(INDEX($V$2:$AE$1001,MATCH(ROWS($O$2:O254),$O$2:$O$1001,0),MATCH(COLUMNS($V$1006:AE1006),$V$1006:$AE$1006,0)), HYPERLINK("#",""), HYPERLINK(CONCATENATE("#Metadata!", ADDRESS(INDEX($Q$2:$Q$1001,MATCH(ROWS($O$2:O254),$O$2:$O$1001,0),0), INDEX($V$1004:$AE$1004,1,MATCH(COLUMNS($V$1006:AE1006),$V$1006:$AE$1006,0)))),"Fix")))</f>
        <v>0</v>
      </c>
      <c r="O254">
        <v>0</v>
      </c>
      <c r="P254">
        <v>0</v>
      </c>
      <c r="Q254">
        <v>0</v>
      </c>
      <c r="R254">
        <f>IF(S254,TRUE,AND(V254:AE254))</f>
        <v>0</v>
      </c>
      <c r="S254">
        <f>COUNTBLANK(Metadata!B254:K254)=COLUMNS(Metadata!B254:K254)</f>
        <v>0</v>
      </c>
      <c r="T254">
        <v>0</v>
      </c>
      <c r="V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W254">
        <f>AND(IF(Metadata!C254="",FALSE,TRUE),exact(Metadata!C254,"animal secretion"))</f>
        <v>0</v>
      </c>
      <c r="X254">
        <f>AND(IF(Metadata!D254="",FALSE,TRUE),exact(Metadata!D254,"saliva"))</f>
        <v>0</v>
      </c>
      <c r="Y254">
        <f>AND(IF(Metadata!E254="",FALSE,TRUE),exact(Metadata!E254,"human-oral"))</f>
        <v>0</v>
      </c>
      <c r="Z254">
        <f>AND(IF(Metadata!F254="",FALSE,TRUE),exact(Metadata!F254,"UBERON:oral cavity"))</f>
        <v>0</v>
      </c>
      <c r="AA254">
        <f>AND(IF(Metadata!G254="",FALSE,TRUE),exact(Metadata!G254,"UBERON:saliva"))</f>
        <v>0</v>
      </c>
      <c r="AB254">
        <f>AND(IF(Metadata!H254="",FALSE,TRUE),exact(Metadata!H254,"UBERON:tongue"))</f>
        <v>0</v>
      </c>
      <c r="AC254">
        <f>AND(IF(Metadata!I254="",FALSE,TRUE),exact(Metadata!I254,"tongue"))</f>
        <v>0</v>
      </c>
      <c r="AD254">
        <f>AND(IF(Metadata!J254="",FALSE,TRUE),exact(Metadata!J254,"human oral metagenome"))</f>
        <v>0</v>
      </c>
      <c r="AE254">
        <f>AND(IF(Metadata!K254="",FALSE,TRUE),exact(Metadata!K254,"447426"))</f>
        <v>0</v>
      </c>
    </row>
    <row r="255" spans="1:31">
      <c r="A255" s="4">
        <f>IF(B255=" "," ",HYPERLINK(CONCATENATE("#metadata!",ADDRESS(INDEX($Q$2:$Q$1001,MATCH(ROWS($O$2:O255),$O$2:$O$1001,0),0),1)),INDEX($T$2:$T$1001,MATCH(ROWS($O$2:O255),$O$2:$O$1001,0),0)))</f>
        <v>0</v>
      </c>
      <c r="B255" s="3">
        <f>IF(OR(INDEX($P$2:$P$1001,MATCH(ROWS($O$2:O255),$O$2:$O$1001,0),1)&gt;=100000,INDEX($V$1005:$AE$1005,1,MATCH(COLUMNS($V$1006:V1006),$V$1006:$AE$1006,0))&gt;=100000), " ",IF(INDEX($V$2:$AE$1001,MATCH(ROWS($O$2:O255),$O$2:$O$1001,0),MATCH(COLUMNS($V$1006:V1006),$V$1006:$AE$1006,0)), HYPERLINK("#",""), HYPERLINK(CONCATENATE("#Metadata!", ADDRESS(INDEX($Q$2:$Q$1001,MATCH(ROWS($O$2:O255),$O$2:$O$1001,0),0), INDEX($V$1004:$AE$1004,1,MATCH(COLUMNS($V$1006:V1006),$V$1006:$AE$1006,0)))),"Fix")))</f>
        <v>0</v>
      </c>
      <c r="C255" s="3">
        <f>IF(OR(INDEX($P$2:$P$1001,MATCH(ROWS($O$2:O255),$O$2:$O$1001,0),1)&gt;=100000,INDEX($V$1005:$AE$1005,1,MATCH(COLUMNS($V$1006:W1006),$V$1006:$AE$1006,0))&gt;=100000), " ",IF(INDEX($V$2:$AE$1001,MATCH(ROWS($O$2:O255),$O$2:$O$1001,0),MATCH(COLUMNS($V$1006:W1006),$V$1006:$AE$1006,0)), HYPERLINK("#",""), HYPERLINK(CONCATENATE("#Metadata!", ADDRESS(INDEX($Q$2:$Q$1001,MATCH(ROWS($O$2:O255),$O$2:$O$1001,0),0), INDEX($V$1004:$AE$1004,1,MATCH(COLUMNS($V$1006:W1006),$V$1006:$AE$1006,0)))),"Fix")))</f>
        <v>0</v>
      </c>
      <c r="D255" s="3">
        <f>IF(OR(INDEX($P$2:$P$1001,MATCH(ROWS($O$2:O255),$O$2:$O$1001,0),1)&gt;=100000,INDEX($V$1005:$AE$1005,1,MATCH(COLUMNS($V$1006:X1006),$V$1006:$AE$1006,0))&gt;=100000), " ",IF(INDEX($V$2:$AE$1001,MATCH(ROWS($O$2:O255),$O$2:$O$1001,0),MATCH(COLUMNS($V$1006:X1006),$V$1006:$AE$1006,0)), HYPERLINK("#",""), HYPERLINK(CONCATENATE("#Metadata!", ADDRESS(INDEX($Q$2:$Q$1001,MATCH(ROWS($O$2:O255),$O$2:$O$1001,0),0), INDEX($V$1004:$AE$1004,1,MATCH(COLUMNS($V$1006:X1006),$V$1006:$AE$1006,0)))),"Fix")))</f>
        <v>0</v>
      </c>
      <c r="E255" s="3">
        <f>IF(OR(INDEX($P$2:$P$1001,MATCH(ROWS($O$2:O255),$O$2:$O$1001,0),1)&gt;=100000,INDEX($V$1005:$AE$1005,1,MATCH(COLUMNS($V$1006:Y1006),$V$1006:$AE$1006,0))&gt;=100000), " ",IF(INDEX($V$2:$AE$1001,MATCH(ROWS($O$2:O255),$O$2:$O$1001,0),MATCH(COLUMNS($V$1006:Y1006),$V$1006:$AE$1006,0)), HYPERLINK("#",""), HYPERLINK(CONCATENATE("#Metadata!", ADDRESS(INDEX($Q$2:$Q$1001,MATCH(ROWS($O$2:O255),$O$2:$O$1001,0),0), INDEX($V$1004:$AE$1004,1,MATCH(COLUMNS($V$1006:Y1006),$V$1006:$AE$1006,0)))),"Fix")))</f>
        <v>0</v>
      </c>
      <c r="F255" s="3">
        <f>IF(OR(INDEX($P$2:$P$1001,MATCH(ROWS($O$2:O255),$O$2:$O$1001,0),1)&gt;=100000,INDEX($V$1005:$AE$1005,1,MATCH(COLUMNS($V$1006:Z1006),$V$1006:$AE$1006,0))&gt;=100000), " ",IF(INDEX($V$2:$AE$1001,MATCH(ROWS($O$2:O255),$O$2:$O$1001,0),MATCH(COLUMNS($V$1006:Z1006),$V$1006:$AE$1006,0)), HYPERLINK("#",""), HYPERLINK(CONCATENATE("#Metadata!", ADDRESS(INDEX($Q$2:$Q$1001,MATCH(ROWS($O$2:O255),$O$2:$O$1001,0),0), INDEX($V$1004:$AE$1004,1,MATCH(COLUMNS($V$1006:Z1006),$V$1006:$AE$1006,0)))),"Fix")))</f>
        <v>0</v>
      </c>
      <c r="G255" s="3">
        <f>IF(OR(INDEX($P$2:$P$1001,MATCH(ROWS($O$2:O255),$O$2:$O$1001,0),1)&gt;=100000,INDEX($V$1005:$AE$1005,1,MATCH(COLUMNS($V$1006:AA1006),$V$1006:$AE$1006,0))&gt;=100000), " ",IF(INDEX($V$2:$AE$1001,MATCH(ROWS($O$2:O255),$O$2:$O$1001,0),MATCH(COLUMNS($V$1006:AA1006),$V$1006:$AE$1006,0)), HYPERLINK("#",""), HYPERLINK(CONCATENATE("#Metadata!", ADDRESS(INDEX($Q$2:$Q$1001,MATCH(ROWS($O$2:O255),$O$2:$O$1001,0),0), INDEX($V$1004:$AE$1004,1,MATCH(COLUMNS($V$1006:AA1006),$V$1006:$AE$1006,0)))),"Fix")))</f>
        <v>0</v>
      </c>
      <c r="H255" s="3">
        <f>IF(OR(INDEX($P$2:$P$1001,MATCH(ROWS($O$2:O255),$O$2:$O$1001,0),1)&gt;=100000,INDEX($V$1005:$AE$1005,1,MATCH(COLUMNS($V$1006:AB1006),$V$1006:$AE$1006,0))&gt;=100000), " ",IF(INDEX($V$2:$AE$1001,MATCH(ROWS($O$2:O255),$O$2:$O$1001,0),MATCH(COLUMNS($V$1006:AB1006),$V$1006:$AE$1006,0)), HYPERLINK("#",""), HYPERLINK(CONCATENATE("#Metadata!", ADDRESS(INDEX($Q$2:$Q$1001,MATCH(ROWS($O$2:O255),$O$2:$O$1001,0),0), INDEX($V$1004:$AE$1004,1,MATCH(COLUMNS($V$1006:AB1006),$V$1006:$AE$1006,0)))),"Fix")))</f>
        <v>0</v>
      </c>
      <c r="I255" s="3">
        <f>IF(OR(INDEX($P$2:$P$1001,MATCH(ROWS($O$2:O255),$O$2:$O$1001,0),1)&gt;=100000,INDEX($V$1005:$AE$1005,1,MATCH(COLUMNS($V$1006:AC1006),$V$1006:$AE$1006,0))&gt;=100000), " ",IF(INDEX($V$2:$AE$1001,MATCH(ROWS($O$2:O255),$O$2:$O$1001,0),MATCH(COLUMNS($V$1006:AC1006),$V$1006:$AE$1006,0)), HYPERLINK("#",""), HYPERLINK(CONCATENATE("#Metadata!", ADDRESS(INDEX($Q$2:$Q$1001,MATCH(ROWS($O$2:O255),$O$2:$O$1001,0),0), INDEX($V$1004:$AE$1004,1,MATCH(COLUMNS($V$1006:AC1006),$V$1006:$AE$1006,0)))),"Fix")))</f>
        <v>0</v>
      </c>
      <c r="J255" s="3">
        <f>IF(OR(INDEX($P$2:$P$1001,MATCH(ROWS($O$2:O255),$O$2:$O$1001,0),1)&gt;=100000,INDEX($V$1005:$AE$1005,1,MATCH(COLUMNS($V$1006:AD1006),$V$1006:$AE$1006,0))&gt;=100000), " ",IF(INDEX($V$2:$AE$1001,MATCH(ROWS($O$2:O255),$O$2:$O$1001,0),MATCH(COLUMNS($V$1006:AD1006),$V$1006:$AE$1006,0)), HYPERLINK("#",""), HYPERLINK(CONCATENATE("#Metadata!", ADDRESS(INDEX($Q$2:$Q$1001,MATCH(ROWS($O$2:O255),$O$2:$O$1001,0),0), INDEX($V$1004:$AE$1004,1,MATCH(COLUMNS($V$1006:AD1006),$V$1006:$AE$1006,0)))),"Fix")))</f>
        <v>0</v>
      </c>
      <c r="K255" s="3">
        <f>IF(OR(INDEX($P$2:$P$1001,MATCH(ROWS($O$2:O255),$O$2:$O$1001,0),1)&gt;=100000,INDEX($V$1005:$AE$1005,1,MATCH(COLUMNS($V$1006:AE1006),$V$1006:$AE$1006,0))&gt;=100000), " ",IF(INDEX($V$2:$AE$1001,MATCH(ROWS($O$2:O255),$O$2:$O$1001,0),MATCH(COLUMNS($V$1006:AE1006),$V$1006:$AE$1006,0)), HYPERLINK("#",""), HYPERLINK(CONCATENATE("#Metadata!", ADDRESS(INDEX($Q$2:$Q$1001,MATCH(ROWS($O$2:O255),$O$2:$O$1001,0),0), INDEX($V$1004:$AE$1004,1,MATCH(COLUMNS($V$1006:AE1006),$V$1006:$AE$1006,0)))),"Fix")))</f>
        <v>0</v>
      </c>
      <c r="O255">
        <v>0</v>
      </c>
      <c r="P255">
        <v>0</v>
      </c>
      <c r="Q255">
        <v>0</v>
      </c>
      <c r="R255">
        <f>IF(S255,TRUE,AND(V255:AE255))</f>
        <v>0</v>
      </c>
      <c r="S255">
        <f>COUNTBLANK(Metadata!B255:K255)=COLUMNS(Metadata!B255:K255)</f>
        <v>0</v>
      </c>
      <c r="T255">
        <v>0</v>
      </c>
      <c r="V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W255">
        <f>AND(IF(Metadata!C255="",FALSE,TRUE),exact(Metadata!C255,"animal secretion"))</f>
        <v>0</v>
      </c>
      <c r="X255">
        <f>AND(IF(Metadata!D255="",FALSE,TRUE),exact(Metadata!D255,"saliva"))</f>
        <v>0</v>
      </c>
      <c r="Y255">
        <f>AND(IF(Metadata!E255="",FALSE,TRUE),exact(Metadata!E255,"human-oral"))</f>
        <v>0</v>
      </c>
      <c r="Z255">
        <f>AND(IF(Metadata!F255="",FALSE,TRUE),exact(Metadata!F255,"UBERON:oral cavity"))</f>
        <v>0</v>
      </c>
      <c r="AA255">
        <f>AND(IF(Metadata!G255="",FALSE,TRUE),exact(Metadata!G255,"UBERON:saliva"))</f>
        <v>0</v>
      </c>
      <c r="AB255">
        <f>AND(IF(Metadata!H255="",FALSE,TRUE),exact(Metadata!H255,"UBERON:tongue"))</f>
        <v>0</v>
      </c>
      <c r="AC255">
        <f>AND(IF(Metadata!I255="",FALSE,TRUE),exact(Metadata!I255,"tongue"))</f>
        <v>0</v>
      </c>
      <c r="AD255">
        <f>AND(IF(Metadata!J255="",FALSE,TRUE),exact(Metadata!J255,"human oral metagenome"))</f>
        <v>0</v>
      </c>
      <c r="AE255">
        <f>AND(IF(Metadata!K255="",FALSE,TRUE),exact(Metadata!K255,"447426"))</f>
        <v>0</v>
      </c>
    </row>
    <row r="256" spans="1:31">
      <c r="A256" s="4">
        <f>IF(B256=" "," ",HYPERLINK(CONCATENATE("#metadata!",ADDRESS(INDEX($Q$2:$Q$1001,MATCH(ROWS($O$2:O256),$O$2:$O$1001,0),0),1)),INDEX($T$2:$T$1001,MATCH(ROWS($O$2:O256),$O$2:$O$1001,0),0)))</f>
        <v>0</v>
      </c>
      <c r="B256" s="3">
        <f>IF(OR(INDEX($P$2:$P$1001,MATCH(ROWS($O$2:O256),$O$2:$O$1001,0),1)&gt;=100000,INDEX($V$1005:$AE$1005,1,MATCH(COLUMNS($V$1006:V1006),$V$1006:$AE$1006,0))&gt;=100000), " ",IF(INDEX($V$2:$AE$1001,MATCH(ROWS($O$2:O256),$O$2:$O$1001,0),MATCH(COLUMNS($V$1006:V1006),$V$1006:$AE$1006,0)), HYPERLINK("#",""), HYPERLINK(CONCATENATE("#Metadata!", ADDRESS(INDEX($Q$2:$Q$1001,MATCH(ROWS($O$2:O256),$O$2:$O$1001,0),0), INDEX($V$1004:$AE$1004,1,MATCH(COLUMNS($V$1006:V1006),$V$1006:$AE$1006,0)))),"Fix")))</f>
        <v>0</v>
      </c>
      <c r="C256" s="3">
        <f>IF(OR(INDEX($P$2:$P$1001,MATCH(ROWS($O$2:O256),$O$2:$O$1001,0),1)&gt;=100000,INDEX($V$1005:$AE$1005,1,MATCH(COLUMNS($V$1006:W1006),$V$1006:$AE$1006,0))&gt;=100000), " ",IF(INDEX($V$2:$AE$1001,MATCH(ROWS($O$2:O256),$O$2:$O$1001,0),MATCH(COLUMNS($V$1006:W1006),$V$1006:$AE$1006,0)), HYPERLINK("#",""), HYPERLINK(CONCATENATE("#Metadata!", ADDRESS(INDEX($Q$2:$Q$1001,MATCH(ROWS($O$2:O256),$O$2:$O$1001,0),0), INDEX($V$1004:$AE$1004,1,MATCH(COLUMNS($V$1006:W1006),$V$1006:$AE$1006,0)))),"Fix")))</f>
        <v>0</v>
      </c>
      <c r="D256" s="3">
        <f>IF(OR(INDEX($P$2:$P$1001,MATCH(ROWS($O$2:O256),$O$2:$O$1001,0),1)&gt;=100000,INDEX($V$1005:$AE$1005,1,MATCH(COLUMNS($V$1006:X1006),$V$1006:$AE$1006,0))&gt;=100000), " ",IF(INDEX($V$2:$AE$1001,MATCH(ROWS($O$2:O256),$O$2:$O$1001,0),MATCH(COLUMNS($V$1006:X1006),$V$1006:$AE$1006,0)), HYPERLINK("#",""), HYPERLINK(CONCATENATE("#Metadata!", ADDRESS(INDEX($Q$2:$Q$1001,MATCH(ROWS($O$2:O256),$O$2:$O$1001,0),0), INDEX($V$1004:$AE$1004,1,MATCH(COLUMNS($V$1006:X1006),$V$1006:$AE$1006,0)))),"Fix")))</f>
        <v>0</v>
      </c>
      <c r="E256" s="3">
        <f>IF(OR(INDEX($P$2:$P$1001,MATCH(ROWS($O$2:O256),$O$2:$O$1001,0),1)&gt;=100000,INDEX($V$1005:$AE$1005,1,MATCH(COLUMNS($V$1006:Y1006),$V$1006:$AE$1006,0))&gt;=100000), " ",IF(INDEX($V$2:$AE$1001,MATCH(ROWS($O$2:O256),$O$2:$O$1001,0),MATCH(COLUMNS($V$1006:Y1006),$V$1006:$AE$1006,0)), HYPERLINK("#",""), HYPERLINK(CONCATENATE("#Metadata!", ADDRESS(INDEX($Q$2:$Q$1001,MATCH(ROWS($O$2:O256),$O$2:$O$1001,0),0), INDEX($V$1004:$AE$1004,1,MATCH(COLUMNS($V$1006:Y1006),$V$1006:$AE$1006,0)))),"Fix")))</f>
        <v>0</v>
      </c>
      <c r="F256" s="3">
        <f>IF(OR(INDEX($P$2:$P$1001,MATCH(ROWS($O$2:O256),$O$2:$O$1001,0),1)&gt;=100000,INDEX($V$1005:$AE$1005,1,MATCH(COLUMNS($V$1006:Z1006),$V$1006:$AE$1006,0))&gt;=100000), " ",IF(INDEX($V$2:$AE$1001,MATCH(ROWS($O$2:O256),$O$2:$O$1001,0),MATCH(COLUMNS($V$1006:Z1006),$V$1006:$AE$1006,0)), HYPERLINK("#",""), HYPERLINK(CONCATENATE("#Metadata!", ADDRESS(INDEX($Q$2:$Q$1001,MATCH(ROWS($O$2:O256),$O$2:$O$1001,0),0), INDEX($V$1004:$AE$1004,1,MATCH(COLUMNS($V$1006:Z1006),$V$1006:$AE$1006,0)))),"Fix")))</f>
        <v>0</v>
      </c>
      <c r="G256" s="3">
        <f>IF(OR(INDEX($P$2:$P$1001,MATCH(ROWS($O$2:O256),$O$2:$O$1001,0),1)&gt;=100000,INDEX($V$1005:$AE$1005,1,MATCH(COLUMNS($V$1006:AA1006),$V$1006:$AE$1006,0))&gt;=100000), " ",IF(INDEX($V$2:$AE$1001,MATCH(ROWS($O$2:O256),$O$2:$O$1001,0),MATCH(COLUMNS($V$1006:AA1006),$V$1006:$AE$1006,0)), HYPERLINK("#",""), HYPERLINK(CONCATENATE("#Metadata!", ADDRESS(INDEX($Q$2:$Q$1001,MATCH(ROWS($O$2:O256),$O$2:$O$1001,0),0), INDEX($V$1004:$AE$1004,1,MATCH(COLUMNS($V$1006:AA1006),$V$1006:$AE$1006,0)))),"Fix")))</f>
        <v>0</v>
      </c>
      <c r="H256" s="3">
        <f>IF(OR(INDEX($P$2:$P$1001,MATCH(ROWS($O$2:O256),$O$2:$O$1001,0),1)&gt;=100000,INDEX($V$1005:$AE$1005,1,MATCH(COLUMNS($V$1006:AB1006),$V$1006:$AE$1006,0))&gt;=100000), " ",IF(INDEX($V$2:$AE$1001,MATCH(ROWS($O$2:O256),$O$2:$O$1001,0),MATCH(COLUMNS($V$1006:AB1006),$V$1006:$AE$1006,0)), HYPERLINK("#",""), HYPERLINK(CONCATENATE("#Metadata!", ADDRESS(INDEX($Q$2:$Q$1001,MATCH(ROWS($O$2:O256),$O$2:$O$1001,0),0), INDEX($V$1004:$AE$1004,1,MATCH(COLUMNS($V$1006:AB1006),$V$1006:$AE$1006,0)))),"Fix")))</f>
        <v>0</v>
      </c>
      <c r="I256" s="3">
        <f>IF(OR(INDEX($P$2:$P$1001,MATCH(ROWS($O$2:O256),$O$2:$O$1001,0),1)&gt;=100000,INDEX($V$1005:$AE$1005,1,MATCH(COLUMNS($V$1006:AC1006),$V$1006:$AE$1006,0))&gt;=100000), " ",IF(INDEX($V$2:$AE$1001,MATCH(ROWS($O$2:O256),$O$2:$O$1001,0),MATCH(COLUMNS($V$1006:AC1006),$V$1006:$AE$1006,0)), HYPERLINK("#",""), HYPERLINK(CONCATENATE("#Metadata!", ADDRESS(INDEX($Q$2:$Q$1001,MATCH(ROWS($O$2:O256),$O$2:$O$1001,0),0), INDEX($V$1004:$AE$1004,1,MATCH(COLUMNS($V$1006:AC1006),$V$1006:$AE$1006,0)))),"Fix")))</f>
        <v>0</v>
      </c>
      <c r="J256" s="3">
        <f>IF(OR(INDEX($P$2:$P$1001,MATCH(ROWS($O$2:O256),$O$2:$O$1001,0),1)&gt;=100000,INDEX($V$1005:$AE$1005,1,MATCH(COLUMNS($V$1006:AD1006),$V$1006:$AE$1006,0))&gt;=100000), " ",IF(INDEX($V$2:$AE$1001,MATCH(ROWS($O$2:O256),$O$2:$O$1001,0),MATCH(COLUMNS($V$1006:AD1006),$V$1006:$AE$1006,0)), HYPERLINK("#",""), HYPERLINK(CONCATENATE("#Metadata!", ADDRESS(INDEX($Q$2:$Q$1001,MATCH(ROWS($O$2:O256),$O$2:$O$1001,0),0), INDEX($V$1004:$AE$1004,1,MATCH(COLUMNS($V$1006:AD1006),$V$1006:$AE$1006,0)))),"Fix")))</f>
        <v>0</v>
      </c>
      <c r="K256" s="3">
        <f>IF(OR(INDEX($P$2:$P$1001,MATCH(ROWS($O$2:O256),$O$2:$O$1001,0),1)&gt;=100000,INDEX($V$1005:$AE$1005,1,MATCH(COLUMNS($V$1006:AE1006),$V$1006:$AE$1006,0))&gt;=100000), " ",IF(INDEX($V$2:$AE$1001,MATCH(ROWS($O$2:O256),$O$2:$O$1001,0),MATCH(COLUMNS($V$1006:AE1006),$V$1006:$AE$1006,0)), HYPERLINK("#",""), HYPERLINK(CONCATENATE("#Metadata!", ADDRESS(INDEX($Q$2:$Q$1001,MATCH(ROWS($O$2:O256),$O$2:$O$1001,0),0), INDEX($V$1004:$AE$1004,1,MATCH(COLUMNS($V$1006:AE1006),$V$1006:$AE$1006,0)))),"Fix")))</f>
        <v>0</v>
      </c>
      <c r="O256">
        <v>0</v>
      </c>
      <c r="P256">
        <v>0</v>
      </c>
      <c r="Q256">
        <v>0</v>
      </c>
      <c r="R256">
        <f>IF(S256,TRUE,AND(V256:AE256))</f>
        <v>0</v>
      </c>
      <c r="S256">
        <f>COUNTBLANK(Metadata!B256:K256)=COLUMNS(Metadata!B256:K256)</f>
        <v>0</v>
      </c>
      <c r="T256">
        <v>0</v>
      </c>
      <c r="V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W256">
        <f>AND(IF(Metadata!C256="",FALSE,TRUE),exact(Metadata!C256,"animal secretion"))</f>
        <v>0</v>
      </c>
      <c r="X256">
        <f>AND(IF(Metadata!D256="",FALSE,TRUE),exact(Metadata!D256,"saliva"))</f>
        <v>0</v>
      </c>
      <c r="Y256">
        <f>AND(IF(Metadata!E256="",FALSE,TRUE),exact(Metadata!E256,"human-oral"))</f>
        <v>0</v>
      </c>
      <c r="Z256">
        <f>AND(IF(Metadata!F256="",FALSE,TRUE),exact(Metadata!F256,"UBERON:oral cavity"))</f>
        <v>0</v>
      </c>
      <c r="AA256">
        <f>AND(IF(Metadata!G256="",FALSE,TRUE),exact(Metadata!G256,"UBERON:saliva"))</f>
        <v>0</v>
      </c>
      <c r="AB256">
        <f>AND(IF(Metadata!H256="",FALSE,TRUE),exact(Metadata!H256,"UBERON:tongue"))</f>
        <v>0</v>
      </c>
      <c r="AC256">
        <f>AND(IF(Metadata!I256="",FALSE,TRUE),exact(Metadata!I256,"tongue"))</f>
        <v>0</v>
      </c>
      <c r="AD256">
        <f>AND(IF(Metadata!J256="",FALSE,TRUE),exact(Metadata!J256,"human oral metagenome"))</f>
        <v>0</v>
      </c>
      <c r="AE256">
        <f>AND(IF(Metadata!K256="",FALSE,TRUE),exact(Metadata!K256,"447426"))</f>
        <v>0</v>
      </c>
    </row>
    <row r="257" spans="1:31">
      <c r="A257" s="4">
        <f>IF(B257=" "," ",HYPERLINK(CONCATENATE("#metadata!",ADDRESS(INDEX($Q$2:$Q$1001,MATCH(ROWS($O$2:O257),$O$2:$O$1001,0),0),1)),INDEX($T$2:$T$1001,MATCH(ROWS($O$2:O257),$O$2:$O$1001,0),0)))</f>
        <v>0</v>
      </c>
      <c r="B257" s="3">
        <f>IF(OR(INDEX($P$2:$P$1001,MATCH(ROWS($O$2:O257),$O$2:$O$1001,0),1)&gt;=100000,INDEX($V$1005:$AE$1005,1,MATCH(COLUMNS($V$1006:V1006),$V$1006:$AE$1006,0))&gt;=100000), " ",IF(INDEX($V$2:$AE$1001,MATCH(ROWS($O$2:O257),$O$2:$O$1001,0),MATCH(COLUMNS($V$1006:V1006),$V$1006:$AE$1006,0)), HYPERLINK("#",""), HYPERLINK(CONCATENATE("#Metadata!", ADDRESS(INDEX($Q$2:$Q$1001,MATCH(ROWS($O$2:O257),$O$2:$O$1001,0),0), INDEX($V$1004:$AE$1004,1,MATCH(COLUMNS($V$1006:V1006),$V$1006:$AE$1006,0)))),"Fix")))</f>
        <v>0</v>
      </c>
      <c r="C257" s="3">
        <f>IF(OR(INDEX($P$2:$P$1001,MATCH(ROWS($O$2:O257),$O$2:$O$1001,0),1)&gt;=100000,INDEX($V$1005:$AE$1005,1,MATCH(COLUMNS($V$1006:W1006),$V$1006:$AE$1006,0))&gt;=100000), " ",IF(INDEX($V$2:$AE$1001,MATCH(ROWS($O$2:O257),$O$2:$O$1001,0),MATCH(COLUMNS($V$1006:W1006),$V$1006:$AE$1006,0)), HYPERLINK("#",""), HYPERLINK(CONCATENATE("#Metadata!", ADDRESS(INDEX($Q$2:$Q$1001,MATCH(ROWS($O$2:O257),$O$2:$O$1001,0),0), INDEX($V$1004:$AE$1004,1,MATCH(COLUMNS($V$1006:W1006),$V$1006:$AE$1006,0)))),"Fix")))</f>
        <v>0</v>
      </c>
      <c r="D257" s="3">
        <f>IF(OR(INDEX($P$2:$P$1001,MATCH(ROWS($O$2:O257),$O$2:$O$1001,0),1)&gt;=100000,INDEX($V$1005:$AE$1005,1,MATCH(COLUMNS($V$1006:X1006),$V$1006:$AE$1006,0))&gt;=100000), " ",IF(INDEX($V$2:$AE$1001,MATCH(ROWS($O$2:O257),$O$2:$O$1001,0),MATCH(COLUMNS($V$1006:X1006),$V$1006:$AE$1006,0)), HYPERLINK("#",""), HYPERLINK(CONCATENATE("#Metadata!", ADDRESS(INDEX($Q$2:$Q$1001,MATCH(ROWS($O$2:O257),$O$2:$O$1001,0),0), INDEX($V$1004:$AE$1004,1,MATCH(COLUMNS($V$1006:X1006),$V$1006:$AE$1006,0)))),"Fix")))</f>
        <v>0</v>
      </c>
      <c r="E257" s="3">
        <f>IF(OR(INDEX($P$2:$P$1001,MATCH(ROWS($O$2:O257),$O$2:$O$1001,0),1)&gt;=100000,INDEX($V$1005:$AE$1005,1,MATCH(COLUMNS($V$1006:Y1006),$V$1006:$AE$1006,0))&gt;=100000), " ",IF(INDEX($V$2:$AE$1001,MATCH(ROWS($O$2:O257),$O$2:$O$1001,0),MATCH(COLUMNS($V$1006:Y1006),$V$1006:$AE$1006,0)), HYPERLINK("#",""), HYPERLINK(CONCATENATE("#Metadata!", ADDRESS(INDEX($Q$2:$Q$1001,MATCH(ROWS($O$2:O257),$O$2:$O$1001,0),0), INDEX($V$1004:$AE$1004,1,MATCH(COLUMNS($V$1006:Y1006),$V$1006:$AE$1006,0)))),"Fix")))</f>
        <v>0</v>
      </c>
      <c r="F257" s="3">
        <f>IF(OR(INDEX($P$2:$P$1001,MATCH(ROWS($O$2:O257),$O$2:$O$1001,0),1)&gt;=100000,INDEX($V$1005:$AE$1005,1,MATCH(COLUMNS($V$1006:Z1006),$V$1006:$AE$1006,0))&gt;=100000), " ",IF(INDEX($V$2:$AE$1001,MATCH(ROWS($O$2:O257),$O$2:$O$1001,0),MATCH(COLUMNS($V$1006:Z1006),$V$1006:$AE$1006,0)), HYPERLINK("#",""), HYPERLINK(CONCATENATE("#Metadata!", ADDRESS(INDEX($Q$2:$Q$1001,MATCH(ROWS($O$2:O257),$O$2:$O$1001,0),0), INDEX($V$1004:$AE$1004,1,MATCH(COLUMNS($V$1006:Z1006),$V$1006:$AE$1006,0)))),"Fix")))</f>
        <v>0</v>
      </c>
      <c r="G257" s="3">
        <f>IF(OR(INDEX($P$2:$P$1001,MATCH(ROWS($O$2:O257),$O$2:$O$1001,0),1)&gt;=100000,INDEX($V$1005:$AE$1005,1,MATCH(COLUMNS($V$1006:AA1006),$V$1006:$AE$1006,0))&gt;=100000), " ",IF(INDEX($V$2:$AE$1001,MATCH(ROWS($O$2:O257),$O$2:$O$1001,0),MATCH(COLUMNS($V$1006:AA1006),$V$1006:$AE$1006,0)), HYPERLINK("#",""), HYPERLINK(CONCATENATE("#Metadata!", ADDRESS(INDEX($Q$2:$Q$1001,MATCH(ROWS($O$2:O257),$O$2:$O$1001,0),0), INDEX($V$1004:$AE$1004,1,MATCH(COLUMNS($V$1006:AA1006),$V$1006:$AE$1006,0)))),"Fix")))</f>
        <v>0</v>
      </c>
      <c r="H257" s="3">
        <f>IF(OR(INDEX($P$2:$P$1001,MATCH(ROWS($O$2:O257),$O$2:$O$1001,0),1)&gt;=100000,INDEX($V$1005:$AE$1005,1,MATCH(COLUMNS($V$1006:AB1006),$V$1006:$AE$1006,0))&gt;=100000), " ",IF(INDEX($V$2:$AE$1001,MATCH(ROWS($O$2:O257),$O$2:$O$1001,0),MATCH(COLUMNS($V$1006:AB1006),$V$1006:$AE$1006,0)), HYPERLINK("#",""), HYPERLINK(CONCATENATE("#Metadata!", ADDRESS(INDEX($Q$2:$Q$1001,MATCH(ROWS($O$2:O257),$O$2:$O$1001,0),0), INDEX($V$1004:$AE$1004,1,MATCH(COLUMNS($V$1006:AB1006),$V$1006:$AE$1006,0)))),"Fix")))</f>
        <v>0</v>
      </c>
      <c r="I257" s="3">
        <f>IF(OR(INDEX($P$2:$P$1001,MATCH(ROWS($O$2:O257),$O$2:$O$1001,0),1)&gt;=100000,INDEX($V$1005:$AE$1005,1,MATCH(COLUMNS($V$1006:AC1006),$V$1006:$AE$1006,0))&gt;=100000), " ",IF(INDEX($V$2:$AE$1001,MATCH(ROWS($O$2:O257),$O$2:$O$1001,0),MATCH(COLUMNS($V$1006:AC1006),$V$1006:$AE$1006,0)), HYPERLINK("#",""), HYPERLINK(CONCATENATE("#Metadata!", ADDRESS(INDEX($Q$2:$Q$1001,MATCH(ROWS($O$2:O257),$O$2:$O$1001,0),0), INDEX($V$1004:$AE$1004,1,MATCH(COLUMNS($V$1006:AC1006),$V$1006:$AE$1006,0)))),"Fix")))</f>
        <v>0</v>
      </c>
      <c r="J257" s="3">
        <f>IF(OR(INDEX($P$2:$P$1001,MATCH(ROWS($O$2:O257),$O$2:$O$1001,0),1)&gt;=100000,INDEX($V$1005:$AE$1005,1,MATCH(COLUMNS($V$1006:AD1006),$V$1006:$AE$1006,0))&gt;=100000), " ",IF(INDEX($V$2:$AE$1001,MATCH(ROWS($O$2:O257),$O$2:$O$1001,0),MATCH(COLUMNS($V$1006:AD1006),$V$1006:$AE$1006,0)), HYPERLINK("#",""), HYPERLINK(CONCATENATE("#Metadata!", ADDRESS(INDEX($Q$2:$Q$1001,MATCH(ROWS($O$2:O257),$O$2:$O$1001,0),0), INDEX($V$1004:$AE$1004,1,MATCH(COLUMNS($V$1006:AD1006),$V$1006:$AE$1006,0)))),"Fix")))</f>
        <v>0</v>
      </c>
      <c r="K257" s="3">
        <f>IF(OR(INDEX($P$2:$P$1001,MATCH(ROWS($O$2:O257),$O$2:$O$1001,0),1)&gt;=100000,INDEX($V$1005:$AE$1005,1,MATCH(COLUMNS($V$1006:AE1006),$V$1006:$AE$1006,0))&gt;=100000), " ",IF(INDEX($V$2:$AE$1001,MATCH(ROWS($O$2:O257),$O$2:$O$1001,0),MATCH(COLUMNS($V$1006:AE1006),$V$1006:$AE$1006,0)), HYPERLINK("#",""), HYPERLINK(CONCATENATE("#Metadata!", ADDRESS(INDEX($Q$2:$Q$1001,MATCH(ROWS($O$2:O257),$O$2:$O$1001,0),0), INDEX($V$1004:$AE$1004,1,MATCH(COLUMNS($V$1006:AE1006),$V$1006:$AE$1006,0)))),"Fix")))</f>
        <v>0</v>
      </c>
      <c r="O257">
        <v>0</v>
      </c>
      <c r="P257">
        <v>0</v>
      </c>
      <c r="Q257">
        <v>0</v>
      </c>
      <c r="R257">
        <f>IF(S257,TRUE,AND(V257:AE257))</f>
        <v>0</v>
      </c>
      <c r="S257">
        <f>COUNTBLANK(Metadata!B257:K257)=COLUMNS(Metadata!B257:K257)</f>
        <v>0</v>
      </c>
      <c r="T257">
        <v>0</v>
      </c>
      <c r="V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W257">
        <f>AND(IF(Metadata!C257="",FALSE,TRUE),exact(Metadata!C257,"animal secretion"))</f>
        <v>0</v>
      </c>
      <c r="X257">
        <f>AND(IF(Metadata!D257="",FALSE,TRUE),exact(Metadata!D257,"saliva"))</f>
        <v>0</v>
      </c>
      <c r="Y257">
        <f>AND(IF(Metadata!E257="",FALSE,TRUE),exact(Metadata!E257,"human-oral"))</f>
        <v>0</v>
      </c>
      <c r="Z257">
        <f>AND(IF(Metadata!F257="",FALSE,TRUE),exact(Metadata!F257,"UBERON:oral cavity"))</f>
        <v>0</v>
      </c>
      <c r="AA257">
        <f>AND(IF(Metadata!G257="",FALSE,TRUE),exact(Metadata!G257,"UBERON:saliva"))</f>
        <v>0</v>
      </c>
      <c r="AB257">
        <f>AND(IF(Metadata!H257="",FALSE,TRUE),exact(Metadata!H257,"UBERON:tongue"))</f>
        <v>0</v>
      </c>
      <c r="AC257">
        <f>AND(IF(Metadata!I257="",FALSE,TRUE),exact(Metadata!I257,"tongue"))</f>
        <v>0</v>
      </c>
      <c r="AD257">
        <f>AND(IF(Metadata!J257="",FALSE,TRUE),exact(Metadata!J257,"human oral metagenome"))</f>
        <v>0</v>
      </c>
      <c r="AE257">
        <f>AND(IF(Metadata!K257="",FALSE,TRUE),exact(Metadata!K257,"447426"))</f>
        <v>0</v>
      </c>
    </row>
    <row r="258" spans="1:31">
      <c r="A258" s="4">
        <f>IF(B258=" "," ",HYPERLINK(CONCATENATE("#metadata!",ADDRESS(INDEX($Q$2:$Q$1001,MATCH(ROWS($O$2:O258),$O$2:$O$1001,0),0),1)),INDEX($T$2:$T$1001,MATCH(ROWS($O$2:O258),$O$2:$O$1001,0),0)))</f>
        <v>0</v>
      </c>
      <c r="B258" s="3">
        <f>IF(OR(INDEX($P$2:$P$1001,MATCH(ROWS($O$2:O258),$O$2:$O$1001,0),1)&gt;=100000,INDEX($V$1005:$AE$1005,1,MATCH(COLUMNS($V$1006:V1006),$V$1006:$AE$1006,0))&gt;=100000), " ",IF(INDEX($V$2:$AE$1001,MATCH(ROWS($O$2:O258),$O$2:$O$1001,0),MATCH(COLUMNS($V$1006:V1006),$V$1006:$AE$1006,0)), HYPERLINK("#",""), HYPERLINK(CONCATENATE("#Metadata!", ADDRESS(INDEX($Q$2:$Q$1001,MATCH(ROWS($O$2:O258),$O$2:$O$1001,0),0), INDEX($V$1004:$AE$1004,1,MATCH(COLUMNS($V$1006:V1006),$V$1006:$AE$1006,0)))),"Fix")))</f>
        <v>0</v>
      </c>
      <c r="C258" s="3">
        <f>IF(OR(INDEX($P$2:$P$1001,MATCH(ROWS($O$2:O258),$O$2:$O$1001,0),1)&gt;=100000,INDEX($V$1005:$AE$1005,1,MATCH(COLUMNS($V$1006:W1006),$V$1006:$AE$1006,0))&gt;=100000), " ",IF(INDEX($V$2:$AE$1001,MATCH(ROWS($O$2:O258),$O$2:$O$1001,0),MATCH(COLUMNS($V$1006:W1006),$V$1006:$AE$1006,0)), HYPERLINK("#",""), HYPERLINK(CONCATENATE("#Metadata!", ADDRESS(INDEX($Q$2:$Q$1001,MATCH(ROWS($O$2:O258),$O$2:$O$1001,0),0), INDEX($V$1004:$AE$1004,1,MATCH(COLUMNS($V$1006:W1006),$V$1006:$AE$1006,0)))),"Fix")))</f>
        <v>0</v>
      </c>
      <c r="D258" s="3">
        <f>IF(OR(INDEX($P$2:$P$1001,MATCH(ROWS($O$2:O258),$O$2:$O$1001,0),1)&gt;=100000,INDEX($V$1005:$AE$1005,1,MATCH(COLUMNS($V$1006:X1006),$V$1006:$AE$1006,0))&gt;=100000), " ",IF(INDEX($V$2:$AE$1001,MATCH(ROWS($O$2:O258),$O$2:$O$1001,0),MATCH(COLUMNS($V$1006:X1006),$V$1006:$AE$1006,0)), HYPERLINK("#",""), HYPERLINK(CONCATENATE("#Metadata!", ADDRESS(INDEX($Q$2:$Q$1001,MATCH(ROWS($O$2:O258),$O$2:$O$1001,0),0), INDEX($V$1004:$AE$1004,1,MATCH(COLUMNS($V$1006:X1006),$V$1006:$AE$1006,0)))),"Fix")))</f>
        <v>0</v>
      </c>
      <c r="E258" s="3">
        <f>IF(OR(INDEX($P$2:$P$1001,MATCH(ROWS($O$2:O258),$O$2:$O$1001,0),1)&gt;=100000,INDEX($V$1005:$AE$1005,1,MATCH(COLUMNS($V$1006:Y1006),$V$1006:$AE$1006,0))&gt;=100000), " ",IF(INDEX($V$2:$AE$1001,MATCH(ROWS($O$2:O258),$O$2:$O$1001,0),MATCH(COLUMNS($V$1006:Y1006),$V$1006:$AE$1006,0)), HYPERLINK("#",""), HYPERLINK(CONCATENATE("#Metadata!", ADDRESS(INDEX($Q$2:$Q$1001,MATCH(ROWS($O$2:O258),$O$2:$O$1001,0),0), INDEX($V$1004:$AE$1004,1,MATCH(COLUMNS($V$1006:Y1006),$V$1006:$AE$1006,0)))),"Fix")))</f>
        <v>0</v>
      </c>
      <c r="F258" s="3">
        <f>IF(OR(INDEX($P$2:$P$1001,MATCH(ROWS($O$2:O258),$O$2:$O$1001,0),1)&gt;=100000,INDEX($V$1005:$AE$1005,1,MATCH(COLUMNS($V$1006:Z1006),$V$1006:$AE$1006,0))&gt;=100000), " ",IF(INDEX($V$2:$AE$1001,MATCH(ROWS($O$2:O258),$O$2:$O$1001,0),MATCH(COLUMNS($V$1006:Z1006),$V$1006:$AE$1006,0)), HYPERLINK("#",""), HYPERLINK(CONCATENATE("#Metadata!", ADDRESS(INDEX($Q$2:$Q$1001,MATCH(ROWS($O$2:O258),$O$2:$O$1001,0),0), INDEX($V$1004:$AE$1004,1,MATCH(COLUMNS($V$1006:Z1006),$V$1006:$AE$1006,0)))),"Fix")))</f>
        <v>0</v>
      </c>
      <c r="G258" s="3">
        <f>IF(OR(INDEX($P$2:$P$1001,MATCH(ROWS($O$2:O258),$O$2:$O$1001,0),1)&gt;=100000,INDEX($V$1005:$AE$1005,1,MATCH(COLUMNS($V$1006:AA1006),$V$1006:$AE$1006,0))&gt;=100000), " ",IF(INDEX($V$2:$AE$1001,MATCH(ROWS($O$2:O258),$O$2:$O$1001,0),MATCH(COLUMNS($V$1006:AA1006),$V$1006:$AE$1006,0)), HYPERLINK("#",""), HYPERLINK(CONCATENATE("#Metadata!", ADDRESS(INDEX($Q$2:$Q$1001,MATCH(ROWS($O$2:O258),$O$2:$O$1001,0),0), INDEX($V$1004:$AE$1004,1,MATCH(COLUMNS($V$1006:AA1006),$V$1006:$AE$1006,0)))),"Fix")))</f>
        <v>0</v>
      </c>
      <c r="H258" s="3">
        <f>IF(OR(INDEX($P$2:$P$1001,MATCH(ROWS($O$2:O258),$O$2:$O$1001,0),1)&gt;=100000,INDEX($V$1005:$AE$1005,1,MATCH(COLUMNS($V$1006:AB1006),$V$1006:$AE$1006,0))&gt;=100000), " ",IF(INDEX($V$2:$AE$1001,MATCH(ROWS($O$2:O258),$O$2:$O$1001,0),MATCH(COLUMNS($V$1006:AB1006),$V$1006:$AE$1006,0)), HYPERLINK("#",""), HYPERLINK(CONCATENATE("#Metadata!", ADDRESS(INDEX($Q$2:$Q$1001,MATCH(ROWS($O$2:O258),$O$2:$O$1001,0),0), INDEX($V$1004:$AE$1004,1,MATCH(COLUMNS($V$1006:AB1006),$V$1006:$AE$1006,0)))),"Fix")))</f>
        <v>0</v>
      </c>
      <c r="I258" s="3">
        <f>IF(OR(INDEX($P$2:$P$1001,MATCH(ROWS($O$2:O258),$O$2:$O$1001,0),1)&gt;=100000,INDEX($V$1005:$AE$1005,1,MATCH(COLUMNS($V$1006:AC1006),$V$1006:$AE$1006,0))&gt;=100000), " ",IF(INDEX($V$2:$AE$1001,MATCH(ROWS($O$2:O258),$O$2:$O$1001,0),MATCH(COLUMNS($V$1006:AC1006),$V$1006:$AE$1006,0)), HYPERLINK("#",""), HYPERLINK(CONCATENATE("#Metadata!", ADDRESS(INDEX($Q$2:$Q$1001,MATCH(ROWS($O$2:O258),$O$2:$O$1001,0),0), INDEX($V$1004:$AE$1004,1,MATCH(COLUMNS($V$1006:AC1006),$V$1006:$AE$1006,0)))),"Fix")))</f>
        <v>0</v>
      </c>
      <c r="J258" s="3">
        <f>IF(OR(INDEX($P$2:$P$1001,MATCH(ROWS($O$2:O258),$O$2:$O$1001,0),1)&gt;=100000,INDEX($V$1005:$AE$1005,1,MATCH(COLUMNS($V$1006:AD1006),$V$1006:$AE$1006,0))&gt;=100000), " ",IF(INDEX($V$2:$AE$1001,MATCH(ROWS($O$2:O258),$O$2:$O$1001,0),MATCH(COLUMNS($V$1006:AD1006),$V$1006:$AE$1006,0)), HYPERLINK("#",""), HYPERLINK(CONCATENATE("#Metadata!", ADDRESS(INDEX($Q$2:$Q$1001,MATCH(ROWS($O$2:O258),$O$2:$O$1001,0),0), INDEX($V$1004:$AE$1004,1,MATCH(COLUMNS($V$1006:AD1006),$V$1006:$AE$1006,0)))),"Fix")))</f>
        <v>0</v>
      </c>
      <c r="K258" s="3">
        <f>IF(OR(INDEX($P$2:$P$1001,MATCH(ROWS($O$2:O258),$O$2:$O$1001,0),1)&gt;=100000,INDEX($V$1005:$AE$1005,1,MATCH(COLUMNS($V$1006:AE1006),$V$1006:$AE$1006,0))&gt;=100000), " ",IF(INDEX($V$2:$AE$1001,MATCH(ROWS($O$2:O258),$O$2:$O$1001,0),MATCH(COLUMNS($V$1006:AE1006),$V$1006:$AE$1006,0)), HYPERLINK("#",""), HYPERLINK(CONCATENATE("#Metadata!", ADDRESS(INDEX($Q$2:$Q$1001,MATCH(ROWS($O$2:O258),$O$2:$O$1001,0),0), INDEX($V$1004:$AE$1004,1,MATCH(COLUMNS($V$1006:AE1006),$V$1006:$AE$1006,0)))),"Fix")))</f>
        <v>0</v>
      </c>
      <c r="O258">
        <v>0</v>
      </c>
      <c r="P258">
        <v>0</v>
      </c>
      <c r="Q258">
        <v>0</v>
      </c>
      <c r="R258">
        <f>IF(S258,TRUE,AND(V258:AE258))</f>
        <v>0</v>
      </c>
      <c r="S258">
        <f>COUNTBLANK(Metadata!B258:K258)=COLUMNS(Metadata!B258:K258)</f>
        <v>0</v>
      </c>
      <c r="T258">
        <v>0</v>
      </c>
      <c r="V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W258">
        <f>AND(IF(Metadata!C258="",FALSE,TRUE),exact(Metadata!C258,"animal secretion"))</f>
        <v>0</v>
      </c>
      <c r="X258">
        <f>AND(IF(Metadata!D258="",FALSE,TRUE),exact(Metadata!D258,"saliva"))</f>
        <v>0</v>
      </c>
      <c r="Y258">
        <f>AND(IF(Metadata!E258="",FALSE,TRUE),exact(Metadata!E258,"human-oral"))</f>
        <v>0</v>
      </c>
      <c r="Z258">
        <f>AND(IF(Metadata!F258="",FALSE,TRUE),exact(Metadata!F258,"UBERON:oral cavity"))</f>
        <v>0</v>
      </c>
      <c r="AA258">
        <f>AND(IF(Metadata!G258="",FALSE,TRUE),exact(Metadata!G258,"UBERON:saliva"))</f>
        <v>0</v>
      </c>
      <c r="AB258">
        <f>AND(IF(Metadata!H258="",FALSE,TRUE),exact(Metadata!H258,"UBERON:tongue"))</f>
        <v>0</v>
      </c>
      <c r="AC258">
        <f>AND(IF(Metadata!I258="",FALSE,TRUE),exact(Metadata!I258,"tongue"))</f>
        <v>0</v>
      </c>
      <c r="AD258">
        <f>AND(IF(Metadata!J258="",FALSE,TRUE),exact(Metadata!J258,"human oral metagenome"))</f>
        <v>0</v>
      </c>
      <c r="AE258">
        <f>AND(IF(Metadata!K258="",FALSE,TRUE),exact(Metadata!K258,"447426"))</f>
        <v>0</v>
      </c>
    </row>
    <row r="259" spans="1:31">
      <c r="A259" s="4">
        <f>IF(B259=" "," ",HYPERLINK(CONCATENATE("#metadata!",ADDRESS(INDEX($Q$2:$Q$1001,MATCH(ROWS($O$2:O259),$O$2:$O$1001,0),0),1)),INDEX($T$2:$T$1001,MATCH(ROWS($O$2:O259),$O$2:$O$1001,0),0)))</f>
        <v>0</v>
      </c>
      <c r="B259" s="3">
        <f>IF(OR(INDEX($P$2:$P$1001,MATCH(ROWS($O$2:O259),$O$2:$O$1001,0),1)&gt;=100000,INDEX($V$1005:$AE$1005,1,MATCH(COLUMNS($V$1006:V1006),$V$1006:$AE$1006,0))&gt;=100000), " ",IF(INDEX($V$2:$AE$1001,MATCH(ROWS($O$2:O259),$O$2:$O$1001,0),MATCH(COLUMNS($V$1006:V1006),$V$1006:$AE$1006,0)), HYPERLINK("#",""), HYPERLINK(CONCATENATE("#Metadata!", ADDRESS(INDEX($Q$2:$Q$1001,MATCH(ROWS($O$2:O259),$O$2:$O$1001,0),0), INDEX($V$1004:$AE$1004,1,MATCH(COLUMNS($V$1006:V1006),$V$1006:$AE$1006,0)))),"Fix")))</f>
        <v>0</v>
      </c>
      <c r="C259" s="3">
        <f>IF(OR(INDEX($P$2:$P$1001,MATCH(ROWS($O$2:O259),$O$2:$O$1001,0),1)&gt;=100000,INDEX($V$1005:$AE$1005,1,MATCH(COLUMNS($V$1006:W1006),$V$1006:$AE$1006,0))&gt;=100000), " ",IF(INDEX($V$2:$AE$1001,MATCH(ROWS($O$2:O259),$O$2:$O$1001,0),MATCH(COLUMNS($V$1006:W1006),$V$1006:$AE$1006,0)), HYPERLINK("#",""), HYPERLINK(CONCATENATE("#Metadata!", ADDRESS(INDEX($Q$2:$Q$1001,MATCH(ROWS($O$2:O259),$O$2:$O$1001,0),0), INDEX($V$1004:$AE$1004,1,MATCH(COLUMNS($V$1006:W1006),$V$1006:$AE$1006,0)))),"Fix")))</f>
        <v>0</v>
      </c>
      <c r="D259" s="3">
        <f>IF(OR(INDEX($P$2:$P$1001,MATCH(ROWS($O$2:O259),$O$2:$O$1001,0),1)&gt;=100000,INDEX($V$1005:$AE$1005,1,MATCH(COLUMNS($V$1006:X1006),$V$1006:$AE$1006,0))&gt;=100000), " ",IF(INDEX($V$2:$AE$1001,MATCH(ROWS($O$2:O259),$O$2:$O$1001,0),MATCH(COLUMNS($V$1006:X1006),$V$1006:$AE$1006,0)), HYPERLINK("#",""), HYPERLINK(CONCATENATE("#Metadata!", ADDRESS(INDEX($Q$2:$Q$1001,MATCH(ROWS($O$2:O259),$O$2:$O$1001,0),0), INDEX($V$1004:$AE$1004,1,MATCH(COLUMNS($V$1006:X1006),$V$1006:$AE$1006,0)))),"Fix")))</f>
        <v>0</v>
      </c>
      <c r="E259" s="3">
        <f>IF(OR(INDEX($P$2:$P$1001,MATCH(ROWS($O$2:O259),$O$2:$O$1001,0),1)&gt;=100000,INDEX($V$1005:$AE$1005,1,MATCH(COLUMNS($V$1006:Y1006),$V$1006:$AE$1006,0))&gt;=100000), " ",IF(INDEX($V$2:$AE$1001,MATCH(ROWS($O$2:O259),$O$2:$O$1001,0),MATCH(COLUMNS($V$1006:Y1006),$V$1006:$AE$1006,0)), HYPERLINK("#",""), HYPERLINK(CONCATENATE("#Metadata!", ADDRESS(INDEX($Q$2:$Q$1001,MATCH(ROWS($O$2:O259),$O$2:$O$1001,0),0), INDEX($V$1004:$AE$1004,1,MATCH(COLUMNS($V$1006:Y1006),$V$1006:$AE$1006,0)))),"Fix")))</f>
        <v>0</v>
      </c>
      <c r="F259" s="3">
        <f>IF(OR(INDEX($P$2:$P$1001,MATCH(ROWS($O$2:O259),$O$2:$O$1001,0),1)&gt;=100000,INDEX($V$1005:$AE$1005,1,MATCH(COLUMNS($V$1006:Z1006),$V$1006:$AE$1006,0))&gt;=100000), " ",IF(INDEX($V$2:$AE$1001,MATCH(ROWS($O$2:O259),$O$2:$O$1001,0),MATCH(COLUMNS($V$1006:Z1006),$V$1006:$AE$1006,0)), HYPERLINK("#",""), HYPERLINK(CONCATENATE("#Metadata!", ADDRESS(INDEX($Q$2:$Q$1001,MATCH(ROWS($O$2:O259),$O$2:$O$1001,0),0), INDEX($V$1004:$AE$1004,1,MATCH(COLUMNS($V$1006:Z1006),$V$1006:$AE$1006,0)))),"Fix")))</f>
        <v>0</v>
      </c>
      <c r="G259" s="3">
        <f>IF(OR(INDEX($P$2:$P$1001,MATCH(ROWS($O$2:O259),$O$2:$O$1001,0),1)&gt;=100000,INDEX($V$1005:$AE$1005,1,MATCH(COLUMNS($V$1006:AA1006),$V$1006:$AE$1006,0))&gt;=100000), " ",IF(INDEX($V$2:$AE$1001,MATCH(ROWS($O$2:O259),$O$2:$O$1001,0),MATCH(COLUMNS($V$1006:AA1006),$V$1006:$AE$1006,0)), HYPERLINK("#",""), HYPERLINK(CONCATENATE("#Metadata!", ADDRESS(INDEX($Q$2:$Q$1001,MATCH(ROWS($O$2:O259),$O$2:$O$1001,0),0), INDEX($V$1004:$AE$1004,1,MATCH(COLUMNS($V$1006:AA1006),$V$1006:$AE$1006,0)))),"Fix")))</f>
        <v>0</v>
      </c>
      <c r="H259" s="3">
        <f>IF(OR(INDEX($P$2:$P$1001,MATCH(ROWS($O$2:O259),$O$2:$O$1001,0),1)&gt;=100000,INDEX($V$1005:$AE$1005,1,MATCH(COLUMNS($V$1006:AB1006),$V$1006:$AE$1006,0))&gt;=100000), " ",IF(INDEX($V$2:$AE$1001,MATCH(ROWS($O$2:O259),$O$2:$O$1001,0),MATCH(COLUMNS($V$1006:AB1006),$V$1006:$AE$1006,0)), HYPERLINK("#",""), HYPERLINK(CONCATENATE("#Metadata!", ADDRESS(INDEX($Q$2:$Q$1001,MATCH(ROWS($O$2:O259),$O$2:$O$1001,0),0), INDEX($V$1004:$AE$1004,1,MATCH(COLUMNS($V$1006:AB1006),$V$1006:$AE$1006,0)))),"Fix")))</f>
        <v>0</v>
      </c>
      <c r="I259" s="3">
        <f>IF(OR(INDEX($P$2:$P$1001,MATCH(ROWS($O$2:O259),$O$2:$O$1001,0),1)&gt;=100000,INDEX($V$1005:$AE$1005,1,MATCH(COLUMNS($V$1006:AC1006),$V$1006:$AE$1006,0))&gt;=100000), " ",IF(INDEX($V$2:$AE$1001,MATCH(ROWS($O$2:O259),$O$2:$O$1001,0),MATCH(COLUMNS($V$1006:AC1006),$V$1006:$AE$1006,0)), HYPERLINK("#",""), HYPERLINK(CONCATENATE("#Metadata!", ADDRESS(INDEX($Q$2:$Q$1001,MATCH(ROWS($O$2:O259),$O$2:$O$1001,0),0), INDEX($V$1004:$AE$1004,1,MATCH(COLUMNS($V$1006:AC1006),$V$1006:$AE$1006,0)))),"Fix")))</f>
        <v>0</v>
      </c>
      <c r="J259" s="3">
        <f>IF(OR(INDEX($P$2:$P$1001,MATCH(ROWS($O$2:O259),$O$2:$O$1001,0),1)&gt;=100000,INDEX($V$1005:$AE$1005,1,MATCH(COLUMNS($V$1006:AD1006),$V$1006:$AE$1006,0))&gt;=100000), " ",IF(INDEX($V$2:$AE$1001,MATCH(ROWS($O$2:O259),$O$2:$O$1001,0),MATCH(COLUMNS($V$1006:AD1006),$V$1006:$AE$1006,0)), HYPERLINK("#",""), HYPERLINK(CONCATENATE("#Metadata!", ADDRESS(INDEX($Q$2:$Q$1001,MATCH(ROWS($O$2:O259),$O$2:$O$1001,0),0), INDEX($V$1004:$AE$1004,1,MATCH(COLUMNS($V$1006:AD1006),$V$1006:$AE$1006,0)))),"Fix")))</f>
        <v>0</v>
      </c>
      <c r="K259" s="3">
        <f>IF(OR(INDEX($P$2:$P$1001,MATCH(ROWS($O$2:O259),$O$2:$O$1001,0),1)&gt;=100000,INDEX($V$1005:$AE$1005,1,MATCH(COLUMNS($V$1006:AE1006),$V$1006:$AE$1006,0))&gt;=100000), " ",IF(INDEX($V$2:$AE$1001,MATCH(ROWS($O$2:O259),$O$2:$O$1001,0),MATCH(COLUMNS($V$1006:AE1006),$V$1006:$AE$1006,0)), HYPERLINK("#",""), HYPERLINK(CONCATENATE("#Metadata!", ADDRESS(INDEX($Q$2:$Q$1001,MATCH(ROWS($O$2:O259),$O$2:$O$1001,0),0), INDEX($V$1004:$AE$1004,1,MATCH(COLUMNS($V$1006:AE1006),$V$1006:$AE$1006,0)))),"Fix")))</f>
        <v>0</v>
      </c>
      <c r="O259">
        <v>0</v>
      </c>
      <c r="P259">
        <v>0</v>
      </c>
      <c r="Q259">
        <v>0</v>
      </c>
      <c r="R259">
        <f>IF(S259,TRUE,AND(V259:AE259))</f>
        <v>0</v>
      </c>
      <c r="S259">
        <f>COUNTBLANK(Metadata!B259:K259)=COLUMNS(Metadata!B259:K259)</f>
        <v>0</v>
      </c>
      <c r="T259">
        <v>0</v>
      </c>
      <c r="V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W259">
        <f>AND(IF(Metadata!C259="",FALSE,TRUE),exact(Metadata!C259,"animal secretion"))</f>
        <v>0</v>
      </c>
      <c r="X259">
        <f>AND(IF(Metadata!D259="",FALSE,TRUE),exact(Metadata!D259,"saliva"))</f>
        <v>0</v>
      </c>
      <c r="Y259">
        <f>AND(IF(Metadata!E259="",FALSE,TRUE),exact(Metadata!E259,"human-oral"))</f>
        <v>0</v>
      </c>
      <c r="Z259">
        <f>AND(IF(Metadata!F259="",FALSE,TRUE),exact(Metadata!F259,"UBERON:oral cavity"))</f>
        <v>0</v>
      </c>
      <c r="AA259">
        <f>AND(IF(Metadata!G259="",FALSE,TRUE),exact(Metadata!G259,"UBERON:saliva"))</f>
        <v>0</v>
      </c>
      <c r="AB259">
        <f>AND(IF(Metadata!H259="",FALSE,TRUE),exact(Metadata!H259,"UBERON:tongue"))</f>
        <v>0</v>
      </c>
      <c r="AC259">
        <f>AND(IF(Metadata!I259="",FALSE,TRUE),exact(Metadata!I259,"tongue"))</f>
        <v>0</v>
      </c>
      <c r="AD259">
        <f>AND(IF(Metadata!J259="",FALSE,TRUE),exact(Metadata!J259,"human oral metagenome"))</f>
        <v>0</v>
      </c>
      <c r="AE259">
        <f>AND(IF(Metadata!K259="",FALSE,TRUE),exact(Metadata!K259,"447426"))</f>
        <v>0</v>
      </c>
    </row>
    <row r="260" spans="1:31">
      <c r="A260" s="4">
        <f>IF(B260=" "," ",HYPERLINK(CONCATENATE("#metadata!",ADDRESS(INDEX($Q$2:$Q$1001,MATCH(ROWS($O$2:O260),$O$2:$O$1001,0),0),1)),INDEX($T$2:$T$1001,MATCH(ROWS($O$2:O260),$O$2:$O$1001,0),0)))</f>
        <v>0</v>
      </c>
      <c r="B260" s="3">
        <f>IF(OR(INDEX($P$2:$P$1001,MATCH(ROWS($O$2:O260),$O$2:$O$1001,0),1)&gt;=100000,INDEX($V$1005:$AE$1005,1,MATCH(COLUMNS($V$1006:V1006),$V$1006:$AE$1006,0))&gt;=100000), " ",IF(INDEX($V$2:$AE$1001,MATCH(ROWS($O$2:O260),$O$2:$O$1001,0),MATCH(COLUMNS($V$1006:V1006),$V$1006:$AE$1006,0)), HYPERLINK("#",""), HYPERLINK(CONCATENATE("#Metadata!", ADDRESS(INDEX($Q$2:$Q$1001,MATCH(ROWS($O$2:O260),$O$2:$O$1001,0),0), INDEX($V$1004:$AE$1004,1,MATCH(COLUMNS($V$1006:V1006),$V$1006:$AE$1006,0)))),"Fix")))</f>
        <v>0</v>
      </c>
      <c r="C260" s="3">
        <f>IF(OR(INDEX($P$2:$P$1001,MATCH(ROWS($O$2:O260),$O$2:$O$1001,0),1)&gt;=100000,INDEX($V$1005:$AE$1005,1,MATCH(COLUMNS($V$1006:W1006),$V$1006:$AE$1006,0))&gt;=100000), " ",IF(INDEX($V$2:$AE$1001,MATCH(ROWS($O$2:O260),$O$2:$O$1001,0),MATCH(COLUMNS($V$1006:W1006),$V$1006:$AE$1006,0)), HYPERLINK("#",""), HYPERLINK(CONCATENATE("#Metadata!", ADDRESS(INDEX($Q$2:$Q$1001,MATCH(ROWS($O$2:O260),$O$2:$O$1001,0),0), INDEX($V$1004:$AE$1004,1,MATCH(COLUMNS($V$1006:W1006),$V$1006:$AE$1006,0)))),"Fix")))</f>
        <v>0</v>
      </c>
      <c r="D260" s="3">
        <f>IF(OR(INDEX($P$2:$P$1001,MATCH(ROWS($O$2:O260),$O$2:$O$1001,0),1)&gt;=100000,INDEX($V$1005:$AE$1005,1,MATCH(COLUMNS($V$1006:X1006),$V$1006:$AE$1006,0))&gt;=100000), " ",IF(INDEX($V$2:$AE$1001,MATCH(ROWS($O$2:O260),$O$2:$O$1001,0),MATCH(COLUMNS($V$1006:X1006),$V$1006:$AE$1006,0)), HYPERLINK("#",""), HYPERLINK(CONCATENATE("#Metadata!", ADDRESS(INDEX($Q$2:$Q$1001,MATCH(ROWS($O$2:O260),$O$2:$O$1001,0),0), INDEX($V$1004:$AE$1004,1,MATCH(COLUMNS($V$1006:X1006),$V$1006:$AE$1006,0)))),"Fix")))</f>
        <v>0</v>
      </c>
      <c r="E260" s="3">
        <f>IF(OR(INDEX($P$2:$P$1001,MATCH(ROWS($O$2:O260),$O$2:$O$1001,0),1)&gt;=100000,INDEX($V$1005:$AE$1005,1,MATCH(COLUMNS($V$1006:Y1006),$V$1006:$AE$1006,0))&gt;=100000), " ",IF(INDEX($V$2:$AE$1001,MATCH(ROWS($O$2:O260),$O$2:$O$1001,0),MATCH(COLUMNS($V$1006:Y1006),$V$1006:$AE$1006,0)), HYPERLINK("#",""), HYPERLINK(CONCATENATE("#Metadata!", ADDRESS(INDEX($Q$2:$Q$1001,MATCH(ROWS($O$2:O260),$O$2:$O$1001,0),0), INDEX($V$1004:$AE$1004,1,MATCH(COLUMNS($V$1006:Y1006),$V$1006:$AE$1006,0)))),"Fix")))</f>
        <v>0</v>
      </c>
      <c r="F260" s="3">
        <f>IF(OR(INDEX($P$2:$P$1001,MATCH(ROWS($O$2:O260),$O$2:$O$1001,0),1)&gt;=100000,INDEX($V$1005:$AE$1005,1,MATCH(COLUMNS($V$1006:Z1006),$V$1006:$AE$1006,0))&gt;=100000), " ",IF(INDEX($V$2:$AE$1001,MATCH(ROWS($O$2:O260),$O$2:$O$1001,0),MATCH(COLUMNS($V$1006:Z1006),$V$1006:$AE$1006,0)), HYPERLINK("#",""), HYPERLINK(CONCATENATE("#Metadata!", ADDRESS(INDEX($Q$2:$Q$1001,MATCH(ROWS($O$2:O260),$O$2:$O$1001,0),0), INDEX($V$1004:$AE$1004,1,MATCH(COLUMNS($V$1006:Z1006),$V$1006:$AE$1006,0)))),"Fix")))</f>
        <v>0</v>
      </c>
      <c r="G260" s="3">
        <f>IF(OR(INDEX($P$2:$P$1001,MATCH(ROWS($O$2:O260),$O$2:$O$1001,0),1)&gt;=100000,INDEX($V$1005:$AE$1005,1,MATCH(COLUMNS($V$1006:AA1006),$V$1006:$AE$1006,0))&gt;=100000), " ",IF(INDEX($V$2:$AE$1001,MATCH(ROWS($O$2:O260),$O$2:$O$1001,0),MATCH(COLUMNS($V$1006:AA1006),$V$1006:$AE$1006,0)), HYPERLINK("#",""), HYPERLINK(CONCATENATE("#Metadata!", ADDRESS(INDEX($Q$2:$Q$1001,MATCH(ROWS($O$2:O260),$O$2:$O$1001,0),0), INDEX($V$1004:$AE$1004,1,MATCH(COLUMNS($V$1006:AA1006),$V$1006:$AE$1006,0)))),"Fix")))</f>
        <v>0</v>
      </c>
      <c r="H260" s="3">
        <f>IF(OR(INDEX($P$2:$P$1001,MATCH(ROWS($O$2:O260),$O$2:$O$1001,0),1)&gt;=100000,INDEX($V$1005:$AE$1005,1,MATCH(COLUMNS($V$1006:AB1006),$V$1006:$AE$1006,0))&gt;=100000), " ",IF(INDEX($V$2:$AE$1001,MATCH(ROWS($O$2:O260),$O$2:$O$1001,0),MATCH(COLUMNS($V$1006:AB1006),$V$1006:$AE$1006,0)), HYPERLINK("#",""), HYPERLINK(CONCATENATE("#Metadata!", ADDRESS(INDEX($Q$2:$Q$1001,MATCH(ROWS($O$2:O260),$O$2:$O$1001,0),0), INDEX($V$1004:$AE$1004,1,MATCH(COLUMNS($V$1006:AB1006),$V$1006:$AE$1006,0)))),"Fix")))</f>
        <v>0</v>
      </c>
      <c r="I260" s="3">
        <f>IF(OR(INDEX($P$2:$P$1001,MATCH(ROWS($O$2:O260),$O$2:$O$1001,0),1)&gt;=100000,INDEX($V$1005:$AE$1005,1,MATCH(COLUMNS($V$1006:AC1006),$V$1006:$AE$1006,0))&gt;=100000), " ",IF(INDEX($V$2:$AE$1001,MATCH(ROWS($O$2:O260),$O$2:$O$1001,0),MATCH(COLUMNS($V$1006:AC1006),$V$1006:$AE$1006,0)), HYPERLINK("#",""), HYPERLINK(CONCATENATE("#Metadata!", ADDRESS(INDEX($Q$2:$Q$1001,MATCH(ROWS($O$2:O260),$O$2:$O$1001,0),0), INDEX($V$1004:$AE$1004,1,MATCH(COLUMNS($V$1006:AC1006),$V$1006:$AE$1006,0)))),"Fix")))</f>
        <v>0</v>
      </c>
      <c r="J260" s="3">
        <f>IF(OR(INDEX($P$2:$P$1001,MATCH(ROWS($O$2:O260),$O$2:$O$1001,0),1)&gt;=100000,INDEX($V$1005:$AE$1005,1,MATCH(COLUMNS($V$1006:AD1006),$V$1006:$AE$1006,0))&gt;=100000), " ",IF(INDEX($V$2:$AE$1001,MATCH(ROWS($O$2:O260),$O$2:$O$1001,0),MATCH(COLUMNS($V$1006:AD1006),$V$1006:$AE$1006,0)), HYPERLINK("#",""), HYPERLINK(CONCATENATE("#Metadata!", ADDRESS(INDEX($Q$2:$Q$1001,MATCH(ROWS($O$2:O260),$O$2:$O$1001,0),0), INDEX($V$1004:$AE$1004,1,MATCH(COLUMNS($V$1006:AD1006),$V$1006:$AE$1006,0)))),"Fix")))</f>
        <v>0</v>
      </c>
      <c r="K260" s="3">
        <f>IF(OR(INDEX($P$2:$P$1001,MATCH(ROWS($O$2:O260),$O$2:$O$1001,0),1)&gt;=100000,INDEX($V$1005:$AE$1005,1,MATCH(COLUMNS($V$1006:AE1006),$V$1006:$AE$1006,0))&gt;=100000), " ",IF(INDEX($V$2:$AE$1001,MATCH(ROWS($O$2:O260),$O$2:$O$1001,0),MATCH(COLUMNS($V$1006:AE1006),$V$1006:$AE$1006,0)), HYPERLINK("#",""), HYPERLINK(CONCATENATE("#Metadata!", ADDRESS(INDEX($Q$2:$Q$1001,MATCH(ROWS($O$2:O260),$O$2:$O$1001,0),0), INDEX($V$1004:$AE$1004,1,MATCH(COLUMNS($V$1006:AE1006),$V$1006:$AE$1006,0)))),"Fix")))</f>
        <v>0</v>
      </c>
      <c r="O260">
        <v>0</v>
      </c>
      <c r="P260">
        <v>0</v>
      </c>
      <c r="Q260">
        <v>0</v>
      </c>
      <c r="R260">
        <f>IF(S260,TRUE,AND(V260:AE260))</f>
        <v>0</v>
      </c>
      <c r="S260">
        <f>COUNTBLANK(Metadata!B260:K260)=COLUMNS(Metadata!B260:K260)</f>
        <v>0</v>
      </c>
      <c r="T260">
        <v>0</v>
      </c>
      <c r="V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W260">
        <f>AND(IF(Metadata!C260="",FALSE,TRUE),exact(Metadata!C260,"animal secretion"))</f>
        <v>0</v>
      </c>
      <c r="X260">
        <f>AND(IF(Metadata!D260="",FALSE,TRUE),exact(Metadata!D260,"saliva"))</f>
        <v>0</v>
      </c>
      <c r="Y260">
        <f>AND(IF(Metadata!E260="",FALSE,TRUE),exact(Metadata!E260,"human-oral"))</f>
        <v>0</v>
      </c>
      <c r="Z260">
        <f>AND(IF(Metadata!F260="",FALSE,TRUE),exact(Metadata!F260,"UBERON:oral cavity"))</f>
        <v>0</v>
      </c>
      <c r="AA260">
        <f>AND(IF(Metadata!G260="",FALSE,TRUE),exact(Metadata!G260,"UBERON:saliva"))</f>
        <v>0</v>
      </c>
      <c r="AB260">
        <f>AND(IF(Metadata!H260="",FALSE,TRUE),exact(Metadata!H260,"UBERON:tongue"))</f>
        <v>0</v>
      </c>
      <c r="AC260">
        <f>AND(IF(Metadata!I260="",FALSE,TRUE),exact(Metadata!I260,"tongue"))</f>
        <v>0</v>
      </c>
      <c r="AD260">
        <f>AND(IF(Metadata!J260="",FALSE,TRUE),exact(Metadata!J260,"human oral metagenome"))</f>
        <v>0</v>
      </c>
      <c r="AE260">
        <f>AND(IF(Metadata!K260="",FALSE,TRUE),exact(Metadata!K260,"447426"))</f>
        <v>0</v>
      </c>
    </row>
    <row r="261" spans="1:31">
      <c r="A261" s="4">
        <f>IF(B261=" "," ",HYPERLINK(CONCATENATE("#metadata!",ADDRESS(INDEX($Q$2:$Q$1001,MATCH(ROWS($O$2:O261),$O$2:$O$1001,0),0),1)),INDEX($T$2:$T$1001,MATCH(ROWS($O$2:O261),$O$2:$O$1001,0),0)))</f>
        <v>0</v>
      </c>
      <c r="B261" s="3">
        <f>IF(OR(INDEX($P$2:$P$1001,MATCH(ROWS($O$2:O261),$O$2:$O$1001,0),1)&gt;=100000,INDEX($V$1005:$AE$1005,1,MATCH(COLUMNS($V$1006:V1006),$V$1006:$AE$1006,0))&gt;=100000), " ",IF(INDEX($V$2:$AE$1001,MATCH(ROWS($O$2:O261),$O$2:$O$1001,0),MATCH(COLUMNS($V$1006:V1006),$V$1006:$AE$1006,0)), HYPERLINK("#",""), HYPERLINK(CONCATENATE("#Metadata!", ADDRESS(INDEX($Q$2:$Q$1001,MATCH(ROWS($O$2:O261),$O$2:$O$1001,0),0), INDEX($V$1004:$AE$1004,1,MATCH(COLUMNS($V$1006:V1006),$V$1006:$AE$1006,0)))),"Fix")))</f>
        <v>0</v>
      </c>
      <c r="C261" s="3">
        <f>IF(OR(INDEX($P$2:$P$1001,MATCH(ROWS($O$2:O261),$O$2:$O$1001,0),1)&gt;=100000,INDEX($V$1005:$AE$1005,1,MATCH(COLUMNS($V$1006:W1006),$V$1006:$AE$1006,0))&gt;=100000), " ",IF(INDEX($V$2:$AE$1001,MATCH(ROWS($O$2:O261),$O$2:$O$1001,0),MATCH(COLUMNS($V$1006:W1006),$V$1006:$AE$1006,0)), HYPERLINK("#",""), HYPERLINK(CONCATENATE("#Metadata!", ADDRESS(INDEX($Q$2:$Q$1001,MATCH(ROWS($O$2:O261),$O$2:$O$1001,0),0), INDEX($V$1004:$AE$1004,1,MATCH(COLUMNS($V$1006:W1006),$V$1006:$AE$1006,0)))),"Fix")))</f>
        <v>0</v>
      </c>
      <c r="D261" s="3">
        <f>IF(OR(INDEX($P$2:$P$1001,MATCH(ROWS($O$2:O261),$O$2:$O$1001,0),1)&gt;=100000,INDEX($V$1005:$AE$1005,1,MATCH(COLUMNS($V$1006:X1006),$V$1006:$AE$1006,0))&gt;=100000), " ",IF(INDEX($V$2:$AE$1001,MATCH(ROWS($O$2:O261),$O$2:$O$1001,0),MATCH(COLUMNS($V$1006:X1006),$V$1006:$AE$1006,0)), HYPERLINK("#",""), HYPERLINK(CONCATENATE("#Metadata!", ADDRESS(INDEX($Q$2:$Q$1001,MATCH(ROWS($O$2:O261),$O$2:$O$1001,0),0), INDEX($V$1004:$AE$1004,1,MATCH(COLUMNS($V$1006:X1006),$V$1006:$AE$1006,0)))),"Fix")))</f>
        <v>0</v>
      </c>
      <c r="E261" s="3">
        <f>IF(OR(INDEX($P$2:$P$1001,MATCH(ROWS($O$2:O261),$O$2:$O$1001,0),1)&gt;=100000,INDEX($V$1005:$AE$1005,1,MATCH(COLUMNS($V$1006:Y1006),$V$1006:$AE$1006,0))&gt;=100000), " ",IF(INDEX($V$2:$AE$1001,MATCH(ROWS($O$2:O261),$O$2:$O$1001,0),MATCH(COLUMNS($V$1006:Y1006),$V$1006:$AE$1006,0)), HYPERLINK("#",""), HYPERLINK(CONCATENATE("#Metadata!", ADDRESS(INDEX($Q$2:$Q$1001,MATCH(ROWS($O$2:O261),$O$2:$O$1001,0),0), INDEX($V$1004:$AE$1004,1,MATCH(COLUMNS($V$1006:Y1006),$V$1006:$AE$1006,0)))),"Fix")))</f>
        <v>0</v>
      </c>
      <c r="F261" s="3">
        <f>IF(OR(INDEX($P$2:$P$1001,MATCH(ROWS($O$2:O261),$O$2:$O$1001,0),1)&gt;=100000,INDEX($V$1005:$AE$1005,1,MATCH(COLUMNS($V$1006:Z1006),$V$1006:$AE$1006,0))&gt;=100000), " ",IF(INDEX($V$2:$AE$1001,MATCH(ROWS($O$2:O261),$O$2:$O$1001,0),MATCH(COLUMNS($V$1006:Z1006),$V$1006:$AE$1006,0)), HYPERLINK("#",""), HYPERLINK(CONCATENATE("#Metadata!", ADDRESS(INDEX($Q$2:$Q$1001,MATCH(ROWS($O$2:O261),$O$2:$O$1001,0),0), INDEX($V$1004:$AE$1004,1,MATCH(COLUMNS($V$1006:Z1006),$V$1006:$AE$1006,0)))),"Fix")))</f>
        <v>0</v>
      </c>
      <c r="G261" s="3">
        <f>IF(OR(INDEX($P$2:$P$1001,MATCH(ROWS($O$2:O261),$O$2:$O$1001,0),1)&gt;=100000,INDEX($V$1005:$AE$1005,1,MATCH(COLUMNS($V$1006:AA1006),$V$1006:$AE$1006,0))&gt;=100000), " ",IF(INDEX($V$2:$AE$1001,MATCH(ROWS($O$2:O261),$O$2:$O$1001,0),MATCH(COLUMNS($V$1006:AA1006),$V$1006:$AE$1006,0)), HYPERLINK("#",""), HYPERLINK(CONCATENATE("#Metadata!", ADDRESS(INDEX($Q$2:$Q$1001,MATCH(ROWS($O$2:O261),$O$2:$O$1001,0),0), INDEX($V$1004:$AE$1004,1,MATCH(COLUMNS($V$1006:AA1006),$V$1006:$AE$1006,0)))),"Fix")))</f>
        <v>0</v>
      </c>
      <c r="H261" s="3">
        <f>IF(OR(INDEX($P$2:$P$1001,MATCH(ROWS($O$2:O261),$O$2:$O$1001,0),1)&gt;=100000,INDEX($V$1005:$AE$1005,1,MATCH(COLUMNS($V$1006:AB1006),$V$1006:$AE$1006,0))&gt;=100000), " ",IF(INDEX($V$2:$AE$1001,MATCH(ROWS($O$2:O261),$O$2:$O$1001,0),MATCH(COLUMNS($V$1006:AB1006),$V$1006:$AE$1006,0)), HYPERLINK("#",""), HYPERLINK(CONCATENATE("#Metadata!", ADDRESS(INDEX($Q$2:$Q$1001,MATCH(ROWS($O$2:O261),$O$2:$O$1001,0),0), INDEX($V$1004:$AE$1004,1,MATCH(COLUMNS($V$1006:AB1006),$V$1006:$AE$1006,0)))),"Fix")))</f>
        <v>0</v>
      </c>
      <c r="I261" s="3">
        <f>IF(OR(INDEX($P$2:$P$1001,MATCH(ROWS($O$2:O261),$O$2:$O$1001,0),1)&gt;=100000,INDEX($V$1005:$AE$1005,1,MATCH(COLUMNS($V$1006:AC1006),$V$1006:$AE$1006,0))&gt;=100000), " ",IF(INDEX($V$2:$AE$1001,MATCH(ROWS($O$2:O261),$O$2:$O$1001,0),MATCH(COLUMNS($V$1006:AC1006),$V$1006:$AE$1006,0)), HYPERLINK("#",""), HYPERLINK(CONCATENATE("#Metadata!", ADDRESS(INDEX($Q$2:$Q$1001,MATCH(ROWS($O$2:O261),$O$2:$O$1001,0),0), INDEX($V$1004:$AE$1004,1,MATCH(COLUMNS($V$1006:AC1006),$V$1006:$AE$1006,0)))),"Fix")))</f>
        <v>0</v>
      </c>
      <c r="J261" s="3">
        <f>IF(OR(INDEX($P$2:$P$1001,MATCH(ROWS($O$2:O261),$O$2:$O$1001,0),1)&gt;=100000,INDEX($V$1005:$AE$1005,1,MATCH(COLUMNS($V$1006:AD1006),$V$1006:$AE$1006,0))&gt;=100000), " ",IF(INDEX($V$2:$AE$1001,MATCH(ROWS($O$2:O261),$O$2:$O$1001,0),MATCH(COLUMNS($V$1006:AD1006),$V$1006:$AE$1006,0)), HYPERLINK("#",""), HYPERLINK(CONCATENATE("#Metadata!", ADDRESS(INDEX($Q$2:$Q$1001,MATCH(ROWS($O$2:O261),$O$2:$O$1001,0),0), INDEX($V$1004:$AE$1004,1,MATCH(COLUMNS($V$1006:AD1006),$V$1006:$AE$1006,0)))),"Fix")))</f>
        <v>0</v>
      </c>
      <c r="K261" s="3">
        <f>IF(OR(INDEX($P$2:$P$1001,MATCH(ROWS($O$2:O261),$O$2:$O$1001,0),1)&gt;=100000,INDEX($V$1005:$AE$1005,1,MATCH(COLUMNS($V$1006:AE1006),$V$1006:$AE$1006,0))&gt;=100000), " ",IF(INDEX($V$2:$AE$1001,MATCH(ROWS($O$2:O261),$O$2:$O$1001,0),MATCH(COLUMNS($V$1006:AE1006),$V$1006:$AE$1006,0)), HYPERLINK("#",""), HYPERLINK(CONCATENATE("#Metadata!", ADDRESS(INDEX($Q$2:$Q$1001,MATCH(ROWS($O$2:O261),$O$2:$O$1001,0),0), INDEX($V$1004:$AE$1004,1,MATCH(COLUMNS($V$1006:AE1006),$V$1006:$AE$1006,0)))),"Fix")))</f>
        <v>0</v>
      </c>
      <c r="O261">
        <v>0</v>
      </c>
      <c r="P261">
        <v>0</v>
      </c>
      <c r="Q261">
        <v>0</v>
      </c>
      <c r="R261">
        <f>IF(S261,TRUE,AND(V261:AE261))</f>
        <v>0</v>
      </c>
      <c r="S261">
        <f>COUNTBLANK(Metadata!B261:K261)=COLUMNS(Metadata!B261:K261)</f>
        <v>0</v>
      </c>
      <c r="T261">
        <v>0</v>
      </c>
      <c r="V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W261">
        <f>AND(IF(Metadata!C261="",FALSE,TRUE),exact(Metadata!C261,"animal secretion"))</f>
        <v>0</v>
      </c>
      <c r="X261">
        <f>AND(IF(Metadata!D261="",FALSE,TRUE),exact(Metadata!D261,"saliva"))</f>
        <v>0</v>
      </c>
      <c r="Y261">
        <f>AND(IF(Metadata!E261="",FALSE,TRUE),exact(Metadata!E261,"human-oral"))</f>
        <v>0</v>
      </c>
      <c r="Z261">
        <f>AND(IF(Metadata!F261="",FALSE,TRUE),exact(Metadata!F261,"UBERON:oral cavity"))</f>
        <v>0</v>
      </c>
      <c r="AA261">
        <f>AND(IF(Metadata!G261="",FALSE,TRUE),exact(Metadata!G261,"UBERON:saliva"))</f>
        <v>0</v>
      </c>
      <c r="AB261">
        <f>AND(IF(Metadata!H261="",FALSE,TRUE),exact(Metadata!H261,"UBERON:tongue"))</f>
        <v>0</v>
      </c>
      <c r="AC261">
        <f>AND(IF(Metadata!I261="",FALSE,TRUE),exact(Metadata!I261,"tongue"))</f>
        <v>0</v>
      </c>
      <c r="AD261">
        <f>AND(IF(Metadata!J261="",FALSE,TRUE),exact(Metadata!J261,"human oral metagenome"))</f>
        <v>0</v>
      </c>
      <c r="AE261">
        <f>AND(IF(Metadata!K261="",FALSE,TRUE),exact(Metadata!K261,"447426"))</f>
        <v>0</v>
      </c>
    </row>
    <row r="262" spans="1:31">
      <c r="A262" s="4">
        <f>IF(B262=" "," ",HYPERLINK(CONCATENATE("#metadata!",ADDRESS(INDEX($Q$2:$Q$1001,MATCH(ROWS($O$2:O262),$O$2:$O$1001,0),0),1)),INDEX($T$2:$T$1001,MATCH(ROWS($O$2:O262),$O$2:$O$1001,0),0)))</f>
        <v>0</v>
      </c>
      <c r="B262" s="3">
        <f>IF(OR(INDEX($P$2:$P$1001,MATCH(ROWS($O$2:O262),$O$2:$O$1001,0),1)&gt;=100000,INDEX($V$1005:$AE$1005,1,MATCH(COLUMNS($V$1006:V1006),$V$1006:$AE$1006,0))&gt;=100000), " ",IF(INDEX($V$2:$AE$1001,MATCH(ROWS($O$2:O262),$O$2:$O$1001,0),MATCH(COLUMNS($V$1006:V1006),$V$1006:$AE$1006,0)), HYPERLINK("#",""), HYPERLINK(CONCATENATE("#Metadata!", ADDRESS(INDEX($Q$2:$Q$1001,MATCH(ROWS($O$2:O262),$O$2:$O$1001,0),0), INDEX($V$1004:$AE$1004,1,MATCH(COLUMNS($V$1006:V1006),$V$1006:$AE$1006,0)))),"Fix")))</f>
        <v>0</v>
      </c>
      <c r="C262" s="3">
        <f>IF(OR(INDEX($P$2:$P$1001,MATCH(ROWS($O$2:O262),$O$2:$O$1001,0),1)&gt;=100000,INDEX($V$1005:$AE$1005,1,MATCH(COLUMNS($V$1006:W1006),$V$1006:$AE$1006,0))&gt;=100000), " ",IF(INDEX($V$2:$AE$1001,MATCH(ROWS($O$2:O262),$O$2:$O$1001,0),MATCH(COLUMNS($V$1006:W1006),$V$1006:$AE$1006,0)), HYPERLINK("#",""), HYPERLINK(CONCATENATE("#Metadata!", ADDRESS(INDEX($Q$2:$Q$1001,MATCH(ROWS($O$2:O262),$O$2:$O$1001,0),0), INDEX($V$1004:$AE$1004,1,MATCH(COLUMNS($V$1006:W1006),$V$1006:$AE$1006,0)))),"Fix")))</f>
        <v>0</v>
      </c>
      <c r="D262" s="3">
        <f>IF(OR(INDEX($P$2:$P$1001,MATCH(ROWS($O$2:O262),$O$2:$O$1001,0),1)&gt;=100000,INDEX($V$1005:$AE$1005,1,MATCH(COLUMNS($V$1006:X1006),$V$1006:$AE$1006,0))&gt;=100000), " ",IF(INDEX($V$2:$AE$1001,MATCH(ROWS($O$2:O262),$O$2:$O$1001,0),MATCH(COLUMNS($V$1006:X1006),$V$1006:$AE$1006,0)), HYPERLINK("#",""), HYPERLINK(CONCATENATE("#Metadata!", ADDRESS(INDEX($Q$2:$Q$1001,MATCH(ROWS($O$2:O262),$O$2:$O$1001,0),0), INDEX($V$1004:$AE$1004,1,MATCH(COLUMNS($V$1006:X1006),$V$1006:$AE$1006,0)))),"Fix")))</f>
        <v>0</v>
      </c>
      <c r="E262" s="3">
        <f>IF(OR(INDEX($P$2:$P$1001,MATCH(ROWS($O$2:O262),$O$2:$O$1001,0),1)&gt;=100000,INDEX($V$1005:$AE$1005,1,MATCH(COLUMNS($V$1006:Y1006),$V$1006:$AE$1006,0))&gt;=100000), " ",IF(INDEX($V$2:$AE$1001,MATCH(ROWS($O$2:O262),$O$2:$O$1001,0),MATCH(COLUMNS($V$1006:Y1006),$V$1006:$AE$1006,0)), HYPERLINK("#",""), HYPERLINK(CONCATENATE("#Metadata!", ADDRESS(INDEX($Q$2:$Q$1001,MATCH(ROWS($O$2:O262),$O$2:$O$1001,0),0), INDEX($V$1004:$AE$1004,1,MATCH(COLUMNS($V$1006:Y1006),$V$1006:$AE$1006,0)))),"Fix")))</f>
        <v>0</v>
      </c>
      <c r="F262" s="3">
        <f>IF(OR(INDEX($P$2:$P$1001,MATCH(ROWS($O$2:O262),$O$2:$O$1001,0),1)&gt;=100000,INDEX($V$1005:$AE$1005,1,MATCH(COLUMNS($V$1006:Z1006),$V$1006:$AE$1006,0))&gt;=100000), " ",IF(INDEX($V$2:$AE$1001,MATCH(ROWS($O$2:O262),$O$2:$O$1001,0),MATCH(COLUMNS($V$1006:Z1006),$V$1006:$AE$1006,0)), HYPERLINK("#",""), HYPERLINK(CONCATENATE("#Metadata!", ADDRESS(INDEX($Q$2:$Q$1001,MATCH(ROWS($O$2:O262),$O$2:$O$1001,0),0), INDEX($V$1004:$AE$1004,1,MATCH(COLUMNS($V$1006:Z1006),$V$1006:$AE$1006,0)))),"Fix")))</f>
        <v>0</v>
      </c>
      <c r="G262" s="3">
        <f>IF(OR(INDEX($P$2:$P$1001,MATCH(ROWS($O$2:O262),$O$2:$O$1001,0),1)&gt;=100000,INDEX($V$1005:$AE$1005,1,MATCH(COLUMNS($V$1006:AA1006),$V$1006:$AE$1006,0))&gt;=100000), " ",IF(INDEX($V$2:$AE$1001,MATCH(ROWS($O$2:O262),$O$2:$O$1001,0),MATCH(COLUMNS($V$1006:AA1006),$V$1006:$AE$1006,0)), HYPERLINK("#",""), HYPERLINK(CONCATENATE("#Metadata!", ADDRESS(INDEX($Q$2:$Q$1001,MATCH(ROWS($O$2:O262),$O$2:$O$1001,0),0), INDEX($V$1004:$AE$1004,1,MATCH(COLUMNS($V$1006:AA1006),$V$1006:$AE$1006,0)))),"Fix")))</f>
        <v>0</v>
      </c>
      <c r="H262" s="3">
        <f>IF(OR(INDEX($P$2:$P$1001,MATCH(ROWS($O$2:O262),$O$2:$O$1001,0),1)&gt;=100000,INDEX($V$1005:$AE$1005,1,MATCH(COLUMNS($V$1006:AB1006),$V$1006:$AE$1006,0))&gt;=100000), " ",IF(INDEX($V$2:$AE$1001,MATCH(ROWS($O$2:O262),$O$2:$O$1001,0),MATCH(COLUMNS($V$1006:AB1006),$V$1006:$AE$1006,0)), HYPERLINK("#",""), HYPERLINK(CONCATENATE("#Metadata!", ADDRESS(INDEX($Q$2:$Q$1001,MATCH(ROWS($O$2:O262),$O$2:$O$1001,0),0), INDEX($V$1004:$AE$1004,1,MATCH(COLUMNS($V$1006:AB1006),$V$1006:$AE$1006,0)))),"Fix")))</f>
        <v>0</v>
      </c>
      <c r="I262" s="3">
        <f>IF(OR(INDEX($P$2:$P$1001,MATCH(ROWS($O$2:O262),$O$2:$O$1001,0),1)&gt;=100000,INDEX($V$1005:$AE$1005,1,MATCH(COLUMNS($V$1006:AC1006),$V$1006:$AE$1006,0))&gt;=100000), " ",IF(INDEX($V$2:$AE$1001,MATCH(ROWS($O$2:O262),$O$2:$O$1001,0),MATCH(COLUMNS($V$1006:AC1006),$V$1006:$AE$1006,0)), HYPERLINK("#",""), HYPERLINK(CONCATENATE("#Metadata!", ADDRESS(INDEX($Q$2:$Q$1001,MATCH(ROWS($O$2:O262),$O$2:$O$1001,0),0), INDEX($V$1004:$AE$1004,1,MATCH(COLUMNS($V$1006:AC1006),$V$1006:$AE$1006,0)))),"Fix")))</f>
        <v>0</v>
      </c>
      <c r="J262" s="3">
        <f>IF(OR(INDEX($P$2:$P$1001,MATCH(ROWS($O$2:O262),$O$2:$O$1001,0),1)&gt;=100000,INDEX($V$1005:$AE$1005,1,MATCH(COLUMNS($V$1006:AD1006),$V$1006:$AE$1006,0))&gt;=100000), " ",IF(INDEX($V$2:$AE$1001,MATCH(ROWS($O$2:O262),$O$2:$O$1001,0),MATCH(COLUMNS($V$1006:AD1006),$V$1006:$AE$1006,0)), HYPERLINK("#",""), HYPERLINK(CONCATENATE("#Metadata!", ADDRESS(INDEX($Q$2:$Q$1001,MATCH(ROWS($O$2:O262),$O$2:$O$1001,0),0), INDEX($V$1004:$AE$1004,1,MATCH(COLUMNS($V$1006:AD1006),$V$1006:$AE$1006,0)))),"Fix")))</f>
        <v>0</v>
      </c>
      <c r="K262" s="3">
        <f>IF(OR(INDEX($P$2:$P$1001,MATCH(ROWS($O$2:O262),$O$2:$O$1001,0),1)&gt;=100000,INDEX($V$1005:$AE$1005,1,MATCH(COLUMNS($V$1006:AE1006),$V$1006:$AE$1006,0))&gt;=100000), " ",IF(INDEX($V$2:$AE$1001,MATCH(ROWS($O$2:O262),$O$2:$O$1001,0),MATCH(COLUMNS($V$1006:AE1006),$V$1006:$AE$1006,0)), HYPERLINK("#",""), HYPERLINK(CONCATENATE("#Metadata!", ADDRESS(INDEX($Q$2:$Q$1001,MATCH(ROWS($O$2:O262),$O$2:$O$1001,0),0), INDEX($V$1004:$AE$1004,1,MATCH(COLUMNS($V$1006:AE1006),$V$1006:$AE$1006,0)))),"Fix")))</f>
        <v>0</v>
      </c>
      <c r="O262">
        <v>0</v>
      </c>
      <c r="P262">
        <v>0</v>
      </c>
      <c r="Q262">
        <v>0</v>
      </c>
      <c r="R262">
        <f>IF(S262,TRUE,AND(V262:AE262))</f>
        <v>0</v>
      </c>
      <c r="S262">
        <f>COUNTBLANK(Metadata!B262:K262)=COLUMNS(Metadata!B262:K262)</f>
        <v>0</v>
      </c>
      <c r="T262">
        <v>0</v>
      </c>
      <c r="V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W262">
        <f>AND(IF(Metadata!C262="",FALSE,TRUE),exact(Metadata!C262,"animal secretion"))</f>
        <v>0</v>
      </c>
      <c r="X262">
        <f>AND(IF(Metadata!D262="",FALSE,TRUE),exact(Metadata!D262,"saliva"))</f>
        <v>0</v>
      </c>
      <c r="Y262">
        <f>AND(IF(Metadata!E262="",FALSE,TRUE),exact(Metadata!E262,"human-oral"))</f>
        <v>0</v>
      </c>
      <c r="Z262">
        <f>AND(IF(Metadata!F262="",FALSE,TRUE),exact(Metadata!F262,"UBERON:oral cavity"))</f>
        <v>0</v>
      </c>
      <c r="AA262">
        <f>AND(IF(Metadata!G262="",FALSE,TRUE),exact(Metadata!G262,"UBERON:saliva"))</f>
        <v>0</v>
      </c>
      <c r="AB262">
        <f>AND(IF(Metadata!H262="",FALSE,TRUE),exact(Metadata!H262,"UBERON:tongue"))</f>
        <v>0</v>
      </c>
      <c r="AC262">
        <f>AND(IF(Metadata!I262="",FALSE,TRUE),exact(Metadata!I262,"tongue"))</f>
        <v>0</v>
      </c>
      <c r="AD262">
        <f>AND(IF(Metadata!J262="",FALSE,TRUE),exact(Metadata!J262,"human oral metagenome"))</f>
        <v>0</v>
      </c>
      <c r="AE262">
        <f>AND(IF(Metadata!K262="",FALSE,TRUE),exact(Metadata!K262,"447426"))</f>
        <v>0</v>
      </c>
    </row>
    <row r="263" spans="1:31">
      <c r="A263" s="4">
        <f>IF(B263=" "," ",HYPERLINK(CONCATENATE("#metadata!",ADDRESS(INDEX($Q$2:$Q$1001,MATCH(ROWS($O$2:O263),$O$2:$O$1001,0),0),1)),INDEX($T$2:$T$1001,MATCH(ROWS($O$2:O263),$O$2:$O$1001,0),0)))</f>
        <v>0</v>
      </c>
      <c r="B263" s="3">
        <f>IF(OR(INDEX($P$2:$P$1001,MATCH(ROWS($O$2:O263),$O$2:$O$1001,0),1)&gt;=100000,INDEX($V$1005:$AE$1005,1,MATCH(COLUMNS($V$1006:V1006),$V$1006:$AE$1006,0))&gt;=100000), " ",IF(INDEX($V$2:$AE$1001,MATCH(ROWS($O$2:O263),$O$2:$O$1001,0),MATCH(COLUMNS($V$1006:V1006),$V$1006:$AE$1006,0)), HYPERLINK("#",""), HYPERLINK(CONCATENATE("#Metadata!", ADDRESS(INDEX($Q$2:$Q$1001,MATCH(ROWS($O$2:O263),$O$2:$O$1001,0),0), INDEX($V$1004:$AE$1004,1,MATCH(COLUMNS($V$1006:V1006),$V$1006:$AE$1006,0)))),"Fix")))</f>
        <v>0</v>
      </c>
      <c r="C263" s="3">
        <f>IF(OR(INDEX($P$2:$P$1001,MATCH(ROWS($O$2:O263),$O$2:$O$1001,0),1)&gt;=100000,INDEX($V$1005:$AE$1005,1,MATCH(COLUMNS($V$1006:W1006),$V$1006:$AE$1006,0))&gt;=100000), " ",IF(INDEX($V$2:$AE$1001,MATCH(ROWS($O$2:O263),$O$2:$O$1001,0),MATCH(COLUMNS($V$1006:W1006),$V$1006:$AE$1006,0)), HYPERLINK("#",""), HYPERLINK(CONCATENATE("#Metadata!", ADDRESS(INDEX($Q$2:$Q$1001,MATCH(ROWS($O$2:O263),$O$2:$O$1001,0),0), INDEX($V$1004:$AE$1004,1,MATCH(COLUMNS($V$1006:W1006),$V$1006:$AE$1006,0)))),"Fix")))</f>
        <v>0</v>
      </c>
      <c r="D263" s="3">
        <f>IF(OR(INDEX($P$2:$P$1001,MATCH(ROWS($O$2:O263),$O$2:$O$1001,0),1)&gt;=100000,INDEX($V$1005:$AE$1005,1,MATCH(COLUMNS($V$1006:X1006),$V$1006:$AE$1006,0))&gt;=100000), " ",IF(INDEX($V$2:$AE$1001,MATCH(ROWS($O$2:O263),$O$2:$O$1001,0),MATCH(COLUMNS($V$1006:X1006),$V$1006:$AE$1006,0)), HYPERLINK("#",""), HYPERLINK(CONCATENATE("#Metadata!", ADDRESS(INDEX($Q$2:$Q$1001,MATCH(ROWS($O$2:O263),$O$2:$O$1001,0),0), INDEX($V$1004:$AE$1004,1,MATCH(COLUMNS($V$1006:X1006),$V$1006:$AE$1006,0)))),"Fix")))</f>
        <v>0</v>
      </c>
      <c r="E263" s="3">
        <f>IF(OR(INDEX($P$2:$P$1001,MATCH(ROWS($O$2:O263),$O$2:$O$1001,0),1)&gt;=100000,INDEX($V$1005:$AE$1005,1,MATCH(COLUMNS($V$1006:Y1006),$V$1006:$AE$1006,0))&gt;=100000), " ",IF(INDEX($V$2:$AE$1001,MATCH(ROWS($O$2:O263),$O$2:$O$1001,0),MATCH(COLUMNS($V$1006:Y1006),$V$1006:$AE$1006,0)), HYPERLINK("#",""), HYPERLINK(CONCATENATE("#Metadata!", ADDRESS(INDEX($Q$2:$Q$1001,MATCH(ROWS($O$2:O263),$O$2:$O$1001,0),0), INDEX($V$1004:$AE$1004,1,MATCH(COLUMNS($V$1006:Y1006),$V$1006:$AE$1006,0)))),"Fix")))</f>
        <v>0</v>
      </c>
      <c r="F263" s="3">
        <f>IF(OR(INDEX($P$2:$P$1001,MATCH(ROWS($O$2:O263),$O$2:$O$1001,0),1)&gt;=100000,INDEX($V$1005:$AE$1005,1,MATCH(COLUMNS($V$1006:Z1006),$V$1006:$AE$1006,0))&gt;=100000), " ",IF(INDEX($V$2:$AE$1001,MATCH(ROWS($O$2:O263),$O$2:$O$1001,0),MATCH(COLUMNS($V$1006:Z1006),$V$1006:$AE$1006,0)), HYPERLINK("#",""), HYPERLINK(CONCATENATE("#Metadata!", ADDRESS(INDEX($Q$2:$Q$1001,MATCH(ROWS($O$2:O263),$O$2:$O$1001,0),0), INDEX($V$1004:$AE$1004,1,MATCH(COLUMNS($V$1006:Z1006),$V$1006:$AE$1006,0)))),"Fix")))</f>
        <v>0</v>
      </c>
      <c r="G263" s="3">
        <f>IF(OR(INDEX($P$2:$P$1001,MATCH(ROWS($O$2:O263),$O$2:$O$1001,0),1)&gt;=100000,INDEX($V$1005:$AE$1005,1,MATCH(COLUMNS($V$1006:AA1006),$V$1006:$AE$1006,0))&gt;=100000), " ",IF(INDEX($V$2:$AE$1001,MATCH(ROWS($O$2:O263),$O$2:$O$1001,0),MATCH(COLUMNS($V$1006:AA1006),$V$1006:$AE$1006,0)), HYPERLINK("#",""), HYPERLINK(CONCATENATE("#Metadata!", ADDRESS(INDEX($Q$2:$Q$1001,MATCH(ROWS($O$2:O263),$O$2:$O$1001,0),0), INDEX($V$1004:$AE$1004,1,MATCH(COLUMNS($V$1006:AA1006),$V$1006:$AE$1006,0)))),"Fix")))</f>
        <v>0</v>
      </c>
      <c r="H263" s="3">
        <f>IF(OR(INDEX($P$2:$P$1001,MATCH(ROWS($O$2:O263),$O$2:$O$1001,0),1)&gt;=100000,INDEX($V$1005:$AE$1005,1,MATCH(COLUMNS($V$1006:AB1006),$V$1006:$AE$1006,0))&gt;=100000), " ",IF(INDEX($V$2:$AE$1001,MATCH(ROWS($O$2:O263),$O$2:$O$1001,0),MATCH(COLUMNS($V$1006:AB1006),$V$1006:$AE$1006,0)), HYPERLINK("#",""), HYPERLINK(CONCATENATE("#Metadata!", ADDRESS(INDEX($Q$2:$Q$1001,MATCH(ROWS($O$2:O263),$O$2:$O$1001,0),0), INDEX($V$1004:$AE$1004,1,MATCH(COLUMNS($V$1006:AB1006),$V$1006:$AE$1006,0)))),"Fix")))</f>
        <v>0</v>
      </c>
      <c r="I263" s="3">
        <f>IF(OR(INDEX($P$2:$P$1001,MATCH(ROWS($O$2:O263),$O$2:$O$1001,0),1)&gt;=100000,INDEX($V$1005:$AE$1005,1,MATCH(COLUMNS($V$1006:AC1006),$V$1006:$AE$1006,0))&gt;=100000), " ",IF(INDEX($V$2:$AE$1001,MATCH(ROWS($O$2:O263),$O$2:$O$1001,0),MATCH(COLUMNS($V$1006:AC1006),$V$1006:$AE$1006,0)), HYPERLINK("#",""), HYPERLINK(CONCATENATE("#Metadata!", ADDRESS(INDEX($Q$2:$Q$1001,MATCH(ROWS($O$2:O263),$O$2:$O$1001,0),0), INDEX($V$1004:$AE$1004,1,MATCH(COLUMNS($V$1006:AC1006),$V$1006:$AE$1006,0)))),"Fix")))</f>
        <v>0</v>
      </c>
      <c r="J263" s="3">
        <f>IF(OR(INDEX($P$2:$P$1001,MATCH(ROWS($O$2:O263),$O$2:$O$1001,0),1)&gt;=100000,INDEX($V$1005:$AE$1005,1,MATCH(COLUMNS($V$1006:AD1006),$V$1006:$AE$1006,0))&gt;=100000), " ",IF(INDEX($V$2:$AE$1001,MATCH(ROWS($O$2:O263),$O$2:$O$1001,0),MATCH(COLUMNS($V$1006:AD1006),$V$1006:$AE$1006,0)), HYPERLINK("#",""), HYPERLINK(CONCATENATE("#Metadata!", ADDRESS(INDEX($Q$2:$Q$1001,MATCH(ROWS($O$2:O263),$O$2:$O$1001,0),0), INDEX($V$1004:$AE$1004,1,MATCH(COLUMNS($V$1006:AD1006),$V$1006:$AE$1006,0)))),"Fix")))</f>
        <v>0</v>
      </c>
      <c r="K263" s="3">
        <f>IF(OR(INDEX($P$2:$P$1001,MATCH(ROWS($O$2:O263),$O$2:$O$1001,0),1)&gt;=100000,INDEX($V$1005:$AE$1005,1,MATCH(COLUMNS($V$1006:AE1006),$V$1006:$AE$1006,0))&gt;=100000), " ",IF(INDEX($V$2:$AE$1001,MATCH(ROWS($O$2:O263),$O$2:$O$1001,0),MATCH(COLUMNS($V$1006:AE1006),$V$1006:$AE$1006,0)), HYPERLINK("#",""), HYPERLINK(CONCATENATE("#Metadata!", ADDRESS(INDEX($Q$2:$Q$1001,MATCH(ROWS($O$2:O263),$O$2:$O$1001,0),0), INDEX($V$1004:$AE$1004,1,MATCH(COLUMNS($V$1006:AE1006),$V$1006:$AE$1006,0)))),"Fix")))</f>
        <v>0</v>
      </c>
      <c r="O263">
        <v>0</v>
      </c>
      <c r="P263">
        <v>0</v>
      </c>
      <c r="Q263">
        <v>0</v>
      </c>
      <c r="R263">
        <f>IF(S263,TRUE,AND(V263:AE263))</f>
        <v>0</v>
      </c>
      <c r="S263">
        <f>COUNTBLANK(Metadata!B263:K263)=COLUMNS(Metadata!B263:K263)</f>
        <v>0</v>
      </c>
      <c r="T263">
        <v>0</v>
      </c>
      <c r="V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W263">
        <f>AND(IF(Metadata!C263="",FALSE,TRUE),exact(Metadata!C263,"animal secretion"))</f>
        <v>0</v>
      </c>
      <c r="X263">
        <f>AND(IF(Metadata!D263="",FALSE,TRUE),exact(Metadata!D263,"saliva"))</f>
        <v>0</v>
      </c>
      <c r="Y263">
        <f>AND(IF(Metadata!E263="",FALSE,TRUE),exact(Metadata!E263,"human-oral"))</f>
        <v>0</v>
      </c>
      <c r="Z263">
        <f>AND(IF(Metadata!F263="",FALSE,TRUE),exact(Metadata!F263,"UBERON:oral cavity"))</f>
        <v>0</v>
      </c>
      <c r="AA263">
        <f>AND(IF(Metadata!G263="",FALSE,TRUE),exact(Metadata!G263,"UBERON:saliva"))</f>
        <v>0</v>
      </c>
      <c r="AB263">
        <f>AND(IF(Metadata!H263="",FALSE,TRUE),exact(Metadata!H263,"UBERON:tongue"))</f>
        <v>0</v>
      </c>
      <c r="AC263">
        <f>AND(IF(Metadata!I263="",FALSE,TRUE),exact(Metadata!I263,"tongue"))</f>
        <v>0</v>
      </c>
      <c r="AD263">
        <f>AND(IF(Metadata!J263="",FALSE,TRUE),exact(Metadata!J263,"human oral metagenome"))</f>
        <v>0</v>
      </c>
      <c r="AE263">
        <f>AND(IF(Metadata!K263="",FALSE,TRUE),exact(Metadata!K263,"447426"))</f>
        <v>0</v>
      </c>
    </row>
    <row r="264" spans="1:31">
      <c r="A264" s="4">
        <f>IF(B264=" "," ",HYPERLINK(CONCATENATE("#metadata!",ADDRESS(INDEX($Q$2:$Q$1001,MATCH(ROWS($O$2:O264),$O$2:$O$1001,0),0),1)),INDEX($T$2:$T$1001,MATCH(ROWS($O$2:O264),$O$2:$O$1001,0),0)))</f>
        <v>0</v>
      </c>
      <c r="B264" s="3">
        <f>IF(OR(INDEX($P$2:$P$1001,MATCH(ROWS($O$2:O264),$O$2:$O$1001,0),1)&gt;=100000,INDEX($V$1005:$AE$1005,1,MATCH(COLUMNS($V$1006:V1006),$V$1006:$AE$1006,0))&gt;=100000), " ",IF(INDEX($V$2:$AE$1001,MATCH(ROWS($O$2:O264),$O$2:$O$1001,0),MATCH(COLUMNS($V$1006:V1006),$V$1006:$AE$1006,0)), HYPERLINK("#",""), HYPERLINK(CONCATENATE("#Metadata!", ADDRESS(INDEX($Q$2:$Q$1001,MATCH(ROWS($O$2:O264),$O$2:$O$1001,0),0), INDEX($V$1004:$AE$1004,1,MATCH(COLUMNS($V$1006:V1006),$V$1006:$AE$1006,0)))),"Fix")))</f>
        <v>0</v>
      </c>
      <c r="C264" s="3">
        <f>IF(OR(INDEX($P$2:$P$1001,MATCH(ROWS($O$2:O264),$O$2:$O$1001,0),1)&gt;=100000,INDEX($V$1005:$AE$1005,1,MATCH(COLUMNS($V$1006:W1006),$V$1006:$AE$1006,0))&gt;=100000), " ",IF(INDEX($V$2:$AE$1001,MATCH(ROWS($O$2:O264),$O$2:$O$1001,0),MATCH(COLUMNS($V$1006:W1006),$V$1006:$AE$1006,0)), HYPERLINK("#",""), HYPERLINK(CONCATENATE("#Metadata!", ADDRESS(INDEX($Q$2:$Q$1001,MATCH(ROWS($O$2:O264),$O$2:$O$1001,0),0), INDEX($V$1004:$AE$1004,1,MATCH(COLUMNS($V$1006:W1006),$V$1006:$AE$1006,0)))),"Fix")))</f>
        <v>0</v>
      </c>
      <c r="D264" s="3">
        <f>IF(OR(INDEX($P$2:$P$1001,MATCH(ROWS($O$2:O264),$O$2:$O$1001,0),1)&gt;=100000,INDEX($V$1005:$AE$1005,1,MATCH(COLUMNS($V$1006:X1006),$V$1006:$AE$1006,0))&gt;=100000), " ",IF(INDEX($V$2:$AE$1001,MATCH(ROWS($O$2:O264),$O$2:$O$1001,0),MATCH(COLUMNS($V$1006:X1006),$V$1006:$AE$1006,0)), HYPERLINK("#",""), HYPERLINK(CONCATENATE("#Metadata!", ADDRESS(INDEX($Q$2:$Q$1001,MATCH(ROWS($O$2:O264),$O$2:$O$1001,0),0), INDEX($V$1004:$AE$1004,1,MATCH(COLUMNS($V$1006:X1006),$V$1006:$AE$1006,0)))),"Fix")))</f>
        <v>0</v>
      </c>
      <c r="E264" s="3">
        <f>IF(OR(INDEX($P$2:$P$1001,MATCH(ROWS($O$2:O264),$O$2:$O$1001,0),1)&gt;=100000,INDEX($V$1005:$AE$1005,1,MATCH(COLUMNS($V$1006:Y1006),$V$1006:$AE$1006,0))&gt;=100000), " ",IF(INDEX($V$2:$AE$1001,MATCH(ROWS($O$2:O264),$O$2:$O$1001,0),MATCH(COLUMNS($V$1006:Y1006),$V$1006:$AE$1006,0)), HYPERLINK("#",""), HYPERLINK(CONCATENATE("#Metadata!", ADDRESS(INDEX($Q$2:$Q$1001,MATCH(ROWS($O$2:O264),$O$2:$O$1001,0),0), INDEX($V$1004:$AE$1004,1,MATCH(COLUMNS($V$1006:Y1006),$V$1006:$AE$1006,0)))),"Fix")))</f>
        <v>0</v>
      </c>
      <c r="F264" s="3">
        <f>IF(OR(INDEX($P$2:$P$1001,MATCH(ROWS($O$2:O264),$O$2:$O$1001,0),1)&gt;=100000,INDEX($V$1005:$AE$1005,1,MATCH(COLUMNS($V$1006:Z1006),$V$1006:$AE$1006,0))&gt;=100000), " ",IF(INDEX($V$2:$AE$1001,MATCH(ROWS($O$2:O264),$O$2:$O$1001,0),MATCH(COLUMNS($V$1006:Z1006),$V$1006:$AE$1006,0)), HYPERLINK("#",""), HYPERLINK(CONCATENATE("#Metadata!", ADDRESS(INDEX($Q$2:$Q$1001,MATCH(ROWS($O$2:O264),$O$2:$O$1001,0),0), INDEX($V$1004:$AE$1004,1,MATCH(COLUMNS($V$1006:Z1006),$V$1006:$AE$1006,0)))),"Fix")))</f>
        <v>0</v>
      </c>
      <c r="G264" s="3">
        <f>IF(OR(INDEX($P$2:$P$1001,MATCH(ROWS($O$2:O264),$O$2:$O$1001,0),1)&gt;=100000,INDEX($V$1005:$AE$1005,1,MATCH(COLUMNS($V$1006:AA1006),$V$1006:$AE$1006,0))&gt;=100000), " ",IF(INDEX($V$2:$AE$1001,MATCH(ROWS($O$2:O264),$O$2:$O$1001,0),MATCH(COLUMNS($V$1006:AA1006),$V$1006:$AE$1006,0)), HYPERLINK("#",""), HYPERLINK(CONCATENATE("#Metadata!", ADDRESS(INDEX($Q$2:$Q$1001,MATCH(ROWS($O$2:O264),$O$2:$O$1001,0),0), INDEX($V$1004:$AE$1004,1,MATCH(COLUMNS($V$1006:AA1006),$V$1006:$AE$1006,0)))),"Fix")))</f>
        <v>0</v>
      </c>
      <c r="H264" s="3">
        <f>IF(OR(INDEX($P$2:$P$1001,MATCH(ROWS($O$2:O264),$O$2:$O$1001,0),1)&gt;=100000,INDEX($V$1005:$AE$1005,1,MATCH(COLUMNS($V$1006:AB1006),$V$1006:$AE$1006,0))&gt;=100000), " ",IF(INDEX($V$2:$AE$1001,MATCH(ROWS($O$2:O264),$O$2:$O$1001,0),MATCH(COLUMNS($V$1006:AB1006),$V$1006:$AE$1006,0)), HYPERLINK("#",""), HYPERLINK(CONCATENATE("#Metadata!", ADDRESS(INDEX($Q$2:$Q$1001,MATCH(ROWS($O$2:O264),$O$2:$O$1001,0),0), INDEX($V$1004:$AE$1004,1,MATCH(COLUMNS($V$1006:AB1006),$V$1006:$AE$1006,0)))),"Fix")))</f>
        <v>0</v>
      </c>
      <c r="I264" s="3">
        <f>IF(OR(INDEX($P$2:$P$1001,MATCH(ROWS($O$2:O264),$O$2:$O$1001,0),1)&gt;=100000,INDEX($V$1005:$AE$1005,1,MATCH(COLUMNS($V$1006:AC1006),$V$1006:$AE$1006,0))&gt;=100000), " ",IF(INDEX($V$2:$AE$1001,MATCH(ROWS($O$2:O264),$O$2:$O$1001,0),MATCH(COLUMNS($V$1006:AC1006),$V$1006:$AE$1006,0)), HYPERLINK("#",""), HYPERLINK(CONCATENATE("#Metadata!", ADDRESS(INDEX($Q$2:$Q$1001,MATCH(ROWS($O$2:O264),$O$2:$O$1001,0),0), INDEX($V$1004:$AE$1004,1,MATCH(COLUMNS($V$1006:AC1006),$V$1006:$AE$1006,0)))),"Fix")))</f>
        <v>0</v>
      </c>
      <c r="J264" s="3">
        <f>IF(OR(INDEX($P$2:$P$1001,MATCH(ROWS($O$2:O264),$O$2:$O$1001,0),1)&gt;=100000,INDEX($V$1005:$AE$1005,1,MATCH(COLUMNS($V$1006:AD1006),$V$1006:$AE$1006,0))&gt;=100000), " ",IF(INDEX($V$2:$AE$1001,MATCH(ROWS($O$2:O264),$O$2:$O$1001,0),MATCH(COLUMNS($V$1006:AD1006),$V$1006:$AE$1006,0)), HYPERLINK("#",""), HYPERLINK(CONCATENATE("#Metadata!", ADDRESS(INDEX($Q$2:$Q$1001,MATCH(ROWS($O$2:O264),$O$2:$O$1001,0),0), INDEX($V$1004:$AE$1004,1,MATCH(COLUMNS($V$1006:AD1006),$V$1006:$AE$1006,0)))),"Fix")))</f>
        <v>0</v>
      </c>
      <c r="K264" s="3">
        <f>IF(OR(INDEX($P$2:$P$1001,MATCH(ROWS($O$2:O264),$O$2:$O$1001,0),1)&gt;=100000,INDEX($V$1005:$AE$1005,1,MATCH(COLUMNS($V$1006:AE1006),$V$1006:$AE$1006,0))&gt;=100000), " ",IF(INDEX($V$2:$AE$1001,MATCH(ROWS($O$2:O264),$O$2:$O$1001,0),MATCH(COLUMNS($V$1006:AE1006),$V$1006:$AE$1006,0)), HYPERLINK("#",""), HYPERLINK(CONCATENATE("#Metadata!", ADDRESS(INDEX($Q$2:$Q$1001,MATCH(ROWS($O$2:O264),$O$2:$O$1001,0),0), INDEX($V$1004:$AE$1004,1,MATCH(COLUMNS($V$1006:AE1006),$V$1006:$AE$1006,0)))),"Fix")))</f>
        <v>0</v>
      </c>
      <c r="O264">
        <v>0</v>
      </c>
      <c r="P264">
        <v>0</v>
      </c>
      <c r="Q264">
        <v>0</v>
      </c>
      <c r="R264">
        <f>IF(S264,TRUE,AND(V264:AE264))</f>
        <v>0</v>
      </c>
      <c r="S264">
        <f>COUNTBLANK(Metadata!B264:K264)=COLUMNS(Metadata!B264:K264)</f>
        <v>0</v>
      </c>
      <c r="T264">
        <v>0</v>
      </c>
      <c r="V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W264">
        <f>AND(IF(Metadata!C264="",FALSE,TRUE),exact(Metadata!C264,"animal secretion"))</f>
        <v>0</v>
      </c>
      <c r="X264">
        <f>AND(IF(Metadata!D264="",FALSE,TRUE),exact(Metadata!D264,"saliva"))</f>
        <v>0</v>
      </c>
      <c r="Y264">
        <f>AND(IF(Metadata!E264="",FALSE,TRUE),exact(Metadata!E264,"human-oral"))</f>
        <v>0</v>
      </c>
      <c r="Z264">
        <f>AND(IF(Metadata!F264="",FALSE,TRUE),exact(Metadata!F264,"UBERON:oral cavity"))</f>
        <v>0</v>
      </c>
      <c r="AA264">
        <f>AND(IF(Metadata!G264="",FALSE,TRUE),exact(Metadata!G264,"UBERON:saliva"))</f>
        <v>0</v>
      </c>
      <c r="AB264">
        <f>AND(IF(Metadata!H264="",FALSE,TRUE),exact(Metadata!H264,"UBERON:tongue"))</f>
        <v>0</v>
      </c>
      <c r="AC264">
        <f>AND(IF(Metadata!I264="",FALSE,TRUE),exact(Metadata!I264,"tongue"))</f>
        <v>0</v>
      </c>
      <c r="AD264">
        <f>AND(IF(Metadata!J264="",FALSE,TRUE),exact(Metadata!J264,"human oral metagenome"))</f>
        <v>0</v>
      </c>
      <c r="AE264">
        <f>AND(IF(Metadata!K264="",FALSE,TRUE),exact(Metadata!K264,"447426"))</f>
        <v>0</v>
      </c>
    </row>
    <row r="265" spans="1:31">
      <c r="A265" s="4">
        <f>IF(B265=" "," ",HYPERLINK(CONCATENATE("#metadata!",ADDRESS(INDEX($Q$2:$Q$1001,MATCH(ROWS($O$2:O265),$O$2:$O$1001,0),0),1)),INDEX($T$2:$T$1001,MATCH(ROWS($O$2:O265),$O$2:$O$1001,0),0)))</f>
        <v>0</v>
      </c>
      <c r="B265" s="3">
        <f>IF(OR(INDEX($P$2:$P$1001,MATCH(ROWS($O$2:O265),$O$2:$O$1001,0),1)&gt;=100000,INDEX($V$1005:$AE$1005,1,MATCH(COLUMNS($V$1006:V1006),$V$1006:$AE$1006,0))&gt;=100000), " ",IF(INDEX($V$2:$AE$1001,MATCH(ROWS($O$2:O265),$O$2:$O$1001,0),MATCH(COLUMNS($V$1006:V1006),$V$1006:$AE$1006,0)), HYPERLINK("#",""), HYPERLINK(CONCATENATE("#Metadata!", ADDRESS(INDEX($Q$2:$Q$1001,MATCH(ROWS($O$2:O265),$O$2:$O$1001,0),0), INDEX($V$1004:$AE$1004,1,MATCH(COLUMNS($V$1006:V1006),$V$1006:$AE$1006,0)))),"Fix")))</f>
        <v>0</v>
      </c>
      <c r="C265" s="3">
        <f>IF(OR(INDEX($P$2:$P$1001,MATCH(ROWS($O$2:O265),$O$2:$O$1001,0),1)&gt;=100000,INDEX($V$1005:$AE$1005,1,MATCH(COLUMNS($V$1006:W1006),$V$1006:$AE$1006,0))&gt;=100000), " ",IF(INDEX($V$2:$AE$1001,MATCH(ROWS($O$2:O265),$O$2:$O$1001,0),MATCH(COLUMNS($V$1006:W1006),$V$1006:$AE$1006,0)), HYPERLINK("#",""), HYPERLINK(CONCATENATE("#Metadata!", ADDRESS(INDEX($Q$2:$Q$1001,MATCH(ROWS($O$2:O265),$O$2:$O$1001,0),0), INDEX($V$1004:$AE$1004,1,MATCH(COLUMNS($V$1006:W1006),$V$1006:$AE$1006,0)))),"Fix")))</f>
        <v>0</v>
      </c>
      <c r="D265" s="3">
        <f>IF(OR(INDEX($P$2:$P$1001,MATCH(ROWS($O$2:O265),$O$2:$O$1001,0),1)&gt;=100000,INDEX($V$1005:$AE$1005,1,MATCH(COLUMNS($V$1006:X1006),$V$1006:$AE$1006,0))&gt;=100000), " ",IF(INDEX($V$2:$AE$1001,MATCH(ROWS($O$2:O265),$O$2:$O$1001,0),MATCH(COLUMNS($V$1006:X1006),$V$1006:$AE$1006,0)), HYPERLINK("#",""), HYPERLINK(CONCATENATE("#Metadata!", ADDRESS(INDEX($Q$2:$Q$1001,MATCH(ROWS($O$2:O265),$O$2:$O$1001,0),0), INDEX($V$1004:$AE$1004,1,MATCH(COLUMNS($V$1006:X1006),$V$1006:$AE$1006,0)))),"Fix")))</f>
        <v>0</v>
      </c>
      <c r="E265" s="3">
        <f>IF(OR(INDEX($P$2:$P$1001,MATCH(ROWS($O$2:O265),$O$2:$O$1001,0),1)&gt;=100000,INDEX($V$1005:$AE$1005,1,MATCH(COLUMNS($V$1006:Y1006),$V$1006:$AE$1006,0))&gt;=100000), " ",IF(INDEX($V$2:$AE$1001,MATCH(ROWS($O$2:O265),$O$2:$O$1001,0),MATCH(COLUMNS($V$1006:Y1006),$V$1006:$AE$1006,0)), HYPERLINK("#",""), HYPERLINK(CONCATENATE("#Metadata!", ADDRESS(INDEX($Q$2:$Q$1001,MATCH(ROWS($O$2:O265),$O$2:$O$1001,0),0), INDEX($V$1004:$AE$1004,1,MATCH(COLUMNS($V$1006:Y1006),$V$1006:$AE$1006,0)))),"Fix")))</f>
        <v>0</v>
      </c>
      <c r="F265" s="3">
        <f>IF(OR(INDEX($P$2:$P$1001,MATCH(ROWS($O$2:O265),$O$2:$O$1001,0),1)&gt;=100000,INDEX($V$1005:$AE$1005,1,MATCH(COLUMNS($V$1006:Z1006),$V$1006:$AE$1006,0))&gt;=100000), " ",IF(INDEX($V$2:$AE$1001,MATCH(ROWS($O$2:O265),$O$2:$O$1001,0),MATCH(COLUMNS($V$1006:Z1006),$V$1006:$AE$1006,0)), HYPERLINK("#",""), HYPERLINK(CONCATENATE("#Metadata!", ADDRESS(INDEX($Q$2:$Q$1001,MATCH(ROWS($O$2:O265),$O$2:$O$1001,0),0), INDEX($V$1004:$AE$1004,1,MATCH(COLUMNS($V$1006:Z1006),$V$1006:$AE$1006,0)))),"Fix")))</f>
        <v>0</v>
      </c>
      <c r="G265" s="3">
        <f>IF(OR(INDEX($P$2:$P$1001,MATCH(ROWS($O$2:O265),$O$2:$O$1001,0),1)&gt;=100000,INDEX($V$1005:$AE$1005,1,MATCH(COLUMNS($V$1006:AA1006),$V$1006:$AE$1006,0))&gt;=100000), " ",IF(INDEX($V$2:$AE$1001,MATCH(ROWS($O$2:O265),$O$2:$O$1001,0),MATCH(COLUMNS($V$1006:AA1006),$V$1006:$AE$1006,0)), HYPERLINK("#",""), HYPERLINK(CONCATENATE("#Metadata!", ADDRESS(INDEX($Q$2:$Q$1001,MATCH(ROWS($O$2:O265),$O$2:$O$1001,0),0), INDEX($V$1004:$AE$1004,1,MATCH(COLUMNS($V$1006:AA1006),$V$1006:$AE$1006,0)))),"Fix")))</f>
        <v>0</v>
      </c>
      <c r="H265" s="3">
        <f>IF(OR(INDEX($P$2:$P$1001,MATCH(ROWS($O$2:O265),$O$2:$O$1001,0),1)&gt;=100000,INDEX($V$1005:$AE$1005,1,MATCH(COLUMNS($V$1006:AB1006),$V$1006:$AE$1006,0))&gt;=100000), " ",IF(INDEX($V$2:$AE$1001,MATCH(ROWS($O$2:O265),$O$2:$O$1001,0),MATCH(COLUMNS($V$1006:AB1006),$V$1006:$AE$1006,0)), HYPERLINK("#",""), HYPERLINK(CONCATENATE("#Metadata!", ADDRESS(INDEX($Q$2:$Q$1001,MATCH(ROWS($O$2:O265),$O$2:$O$1001,0),0), INDEX($V$1004:$AE$1004,1,MATCH(COLUMNS($V$1006:AB1006),$V$1006:$AE$1006,0)))),"Fix")))</f>
        <v>0</v>
      </c>
      <c r="I265" s="3">
        <f>IF(OR(INDEX($P$2:$P$1001,MATCH(ROWS($O$2:O265),$O$2:$O$1001,0),1)&gt;=100000,INDEX($V$1005:$AE$1005,1,MATCH(COLUMNS($V$1006:AC1006),$V$1006:$AE$1006,0))&gt;=100000), " ",IF(INDEX($V$2:$AE$1001,MATCH(ROWS($O$2:O265),$O$2:$O$1001,0),MATCH(COLUMNS($V$1006:AC1006),$V$1006:$AE$1006,0)), HYPERLINK("#",""), HYPERLINK(CONCATENATE("#Metadata!", ADDRESS(INDEX($Q$2:$Q$1001,MATCH(ROWS($O$2:O265),$O$2:$O$1001,0),0), INDEX($V$1004:$AE$1004,1,MATCH(COLUMNS($V$1006:AC1006),$V$1006:$AE$1006,0)))),"Fix")))</f>
        <v>0</v>
      </c>
      <c r="J265" s="3">
        <f>IF(OR(INDEX($P$2:$P$1001,MATCH(ROWS($O$2:O265),$O$2:$O$1001,0),1)&gt;=100000,INDEX($V$1005:$AE$1005,1,MATCH(COLUMNS($V$1006:AD1006),$V$1006:$AE$1006,0))&gt;=100000), " ",IF(INDEX($V$2:$AE$1001,MATCH(ROWS($O$2:O265),$O$2:$O$1001,0),MATCH(COLUMNS($V$1006:AD1006),$V$1006:$AE$1006,0)), HYPERLINK("#",""), HYPERLINK(CONCATENATE("#Metadata!", ADDRESS(INDEX($Q$2:$Q$1001,MATCH(ROWS($O$2:O265),$O$2:$O$1001,0),0), INDEX($V$1004:$AE$1004,1,MATCH(COLUMNS($V$1006:AD1006),$V$1006:$AE$1006,0)))),"Fix")))</f>
        <v>0</v>
      </c>
      <c r="K265" s="3">
        <f>IF(OR(INDEX($P$2:$P$1001,MATCH(ROWS($O$2:O265),$O$2:$O$1001,0),1)&gt;=100000,INDEX($V$1005:$AE$1005,1,MATCH(COLUMNS($V$1006:AE1006),$V$1006:$AE$1006,0))&gt;=100000), " ",IF(INDEX($V$2:$AE$1001,MATCH(ROWS($O$2:O265),$O$2:$O$1001,0),MATCH(COLUMNS($V$1006:AE1006),$V$1006:$AE$1006,0)), HYPERLINK("#",""), HYPERLINK(CONCATENATE("#Metadata!", ADDRESS(INDEX($Q$2:$Q$1001,MATCH(ROWS($O$2:O265),$O$2:$O$1001,0),0), INDEX($V$1004:$AE$1004,1,MATCH(COLUMNS($V$1006:AE1006),$V$1006:$AE$1006,0)))),"Fix")))</f>
        <v>0</v>
      </c>
      <c r="O265">
        <v>0</v>
      </c>
      <c r="P265">
        <v>0</v>
      </c>
      <c r="Q265">
        <v>0</v>
      </c>
      <c r="R265">
        <f>IF(S265,TRUE,AND(V265:AE265))</f>
        <v>0</v>
      </c>
      <c r="S265">
        <f>COUNTBLANK(Metadata!B265:K265)=COLUMNS(Metadata!B265:K265)</f>
        <v>0</v>
      </c>
      <c r="T265">
        <v>0</v>
      </c>
      <c r="V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W265">
        <f>AND(IF(Metadata!C265="",FALSE,TRUE),exact(Metadata!C265,"animal secretion"))</f>
        <v>0</v>
      </c>
      <c r="X265">
        <f>AND(IF(Metadata!D265="",FALSE,TRUE),exact(Metadata!D265,"saliva"))</f>
        <v>0</v>
      </c>
      <c r="Y265">
        <f>AND(IF(Metadata!E265="",FALSE,TRUE),exact(Metadata!E265,"human-oral"))</f>
        <v>0</v>
      </c>
      <c r="Z265">
        <f>AND(IF(Metadata!F265="",FALSE,TRUE),exact(Metadata!F265,"UBERON:oral cavity"))</f>
        <v>0</v>
      </c>
      <c r="AA265">
        <f>AND(IF(Metadata!G265="",FALSE,TRUE),exact(Metadata!G265,"UBERON:saliva"))</f>
        <v>0</v>
      </c>
      <c r="AB265">
        <f>AND(IF(Metadata!H265="",FALSE,TRUE),exact(Metadata!H265,"UBERON:tongue"))</f>
        <v>0</v>
      </c>
      <c r="AC265">
        <f>AND(IF(Metadata!I265="",FALSE,TRUE),exact(Metadata!I265,"tongue"))</f>
        <v>0</v>
      </c>
      <c r="AD265">
        <f>AND(IF(Metadata!J265="",FALSE,TRUE),exact(Metadata!J265,"human oral metagenome"))</f>
        <v>0</v>
      </c>
      <c r="AE265">
        <f>AND(IF(Metadata!K265="",FALSE,TRUE),exact(Metadata!K265,"447426"))</f>
        <v>0</v>
      </c>
    </row>
    <row r="266" spans="1:31">
      <c r="A266" s="4">
        <f>IF(B266=" "," ",HYPERLINK(CONCATENATE("#metadata!",ADDRESS(INDEX($Q$2:$Q$1001,MATCH(ROWS($O$2:O266),$O$2:$O$1001,0),0),1)),INDEX($T$2:$T$1001,MATCH(ROWS($O$2:O266),$O$2:$O$1001,0),0)))</f>
        <v>0</v>
      </c>
      <c r="B266" s="3">
        <f>IF(OR(INDEX($P$2:$P$1001,MATCH(ROWS($O$2:O266),$O$2:$O$1001,0),1)&gt;=100000,INDEX($V$1005:$AE$1005,1,MATCH(COLUMNS($V$1006:V1006),$V$1006:$AE$1006,0))&gt;=100000), " ",IF(INDEX($V$2:$AE$1001,MATCH(ROWS($O$2:O266),$O$2:$O$1001,0),MATCH(COLUMNS($V$1006:V1006),$V$1006:$AE$1006,0)), HYPERLINK("#",""), HYPERLINK(CONCATENATE("#Metadata!", ADDRESS(INDEX($Q$2:$Q$1001,MATCH(ROWS($O$2:O266),$O$2:$O$1001,0),0), INDEX($V$1004:$AE$1004,1,MATCH(COLUMNS($V$1006:V1006),$V$1006:$AE$1006,0)))),"Fix")))</f>
        <v>0</v>
      </c>
      <c r="C266" s="3">
        <f>IF(OR(INDEX($P$2:$P$1001,MATCH(ROWS($O$2:O266),$O$2:$O$1001,0),1)&gt;=100000,INDEX($V$1005:$AE$1005,1,MATCH(COLUMNS($V$1006:W1006),$V$1006:$AE$1006,0))&gt;=100000), " ",IF(INDEX($V$2:$AE$1001,MATCH(ROWS($O$2:O266),$O$2:$O$1001,0),MATCH(COLUMNS($V$1006:W1006),$V$1006:$AE$1006,0)), HYPERLINK("#",""), HYPERLINK(CONCATENATE("#Metadata!", ADDRESS(INDEX($Q$2:$Q$1001,MATCH(ROWS($O$2:O266),$O$2:$O$1001,0),0), INDEX($V$1004:$AE$1004,1,MATCH(COLUMNS($V$1006:W1006),$V$1006:$AE$1006,0)))),"Fix")))</f>
        <v>0</v>
      </c>
      <c r="D266" s="3">
        <f>IF(OR(INDEX($P$2:$P$1001,MATCH(ROWS($O$2:O266),$O$2:$O$1001,0),1)&gt;=100000,INDEX($V$1005:$AE$1005,1,MATCH(COLUMNS($V$1006:X1006),$V$1006:$AE$1006,0))&gt;=100000), " ",IF(INDEX($V$2:$AE$1001,MATCH(ROWS($O$2:O266),$O$2:$O$1001,0),MATCH(COLUMNS($V$1006:X1006),$V$1006:$AE$1006,0)), HYPERLINK("#",""), HYPERLINK(CONCATENATE("#Metadata!", ADDRESS(INDEX($Q$2:$Q$1001,MATCH(ROWS($O$2:O266),$O$2:$O$1001,0),0), INDEX($V$1004:$AE$1004,1,MATCH(COLUMNS($V$1006:X1006),$V$1006:$AE$1006,0)))),"Fix")))</f>
        <v>0</v>
      </c>
      <c r="E266" s="3">
        <f>IF(OR(INDEX($P$2:$P$1001,MATCH(ROWS($O$2:O266),$O$2:$O$1001,0),1)&gt;=100000,INDEX($V$1005:$AE$1005,1,MATCH(COLUMNS($V$1006:Y1006),$V$1006:$AE$1006,0))&gt;=100000), " ",IF(INDEX($V$2:$AE$1001,MATCH(ROWS($O$2:O266),$O$2:$O$1001,0),MATCH(COLUMNS($V$1006:Y1006),$V$1006:$AE$1006,0)), HYPERLINK("#",""), HYPERLINK(CONCATENATE("#Metadata!", ADDRESS(INDEX($Q$2:$Q$1001,MATCH(ROWS($O$2:O266),$O$2:$O$1001,0),0), INDEX($V$1004:$AE$1004,1,MATCH(COLUMNS($V$1006:Y1006),$V$1006:$AE$1006,0)))),"Fix")))</f>
        <v>0</v>
      </c>
      <c r="F266" s="3">
        <f>IF(OR(INDEX($P$2:$P$1001,MATCH(ROWS($O$2:O266),$O$2:$O$1001,0),1)&gt;=100000,INDEX($V$1005:$AE$1005,1,MATCH(COLUMNS($V$1006:Z1006),$V$1006:$AE$1006,0))&gt;=100000), " ",IF(INDEX($V$2:$AE$1001,MATCH(ROWS($O$2:O266),$O$2:$O$1001,0),MATCH(COLUMNS($V$1006:Z1006),$V$1006:$AE$1006,0)), HYPERLINK("#",""), HYPERLINK(CONCATENATE("#Metadata!", ADDRESS(INDEX($Q$2:$Q$1001,MATCH(ROWS($O$2:O266),$O$2:$O$1001,0),0), INDEX($V$1004:$AE$1004,1,MATCH(COLUMNS($V$1006:Z1006),$V$1006:$AE$1006,0)))),"Fix")))</f>
        <v>0</v>
      </c>
      <c r="G266" s="3">
        <f>IF(OR(INDEX($P$2:$P$1001,MATCH(ROWS($O$2:O266),$O$2:$O$1001,0),1)&gt;=100000,INDEX($V$1005:$AE$1005,1,MATCH(COLUMNS($V$1006:AA1006),$V$1006:$AE$1006,0))&gt;=100000), " ",IF(INDEX($V$2:$AE$1001,MATCH(ROWS($O$2:O266),$O$2:$O$1001,0),MATCH(COLUMNS($V$1006:AA1006),$V$1006:$AE$1006,0)), HYPERLINK("#",""), HYPERLINK(CONCATENATE("#Metadata!", ADDRESS(INDEX($Q$2:$Q$1001,MATCH(ROWS($O$2:O266),$O$2:$O$1001,0),0), INDEX($V$1004:$AE$1004,1,MATCH(COLUMNS($V$1006:AA1006),$V$1006:$AE$1006,0)))),"Fix")))</f>
        <v>0</v>
      </c>
      <c r="H266" s="3">
        <f>IF(OR(INDEX($P$2:$P$1001,MATCH(ROWS($O$2:O266),$O$2:$O$1001,0),1)&gt;=100000,INDEX($V$1005:$AE$1005,1,MATCH(COLUMNS($V$1006:AB1006),$V$1006:$AE$1006,0))&gt;=100000), " ",IF(INDEX($V$2:$AE$1001,MATCH(ROWS($O$2:O266),$O$2:$O$1001,0),MATCH(COLUMNS($V$1006:AB1006),$V$1006:$AE$1006,0)), HYPERLINK("#",""), HYPERLINK(CONCATENATE("#Metadata!", ADDRESS(INDEX($Q$2:$Q$1001,MATCH(ROWS($O$2:O266),$O$2:$O$1001,0),0), INDEX($V$1004:$AE$1004,1,MATCH(COLUMNS($V$1006:AB1006),$V$1006:$AE$1006,0)))),"Fix")))</f>
        <v>0</v>
      </c>
      <c r="I266" s="3">
        <f>IF(OR(INDEX($P$2:$P$1001,MATCH(ROWS($O$2:O266),$O$2:$O$1001,0),1)&gt;=100000,INDEX($V$1005:$AE$1005,1,MATCH(COLUMNS($V$1006:AC1006),$V$1006:$AE$1006,0))&gt;=100000), " ",IF(INDEX($V$2:$AE$1001,MATCH(ROWS($O$2:O266),$O$2:$O$1001,0),MATCH(COLUMNS($V$1006:AC1006),$V$1006:$AE$1006,0)), HYPERLINK("#",""), HYPERLINK(CONCATENATE("#Metadata!", ADDRESS(INDEX($Q$2:$Q$1001,MATCH(ROWS($O$2:O266),$O$2:$O$1001,0),0), INDEX($V$1004:$AE$1004,1,MATCH(COLUMNS($V$1006:AC1006),$V$1006:$AE$1006,0)))),"Fix")))</f>
        <v>0</v>
      </c>
      <c r="J266" s="3">
        <f>IF(OR(INDEX($P$2:$P$1001,MATCH(ROWS($O$2:O266),$O$2:$O$1001,0),1)&gt;=100000,INDEX($V$1005:$AE$1005,1,MATCH(COLUMNS($V$1006:AD1006),$V$1006:$AE$1006,0))&gt;=100000), " ",IF(INDEX($V$2:$AE$1001,MATCH(ROWS($O$2:O266),$O$2:$O$1001,0),MATCH(COLUMNS($V$1006:AD1006),$V$1006:$AE$1006,0)), HYPERLINK("#",""), HYPERLINK(CONCATENATE("#Metadata!", ADDRESS(INDEX($Q$2:$Q$1001,MATCH(ROWS($O$2:O266),$O$2:$O$1001,0),0), INDEX($V$1004:$AE$1004,1,MATCH(COLUMNS($V$1006:AD1006),$V$1006:$AE$1006,0)))),"Fix")))</f>
        <v>0</v>
      </c>
      <c r="K266" s="3">
        <f>IF(OR(INDEX($P$2:$P$1001,MATCH(ROWS($O$2:O266),$O$2:$O$1001,0),1)&gt;=100000,INDEX($V$1005:$AE$1005,1,MATCH(COLUMNS($V$1006:AE1006),$V$1006:$AE$1006,0))&gt;=100000), " ",IF(INDEX($V$2:$AE$1001,MATCH(ROWS($O$2:O266),$O$2:$O$1001,0),MATCH(COLUMNS($V$1006:AE1006),$V$1006:$AE$1006,0)), HYPERLINK("#",""), HYPERLINK(CONCATENATE("#Metadata!", ADDRESS(INDEX($Q$2:$Q$1001,MATCH(ROWS($O$2:O266),$O$2:$O$1001,0),0), INDEX($V$1004:$AE$1004,1,MATCH(COLUMNS($V$1006:AE1006),$V$1006:$AE$1006,0)))),"Fix")))</f>
        <v>0</v>
      </c>
      <c r="O266">
        <v>0</v>
      </c>
      <c r="P266">
        <v>0</v>
      </c>
      <c r="Q266">
        <v>0</v>
      </c>
      <c r="R266">
        <f>IF(S266,TRUE,AND(V266:AE266))</f>
        <v>0</v>
      </c>
      <c r="S266">
        <f>COUNTBLANK(Metadata!B266:K266)=COLUMNS(Metadata!B266:K266)</f>
        <v>0</v>
      </c>
      <c r="T266">
        <v>0</v>
      </c>
      <c r="V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W266">
        <f>AND(IF(Metadata!C266="",FALSE,TRUE),exact(Metadata!C266,"animal secretion"))</f>
        <v>0</v>
      </c>
      <c r="X266">
        <f>AND(IF(Metadata!D266="",FALSE,TRUE),exact(Metadata!D266,"saliva"))</f>
        <v>0</v>
      </c>
      <c r="Y266">
        <f>AND(IF(Metadata!E266="",FALSE,TRUE),exact(Metadata!E266,"human-oral"))</f>
        <v>0</v>
      </c>
      <c r="Z266">
        <f>AND(IF(Metadata!F266="",FALSE,TRUE),exact(Metadata!F266,"UBERON:oral cavity"))</f>
        <v>0</v>
      </c>
      <c r="AA266">
        <f>AND(IF(Metadata!G266="",FALSE,TRUE),exact(Metadata!G266,"UBERON:saliva"))</f>
        <v>0</v>
      </c>
      <c r="AB266">
        <f>AND(IF(Metadata!H266="",FALSE,TRUE),exact(Metadata!H266,"UBERON:tongue"))</f>
        <v>0</v>
      </c>
      <c r="AC266">
        <f>AND(IF(Metadata!I266="",FALSE,TRUE),exact(Metadata!I266,"tongue"))</f>
        <v>0</v>
      </c>
      <c r="AD266">
        <f>AND(IF(Metadata!J266="",FALSE,TRUE),exact(Metadata!J266,"human oral metagenome"))</f>
        <v>0</v>
      </c>
      <c r="AE266">
        <f>AND(IF(Metadata!K266="",FALSE,TRUE),exact(Metadata!K266,"447426"))</f>
        <v>0</v>
      </c>
    </row>
    <row r="267" spans="1:31">
      <c r="A267" s="4">
        <f>IF(B267=" "," ",HYPERLINK(CONCATENATE("#metadata!",ADDRESS(INDEX($Q$2:$Q$1001,MATCH(ROWS($O$2:O267),$O$2:$O$1001,0),0),1)),INDEX($T$2:$T$1001,MATCH(ROWS($O$2:O267),$O$2:$O$1001,0),0)))</f>
        <v>0</v>
      </c>
      <c r="B267" s="3">
        <f>IF(OR(INDEX($P$2:$P$1001,MATCH(ROWS($O$2:O267),$O$2:$O$1001,0),1)&gt;=100000,INDEX($V$1005:$AE$1005,1,MATCH(COLUMNS($V$1006:V1006),$V$1006:$AE$1006,0))&gt;=100000), " ",IF(INDEX($V$2:$AE$1001,MATCH(ROWS($O$2:O267),$O$2:$O$1001,0),MATCH(COLUMNS($V$1006:V1006),$V$1006:$AE$1006,0)), HYPERLINK("#",""), HYPERLINK(CONCATENATE("#Metadata!", ADDRESS(INDEX($Q$2:$Q$1001,MATCH(ROWS($O$2:O267),$O$2:$O$1001,0),0), INDEX($V$1004:$AE$1004,1,MATCH(COLUMNS($V$1006:V1006),$V$1006:$AE$1006,0)))),"Fix")))</f>
        <v>0</v>
      </c>
      <c r="C267" s="3">
        <f>IF(OR(INDEX($P$2:$P$1001,MATCH(ROWS($O$2:O267),$O$2:$O$1001,0),1)&gt;=100000,INDEX($V$1005:$AE$1005,1,MATCH(COLUMNS($V$1006:W1006),$V$1006:$AE$1006,0))&gt;=100000), " ",IF(INDEX($V$2:$AE$1001,MATCH(ROWS($O$2:O267),$O$2:$O$1001,0),MATCH(COLUMNS($V$1006:W1006),$V$1006:$AE$1006,0)), HYPERLINK("#",""), HYPERLINK(CONCATENATE("#Metadata!", ADDRESS(INDEX($Q$2:$Q$1001,MATCH(ROWS($O$2:O267),$O$2:$O$1001,0),0), INDEX($V$1004:$AE$1004,1,MATCH(COLUMNS($V$1006:W1006),$V$1006:$AE$1006,0)))),"Fix")))</f>
        <v>0</v>
      </c>
      <c r="D267" s="3">
        <f>IF(OR(INDEX($P$2:$P$1001,MATCH(ROWS($O$2:O267),$O$2:$O$1001,0),1)&gt;=100000,INDEX($V$1005:$AE$1005,1,MATCH(COLUMNS($V$1006:X1006),$V$1006:$AE$1006,0))&gt;=100000), " ",IF(INDEX($V$2:$AE$1001,MATCH(ROWS($O$2:O267),$O$2:$O$1001,0),MATCH(COLUMNS($V$1006:X1006),$V$1006:$AE$1006,0)), HYPERLINK("#",""), HYPERLINK(CONCATENATE("#Metadata!", ADDRESS(INDEX($Q$2:$Q$1001,MATCH(ROWS($O$2:O267),$O$2:$O$1001,0),0), INDEX($V$1004:$AE$1004,1,MATCH(COLUMNS($V$1006:X1006),$V$1006:$AE$1006,0)))),"Fix")))</f>
        <v>0</v>
      </c>
      <c r="E267" s="3">
        <f>IF(OR(INDEX($P$2:$P$1001,MATCH(ROWS($O$2:O267),$O$2:$O$1001,0),1)&gt;=100000,INDEX($V$1005:$AE$1005,1,MATCH(COLUMNS($V$1006:Y1006),$V$1006:$AE$1006,0))&gt;=100000), " ",IF(INDEX($V$2:$AE$1001,MATCH(ROWS($O$2:O267),$O$2:$O$1001,0),MATCH(COLUMNS($V$1006:Y1006),$V$1006:$AE$1006,0)), HYPERLINK("#",""), HYPERLINK(CONCATENATE("#Metadata!", ADDRESS(INDEX($Q$2:$Q$1001,MATCH(ROWS($O$2:O267),$O$2:$O$1001,0),0), INDEX($V$1004:$AE$1004,1,MATCH(COLUMNS($V$1006:Y1006),$V$1006:$AE$1006,0)))),"Fix")))</f>
        <v>0</v>
      </c>
      <c r="F267" s="3">
        <f>IF(OR(INDEX($P$2:$P$1001,MATCH(ROWS($O$2:O267),$O$2:$O$1001,0),1)&gt;=100000,INDEX($V$1005:$AE$1005,1,MATCH(COLUMNS($V$1006:Z1006),$V$1006:$AE$1006,0))&gt;=100000), " ",IF(INDEX($V$2:$AE$1001,MATCH(ROWS($O$2:O267),$O$2:$O$1001,0),MATCH(COLUMNS($V$1006:Z1006),$V$1006:$AE$1006,0)), HYPERLINK("#",""), HYPERLINK(CONCATENATE("#Metadata!", ADDRESS(INDEX($Q$2:$Q$1001,MATCH(ROWS($O$2:O267),$O$2:$O$1001,0),0), INDEX($V$1004:$AE$1004,1,MATCH(COLUMNS($V$1006:Z1006),$V$1006:$AE$1006,0)))),"Fix")))</f>
        <v>0</v>
      </c>
      <c r="G267" s="3">
        <f>IF(OR(INDEX($P$2:$P$1001,MATCH(ROWS($O$2:O267),$O$2:$O$1001,0),1)&gt;=100000,INDEX($V$1005:$AE$1005,1,MATCH(COLUMNS($V$1006:AA1006),$V$1006:$AE$1006,0))&gt;=100000), " ",IF(INDEX($V$2:$AE$1001,MATCH(ROWS($O$2:O267),$O$2:$O$1001,0),MATCH(COLUMNS($V$1006:AA1006),$V$1006:$AE$1006,0)), HYPERLINK("#",""), HYPERLINK(CONCATENATE("#Metadata!", ADDRESS(INDEX($Q$2:$Q$1001,MATCH(ROWS($O$2:O267),$O$2:$O$1001,0),0), INDEX($V$1004:$AE$1004,1,MATCH(COLUMNS($V$1006:AA1006),$V$1006:$AE$1006,0)))),"Fix")))</f>
        <v>0</v>
      </c>
      <c r="H267" s="3">
        <f>IF(OR(INDEX($P$2:$P$1001,MATCH(ROWS($O$2:O267),$O$2:$O$1001,0),1)&gt;=100000,INDEX($V$1005:$AE$1005,1,MATCH(COLUMNS($V$1006:AB1006),$V$1006:$AE$1006,0))&gt;=100000), " ",IF(INDEX($V$2:$AE$1001,MATCH(ROWS($O$2:O267),$O$2:$O$1001,0),MATCH(COLUMNS($V$1006:AB1006),$V$1006:$AE$1006,0)), HYPERLINK("#",""), HYPERLINK(CONCATENATE("#Metadata!", ADDRESS(INDEX($Q$2:$Q$1001,MATCH(ROWS($O$2:O267),$O$2:$O$1001,0),0), INDEX($V$1004:$AE$1004,1,MATCH(COLUMNS($V$1006:AB1006),$V$1006:$AE$1006,0)))),"Fix")))</f>
        <v>0</v>
      </c>
      <c r="I267" s="3">
        <f>IF(OR(INDEX($P$2:$P$1001,MATCH(ROWS($O$2:O267),$O$2:$O$1001,0),1)&gt;=100000,INDEX($V$1005:$AE$1005,1,MATCH(COLUMNS($V$1006:AC1006),$V$1006:$AE$1006,0))&gt;=100000), " ",IF(INDEX($V$2:$AE$1001,MATCH(ROWS($O$2:O267),$O$2:$O$1001,0),MATCH(COLUMNS($V$1006:AC1006),$V$1006:$AE$1006,0)), HYPERLINK("#",""), HYPERLINK(CONCATENATE("#Metadata!", ADDRESS(INDEX($Q$2:$Q$1001,MATCH(ROWS($O$2:O267),$O$2:$O$1001,0),0), INDEX($V$1004:$AE$1004,1,MATCH(COLUMNS($V$1006:AC1006),$V$1006:$AE$1006,0)))),"Fix")))</f>
        <v>0</v>
      </c>
      <c r="J267" s="3">
        <f>IF(OR(INDEX($P$2:$P$1001,MATCH(ROWS($O$2:O267),$O$2:$O$1001,0),1)&gt;=100000,INDEX($V$1005:$AE$1005,1,MATCH(COLUMNS($V$1006:AD1006),$V$1006:$AE$1006,0))&gt;=100000), " ",IF(INDEX($V$2:$AE$1001,MATCH(ROWS($O$2:O267),$O$2:$O$1001,0),MATCH(COLUMNS($V$1006:AD1006),$V$1006:$AE$1006,0)), HYPERLINK("#",""), HYPERLINK(CONCATENATE("#Metadata!", ADDRESS(INDEX($Q$2:$Q$1001,MATCH(ROWS($O$2:O267),$O$2:$O$1001,0),0), INDEX($V$1004:$AE$1004,1,MATCH(COLUMNS($V$1006:AD1006),$V$1006:$AE$1006,0)))),"Fix")))</f>
        <v>0</v>
      </c>
      <c r="K267" s="3">
        <f>IF(OR(INDEX($P$2:$P$1001,MATCH(ROWS($O$2:O267),$O$2:$O$1001,0),1)&gt;=100000,INDEX($V$1005:$AE$1005,1,MATCH(COLUMNS($V$1006:AE1006),$V$1006:$AE$1006,0))&gt;=100000), " ",IF(INDEX($V$2:$AE$1001,MATCH(ROWS($O$2:O267),$O$2:$O$1001,0),MATCH(COLUMNS($V$1006:AE1006),$V$1006:$AE$1006,0)), HYPERLINK("#",""), HYPERLINK(CONCATENATE("#Metadata!", ADDRESS(INDEX($Q$2:$Q$1001,MATCH(ROWS($O$2:O267),$O$2:$O$1001,0),0), INDEX($V$1004:$AE$1004,1,MATCH(COLUMNS($V$1006:AE1006),$V$1006:$AE$1006,0)))),"Fix")))</f>
        <v>0</v>
      </c>
      <c r="O267">
        <v>0</v>
      </c>
      <c r="P267">
        <v>0</v>
      </c>
      <c r="Q267">
        <v>0</v>
      </c>
      <c r="R267">
        <f>IF(S267,TRUE,AND(V267:AE267))</f>
        <v>0</v>
      </c>
      <c r="S267">
        <f>COUNTBLANK(Metadata!B267:K267)=COLUMNS(Metadata!B267:K267)</f>
        <v>0</v>
      </c>
      <c r="T267">
        <v>0</v>
      </c>
      <c r="V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W267">
        <f>AND(IF(Metadata!C267="",FALSE,TRUE),exact(Metadata!C267,"animal secretion"))</f>
        <v>0</v>
      </c>
      <c r="X267">
        <f>AND(IF(Metadata!D267="",FALSE,TRUE),exact(Metadata!D267,"saliva"))</f>
        <v>0</v>
      </c>
      <c r="Y267">
        <f>AND(IF(Metadata!E267="",FALSE,TRUE),exact(Metadata!E267,"human-oral"))</f>
        <v>0</v>
      </c>
      <c r="Z267">
        <f>AND(IF(Metadata!F267="",FALSE,TRUE),exact(Metadata!F267,"UBERON:oral cavity"))</f>
        <v>0</v>
      </c>
      <c r="AA267">
        <f>AND(IF(Metadata!G267="",FALSE,TRUE),exact(Metadata!G267,"UBERON:saliva"))</f>
        <v>0</v>
      </c>
      <c r="AB267">
        <f>AND(IF(Metadata!H267="",FALSE,TRUE),exact(Metadata!H267,"UBERON:tongue"))</f>
        <v>0</v>
      </c>
      <c r="AC267">
        <f>AND(IF(Metadata!I267="",FALSE,TRUE),exact(Metadata!I267,"tongue"))</f>
        <v>0</v>
      </c>
      <c r="AD267">
        <f>AND(IF(Metadata!J267="",FALSE,TRUE),exact(Metadata!J267,"human oral metagenome"))</f>
        <v>0</v>
      </c>
      <c r="AE267">
        <f>AND(IF(Metadata!K267="",FALSE,TRUE),exact(Metadata!K267,"447426"))</f>
        <v>0</v>
      </c>
    </row>
    <row r="268" spans="1:31">
      <c r="A268" s="4">
        <f>IF(B268=" "," ",HYPERLINK(CONCATENATE("#metadata!",ADDRESS(INDEX($Q$2:$Q$1001,MATCH(ROWS($O$2:O268),$O$2:$O$1001,0),0),1)),INDEX($T$2:$T$1001,MATCH(ROWS($O$2:O268),$O$2:$O$1001,0),0)))</f>
        <v>0</v>
      </c>
      <c r="B268" s="3">
        <f>IF(OR(INDEX($P$2:$P$1001,MATCH(ROWS($O$2:O268),$O$2:$O$1001,0),1)&gt;=100000,INDEX($V$1005:$AE$1005,1,MATCH(COLUMNS($V$1006:V1006),$V$1006:$AE$1006,0))&gt;=100000), " ",IF(INDEX($V$2:$AE$1001,MATCH(ROWS($O$2:O268),$O$2:$O$1001,0),MATCH(COLUMNS($V$1006:V1006),$V$1006:$AE$1006,0)), HYPERLINK("#",""), HYPERLINK(CONCATENATE("#Metadata!", ADDRESS(INDEX($Q$2:$Q$1001,MATCH(ROWS($O$2:O268),$O$2:$O$1001,0),0), INDEX($V$1004:$AE$1004,1,MATCH(COLUMNS($V$1006:V1006),$V$1006:$AE$1006,0)))),"Fix")))</f>
        <v>0</v>
      </c>
      <c r="C268" s="3">
        <f>IF(OR(INDEX($P$2:$P$1001,MATCH(ROWS($O$2:O268),$O$2:$O$1001,0),1)&gt;=100000,INDEX($V$1005:$AE$1005,1,MATCH(COLUMNS($V$1006:W1006),$V$1006:$AE$1006,0))&gt;=100000), " ",IF(INDEX($V$2:$AE$1001,MATCH(ROWS($O$2:O268),$O$2:$O$1001,0),MATCH(COLUMNS($V$1006:W1006),$V$1006:$AE$1006,0)), HYPERLINK("#",""), HYPERLINK(CONCATENATE("#Metadata!", ADDRESS(INDEX($Q$2:$Q$1001,MATCH(ROWS($O$2:O268),$O$2:$O$1001,0),0), INDEX($V$1004:$AE$1004,1,MATCH(COLUMNS($V$1006:W1006),$V$1006:$AE$1006,0)))),"Fix")))</f>
        <v>0</v>
      </c>
      <c r="D268" s="3">
        <f>IF(OR(INDEX($P$2:$P$1001,MATCH(ROWS($O$2:O268),$O$2:$O$1001,0),1)&gt;=100000,INDEX($V$1005:$AE$1005,1,MATCH(COLUMNS($V$1006:X1006),$V$1006:$AE$1006,0))&gt;=100000), " ",IF(INDEX($V$2:$AE$1001,MATCH(ROWS($O$2:O268),$O$2:$O$1001,0),MATCH(COLUMNS($V$1006:X1006),$V$1006:$AE$1006,0)), HYPERLINK("#",""), HYPERLINK(CONCATENATE("#Metadata!", ADDRESS(INDEX($Q$2:$Q$1001,MATCH(ROWS($O$2:O268),$O$2:$O$1001,0),0), INDEX($V$1004:$AE$1004,1,MATCH(COLUMNS($V$1006:X1006),$V$1006:$AE$1006,0)))),"Fix")))</f>
        <v>0</v>
      </c>
      <c r="E268" s="3">
        <f>IF(OR(INDEX($P$2:$P$1001,MATCH(ROWS($O$2:O268),$O$2:$O$1001,0),1)&gt;=100000,INDEX($V$1005:$AE$1005,1,MATCH(COLUMNS($V$1006:Y1006),$V$1006:$AE$1006,0))&gt;=100000), " ",IF(INDEX($V$2:$AE$1001,MATCH(ROWS($O$2:O268),$O$2:$O$1001,0),MATCH(COLUMNS($V$1006:Y1006),$V$1006:$AE$1006,0)), HYPERLINK("#",""), HYPERLINK(CONCATENATE("#Metadata!", ADDRESS(INDEX($Q$2:$Q$1001,MATCH(ROWS($O$2:O268),$O$2:$O$1001,0),0), INDEX($V$1004:$AE$1004,1,MATCH(COLUMNS($V$1006:Y1006),$V$1006:$AE$1006,0)))),"Fix")))</f>
        <v>0</v>
      </c>
      <c r="F268" s="3">
        <f>IF(OR(INDEX($P$2:$P$1001,MATCH(ROWS($O$2:O268),$O$2:$O$1001,0),1)&gt;=100000,INDEX($V$1005:$AE$1005,1,MATCH(COLUMNS($V$1006:Z1006),$V$1006:$AE$1006,0))&gt;=100000), " ",IF(INDEX($V$2:$AE$1001,MATCH(ROWS($O$2:O268),$O$2:$O$1001,0),MATCH(COLUMNS($V$1006:Z1006),$V$1006:$AE$1006,0)), HYPERLINK("#",""), HYPERLINK(CONCATENATE("#Metadata!", ADDRESS(INDEX($Q$2:$Q$1001,MATCH(ROWS($O$2:O268),$O$2:$O$1001,0),0), INDEX($V$1004:$AE$1004,1,MATCH(COLUMNS($V$1006:Z1006),$V$1006:$AE$1006,0)))),"Fix")))</f>
        <v>0</v>
      </c>
      <c r="G268" s="3">
        <f>IF(OR(INDEX($P$2:$P$1001,MATCH(ROWS($O$2:O268),$O$2:$O$1001,0),1)&gt;=100000,INDEX($V$1005:$AE$1005,1,MATCH(COLUMNS($V$1006:AA1006),$V$1006:$AE$1006,0))&gt;=100000), " ",IF(INDEX($V$2:$AE$1001,MATCH(ROWS($O$2:O268),$O$2:$O$1001,0),MATCH(COLUMNS($V$1006:AA1006),$V$1006:$AE$1006,0)), HYPERLINK("#",""), HYPERLINK(CONCATENATE("#Metadata!", ADDRESS(INDEX($Q$2:$Q$1001,MATCH(ROWS($O$2:O268),$O$2:$O$1001,0),0), INDEX($V$1004:$AE$1004,1,MATCH(COLUMNS($V$1006:AA1006),$V$1006:$AE$1006,0)))),"Fix")))</f>
        <v>0</v>
      </c>
      <c r="H268" s="3">
        <f>IF(OR(INDEX($P$2:$P$1001,MATCH(ROWS($O$2:O268),$O$2:$O$1001,0),1)&gt;=100000,INDEX($V$1005:$AE$1005,1,MATCH(COLUMNS($V$1006:AB1006),$V$1006:$AE$1006,0))&gt;=100000), " ",IF(INDEX($V$2:$AE$1001,MATCH(ROWS($O$2:O268),$O$2:$O$1001,0),MATCH(COLUMNS($V$1006:AB1006),$V$1006:$AE$1006,0)), HYPERLINK("#",""), HYPERLINK(CONCATENATE("#Metadata!", ADDRESS(INDEX($Q$2:$Q$1001,MATCH(ROWS($O$2:O268),$O$2:$O$1001,0),0), INDEX($V$1004:$AE$1004,1,MATCH(COLUMNS($V$1006:AB1006),$V$1006:$AE$1006,0)))),"Fix")))</f>
        <v>0</v>
      </c>
      <c r="I268" s="3">
        <f>IF(OR(INDEX($P$2:$P$1001,MATCH(ROWS($O$2:O268),$O$2:$O$1001,0),1)&gt;=100000,INDEX($V$1005:$AE$1005,1,MATCH(COLUMNS($V$1006:AC1006),$V$1006:$AE$1006,0))&gt;=100000), " ",IF(INDEX($V$2:$AE$1001,MATCH(ROWS($O$2:O268),$O$2:$O$1001,0),MATCH(COLUMNS($V$1006:AC1006),$V$1006:$AE$1006,0)), HYPERLINK("#",""), HYPERLINK(CONCATENATE("#Metadata!", ADDRESS(INDEX($Q$2:$Q$1001,MATCH(ROWS($O$2:O268),$O$2:$O$1001,0),0), INDEX($V$1004:$AE$1004,1,MATCH(COLUMNS($V$1006:AC1006),$V$1006:$AE$1006,0)))),"Fix")))</f>
        <v>0</v>
      </c>
      <c r="J268" s="3">
        <f>IF(OR(INDEX($P$2:$P$1001,MATCH(ROWS($O$2:O268),$O$2:$O$1001,0),1)&gt;=100000,INDEX($V$1005:$AE$1005,1,MATCH(COLUMNS($V$1006:AD1006),$V$1006:$AE$1006,0))&gt;=100000), " ",IF(INDEX($V$2:$AE$1001,MATCH(ROWS($O$2:O268),$O$2:$O$1001,0),MATCH(COLUMNS($V$1006:AD1006),$V$1006:$AE$1006,0)), HYPERLINK("#",""), HYPERLINK(CONCATENATE("#Metadata!", ADDRESS(INDEX($Q$2:$Q$1001,MATCH(ROWS($O$2:O268),$O$2:$O$1001,0),0), INDEX($V$1004:$AE$1004,1,MATCH(COLUMNS($V$1006:AD1006),$V$1006:$AE$1006,0)))),"Fix")))</f>
        <v>0</v>
      </c>
      <c r="K268" s="3">
        <f>IF(OR(INDEX($P$2:$P$1001,MATCH(ROWS($O$2:O268),$O$2:$O$1001,0),1)&gt;=100000,INDEX($V$1005:$AE$1005,1,MATCH(COLUMNS($V$1006:AE1006),$V$1006:$AE$1006,0))&gt;=100000), " ",IF(INDEX($V$2:$AE$1001,MATCH(ROWS($O$2:O268),$O$2:$O$1001,0),MATCH(COLUMNS($V$1006:AE1006),$V$1006:$AE$1006,0)), HYPERLINK("#",""), HYPERLINK(CONCATENATE("#Metadata!", ADDRESS(INDEX($Q$2:$Q$1001,MATCH(ROWS($O$2:O268),$O$2:$O$1001,0),0), INDEX($V$1004:$AE$1004,1,MATCH(COLUMNS($V$1006:AE1006),$V$1006:$AE$1006,0)))),"Fix")))</f>
        <v>0</v>
      </c>
      <c r="O268">
        <v>0</v>
      </c>
      <c r="P268">
        <v>0</v>
      </c>
      <c r="Q268">
        <v>0</v>
      </c>
      <c r="R268">
        <f>IF(S268,TRUE,AND(V268:AE268))</f>
        <v>0</v>
      </c>
      <c r="S268">
        <f>COUNTBLANK(Metadata!B268:K268)=COLUMNS(Metadata!B268:K268)</f>
        <v>0</v>
      </c>
      <c r="T268">
        <v>0</v>
      </c>
      <c r="V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W268">
        <f>AND(IF(Metadata!C268="",FALSE,TRUE),exact(Metadata!C268,"animal secretion"))</f>
        <v>0</v>
      </c>
      <c r="X268">
        <f>AND(IF(Metadata!D268="",FALSE,TRUE),exact(Metadata!D268,"saliva"))</f>
        <v>0</v>
      </c>
      <c r="Y268">
        <f>AND(IF(Metadata!E268="",FALSE,TRUE),exact(Metadata!E268,"human-oral"))</f>
        <v>0</v>
      </c>
      <c r="Z268">
        <f>AND(IF(Metadata!F268="",FALSE,TRUE),exact(Metadata!F268,"UBERON:oral cavity"))</f>
        <v>0</v>
      </c>
      <c r="AA268">
        <f>AND(IF(Metadata!G268="",FALSE,TRUE),exact(Metadata!G268,"UBERON:saliva"))</f>
        <v>0</v>
      </c>
      <c r="AB268">
        <f>AND(IF(Metadata!H268="",FALSE,TRUE),exact(Metadata!H268,"UBERON:tongue"))</f>
        <v>0</v>
      </c>
      <c r="AC268">
        <f>AND(IF(Metadata!I268="",FALSE,TRUE),exact(Metadata!I268,"tongue"))</f>
        <v>0</v>
      </c>
      <c r="AD268">
        <f>AND(IF(Metadata!J268="",FALSE,TRUE),exact(Metadata!J268,"human oral metagenome"))</f>
        <v>0</v>
      </c>
      <c r="AE268">
        <f>AND(IF(Metadata!K268="",FALSE,TRUE),exact(Metadata!K268,"447426"))</f>
        <v>0</v>
      </c>
    </row>
    <row r="269" spans="1:31">
      <c r="A269" s="4">
        <f>IF(B269=" "," ",HYPERLINK(CONCATENATE("#metadata!",ADDRESS(INDEX($Q$2:$Q$1001,MATCH(ROWS($O$2:O269),$O$2:$O$1001,0),0),1)),INDEX($T$2:$T$1001,MATCH(ROWS($O$2:O269),$O$2:$O$1001,0),0)))</f>
        <v>0</v>
      </c>
      <c r="B269" s="3">
        <f>IF(OR(INDEX($P$2:$P$1001,MATCH(ROWS($O$2:O269),$O$2:$O$1001,0),1)&gt;=100000,INDEX($V$1005:$AE$1005,1,MATCH(COLUMNS($V$1006:V1006),$V$1006:$AE$1006,0))&gt;=100000), " ",IF(INDEX($V$2:$AE$1001,MATCH(ROWS($O$2:O269),$O$2:$O$1001,0),MATCH(COLUMNS($V$1006:V1006),$V$1006:$AE$1006,0)), HYPERLINK("#",""), HYPERLINK(CONCATENATE("#Metadata!", ADDRESS(INDEX($Q$2:$Q$1001,MATCH(ROWS($O$2:O269),$O$2:$O$1001,0),0), INDEX($V$1004:$AE$1004,1,MATCH(COLUMNS($V$1006:V1006),$V$1006:$AE$1006,0)))),"Fix")))</f>
        <v>0</v>
      </c>
      <c r="C269" s="3">
        <f>IF(OR(INDEX($P$2:$P$1001,MATCH(ROWS($O$2:O269),$O$2:$O$1001,0),1)&gt;=100000,INDEX($V$1005:$AE$1005,1,MATCH(COLUMNS($V$1006:W1006),$V$1006:$AE$1006,0))&gt;=100000), " ",IF(INDEX($V$2:$AE$1001,MATCH(ROWS($O$2:O269),$O$2:$O$1001,0),MATCH(COLUMNS($V$1006:W1006),$V$1006:$AE$1006,0)), HYPERLINK("#",""), HYPERLINK(CONCATENATE("#Metadata!", ADDRESS(INDEX($Q$2:$Q$1001,MATCH(ROWS($O$2:O269),$O$2:$O$1001,0),0), INDEX($V$1004:$AE$1004,1,MATCH(COLUMNS($V$1006:W1006),$V$1006:$AE$1006,0)))),"Fix")))</f>
        <v>0</v>
      </c>
      <c r="D269" s="3">
        <f>IF(OR(INDEX($P$2:$P$1001,MATCH(ROWS($O$2:O269),$O$2:$O$1001,0),1)&gt;=100000,INDEX($V$1005:$AE$1005,1,MATCH(COLUMNS($V$1006:X1006),$V$1006:$AE$1006,0))&gt;=100000), " ",IF(INDEX($V$2:$AE$1001,MATCH(ROWS($O$2:O269),$O$2:$O$1001,0),MATCH(COLUMNS($V$1006:X1006),$V$1006:$AE$1006,0)), HYPERLINK("#",""), HYPERLINK(CONCATENATE("#Metadata!", ADDRESS(INDEX($Q$2:$Q$1001,MATCH(ROWS($O$2:O269),$O$2:$O$1001,0),0), INDEX($V$1004:$AE$1004,1,MATCH(COLUMNS($V$1006:X1006),$V$1006:$AE$1006,0)))),"Fix")))</f>
        <v>0</v>
      </c>
      <c r="E269" s="3">
        <f>IF(OR(INDEX($P$2:$P$1001,MATCH(ROWS($O$2:O269),$O$2:$O$1001,0),1)&gt;=100000,INDEX($V$1005:$AE$1005,1,MATCH(COLUMNS($V$1006:Y1006),$V$1006:$AE$1006,0))&gt;=100000), " ",IF(INDEX($V$2:$AE$1001,MATCH(ROWS($O$2:O269),$O$2:$O$1001,0),MATCH(COLUMNS($V$1006:Y1006),$V$1006:$AE$1006,0)), HYPERLINK("#",""), HYPERLINK(CONCATENATE("#Metadata!", ADDRESS(INDEX($Q$2:$Q$1001,MATCH(ROWS($O$2:O269),$O$2:$O$1001,0),0), INDEX($V$1004:$AE$1004,1,MATCH(COLUMNS($V$1006:Y1006),$V$1006:$AE$1006,0)))),"Fix")))</f>
        <v>0</v>
      </c>
      <c r="F269" s="3">
        <f>IF(OR(INDEX($P$2:$P$1001,MATCH(ROWS($O$2:O269),$O$2:$O$1001,0),1)&gt;=100000,INDEX($V$1005:$AE$1005,1,MATCH(COLUMNS($V$1006:Z1006),$V$1006:$AE$1006,0))&gt;=100000), " ",IF(INDEX($V$2:$AE$1001,MATCH(ROWS($O$2:O269),$O$2:$O$1001,0),MATCH(COLUMNS($V$1006:Z1006),$V$1006:$AE$1006,0)), HYPERLINK("#",""), HYPERLINK(CONCATENATE("#Metadata!", ADDRESS(INDEX($Q$2:$Q$1001,MATCH(ROWS($O$2:O269),$O$2:$O$1001,0),0), INDEX($V$1004:$AE$1004,1,MATCH(COLUMNS($V$1006:Z1006),$V$1006:$AE$1006,0)))),"Fix")))</f>
        <v>0</v>
      </c>
      <c r="G269" s="3">
        <f>IF(OR(INDEX($P$2:$P$1001,MATCH(ROWS($O$2:O269),$O$2:$O$1001,0),1)&gt;=100000,INDEX($V$1005:$AE$1005,1,MATCH(COLUMNS($V$1006:AA1006),$V$1006:$AE$1006,0))&gt;=100000), " ",IF(INDEX($V$2:$AE$1001,MATCH(ROWS($O$2:O269),$O$2:$O$1001,0),MATCH(COLUMNS($V$1006:AA1006),$V$1006:$AE$1006,0)), HYPERLINK("#",""), HYPERLINK(CONCATENATE("#Metadata!", ADDRESS(INDEX($Q$2:$Q$1001,MATCH(ROWS($O$2:O269),$O$2:$O$1001,0),0), INDEX($V$1004:$AE$1004,1,MATCH(COLUMNS($V$1006:AA1006),$V$1006:$AE$1006,0)))),"Fix")))</f>
        <v>0</v>
      </c>
      <c r="H269" s="3">
        <f>IF(OR(INDEX($P$2:$P$1001,MATCH(ROWS($O$2:O269),$O$2:$O$1001,0),1)&gt;=100000,INDEX($V$1005:$AE$1005,1,MATCH(COLUMNS($V$1006:AB1006),$V$1006:$AE$1006,0))&gt;=100000), " ",IF(INDEX($V$2:$AE$1001,MATCH(ROWS($O$2:O269),$O$2:$O$1001,0),MATCH(COLUMNS($V$1006:AB1006),$V$1006:$AE$1006,0)), HYPERLINK("#",""), HYPERLINK(CONCATENATE("#Metadata!", ADDRESS(INDEX($Q$2:$Q$1001,MATCH(ROWS($O$2:O269),$O$2:$O$1001,0),0), INDEX($V$1004:$AE$1004,1,MATCH(COLUMNS($V$1006:AB1006),$V$1006:$AE$1006,0)))),"Fix")))</f>
        <v>0</v>
      </c>
      <c r="I269" s="3">
        <f>IF(OR(INDEX($P$2:$P$1001,MATCH(ROWS($O$2:O269),$O$2:$O$1001,0),1)&gt;=100000,INDEX($V$1005:$AE$1005,1,MATCH(COLUMNS($V$1006:AC1006),$V$1006:$AE$1006,0))&gt;=100000), " ",IF(INDEX($V$2:$AE$1001,MATCH(ROWS($O$2:O269),$O$2:$O$1001,0),MATCH(COLUMNS($V$1006:AC1006),$V$1006:$AE$1006,0)), HYPERLINK("#",""), HYPERLINK(CONCATENATE("#Metadata!", ADDRESS(INDEX($Q$2:$Q$1001,MATCH(ROWS($O$2:O269),$O$2:$O$1001,0),0), INDEX($V$1004:$AE$1004,1,MATCH(COLUMNS($V$1006:AC1006),$V$1006:$AE$1006,0)))),"Fix")))</f>
        <v>0</v>
      </c>
      <c r="J269" s="3">
        <f>IF(OR(INDEX($P$2:$P$1001,MATCH(ROWS($O$2:O269),$O$2:$O$1001,0),1)&gt;=100000,INDEX($V$1005:$AE$1005,1,MATCH(COLUMNS($V$1006:AD1006),$V$1006:$AE$1006,0))&gt;=100000), " ",IF(INDEX($V$2:$AE$1001,MATCH(ROWS($O$2:O269),$O$2:$O$1001,0),MATCH(COLUMNS($V$1006:AD1006),$V$1006:$AE$1006,0)), HYPERLINK("#",""), HYPERLINK(CONCATENATE("#Metadata!", ADDRESS(INDEX($Q$2:$Q$1001,MATCH(ROWS($O$2:O269),$O$2:$O$1001,0),0), INDEX($V$1004:$AE$1004,1,MATCH(COLUMNS($V$1006:AD1006),$V$1006:$AE$1006,0)))),"Fix")))</f>
        <v>0</v>
      </c>
      <c r="K269" s="3">
        <f>IF(OR(INDEX($P$2:$P$1001,MATCH(ROWS($O$2:O269),$O$2:$O$1001,0),1)&gt;=100000,INDEX($V$1005:$AE$1005,1,MATCH(COLUMNS($V$1006:AE1006),$V$1006:$AE$1006,0))&gt;=100000), " ",IF(INDEX($V$2:$AE$1001,MATCH(ROWS($O$2:O269),$O$2:$O$1001,0),MATCH(COLUMNS($V$1006:AE1006),$V$1006:$AE$1006,0)), HYPERLINK("#",""), HYPERLINK(CONCATENATE("#Metadata!", ADDRESS(INDEX($Q$2:$Q$1001,MATCH(ROWS($O$2:O269),$O$2:$O$1001,0),0), INDEX($V$1004:$AE$1004,1,MATCH(COLUMNS($V$1006:AE1006),$V$1006:$AE$1006,0)))),"Fix")))</f>
        <v>0</v>
      </c>
      <c r="O269">
        <v>0</v>
      </c>
      <c r="P269">
        <v>0</v>
      </c>
      <c r="Q269">
        <v>0</v>
      </c>
      <c r="R269">
        <f>IF(S269,TRUE,AND(V269:AE269))</f>
        <v>0</v>
      </c>
      <c r="S269">
        <f>COUNTBLANK(Metadata!B269:K269)=COLUMNS(Metadata!B269:K269)</f>
        <v>0</v>
      </c>
      <c r="T269">
        <v>0</v>
      </c>
      <c r="V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W269">
        <f>AND(IF(Metadata!C269="",FALSE,TRUE),exact(Metadata!C269,"animal secretion"))</f>
        <v>0</v>
      </c>
      <c r="X269">
        <f>AND(IF(Metadata!D269="",FALSE,TRUE),exact(Metadata!D269,"saliva"))</f>
        <v>0</v>
      </c>
      <c r="Y269">
        <f>AND(IF(Metadata!E269="",FALSE,TRUE),exact(Metadata!E269,"human-oral"))</f>
        <v>0</v>
      </c>
      <c r="Z269">
        <f>AND(IF(Metadata!F269="",FALSE,TRUE),exact(Metadata!F269,"UBERON:oral cavity"))</f>
        <v>0</v>
      </c>
      <c r="AA269">
        <f>AND(IF(Metadata!G269="",FALSE,TRUE),exact(Metadata!G269,"UBERON:saliva"))</f>
        <v>0</v>
      </c>
      <c r="AB269">
        <f>AND(IF(Metadata!H269="",FALSE,TRUE),exact(Metadata!H269,"UBERON:tongue"))</f>
        <v>0</v>
      </c>
      <c r="AC269">
        <f>AND(IF(Metadata!I269="",FALSE,TRUE),exact(Metadata!I269,"tongue"))</f>
        <v>0</v>
      </c>
      <c r="AD269">
        <f>AND(IF(Metadata!J269="",FALSE,TRUE),exact(Metadata!J269,"human oral metagenome"))</f>
        <v>0</v>
      </c>
      <c r="AE269">
        <f>AND(IF(Metadata!K269="",FALSE,TRUE),exact(Metadata!K269,"447426"))</f>
        <v>0</v>
      </c>
    </row>
    <row r="270" spans="1:31">
      <c r="A270" s="4">
        <f>IF(B270=" "," ",HYPERLINK(CONCATENATE("#metadata!",ADDRESS(INDEX($Q$2:$Q$1001,MATCH(ROWS($O$2:O270),$O$2:$O$1001,0),0),1)),INDEX($T$2:$T$1001,MATCH(ROWS($O$2:O270),$O$2:$O$1001,0),0)))</f>
        <v>0</v>
      </c>
      <c r="B270" s="3">
        <f>IF(OR(INDEX($P$2:$P$1001,MATCH(ROWS($O$2:O270),$O$2:$O$1001,0),1)&gt;=100000,INDEX($V$1005:$AE$1005,1,MATCH(COLUMNS($V$1006:V1006),$V$1006:$AE$1006,0))&gt;=100000), " ",IF(INDEX($V$2:$AE$1001,MATCH(ROWS($O$2:O270),$O$2:$O$1001,0),MATCH(COLUMNS($V$1006:V1006),$V$1006:$AE$1006,0)), HYPERLINK("#",""), HYPERLINK(CONCATENATE("#Metadata!", ADDRESS(INDEX($Q$2:$Q$1001,MATCH(ROWS($O$2:O270),$O$2:$O$1001,0),0), INDEX($V$1004:$AE$1004,1,MATCH(COLUMNS($V$1006:V1006),$V$1006:$AE$1006,0)))),"Fix")))</f>
        <v>0</v>
      </c>
      <c r="C270" s="3">
        <f>IF(OR(INDEX($P$2:$P$1001,MATCH(ROWS($O$2:O270),$O$2:$O$1001,0),1)&gt;=100000,INDEX($V$1005:$AE$1005,1,MATCH(COLUMNS($V$1006:W1006),$V$1006:$AE$1006,0))&gt;=100000), " ",IF(INDEX($V$2:$AE$1001,MATCH(ROWS($O$2:O270),$O$2:$O$1001,0),MATCH(COLUMNS($V$1006:W1006),$V$1006:$AE$1006,0)), HYPERLINK("#",""), HYPERLINK(CONCATENATE("#Metadata!", ADDRESS(INDEX($Q$2:$Q$1001,MATCH(ROWS($O$2:O270),$O$2:$O$1001,0),0), INDEX($V$1004:$AE$1004,1,MATCH(COLUMNS($V$1006:W1006),$V$1006:$AE$1006,0)))),"Fix")))</f>
        <v>0</v>
      </c>
      <c r="D270" s="3">
        <f>IF(OR(INDEX($P$2:$P$1001,MATCH(ROWS($O$2:O270),$O$2:$O$1001,0),1)&gt;=100000,INDEX($V$1005:$AE$1005,1,MATCH(COLUMNS($V$1006:X1006),$V$1006:$AE$1006,0))&gt;=100000), " ",IF(INDEX($V$2:$AE$1001,MATCH(ROWS($O$2:O270),$O$2:$O$1001,0),MATCH(COLUMNS($V$1006:X1006),$V$1006:$AE$1006,0)), HYPERLINK("#",""), HYPERLINK(CONCATENATE("#Metadata!", ADDRESS(INDEX($Q$2:$Q$1001,MATCH(ROWS($O$2:O270),$O$2:$O$1001,0),0), INDEX($V$1004:$AE$1004,1,MATCH(COLUMNS($V$1006:X1006),$V$1006:$AE$1006,0)))),"Fix")))</f>
        <v>0</v>
      </c>
      <c r="E270" s="3">
        <f>IF(OR(INDEX($P$2:$P$1001,MATCH(ROWS($O$2:O270),$O$2:$O$1001,0),1)&gt;=100000,INDEX($V$1005:$AE$1005,1,MATCH(COLUMNS($V$1006:Y1006),$V$1006:$AE$1006,0))&gt;=100000), " ",IF(INDEX($V$2:$AE$1001,MATCH(ROWS($O$2:O270),$O$2:$O$1001,0),MATCH(COLUMNS($V$1006:Y1006),$V$1006:$AE$1006,0)), HYPERLINK("#",""), HYPERLINK(CONCATENATE("#Metadata!", ADDRESS(INDEX($Q$2:$Q$1001,MATCH(ROWS($O$2:O270),$O$2:$O$1001,0),0), INDEX($V$1004:$AE$1004,1,MATCH(COLUMNS($V$1006:Y1006),$V$1006:$AE$1006,0)))),"Fix")))</f>
        <v>0</v>
      </c>
      <c r="F270" s="3">
        <f>IF(OR(INDEX($P$2:$P$1001,MATCH(ROWS($O$2:O270),$O$2:$O$1001,0),1)&gt;=100000,INDEX($V$1005:$AE$1005,1,MATCH(COLUMNS($V$1006:Z1006),$V$1006:$AE$1006,0))&gt;=100000), " ",IF(INDEX($V$2:$AE$1001,MATCH(ROWS($O$2:O270),$O$2:$O$1001,0),MATCH(COLUMNS($V$1006:Z1006),$V$1006:$AE$1006,0)), HYPERLINK("#",""), HYPERLINK(CONCATENATE("#Metadata!", ADDRESS(INDEX($Q$2:$Q$1001,MATCH(ROWS($O$2:O270),$O$2:$O$1001,0),0), INDEX($V$1004:$AE$1004,1,MATCH(COLUMNS($V$1006:Z1006),$V$1006:$AE$1006,0)))),"Fix")))</f>
        <v>0</v>
      </c>
      <c r="G270" s="3">
        <f>IF(OR(INDEX($P$2:$P$1001,MATCH(ROWS($O$2:O270),$O$2:$O$1001,0),1)&gt;=100000,INDEX($V$1005:$AE$1005,1,MATCH(COLUMNS($V$1006:AA1006),$V$1006:$AE$1006,0))&gt;=100000), " ",IF(INDEX($V$2:$AE$1001,MATCH(ROWS($O$2:O270),$O$2:$O$1001,0),MATCH(COLUMNS($V$1006:AA1006),$V$1006:$AE$1006,0)), HYPERLINK("#",""), HYPERLINK(CONCATENATE("#Metadata!", ADDRESS(INDEX($Q$2:$Q$1001,MATCH(ROWS($O$2:O270),$O$2:$O$1001,0),0), INDEX($V$1004:$AE$1004,1,MATCH(COLUMNS($V$1006:AA1006),$V$1006:$AE$1006,0)))),"Fix")))</f>
        <v>0</v>
      </c>
      <c r="H270" s="3">
        <f>IF(OR(INDEX($P$2:$P$1001,MATCH(ROWS($O$2:O270),$O$2:$O$1001,0),1)&gt;=100000,INDEX($V$1005:$AE$1005,1,MATCH(COLUMNS($V$1006:AB1006),$V$1006:$AE$1006,0))&gt;=100000), " ",IF(INDEX($V$2:$AE$1001,MATCH(ROWS($O$2:O270),$O$2:$O$1001,0),MATCH(COLUMNS($V$1006:AB1006),$V$1006:$AE$1006,0)), HYPERLINK("#",""), HYPERLINK(CONCATENATE("#Metadata!", ADDRESS(INDEX($Q$2:$Q$1001,MATCH(ROWS($O$2:O270),$O$2:$O$1001,0),0), INDEX($V$1004:$AE$1004,1,MATCH(COLUMNS($V$1006:AB1006),$V$1006:$AE$1006,0)))),"Fix")))</f>
        <v>0</v>
      </c>
      <c r="I270" s="3">
        <f>IF(OR(INDEX($P$2:$P$1001,MATCH(ROWS($O$2:O270),$O$2:$O$1001,0),1)&gt;=100000,INDEX($V$1005:$AE$1005,1,MATCH(COLUMNS($V$1006:AC1006),$V$1006:$AE$1006,0))&gt;=100000), " ",IF(INDEX($V$2:$AE$1001,MATCH(ROWS($O$2:O270),$O$2:$O$1001,0),MATCH(COLUMNS($V$1006:AC1006),$V$1006:$AE$1006,0)), HYPERLINK("#",""), HYPERLINK(CONCATENATE("#Metadata!", ADDRESS(INDEX($Q$2:$Q$1001,MATCH(ROWS($O$2:O270),$O$2:$O$1001,0),0), INDEX($V$1004:$AE$1004,1,MATCH(COLUMNS($V$1006:AC1006),$V$1006:$AE$1006,0)))),"Fix")))</f>
        <v>0</v>
      </c>
      <c r="J270" s="3">
        <f>IF(OR(INDEX($P$2:$P$1001,MATCH(ROWS($O$2:O270),$O$2:$O$1001,0),1)&gt;=100000,INDEX($V$1005:$AE$1005,1,MATCH(COLUMNS($V$1006:AD1006),$V$1006:$AE$1006,0))&gt;=100000), " ",IF(INDEX($V$2:$AE$1001,MATCH(ROWS($O$2:O270),$O$2:$O$1001,0),MATCH(COLUMNS($V$1006:AD1006),$V$1006:$AE$1006,0)), HYPERLINK("#",""), HYPERLINK(CONCATENATE("#Metadata!", ADDRESS(INDEX($Q$2:$Q$1001,MATCH(ROWS($O$2:O270),$O$2:$O$1001,0),0), INDEX($V$1004:$AE$1004,1,MATCH(COLUMNS($V$1006:AD1006),$V$1006:$AE$1006,0)))),"Fix")))</f>
        <v>0</v>
      </c>
      <c r="K270" s="3">
        <f>IF(OR(INDEX($P$2:$P$1001,MATCH(ROWS($O$2:O270),$O$2:$O$1001,0),1)&gt;=100000,INDEX($V$1005:$AE$1005,1,MATCH(COLUMNS($V$1006:AE1006),$V$1006:$AE$1006,0))&gt;=100000), " ",IF(INDEX($V$2:$AE$1001,MATCH(ROWS($O$2:O270),$O$2:$O$1001,0),MATCH(COLUMNS($V$1006:AE1006),$V$1006:$AE$1006,0)), HYPERLINK("#",""), HYPERLINK(CONCATENATE("#Metadata!", ADDRESS(INDEX($Q$2:$Q$1001,MATCH(ROWS($O$2:O270),$O$2:$O$1001,0),0), INDEX($V$1004:$AE$1004,1,MATCH(COLUMNS($V$1006:AE1006),$V$1006:$AE$1006,0)))),"Fix")))</f>
        <v>0</v>
      </c>
      <c r="O270">
        <v>0</v>
      </c>
      <c r="P270">
        <v>0</v>
      </c>
      <c r="Q270">
        <v>0</v>
      </c>
      <c r="R270">
        <f>IF(S270,TRUE,AND(V270:AE270))</f>
        <v>0</v>
      </c>
      <c r="S270">
        <f>COUNTBLANK(Metadata!B270:K270)=COLUMNS(Metadata!B270:K270)</f>
        <v>0</v>
      </c>
      <c r="T270">
        <v>0</v>
      </c>
      <c r="V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W270">
        <f>AND(IF(Metadata!C270="",FALSE,TRUE),exact(Metadata!C270,"animal secretion"))</f>
        <v>0</v>
      </c>
      <c r="X270">
        <f>AND(IF(Metadata!D270="",FALSE,TRUE),exact(Metadata!D270,"saliva"))</f>
        <v>0</v>
      </c>
      <c r="Y270">
        <f>AND(IF(Metadata!E270="",FALSE,TRUE),exact(Metadata!E270,"human-oral"))</f>
        <v>0</v>
      </c>
      <c r="Z270">
        <f>AND(IF(Metadata!F270="",FALSE,TRUE),exact(Metadata!F270,"UBERON:oral cavity"))</f>
        <v>0</v>
      </c>
      <c r="AA270">
        <f>AND(IF(Metadata!G270="",FALSE,TRUE),exact(Metadata!G270,"UBERON:saliva"))</f>
        <v>0</v>
      </c>
      <c r="AB270">
        <f>AND(IF(Metadata!H270="",FALSE,TRUE),exact(Metadata!H270,"UBERON:tongue"))</f>
        <v>0</v>
      </c>
      <c r="AC270">
        <f>AND(IF(Metadata!I270="",FALSE,TRUE),exact(Metadata!I270,"tongue"))</f>
        <v>0</v>
      </c>
      <c r="AD270">
        <f>AND(IF(Metadata!J270="",FALSE,TRUE),exact(Metadata!J270,"human oral metagenome"))</f>
        <v>0</v>
      </c>
      <c r="AE270">
        <f>AND(IF(Metadata!K270="",FALSE,TRUE),exact(Metadata!K270,"447426"))</f>
        <v>0</v>
      </c>
    </row>
    <row r="271" spans="1:31">
      <c r="A271" s="4">
        <f>IF(B271=" "," ",HYPERLINK(CONCATENATE("#metadata!",ADDRESS(INDEX($Q$2:$Q$1001,MATCH(ROWS($O$2:O271),$O$2:$O$1001,0),0),1)),INDEX($T$2:$T$1001,MATCH(ROWS($O$2:O271),$O$2:$O$1001,0),0)))</f>
        <v>0</v>
      </c>
      <c r="B271" s="3">
        <f>IF(OR(INDEX($P$2:$P$1001,MATCH(ROWS($O$2:O271),$O$2:$O$1001,0),1)&gt;=100000,INDEX($V$1005:$AE$1005,1,MATCH(COLUMNS($V$1006:V1006),$V$1006:$AE$1006,0))&gt;=100000), " ",IF(INDEX($V$2:$AE$1001,MATCH(ROWS($O$2:O271),$O$2:$O$1001,0),MATCH(COLUMNS($V$1006:V1006),$V$1006:$AE$1006,0)), HYPERLINK("#",""), HYPERLINK(CONCATENATE("#Metadata!", ADDRESS(INDEX($Q$2:$Q$1001,MATCH(ROWS($O$2:O271),$O$2:$O$1001,0),0), INDEX($V$1004:$AE$1004,1,MATCH(COLUMNS($V$1006:V1006),$V$1006:$AE$1006,0)))),"Fix")))</f>
        <v>0</v>
      </c>
      <c r="C271" s="3">
        <f>IF(OR(INDEX($P$2:$P$1001,MATCH(ROWS($O$2:O271),$O$2:$O$1001,0),1)&gt;=100000,INDEX($V$1005:$AE$1005,1,MATCH(COLUMNS($V$1006:W1006),$V$1006:$AE$1006,0))&gt;=100000), " ",IF(INDEX($V$2:$AE$1001,MATCH(ROWS($O$2:O271),$O$2:$O$1001,0),MATCH(COLUMNS($V$1006:W1006),$V$1006:$AE$1006,0)), HYPERLINK("#",""), HYPERLINK(CONCATENATE("#Metadata!", ADDRESS(INDEX($Q$2:$Q$1001,MATCH(ROWS($O$2:O271),$O$2:$O$1001,0),0), INDEX($V$1004:$AE$1004,1,MATCH(COLUMNS($V$1006:W1006),$V$1006:$AE$1006,0)))),"Fix")))</f>
        <v>0</v>
      </c>
      <c r="D271" s="3">
        <f>IF(OR(INDEX($P$2:$P$1001,MATCH(ROWS($O$2:O271),$O$2:$O$1001,0),1)&gt;=100000,INDEX($V$1005:$AE$1005,1,MATCH(COLUMNS($V$1006:X1006),$V$1006:$AE$1006,0))&gt;=100000), " ",IF(INDEX($V$2:$AE$1001,MATCH(ROWS($O$2:O271),$O$2:$O$1001,0),MATCH(COLUMNS($V$1006:X1006),$V$1006:$AE$1006,0)), HYPERLINK("#",""), HYPERLINK(CONCATENATE("#Metadata!", ADDRESS(INDEX($Q$2:$Q$1001,MATCH(ROWS($O$2:O271),$O$2:$O$1001,0),0), INDEX($V$1004:$AE$1004,1,MATCH(COLUMNS($V$1006:X1006),$V$1006:$AE$1006,0)))),"Fix")))</f>
        <v>0</v>
      </c>
      <c r="E271" s="3">
        <f>IF(OR(INDEX($P$2:$P$1001,MATCH(ROWS($O$2:O271),$O$2:$O$1001,0),1)&gt;=100000,INDEX($V$1005:$AE$1005,1,MATCH(COLUMNS($V$1006:Y1006),$V$1006:$AE$1006,0))&gt;=100000), " ",IF(INDEX($V$2:$AE$1001,MATCH(ROWS($O$2:O271),$O$2:$O$1001,0),MATCH(COLUMNS($V$1006:Y1006),$V$1006:$AE$1006,0)), HYPERLINK("#",""), HYPERLINK(CONCATENATE("#Metadata!", ADDRESS(INDEX($Q$2:$Q$1001,MATCH(ROWS($O$2:O271),$O$2:$O$1001,0),0), INDEX($V$1004:$AE$1004,1,MATCH(COLUMNS($V$1006:Y1006),$V$1006:$AE$1006,0)))),"Fix")))</f>
        <v>0</v>
      </c>
      <c r="F271" s="3">
        <f>IF(OR(INDEX($P$2:$P$1001,MATCH(ROWS($O$2:O271),$O$2:$O$1001,0),1)&gt;=100000,INDEX($V$1005:$AE$1005,1,MATCH(COLUMNS($V$1006:Z1006),$V$1006:$AE$1006,0))&gt;=100000), " ",IF(INDEX($V$2:$AE$1001,MATCH(ROWS($O$2:O271),$O$2:$O$1001,0),MATCH(COLUMNS($V$1006:Z1006),$V$1006:$AE$1006,0)), HYPERLINK("#",""), HYPERLINK(CONCATENATE("#Metadata!", ADDRESS(INDEX($Q$2:$Q$1001,MATCH(ROWS($O$2:O271),$O$2:$O$1001,0),0), INDEX($V$1004:$AE$1004,1,MATCH(COLUMNS($V$1006:Z1006),$V$1006:$AE$1006,0)))),"Fix")))</f>
        <v>0</v>
      </c>
      <c r="G271" s="3">
        <f>IF(OR(INDEX($P$2:$P$1001,MATCH(ROWS($O$2:O271),$O$2:$O$1001,0),1)&gt;=100000,INDEX($V$1005:$AE$1005,1,MATCH(COLUMNS($V$1006:AA1006),$V$1006:$AE$1006,0))&gt;=100000), " ",IF(INDEX($V$2:$AE$1001,MATCH(ROWS($O$2:O271),$O$2:$O$1001,0),MATCH(COLUMNS($V$1006:AA1006),$V$1006:$AE$1006,0)), HYPERLINK("#",""), HYPERLINK(CONCATENATE("#Metadata!", ADDRESS(INDEX($Q$2:$Q$1001,MATCH(ROWS($O$2:O271),$O$2:$O$1001,0),0), INDEX($V$1004:$AE$1004,1,MATCH(COLUMNS($V$1006:AA1006),$V$1006:$AE$1006,0)))),"Fix")))</f>
        <v>0</v>
      </c>
      <c r="H271" s="3">
        <f>IF(OR(INDEX($P$2:$P$1001,MATCH(ROWS($O$2:O271),$O$2:$O$1001,0),1)&gt;=100000,INDEX($V$1005:$AE$1005,1,MATCH(COLUMNS($V$1006:AB1006),$V$1006:$AE$1006,0))&gt;=100000), " ",IF(INDEX($V$2:$AE$1001,MATCH(ROWS($O$2:O271),$O$2:$O$1001,0),MATCH(COLUMNS($V$1006:AB1006),$V$1006:$AE$1006,0)), HYPERLINK("#",""), HYPERLINK(CONCATENATE("#Metadata!", ADDRESS(INDEX($Q$2:$Q$1001,MATCH(ROWS($O$2:O271),$O$2:$O$1001,0),0), INDEX($V$1004:$AE$1004,1,MATCH(COLUMNS($V$1006:AB1006),$V$1006:$AE$1006,0)))),"Fix")))</f>
        <v>0</v>
      </c>
      <c r="I271" s="3">
        <f>IF(OR(INDEX($P$2:$P$1001,MATCH(ROWS($O$2:O271),$O$2:$O$1001,0),1)&gt;=100000,INDEX($V$1005:$AE$1005,1,MATCH(COLUMNS($V$1006:AC1006),$V$1006:$AE$1006,0))&gt;=100000), " ",IF(INDEX($V$2:$AE$1001,MATCH(ROWS($O$2:O271),$O$2:$O$1001,0),MATCH(COLUMNS($V$1006:AC1006),$V$1006:$AE$1006,0)), HYPERLINK("#",""), HYPERLINK(CONCATENATE("#Metadata!", ADDRESS(INDEX($Q$2:$Q$1001,MATCH(ROWS($O$2:O271),$O$2:$O$1001,0),0), INDEX($V$1004:$AE$1004,1,MATCH(COLUMNS($V$1006:AC1006),$V$1006:$AE$1006,0)))),"Fix")))</f>
        <v>0</v>
      </c>
      <c r="J271" s="3">
        <f>IF(OR(INDEX($P$2:$P$1001,MATCH(ROWS($O$2:O271),$O$2:$O$1001,0),1)&gt;=100000,INDEX($V$1005:$AE$1005,1,MATCH(COLUMNS($V$1006:AD1006),$V$1006:$AE$1006,0))&gt;=100000), " ",IF(INDEX($V$2:$AE$1001,MATCH(ROWS($O$2:O271),$O$2:$O$1001,0),MATCH(COLUMNS($V$1006:AD1006),$V$1006:$AE$1006,0)), HYPERLINK("#",""), HYPERLINK(CONCATENATE("#Metadata!", ADDRESS(INDEX($Q$2:$Q$1001,MATCH(ROWS($O$2:O271),$O$2:$O$1001,0),0), INDEX($V$1004:$AE$1004,1,MATCH(COLUMNS($V$1006:AD1006),$V$1006:$AE$1006,0)))),"Fix")))</f>
        <v>0</v>
      </c>
      <c r="K271" s="3">
        <f>IF(OR(INDEX($P$2:$P$1001,MATCH(ROWS($O$2:O271),$O$2:$O$1001,0),1)&gt;=100000,INDEX($V$1005:$AE$1005,1,MATCH(COLUMNS($V$1006:AE1006),$V$1006:$AE$1006,0))&gt;=100000), " ",IF(INDEX($V$2:$AE$1001,MATCH(ROWS($O$2:O271),$O$2:$O$1001,0),MATCH(COLUMNS($V$1006:AE1006),$V$1006:$AE$1006,0)), HYPERLINK("#",""), HYPERLINK(CONCATENATE("#Metadata!", ADDRESS(INDEX($Q$2:$Q$1001,MATCH(ROWS($O$2:O271),$O$2:$O$1001,0),0), INDEX($V$1004:$AE$1004,1,MATCH(COLUMNS($V$1006:AE1006),$V$1006:$AE$1006,0)))),"Fix")))</f>
        <v>0</v>
      </c>
      <c r="O271">
        <v>0</v>
      </c>
      <c r="P271">
        <v>0</v>
      </c>
      <c r="Q271">
        <v>0</v>
      </c>
      <c r="R271">
        <f>IF(S271,TRUE,AND(V271:AE271))</f>
        <v>0</v>
      </c>
      <c r="S271">
        <f>COUNTBLANK(Metadata!B271:K271)=COLUMNS(Metadata!B271:K271)</f>
        <v>0</v>
      </c>
      <c r="T271">
        <v>0</v>
      </c>
      <c r="V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W271">
        <f>AND(IF(Metadata!C271="",FALSE,TRUE),exact(Metadata!C271,"animal secretion"))</f>
        <v>0</v>
      </c>
      <c r="X271">
        <f>AND(IF(Metadata!D271="",FALSE,TRUE),exact(Metadata!D271,"saliva"))</f>
        <v>0</v>
      </c>
      <c r="Y271">
        <f>AND(IF(Metadata!E271="",FALSE,TRUE),exact(Metadata!E271,"human-oral"))</f>
        <v>0</v>
      </c>
      <c r="Z271">
        <f>AND(IF(Metadata!F271="",FALSE,TRUE),exact(Metadata!F271,"UBERON:oral cavity"))</f>
        <v>0</v>
      </c>
      <c r="AA271">
        <f>AND(IF(Metadata!G271="",FALSE,TRUE),exact(Metadata!G271,"UBERON:saliva"))</f>
        <v>0</v>
      </c>
      <c r="AB271">
        <f>AND(IF(Metadata!H271="",FALSE,TRUE),exact(Metadata!H271,"UBERON:tongue"))</f>
        <v>0</v>
      </c>
      <c r="AC271">
        <f>AND(IF(Metadata!I271="",FALSE,TRUE),exact(Metadata!I271,"tongue"))</f>
        <v>0</v>
      </c>
      <c r="AD271">
        <f>AND(IF(Metadata!J271="",FALSE,TRUE),exact(Metadata!J271,"human oral metagenome"))</f>
        <v>0</v>
      </c>
      <c r="AE271">
        <f>AND(IF(Metadata!K271="",FALSE,TRUE),exact(Metadata!K271,"447426"))</f>
        <v>0</v>
      </c>
    </row>
    <row r="272" spans="1:31">
      <c r="A272" s="4">
        <f>IF(B272=" "," ",HYPERLINK(CONCATENATE("#metadata!",ADDRESS(INDEX($Q$2:$Q$1001,MATCH(ROWS($O$2:O272),$O$2:$O$1001,0),0),1)),INDEX($T$2:$T$1001,MATCH(ROWS($O$2:O272),$O$2:$O$1001,0),0)))</f>
        <v>0</v>
      </c>
      <c r="B272" s="3">
        <f>IF(OR(INDEX($P$2:$P$1001,MATCH(ROWS($O$2:O272),$O$2:$O$1001,0),1)&gt;=100000,INDEX($V$1005:$AE$1005,1,MATCH(COLUMNS($V$1006:V1006),$V$1006:$AE$1006,0))&gt;=100000), " ",IF(INDEX($V$2:$AE$1001,MATCH(ROWS($O$2:O272),$O$2:$O$1001,0),MATCH(COLUMNS($V$1006:V1006),$V$1006:$AE$1006,0)), HYPERLINK("#",""), HYPERLINK(CONCATENATE("#Metadata!", ADDRESS(INDEX($Q$2:$Q$1001,MATCH(ROWS($O$2:O272),$O$2:$O$1001,0),0), INDEX($V$1004:$AE$1004,1,MATCH(COLUMNS($V$1006:V1006),$V$1006:$AE$1006,0)))),"Fix")))</f>
        <v>0</v>
      </c>
      <c r="C272" s="3">
        <f>IF(OR(INDEX($P$2:$P$1001,MATCH(ROWS($O$2:O272),$O$2:$O$1001,0),1)&gt;=100000,INDEX($V$1005:$AE$1005,1,MATCH(COLUMNS($V$1006:W1006),$V$1006:$AE$1006,0))&gt;=100000), " ",IF(INDEX($V$2:$AE$1001,MATCH(ROWS($O$2:O272),$O$2:$O$1001,0),MATCH(COLUMNS($V$1006:W1006),$V$1006:$AE$1006,0)), HYPERLINK("#",""), HYPERLINK(CONCATENATE("#Metadata!", ADDRESS(INDEX($Q$2:$Q$1001,MATCH(ROWS($O$2:O272),$O$2:$O$1001,0),0), INDEX($V$1004:$AE$1004,1,MATCH(COLUMNS($V$1006:W1006),$V$1006:$AE$1006,0)))),"Fix")))</f>
        <v>0</v>
      </c>
      <c r="D272" s="3">
        <f>IF(OR(INDEX($P$2:$P$1001,MATCH(ROWS($O$2:O272),$O$2:$O$1001,0),1)&gt;=100000,INDEX($V$1005:$AE$1005,1,MATCH(COLUMNS($V$1006:X1006),$V$1006:$AE$1006,0))&gt;=100000), " ",IF(INDEX($V$2:$AE$1001,MATCH(ROWS($O$2:O272),$O$2:$O$1001,0),MATCH(COLUMNS($V$1006:X1006),$V$1006:$AE$1006,0)), HYPERLINK("#",""), HYPERLINK(CONCATENATE("#Metadata!", ADDRESS(INDEX($Q$2:$Q$1001,MATCH(ROWS($O$2:O272),$O$2:$O$1001,0),0), INDEX($V$1004:$AE$1004,1,MATCH(COLUMNS($V$1006:X1006),$V$1006:$AE$1006,0)))),"Fix")))</f>
        <v>0</v>
      </c>
      <c r="E272" s="3">
        <f>IF(OR(INDEX($P$2:$P$1001,MATCH(ROWS($O$2:O272),$O$2:$O$1001,0),1)&gt;=100000,INDEX($V$1005:$AE$1005,1,MATCH(COLUMNS($V$1006:Y1006),$V$1006:$AE$1006,0))&gt;=100000), " ",IF(INDEX($V$2:$AE$1001,MATCH(ROWS($O$2:O272),$O$2:$O$1001,0),MATCH(COLUMNS($V$1006:Y1006),$V$1006:$AE$1006,0)), HYPERLINK("#",""), HYPERLINK(CONCATENATE("#Metadata!", ADDRESS(INDEX($Q$2:$Q$1001,MATCH(ROWS($O$2:O272),$O$2:$O$1001,0),0), INDEX($V$1004:$AE$1004,1,MATCH(COLUMNS($V$1006:Y1006),$V$1006:$AE$1006,0)))),"Fix")))</f>
        <v>0</v>
      </c>
      <c r="F272" s="3">
        <f>IF(OR(INDEX($P$2:$P$1001,MATCH(ROWS($O$2:O272),$O$2:$O$1001,0),1)&gt;=100000,INDEX($V$1005:$AE$1005,1,MATCH(COLUMNS($V$1006:Z1006),$V$1006:$AE$1006,0))&gt;=100000), " ",IF(INDEX($V$2:$AE$1001,MATCH(ROWS($O$2:O272),$O$2:$O$1001,0),MATCH(COLUMNS($V$1006:Z1006),$V$1006:$AE$1006,0)), HYPERLINK("#",""), HYPERLINK(CONCATENATE("#Metadata!", ADDRESS(INDEX($Q$2:$Q$1001,MATCH(ROWS($O$2:O272),$O$2:$O$1001,0),0), INDEX($V$1004:$AE$1004,1,MATCH(COLUMNS($V$1006:Z1006),$V$1006:$AE$1006,0)))),"Fix")))</f>
        <v>0</v>
      </c>
      <c r="G272" s="3">
        <f>IF(OR(INDEX($P$2:$P$1001,MATCH(ROWS($O$2:O272),$O$2:$O$1001,0),1)&gt;=100000,INDEX($V$1005:$AE$1005,1,MATCH(COLUMNS($V$1006:AA1006),$V$1006:$AE$1006,0))&gt;=100000), " ",IF(INDEX($V$2:$AE$1001,MATCH(ROWS($O$2:O272),$O$2:$O$1001,0),MATCH(COLUMNS($V$1006:AA1006),$V$1006:$AE$1006,0)), HYPERLINK("#",""), HYPERLINK(CONCATENATE("#Metadata!", ADDRESS(INDEX($Q$2:$Q$1001,MATCH(ROWS($O$2:O272),$O$2:$O$1001,0),0), INDEX($V$1004:$AE$1004,1,MATCH(COLUMNS($V$1006:AA1006),$V$1006:$AE$1006,0)))),"Fix")))</f>
        <v>0</v>
      </c>
      <c r="H272" s="3">
        <f>IF(OR(INDEX($P$2:$P$1001,MATCH(ROWS($O$2:O272),$O$2:$O$1001,0),1)&gt;=100000,INDEX($V$1005:$AE$1005,1,MATCH(COLUMNS($V$1006:AB1006),$V$1006:$AE$1006,0))&gt;=100000), " ",IF(INDEX($V$2:$AE$1001,MATCH(ROWS($O$2:O272),$O$2:$O$1001,0),MATCH(COLUMNS($V$1006:AB1006),$V$1006:$AE$1006,0)), HYPERLINK("#",""), HYPERLINK(CONCATENATE("#Metadata!", ADDRESS(INDEX($Q$2:$Q$1001,MATCH(ROWS($O$2:O272),$O$2:$O$1001,0),0), INDEX($V$1004:$AE$1004,1,MATCH(COLUMNS($V$1006:AB1006),$V$1006:$AE$1006,0)))),"Fix")))</f>
        <v>0</v>
      </c>
      <c r="I272" s="3">
        <f>IF(OR(INDEX($P$2:$P$1001,MATCH(ROWS($O$2:O272),$O$2:$O$1001,0),1)&gt;=100000,INDEX($V$1005:$AE$1005,1,MATCH(COLUMNS($V$1006:AC1006),$V$1006:$AE$1006,0))&gt;=100000), " ",IF(INDEX($V$2:$AE$1001,MATCH(ROWS($O$2:O272),$O$2:$O$1001,0),MATCH(COLUMNS($V$1006:AC1006),$V$1006:$AE$1006,0)), HYPERLINK("#",""), HYPERLINK(CONCATENATE("#Metadata!", ADDRESS(INDEX($Q$2:$Q$1001,MATCH(ROWS($O$2:O272),$O$2:$O$1001,0),0), INDEX($V$1004:$AE$1004,1,MATCH(COLUMNS($V$1006:AC1006),$V$1006:$AE$1006,0)))),"Fix")))</f>
        <v>0</v>
      </c>
      <c r="J272" s="3">
        <f>IF(OR(INDEX($P$2:$P$1001,MATCH(ROWS($O$2:O272),$O$2:$O$1001,0),1)&gt;=100000,INDEX($V$1005:$AE$1005,1,MATCH(COLUMNS($V$1006:AD1006),$V$1006:$AE$1006,0))&gt;=100000), " ",IF(INDEX($V$2:$AE$1001,MATCH(ROWS($O$2:O272),$O$2:$O$1001,0),MATCH(COLUMNS($V$1006:AD1006),$V$1006:$AE$1006,0)), HYPERLINK("#",""), HYPERLINK(CONCATENATE("#Metadata!", ADDRESS(INDEX($Q$2:$Q$1001,MATCH(ROWS($O$2:O272),$O$2:$O$1001,0),0), INDEX($V$1004:$AE$1004,1,MATCH(COLUMNS($V$1006:AD1006),$V$1006:$AE$1006,0)))),"Fix")))</f>
        <v>0</v>
      </c>
      <c r="K272" s="3">
        <f>IF(OR(INDEX($P$2:$P$1001,MATCH(ROWS($O$2:O272),$O$2:$O$1001,0),1)&gt;=100000,INDEX($V$1005:$AE$1005,1,MATCH(COLUMNS($V$1006:AE1006),$V$1006:$AE$1006,0))&gt;=100000), " ",IF(INDEX($V$2:$AE$1001,MATCH(ROWS($O$2:O272),$O$2:$O$1001,0),MATCH(COLUMNS($V$1006:AE1006),$V$1006:$AE$1006,0)), HYPERLINK("#",""), HYPERLINK(CONCATENATE("#Metadata!", ADDRESS(INDEX($Q$2:$Q$1001,MATCH(ROWS($O$2:O272),$O$2:$O$1001,0),0), INDEX($V$1004:$AE$1004,1,MATCH(COLUMNS($V$1006:AE1006),$V$1006:$AE$1006,0)))),"Fix")))</f>
        <v>0</v>
      </c>
      <c r="O272">
        <v>0</v>
      </c>
      <c r="P272">
        <v>0</v>
      </c>
      <c r="Q272">
        <v>0</v>
      </c>
      <c r="R272">
        <f>IF(S272,TRUE,AND(V272:AE272))</f>
        <v>0</v>
      </c>
      <c r="S272">
        <f>COUNTBLANK(Metadata!B272:K272)=COLUMNS(Metadata!B272:K272)</f>
        <v>0</v>
      </c>
      <c r="T272">
        <v>0</v>
      </c>
      <c r="V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W272">
        <f>AND(IF(Metadata!C272="",FALSE,TRUE),exact(Metadata!C272,"animal secretion"))</f>
        <v>0</v>
      </c>
      <c r="X272">
        <f>AND(IF(Metadata!D272="",FALSE,TRUE),exact(Metadata!D272,"saliva"))</f>
        <v>0</v>
      </c>
      <c r="Y272">
        <f>AND(IF(Metadata!E272="",FALSE,TRUE),exact(Metadata!E272,"human-oral"))</f>
        <v>0</v>
      </c>
      <c r="Z272">
        <f>AND(IF(Metadata!F272="",FALSE,TRUE),exact(Metadata!F272,"UBERON:oral cavity"))</f>
        <v>0</v>
      </c>
      <c r="AA272">
        <f>AND(IF(Metadata!G272="",FALSE,TRUE),exact(Metadata!G272,"UBERON:saliva"))</f>
        <v>0</v>
      </c>
      <c r="AB272">
        <f>AND(IF(Metadata!H272="",FALSE,TRUE),exact(Metadata!H272,"UBERON:tongue"))</f>
        <v>0</v>
      </c>
      <c r="AC272">
        <f>AND(IF(Metadata!I272="",FALSE,TRUE),exact(Metadata!I272,"tongue"))</f>
        <v>0</v>
      </c>
      <c r="AD272">
        <f>AND(IF(Metadata!J272="",FALSE,TRUE),exact(Metadata!J272,"human oral metagenome"))</f>
        <v>0</v>
      </c>
      <c r="AE272">
        <f>AND(IF(Metadata!K272="",FALSE,TRUE),exact(Metadata!K272,"447426"))</f>
        <v>0</v>
      </c>
    </row>
    <row r="273" spans="1:31">
      <c r="A273" s="4">
        <f>IF(B273=" "," ",HYPERLINK(CONCATENATE("#metadata!",ADDRESS(INDEX($Q$2:$Q$1001,MATCH(ROWS($O$2:O273),$O$2:$O$1001,0),0),1)),INDEX($T$2:$T$1001,MATCH(ROWS($O$2:O273),$O$2:$O$1001,0),0)))</f>
        <v>0</v>
      </c>
      <c r="B273" s="3">
        <f>IF(OR(INDEX($P$2:$P$1001,MATCH(ROWS($O$2:O273),$O$2:$O$1001,0),1)&gt;=100000,INDEX($V$1005:$AE$1005,1,MATCH(COLUMNS($V$1006:V1006),$V$1006:$AE$1006,0))&gt;=100000), " ",IF(INDEX($V$2:$AE$1001,MATCH(ROWS($O$2:O273),$O$2:$O$1001,0),MATCH(COLUMNS($V$1006:V1006),$V$1006:$AE$1006,0)), HYPERLINK("#",""), HYPERLINK(CONCATENATE("#Metadata!", ADDRESS(INDEX($Q$2:$Q$1001,MATCH(ROWS($O$2:O273),$O$2:$O$1001,0),0), INDEX($V$1004:$AE$1004,1,MATCH(COLUMNS($V$1006:V1006),$V$1006:$AE$1006,0)))),"Fix")))</f>
        <v>0</v>
      </c>
      <c r="C273" s="3">
        <f>IF(OR(INDEX($P$2:$P$1001,MATCH(ROWS($O$2:O273),$O$2:$O$1001,0),1)&gt;=100000,INDEX($V$1005:$AE$1005,1,MATCH(COLUMNS($V$1006:W1006),$V$1006:$AE$1006,0))&gt;=100000), " ",IF(INDEX($V$2:$AE$1001,MATCH(ROWS($O$2:O273),$O$2:$O$1001,0),MATCH(COLUMNS($V$1006:W1006),$V$1006:$AE$1006,0)), HYPERLINK("#",""), HYPERLINK(CONCATENATE("#Metadata!", ADDRESS(INDEX($Q$2:$Q$1001,MATCH(ROWS($O$2:O273),$O$2:$O$1001,0),0), INDEX($V$1004:$AE$1004,1,MATCH(COLUMNS($V$1006:W1006),$V$1006:$AE$1006,0)))),"Fix")))</f>
        <v>0</v>
      </c>
      <c r="D273" s="3">
        <f>IF(OR(INDEX($P$2:$P$1001,MATCH(ROWS($O$2:O273),$O$2:$O$1001,0),1)&gt;=100000,INDEX($V$1005:$AE$1005,1,MATCH(COLUMNS($V$1006:X1006),$V$1006:$AE$1006,0))&gt;=100000), " ",IF(INDEX($V$2:$AE$1001,MATCH(ROWS($O$2:O273),$O$2:$O$1001,0),MATCH(COLUMNS($V$1006:X1006),$V$1006:$AE$1006,0)), HYPERLINK("#",""), HYPERLINK(CONCATENATE("#Metadata!", ADDRESS(INDEX($Q$2:$Q$1001,MATCH(ROWS($O$2:O273),$O$2:$O$1001,0),0), INDEX($V$1004:$AE$1004,1,MATCH(COLUMNS($V$1006:X1006),$V$1006:$AE$1006,0)))),"Fix")))</f>
        <v>0</v>
      </c>
      <c r="E273" s="3">
        <f>IF(OR(INDEX($P$2:$P$1001,MATCH(ROWS($O$2:O273),$O$2:$O$1001,0),1)&gt;=100000,INDEX($V$1005:$AE$1005,1,MATCH(COLUMNS($V$1006:Y1006),$V$1006:$AE$1006,0))&gt;=100000), " ",IF(INDEX($V$2:$AE$1001,MATCH(ROWS($O$2:O273),$O$2:$O$1001,0),MATCH(COLUMNS($V$1006:Y1006),$V$1006:$AE$1006,0)), HYPERLINK("#",""), HYPERLINK(CONCATENATE("#Metadata!", ADDRESS(INDEX($Q$2:$Q$1001,MATCH(ROWS($O$2:O273),$O$2:$O$1001,0),0), INDEX($V$1004:$AE$1004,1,MATCH(COLUMNS($V$1006:Y1006),$V$1006:$AE$1006,0)))),"Fix")))</f>
        <v>0</v>
      </c>
      <c r="F273" s="3">
        <f>IF(OR(INDEX($P$2:$P$1001,MATCH(ROWS($O$2:O273),$O$2:$O$1001,0),1)&gt;=100000,INDEX($V$1005:$AE$1005,1,MATCH(COLUMNS($V$1006:Z1006),$V$1006:$AE$1006,0))&gt;=100000), " ",IF(INDEX($V$2:$AE$1001,MATCH(ROWS($O$2:O273),$O$2:$O$1001,0),MATCH(COLUMNS($V$1006:Z1006),$V$1006:$AE$1006,0)), HYPERLINK("#",""), HYPERLINK(CONCATENATE("#Metadata!", ADDRESS(INDEX($Q$2:$Q$1001,MATCH(ROWS($O$2:O273),$O$2:$O$1001,0),0), INDEX($V$1004:$AE$1004,1,MATCH(COLUMNS($V$1006:Z1006),$V$1006:$AE$1006,0)))),"Fix")))</f>
        <v>0</v>
      </c>
      <c r="G273" s="3">
        <f>IF(OR(INDEX($P$2:$P$1001,MATCH(ROWS($O$2:O273),$O$2:$O$1001,0),1)&gt;=100000,INDEX($V$1005:$AE$1005,1,MATCH(COLUMNS($V$1006:AA1006),$V$1006:$AE$1006,0))&gt;=100000), " ",IF(INDEX($V$2:$AE$1001,MATCH(ROWS($O$2:O273),$O$2:$O$1001,0),MATCH(COLUMNS($V$1006:AA1006),$V$1006:$AE$1006,0)), HYPERLINK("#",""), HYPERLINK(CONCATENATE("#Metadata!", ADDRESS(INDEX($Q$2:$Q$1001,MATCH(ROWS($O$2:O273),$O$2:$O$1001,0),0), INDEX($V$1004:$AE$1004,1,MATCH(COLUMNS($V$1006:AA1006),$V$1006:$AE$1006,0)))),"Fix")))</f>
        <v>0</v>
      </c>
      <c r="H273" s="3">
        <f>IF(OR(INDEX($P$2:$P$1001,MATCH(ROWS($O$2:O273),$O$2:$O$1001,0),1)&gt;=100000,INDEX($V$1005:$AE$1005,1,MATCH(COLUMNS($V$1006:AB1006),$V$1006:$AE$1006,0))&gt;=100000), " ",IF(INDEX($V$2:$AE$1001,MATCH(ROWS($O$2:O273),$O$2:$O$1001,0),MATCH(COLUMNS($V$1006:AB1006),$V$1006:$AE$1006,0)), HYPERLINK("#",""), HYPERLINK(CONCATENATE("#Metadata!", ADDRESS(INDEX($Q$2:$Q$1001,MATCH(ROWS($O$2:O273),$O$2:$O$1001,0),0), INDEX($V$1004:$AE$1004,1,MATCH(COLUMNS($V$1006:AB1006),$V$1006:$AE$1006,0)))),"Fix")))</f>
        <v>0</v>
      </c>
      <c r="I273" s="3">
        <f>IF(OR(INDEX($P$2:$P$1001,MATCH(ROWS($O$2:O273),$O$2:$O$1001,0),1)&gt;=100000,INDEX($V$1005:$AE$1005,1,MATCH(COLUMNS($V$1006:AC1006),$V$1006:$AE$1006,0))&gt;=100000), " ",IF(INDEX($V$2:$AE$1001,MATCH(ROWS($O$2:O273),$O$2:$O$1001,0),MATCH(COLUMNS($V$1006:AC1006),$V$1006:$AE$1006,0)), HYPERLINK("#",""), HYPERLINK(CONCATENATE("#Metadata!", ADDRESS(INDEX($Q$2:$Q$1001,MATCH(ROWS($O$2:O273),$O$2:$O$1001,0),0), INDEX($V$1004:$AE$1004,1,MATCH(COLUMNS($V$1006:AC1006),$V$1006:$AE$1006,0)))),"Fix")))</f>
        <v>0</v>
      </c>
      <c r="J273" s="3">
        <f>IF(OR(INDEX($P$2:$P$1001,MATCH(ROWS($O$2:O273),$O$2:$O$1001,0),1)&gt;=100000,INDEX($V$1005:$AE$1005,1,MATCH(COLUMNS($V$1006:AD1006),$V$1006:$AE$1006,0))&gt;=100000), " ",IF(INDEX($V$2:$AE$1001,MATCH(ROWS($O$2:O273),$O$2:$O$1001,0),MATCH(COLUMNS($V$1006:AD1006),$V$1006:$AE$1006,0)), HYPERLINK("#",""), HYPERLINK(CONCATENATE("#Metadata!", ADDRESS(INDEX($Q$2:$Q$1001,MATCH(ROWS($O$2:O273),$O$2:$O$1001,0),0), INDEX($V$1004:$AE$1004,1,MATCH(COLUMNS($V$1006:AD1006),$V$1006:$AE$1006,0)))),"Fix")))</f>
        <v>0</v>
      </c>
      <c r="K273" s="3">
        <f>IF(OR(INDEX($P$2:$P$1001,MATCH(ROWS($O$2:O273),$O$2:$O$1001,0),1)&gt;=100000,INDEX($V$1005:$AE$1005,1,MATCH(COLUMNS($V$1006:AE1006),$V$1006:$AE$1006,0))&gt;=100000), " ",IF(INDEX($V$2:$AE$1001,MATCH(ROWS($O$2:O273),$O$2:$O$1001,0),MATCH(COLUMNS($V$1006:AE1006),$V$1006:$AE$1006,0)), HYPERLINK("#",""), HYPERLINK(CONCATENATE("#Metadata!", ADDRESS(INDEX($Q$2:$Q$1001,MATCH(ROWS($O$2:O273),$O$2:$O$1001,0),0), INDEX($V$1004:$AE$1004,1,MATCH(COLUMNS($V$1006:AE1006),$V$1006:$AE$1006,0)))),"Fix")))</f>
        <v>0</v>
      </c>
      <c r="O273">
        <v>0</v>
      </c>
      <c r="P273">
        <v>0</v>
      </c>
      <c r="Q273">
        <v>0</v>
      </c>
      <c r="R273">
        <f>IF(S273,TRUE,AND(V273:AE273))</f>
        <v>0</v>
      </c>
      <c r="S273">
        <f>COUNTBLANK(Metadata!B273:K273)=COLUMNS(Metadata!B273:K273)</f>
        <v>0</v>
      </c>
      <c r="T273">
        <v>0</v>
      </c>
      <c r="V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W273">
        <f>AND(IF(Metadata!C273="",FALSE,TRUE),exact(Metadata!C273,"animal secretion"))</f>
        <v>0</v>
      </c>
      <c r="X273">
        <f>AND(IF(Metadata!D273="",FALSE,TRUE),exact(Metadata!D273,"saliva"))</f>
        <v>0</v>
      </c>
      <c r="Y273">
        <f>AND(IF(Metadata!E273="",FALSE,TRUE),exact(Metadata!E273,"human-oral"))</f>
        <v>0</v>
      </c>
      <c r="Z273">
        <f>AND(IF(Metadata!F273="",FALSE,TRUE),exact(Metadata!F273,"UBERON:oral cavity"))</f>
        <v>0</v>
      </c>
      <c r="AA273">
        <f>AND(IF(Metadata!G273="",FALSE,TRUE),exact(Metadata!G273,"UBERON:saliva"))</f>
        <v>0</v>
      </c>
      <c r="AB273">
        <f>AND(IF(Metadata!H273="",FALSE,TRUE),exact(Metadata!H273,"UBERON:tongue"))</f>
        <v>0</v>
      </c>
      <c r="AC273">
        <f>AND(IF(Metadata!I273="",FALSE,TRUE),exact(Metadata!I273,"tongue"))</f>
        <v>0</v>
      </c>
      <c r="AD273">
        <f>AND(IF(Metadata!J273="",FALSE,TRUE),exact(Metadata!J273,"human oral metagenome"))</f>
        <v>0</v>
      </c>
      <c r="AE273">
        <f>AND(IF(Metadata!K273="",FALSE,TRUE),exact(Metadata!K273,"447426"))</f>
        <v>0</v>
      </c>
    </row>
    <row r="274" spans="1:31">
      <c r="A274" s="4">
        <f>IF(B274=" "," ",HYPERLINK(CONCATENATE("#metadata!",ADDRESS(INDEX($Q$2:$Q$1001,MATCH(ROWS($O$2:O274),$O$2:$O$1001,0),0),1)),INDEX($T$2:$T$1001,MATCH(ROWS($O$2:O274),$O$2:$O$1001,0),0)))</f>
        <v>0</v>
      </c>
      <c r="B274" s="3">
        <f>IF(OR(INDEX($P$2:$P$1001,MATCH(ROWS($O$2:O274),$O$2:$O$1001,0),1)&gt;=100000,INDEX($V$1005:$AE$1005,1,MATCH(COLUMNS($V$1006:V1006),$V$1006:$AE$1006,0))&gt;=100000), " ",IF(INDEX($V$2:$AE$1001,MATCH(ROWS($O$2:O274),$O$2:$O$1001,0),MATCH(COLUMNS($V$1006:V1006),$V$1006:$AE$1006,0)), HYPERLINK("#",""), HYPERLINK(CONCATENATE("#Metadata!", ADDRESS(INDEX($Q$2:$Q$1001,MATCH(ROWS($O$2:O274),$O$2:$O$1001,0),0), INDEX($V$1004:$AE$1004,1,MATCH(COLUMNS($V$1006:V1006),$V$1006:$AE$1006,0)))),"Fix")))</f>
        <v>0</v>
      </c>
      <c r="C274" s="3">
        <f>IF(OR(INDEX($P$2:$P$1001,MATCH(ROWS($O$2:O274),$O$2:$O$1001,0),1)&gt;=100000,INDEX($V$1005:$AE$1005,1,MATCH(COLUMNS($V$1006:W1006),$V$1006:$AE$1006,0))&gt;=100000), " ",IF(INDEX($V$2:$AE$1001,MATCH(ROWS($O$2:O274),$O$2:$O$1001,0),MATCH(COLUMNS($V$1006:W1006),$V$1006:$AE$1006,0)), HYPERLINK("#",""), HYPERLINK(CONCATENATE("#Metadata!", ADDRESS(INDEX($Q$2:$Q$1001,MATCH(ROWS($O$2:O274),$O$2:$O$1001,0),0), INDEX($V$1004:$AE$1004,1,MATCH(COLUMNS($V$1006:W1006),$V$1006:$AE$1006,0)))),"Fix")))</f>
        <v>0</v>
      </c>
      <c r="D274" s="3">
        <f>IF(OR(INDEX($P$2:$P$1001,MATCH(ROWS($O$2:O274),$O$2:$O$1001,0),1)&gt;=100000,INDEX($V$1005:$AE$1005,1,MATCH(COLUMNS($V$1006:X1006),$V$1006:$AE$1006,0))&gt;=100000), " ",IF(INDEX($V$2:$AE$1001,MATCH(ROWS($O$2:O274),$O$2:$O$1001,0),MATCH(COLUMNS($V$1006:X1006),$V$1006:$AE$1006,0)), HYPERLINK("#",""), HYPERLINK(CONCATENATE("#Metadata!", ADDRESS(INDEX($Q$2:$Q$1001,MATCH(ROWS($O$2:O274),$O$2:$O$1001,0),0), INDEX($V$1004:$AE$1004,1,MATCH(COLUMNS($V$1006:X1006),$V$1006:$AE$1006,0)))),"Fix")))</f>
        <v>0</v>
      </c>
      <c r="E274" s="3">
        <f>IF(OR(INDEX($P$2:$P$1001,MATCH(ROWS($O$2:O274),$O$2:$O$1001,0),1)&gt;=100000,INDEX($V$1005:$AE$1005,1,MATCH(COLUMNS($V$1006:Y1006),$V$1006:$AE$1006,0))&gt;=100000), " ",IF(INDEX($V$2:$AE$1001,MATCH(ROWS($O$2:O274),$O$2:$O$1001,0),MATCH(COLUMNS($V$1006:Y1006),$V$1006:$AE$1006,0)), HYPERLINK("#",""), HYPERLINK(CONCATENATE("#Metadata!", ADDRESS(INDEX($Q$2:$Q$1001,MATCH(ROWS($O$2:O274),$O$2:$O$1001,0),0), INDEX($V$1004:$AE$1004,1,MATCH(COLUMNS($V$1006:Y1006),$V$1006:$AE$1006,0)))),"Fix")))</f>
        <v>0</v>
      </c>
      <c r="F274" s="3">
        <f>IF(OR(INDEX($P$2:$P$1001,MATCH(ROWS($O$2:O274),$O$2:$O$1001,0),1)&gt;=100000,INDEX($V$1005:$AE$1005,1,MATCH(COLUMNS($V$1006:Z1006),$V$1006:$AE$1006,0))&gt;=100000), " ",IF(INDEX($V$2:$AE$1001,MATCH(ROWS($O$2:O274),$O$2:$O$1001,0),MATCH(COLUMNS($V$1006:Z1006),$V$1006:$AE$1006,0)), HYPERLINK("#",""), HYPERLINK(CONCATENATE("#Metadata!", ADDRESS(INDEX($Q$2:$Q$1001,MATCH(ROWS($O$2:O274),$O$2:$O$1001,0),0), INDEX($V$1004:$AE$1004,1,MATCH(COLUMNS($V$1006:Z1006),$V$1006:$AE$1006,0)))),"Fix")))</f>
        <v>0</v>
      </c>
      <c r="G274" s="3">
        <f>IF(OR(INDEX($P$2:$P$1001,MATCH(ROWS($O$2:O274),$O$2:$O$1001,0),1)&gt;=100000,INDEX($V$1005:$AE$1005,1,MATCH(COLUMNS($V$1006:AA1006),$V$1006:$AE$1006,0))&gt;=100000), " ",IF(INDEX($V$2:$AE$1001,MATCH(ROWS($O$2:O274),$O$2:$O$1001,0),MATCH(COLUMNS($V$1006:AA1006),$V$1006:$AE$1006,0)), HYPERLINK("#",""), HYPERLINK(CONCATENATE("#Metadata!", ADDRESS(INDEX($Q$2:$Q$1001,MATCH(ROWS($O$2:O274),$O$2:$O$1001,0),0), INDEX($V$1004:$AE$1004,1,MATCH(COLUMNS($V$1006:AA1006),$V$1006:$AE$1006,0)))),"Fix")))</f>
        <v>0</v>
      </c>
      <c r="H274" s="3">
        <f>IF(OR(INDEX($P$2:$P$1001,MATCH(ROWS($O$2:O274),$O$2:$O$1001,0),1)&gt;=100000,INDEX($V$1005:$AE$1005,1,MATCH(COLUMNS($V$1006:AB1006),$V$1006:$AE$1006,0))&gt;=100000), " ",IF(INDEX($V$2:$AE$1001,MATCH(ROWS($O$2:O274),$O$2:$O$1001,0),MATCH(COLUMNS($V$1006:AB1006),$V$1006:$AE$1006,0)), HYPERLINK("#",""), HYPERLINK(CONCATENATE("#Metadata!", ADDRESS(INDEX($Q$2:$Q$1001,MATCH(ROWS($O$2:O274),$O$2:$O$1001,0),0), INDEX($V$1004:$AE$1004,1,MATCH(COLUMNS($V$1006:AB1006),$V$1006:$AE$1006,0)))),"Fix")))</f>
        <v>0</v>
      </c>
      <c r="I274" s="3">
        <f>IF(OR(INDEX($P$2:$P$1001,MATCH(ROWS($O$2:O274),$O$2:$O$1001,0),1)&gt;=100000,INDEX($V$1005:$AE$1005,1,MATCH(COLUMNS($V$1006:AC1006),$V$1006:$AE$1006,0))&gt;=100000), " ",IF(INDEX($V$2:$AE$1001,MATCH(ROWS($O$2:O274),$O$2:$O$1001,0),MATCH(COLUMNS($V$1006:AC1006),$V$1006:$AE$1006,0)), HYPERLINK("#",""), HYPERLINK(CONCATENATE("#Metadata!", ADDRESS(INDEX($Q$2:$Q$1001,MATCH(ROWS($O$2:O274),$O$2:$O$1001,0),0), INDEX($V$1004:$AE$1004,1,MATCH(COLUMNS($V$1006:AC1006),$V$1006:$AE$1006,0)))),"Fix")))</f>
        <v>0</v>
      </c>
      <c r="J274" s="3">
        <f>IF(OR(INDEX($P$2:$P$1001,MATCH(ROWS($O$2:O274),$O$2:$O$1001,0),1)&gt;=100000,INDEX($V$1005:$AE$1005,1,MATCH(COLUMNS($V$1006:AD1006),$V$1006:$AE$1006,0))&gt;=100000), " ",IF(INDEX($V$2:$AE$1001,MATCH(ROWS($O$2:O274),$O$2:$O$1001,0),MATCH(COLUMNS($V$1006:AD1006),$V$1006:$AE$1006,0)), HYPERLINK("#",""), HYPERLINK(CONCATENATE("#Metadata!", ADDRESS(INDEX($Q$2:$Q$1001,MATCH(ROWS($O$2:O274),$O$2:$O$1001,0),0), INDEX($V$1004:$AE$1004,1,MATCH(COLUMNS($V$1006:AD1006),$V$1006:$AE$1006,0)))),"Fix")))</f>
        <v>0</v>
      </c>
      <c r="K274" s="3">
        <f>IF(OR(INDEX($P$2:$P$1001,MATCH(ROWS($O$2:O274),$O$2:$O$1001,0),1)&gt;=100000,INDEX($V$1005:$AE$1005,1,MATCH(COLUMNS($V$1006:AE1006),$V$1006:$AE$1006,0))&gt;=100000), " ",IF(INDEX($V$2:$AE$1001,MATCH(ROWS($O$2:O274),$O$2:$O$1001,0),MATCH(COLUMNS($V$1006:AE1006),$V$1006:$AE$1006,0)), HYPERLINK("#",""), HYPERLINK(CONCATENATE("#Metadata!", ADDRESS(INDEX($Q$2:$Q$1001,MATCH(ROWS($O$2:O274),$O$2:$O$1001,0),0), INDEX($V$1004:$AE$1004,1,MATCH(COLUMNS($V$1006:AE1006),$V$1006:$AE$1006,0)))),"Fix")))</f>
        <v>0</v>
      </c>
      <c r="O274">
        <v>0</v>
      </c>
      <c r="P274">
        <v>0</v>
      </c>
      <c r="Q274">
        <v>0</v>
      </c>
      <c r="R274">
        <f>IF(S274,TRUE,AND(V274:AE274))</f>
        <v>0</v>
      </c>
      <c r="S274">
        <f>COUNTBLANK(Metadata!B274:K274)=COLUMNS(Metadata!B274:K274)</f>
        <v>0</v>
      </c>
      <c r="T274">
        <v>0</v>
      </c>
      <c r="V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W274">
        <f>AND(IF(Metadata!C274="",FALSE,TRUE),exact(Metadata!C274,"animal secretion"))</f>
        <v>0</v>
      </c>
      <c r="X274">
        <f>AND(IF(Metadata!D274="",FALSE,TRUE),exact(Metadata!D274,"saliva"))</f>
        <v>0</v>
      </c>
      <c r="Y274">
        <f>AND(IF(Metadata!E274="",FALSE,TRUE),exact(Metadata!E274,"human-oral"))</f>
        <v>0</v>
      </c>
      <c r="Z274">
        <f>AND(IF(Metadata!F274="",FALSE,TRUE),exact(Metadata!F274,"UBERON:oral cavity"))</f>
        <v>0</v>
      </c>
      <c r="AA274">
        <f>AND(IF(Metadata!G274="",FALSE,TRUE),exact(Metadata!G274,"UBERON:saliva"))</f>
        <v>0</v>
      </c>
      <c r="AB274">
        <f>AND(IF(Metadata!H274="",FALSE,TRUE),exact(Metadata!H274,"UBERON:tongue"))</f>
        <v>0</v>
      </c>
      <c r="AC274">
        <f>AND(IF(Metadata!I274="",FALSE,TRUE),exact(Metadata!I274,"tongue"))</f>
        <v>0</v>
      </c>
      <c r="AD274">
        <f>AND(IF(Metadata!J274="",FALSE,TRUE),exact(Metadata!J274,"human oral metagenome"))</f>
        <v>0</v>
      </c>
      <c r="AE274">
        <f>AND(IF(Metadata!K274="",FALSE,TRUE),exact(Metadata!K274,"447426"))</f>
        <v>0</v>
      </c>
    </row>
    <row r="275" spans="1:31">
      <c r="A275" s="4">
        <f>IF(B275=" "," ",HYPERLINK(CONCATENATE("#metadata!",ADDRESS(INDEX($Q$2:$Q$1001,MATCH(ROWS($O$2:O275),$O$2:$O$1001,0),0),1)),INDEX($T$2:$T$1001,MATCH(ROWS($O$2:O275),$O$2:$O$1001,0),0)))</f>
        <v>0</v>
      </c>
      <c r="B275" s="3">
        <f>IF(OR(INDEX($P$2:$P$1001,MATCH(ROWS($O$2:O275),$O$2:$O$1001,0),1)&gt;=100000,INDEX($V$1005:$AE$1005,1,MATCH(COLUMNS($V$1006:V1006),$V$1006:$AE$1006,0))&gt;=100000), " ",IF(INDEX($V$2:$AE$1001,MATCH(ROWS($O$2:O275),$O$2:$O$1001,0),MATCH(COLUMNS($V$1006:V1006),$V$1006:$AE$1006,0)), HYPERLINK("#",""), HYPERLINK(CONCATENATE("#Metadata!", ADDRESS(INDEX($Q$2:$Q$1001,MATCH(ROWS($O$2:O275),$O$2:$O$1001,0),0), INDEX($V$1004:$AE$1004,1,MATCH(COLUMNS($V$1006:V1006),$V$1006:$AE$1006,0)))),"Fix")))</f>
        <v>0</v>
      </c>
      <c r="C275" s="3">
        <f>IF(OR(INDEX($P$2:$P$1001,MATCH(ROWS($O$2:O275),$O$2:$O$1001,0),1)&gt;=100000,INDEX($V$1005:$AE$1005,1,MATCH(COLUMNS($V$1006:W1006),$V$1006:$AE$1006,0))&gt;=100000), " ",IF(INDEX($V$2:$AE$1001,MATCH(ROWS($O$2:O275),$O$2:$O$1001,0),MATCH(COLUMNS($V$1006:W1006),$V$1006:$AE$1006,0)), HYPERLINK("#",""), HYPERLINK(CONCATENATE("#Metadata!", ADDRESS(INDEX($Q$2:$Q$1001,MATCH(ROWS($O$2:O275),$O$2:$O$1001,0),0), INDEX($V$1004:$AE$1004,1,MATCH(COLUMNS($V$1006:W1006),$V$1006:$AE$1006,0)))),"Fix")))</f>
        <v>0</v>
      </c>
      <c r="D275" s="3">
        <f>IF(OR(INDEX($P$2:$P$1001,MATCH(ROWS($O$2:O275),$O$2:$O$1001,0),1)&gt;=100000,INDEX($V$1005:$AE$1005,1,MATCH(COLUMNS($V$1006:X1006),$V$1006:$AE$1006,0))&gt;=100000), " ",IF(INDEX($V$2:$AE$1001,MATCH(ROWS($O$2:O275),$O$2:$O$1001,0),MATCH(COLUMNS($V$1006:X1006),$V$1006:$AE$1006,0)), HYPERLINK("#",""), HYPERLINK(CONCATENATE("#Metadata!", ADDRESS(INDEX($Q$2:$Q$1001,MATCH(ROWS($O$2:O275),$O$2:$O$1001,0),0), INDEX($V$1004:$AE$1004,1,MATCH(COLUMNS($V$1006:X1006),$V$1006:$AE$1006,0)))),"Fix")))</f>
        <v>0</v>
      </c>
      <c r="E275" s="3">
        <f>IF(OR(INDEX($P$2:$P$1001,MATCH(ROWS($O$2:O275),$O$2:$O$1001,0),1)&gt;=100000,INDEX($V$1005:$AE$1005,1,MATCH(COLUMNS($V$1006:Y1006),$V$1006:$AE$1006,0))&gt;=100000), " ",IF(INDEX($V$2:$AE$1001,MATCH(ROWS($O$2:O275),$O$2:$O$1001,0),MATCH(COLUMNS($V$1006:Y1006),$V$1006:$AE$1006,0)), HYPERLINK("#",""), HYPERLINK(CONCATENATE("#Metadata!", ADDRESS(INDEX($Q$2:$Q$1001,MATCH(ROWS($O$2:O275),$O$2:$O$1001,0),0), INDEX($V$1004:$AE$1004,1,MATCH(COLUMNS($V$1006:Y1006),$V$1006:$AE$1006,0)))),"Fix")))</f>
        <v>0</v>
      </c>
      <c r="F275" s="3">
        <f>IF(OR(INDEX($P$2:$P$1001,MATCH(ROWS($O$2:O275),$O$2:$O$1001,0),1)&gt;=100000,INDEX($V$1005:$AE$1005,1,MATCH(COLUMNS($V$1006:Z1006),$V$1006:$AE$1006,0))&gt;=100000), " ",IF(INDEX($V$2:$AE$1001,MATCH(ROWS($O$2:O275),$O$2:$O$1001,0),MATCH(COLUMNS($V$1006:Z1006),$V$1006:$AE$1006,0)), HYPERLINK("#",""), HYPERLINK(CONCATENATE("#Metadata!", ADDRESS(INDEX($Q$2:$Q$1001,MATCH(ROWS($O$2:O275),$O$2:$O$1001,0),0), INDEX($V$1004:$AE$1004,1,MATCH(COLUMNS($V$1006:Z1006),$V$1006:$AE$1006,0)))),"Fix")))</f>
        <v>0</v>
      </c>
      <c r="G275" s="3">
        <f>IF(OR(INDEX($P$2:$P$1001,MATCH(ROWS($O$2:O275),$O$2:$O$1001,0),1)&gt;=100000,INDEX($V$1005:$AE$1005,1,MATCH(COLUMNS($V$1006:AA1006),$V$1006:$AE$1006,0))&gt;=100000), " ",IF(INDEX($V$2:$AE$1001,MATCH(ROWS($O$2:O275),$O$2:$O$1001,0),MATCH(COLUMNS($V$1006:AA1006),$V$1006:$AE$1006,0)), HYPERLINK("#",""), HYPERLINK(CONCATENATE("#Metadata!", ADDRESS(INDEX($Q$2:$Q$1001,MATCH(ROWS($O$2:O275),$O$2:$O$1001,0),0), INDEX($V$1004:$AE$1004,1,MATCH(COLUMNS($V$1006:AA1006),$V$1006:$AE$1006,0)))),"Fix")))</f>
        <v>0</v>
      </c>
      <c r="H275" s="3">
        <f>IF(OR(INDEX($P$2:$P$1001,MATCH(ROWS($O$2:O275),$O$2:$O$1001,0),1)&gt;=100000,INDEX($V$1005:$AE$1005,1,MATCH(COLUMNS($V$1006:AB1006),$V$1006:$AE$1006,0))&gt;=100000), " ",IF(INDEX($V$2:$AE$1001,MATCH(ROWS($O$2:O275),$O$2:$O$1001,0),MATCH(COLUMNS($V$1006:AB1006),$V$1006:$AE$1006,0)), HYPERLINK("#",""), HYPERLINK(CONCATENATE("#Metadata!", ADDRESS(INDEX($Q$2:$Q$1001,MATCH(ROWS($O$2:O275),$O$2:$O$1001,0),0), INDEX($V$1004:$AE$1004,1,MATCH(COLUMNS($V$1006:AB1006),$V$1006:$AE$1006,0)))),"Fix")))</f>
        <v>0</v>
      </c>
      <c r="I275" s="3">
        <f>IF(OR(INDEX($P$2:$P$1001,MATCH(ROWS($O$2:O275),$O$2:$O$1001,0),1)&gt;=100000,INDEX($V$1005:$AE$1005,1,MATCH(COLUMNS($V$1006:AC1006),$V$1006:$AE$1006,0))&gt;=100000), " ",IF(INDEX($V$2:$AE$1001,MATCH(ROWS($O$2:O275),$O$2:$O$1001,0),MATCH(COLUMNS($V$1006:AC1006),$V$1006:$AE$1006,0)), HYPERLINK("#",""), HYPERLINK(CONCATENATE("#Metadata!", ADDRESS(INDEX($Q$2:$Q$1001,MATCH(ROWS($O$2:O275),$O$2:$O$1001,0),0), INDEX($V$1004:$AE$1004,1,MATCH(COLUMNS($V$1006:AC1006),$V$1006:$AE$1006,0)))),"Fix")))</f>
        <v>0</v>
      </c>
      <c r="J275" s="3">
        <f>IF(OR(INDEX($P$2:$P$1001,MATCH(ROWS($O$2:O275),$O$2:$O$1001,0),1)&gt;=100000,INDEX($V$1005:$AE$1005,1,MATCH(COLUMNS($V$1006:AD1006),$V$1006:$AE$1006,0))&gt;=100000), " ",IF(INDEX($V$2:$AE$1001,MATCH(ROWS($O$2:O275),$O$2:$O$1001,0),MATCH(COLUMNS($V$1006:AD1006),$V$1006:$AE$1006,0)), HYPERLINK("#",""), HYPERLINK(CONCATENATE("#Metadata!", ADDRESS(INDEX($Q$2:$Q$1001,MATCH(ROWS($O$2:O275),$O$2:$O$1001,0),0), INDEX($V$1004:$AE$1004,1,MATCH(COLUMNS($V$1006:AD1006),$V$1006:$AE$1006,0)))),"Fix")))</f>
        <v>0</v>
      </c>
      <c r="K275" s="3">
        <f>IF(OR(INDEX($P$2:$P$1001,MATCH(ROWS($O$2:O275),$O$2:$O$1001,0),1)&gt;=100000,INDEX($V$1005:$AE$1005,1,MATCH(COLUMNS($V$1006:AE1006),$V$1006:$AE$1006,0))&gt;=100000), " ",IF(INDEX($V$2:$AE$1001,MATCH(ROWS($O$2:O275),$O$2:$O$1001,0),MATCH(COLUMNS($V$1006:AE1006),$V$1006:$AE$1006,0)), HYPERLINK("#",""), HYPERLINK(CONCATENATE("#Metadata!", ADDRESS(INDEX($Q$2:$Q$1001,MATCH(ROWS($O$2:O275),$O$2:$O$1001,0),0), INDEX($V$1004:$AE$1004,1,MATCH(COLUMNS($V$1006:AE1006),$V$1006:$AE$1006,0)))),"Fix")))</f>
        <v>0</v>
      </c>
      <c r="O275">
        <v>0</v>
      </c>
      <c r="P275">
        <v>0</v>
      </c>
      <c r="Q275">
        <v>0</v>
      </c>
      <c r="R275">
        <f>IF(S275,TRUE,AND(V275:AE275))</f>
        <v>0</v>
      </c>
      <c r="S275">
        <f>COUNTBLANK(Metadata!B275:K275)=COLUMNS(Metadata!B275:K275)</f>
        <v>0</v>
      </c>
      <c r="T275">
        <v>0</v>
      </c>
      <c r="V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W275">
        <f>AND(IF(Metadata!C275="",FALSE,TRUE),exact(Metadata!C275,"animal secretion"))</f>
        <v>0</v>
      </c>
      <c r="X275">
        <f>AND(IF(Metadata!D275="",FALSE,TRUE),exact(Metadata!D275,"saliva"))</f>
        <v>0</v>
      </c>
      <c r="Y275">
        <f>AND(IF(Metadata!E275="",FALSE,TRUE),exact(Metadata!E275,"human-oral"))</f>
        <v>0</v>
      </c>
      <c r="Z275">
        <f>AND(IF(Metadata!F275="",FALSE,TRUE),exact(Metadata!F275,"UBERON:oral cavity"))</f>
        <v>0</v>
      </c>
      <c r="AA275">
        <f>AND(IF(Metadata!G275="",FALSE,TRUE),exact(Metadata!G275,"UBERON:saliva"))</f>
        <v>0</v>
      </c>
      <c r="AB275">
        <f>AND(IF(Metadata!H275="",FALSE,TRUE),exact(Metadata!H275,"UBERON:tongue"))</f>
        <v>0</v>
      </c>
      <c r="AC275">
        <f>AND(IF(Metadata!I275="",FALSE,TRUE),exact(Metadata!I275,"tongue"))</f>
        <v>0</v>
      </c>
      <c r="AD275">
        <f>AND(IF(Metadata!J275="",FALSE,TRUE),exact(Metadata!J275,"human oral metagenome"))</f>
        <v>0</v>
      </c>
      <c r="AE275">
        <f>AND(IF(Metadata!K275="",FALSE,TRUE),exact(Metadata!K275,"447426"))</f>
        <v>0</v>
      </c>
    </row>
    <row r="276" spans="1:31">
      <c r="A276" s="4">
        <f>IF(B276=" "," ",HYPERLINK(CONCATENATE("#metadata!",ADDRESS(INDEX($Q$2:$Q$1001,MATCH(ROWS($O$2:O276),$O$2:$O$1001,0),0),1)),INDEX($T$2:$T$1001,MATCH(ROWS($O$2:O276),$O$2:$O$1001,0),0)))</f>
        <v>0</v>
      </c>
      <c r="B276" s="3">
        <f>IF(OR(INDEX($P$2:$P$1001,MATCH(ROWS($O$2:O276),$O$2:$O$1001,0),1)&gt;=100000,INDEX($V$1005:$AE$1005,1,MATCH(COLUMNS($V$1006:V1006),$V$1006:$AE$1006,0))&gt;=100000), " ",IF(INDEX($V$2:$AE$1001,MATCH(ROWS($O$2:O276),$O$2:$O$1001,0),MATCH(COLUMNS($V$1006:V1006),$V$1006:$AE$1006,0)), HYPERLINK("#",""), HYPERLINK(CONCATENATE("#Metadata!", ADDRESS(INDEX($Q$2:$Q$1001,MATCH(ROWS($O$2:O276),$O$2:$O$1001,0),0), INDEX($V$1004:$AE$1004,1,MATCH(COLUMNS($V$1006:V1006),$V$1006:$AE$1006,0)))),"Fix")))</f>
        <v>0</v>
      </c>
      <c r="C276" s="3">
        <f>IF(OR(INDEX($P$2:$P$1001,MATCH(ROWS($O$2:O276),$O$2:$O$1001,0),1)&gt;=100000,INDEX($V$1005:$AE$1005,1,MATCH(COLUMNS($V$1006:W1006),$V$1006:$AE$1006,0))&gt;=100000), " ",IF(INDEX($V$2:$AE$1001,MATCH(ROWS($O$2:O276),$O$2:$O$1001,0),MATCH(COLUMNS($V$1006:W1006),$V$1006:$AE$1006,0)), HYPERLINK("#",""), HYPERLINK(CONCATENATE("#Metadata!", ADDRESS(INDEX($Q$2:$Q$1001,MATCH(ROWS($O$2:O276),$O$2:$O$1001,0),0), INDEX($V$1004:$AE$1004,1,MATCH(COLUMNS($V$1006:W1006),$V$1006:$AE$1006,0)))),"Fix")))</f>
        <v>0</v>
      </c>
      <c r="D276" s="3">
        <f>IF(OR(INDEX($P$2:$P$1001,MATCH(ROWS($O$2:O276),$O$2:$O$1001,0),1)&gt;=100000,INDEX($V$1005:$AE$1005,1,MATCH(COLUMNS($V$1006:X1006),$V$1006:$AE$1006,0))&gt;=100000), " ",IF(INDEX($V$2:$AE$1001,MATCH(ROWS($O$2:O276),$O$2:$O$1001,0),MATCH(COLUMNS($V$1006:X1006),$V$1006:$AE$1006,0)), HYPERLINK("#",""), HYPERLINK(CONCATENATE("#Metadata!", ADDRESS(INDEX($Q$2:$Q$1001,MATCH(ROWS($O$2:O276),$O$2:$O$1001,0),0), INDEX($V$1004:$AE$1004,1,MATCH(COLUMNS($V$1006:X1006),$V$1006:$AE$1006,0)))),"Fix")))</f>
        <v>0</v>
      </c>
      <c r="E276" s="3">
        <f>IF(OR(INDEX($P$2:$P$1001,MATCH(ROWS($O$2:O276),$O$2:$O$1001,0),1)&gt;=100000,INDEX($V$1005:$AE$1005,1,MATCH(COLUMNS($V$1006:Y1006),$V$1006:$AE$1006,0))&gt;=100000), " ",IF(INDEX($V$2:$AE$1001,MATCH(ROWS($O$2:O276),$O$2:$O$1001,0),MATCH(COLUMNS($V$1006:Y1006),$V$1006:$AE$1006,0)), HYPERLINK("#",""), HYPERLINK(CONCATENATE("#Metadata!", ADDRESS(INDEX($Q$2:$Q$1001,MATCH(ROWS($O$2:O276),$O$2:$O$1001,0),0), INDEX($V$1004:$AE$1004,1,MATCH(COLUMNS($V$1006:Y1006),$V$1006:$AE$1006,0)))),"Fix")))</f>
        <v>0</v>
      </c>
      <c r="F276" s="3">
        <f>IF(OR(INDEX($P$2:$P$1001,MATCH(ROWS($O$2:O276),$O$2:$O$1001,0),1)&gt;=100000,INDEX($V$1005:$AE$1005,1,MATCH(COLUMNS($V$1006:Z1006),$V$1006:$AE$1006,0))&gt;=100000), " ",IF(INDEX($V$2:$AE$1001,MATCH(ROWS($O$2:O276),$O$2:$O$1001,0),MATCH(COLUMNS($V$1006:Z1006),$V$1006:$AE$1006,0)), HYPERLINK("#",""), HYPERLINK(CONCATENATE("#Metadata!", ADDRESS(INDEX($Q$2:$Q$1001,MATCH(ROWS($O$2:O276),$O$2:$O$1001,0),0), INDEX($V$1004:$AE$1004,1,MATCH(COLUMNS($V$1006:Z1006),$V$1006:$AE$1006,0)))),"Fix")))</f>
        <v>0</v>
      </c>
      <c r="G276" s="3">
        <f>IF(OR(INDEX($P$2:$P$1001,MATCH(ROWS($O$2:O276),$O$2:$O$1001,0),1)&gt;=100000,INDEX($V$1005:$AE$1005,1,MATCH(COLUMNS($V$1006:AA1006),$V$1006:$AE$1006,0))&gt;=100000), " ",IF(INDEX($V$2:$AE$1001,MATCH(ROWS($O$2:O276),$O$2:$O$1001,0),MATCH(COLUMNS($V$1006:AA1006),$V$1006:$AE$1006,0)), HYPERLINK("#",""), HYPERLINK(CONCATENATE("#Metadata!", ADDRESS(INDEX($Q$2:$Q$1001,MATCH(ROWS($O$2:O276),$O$2:$O$1001,0),0), INDEX($V$1004:$AE$1004,1,MATCH(COLUMNS($V$1006:AA1006),$V$1006:$AE$1006,0)))),"Fix")))</f>
        <v>0</v>
      </c>
      <c r="H276" s="3">
        <f>IF(OR(INDEX($P$2:$P$1001,MATCH(ROWS($O$2:O276),$O$2:$O$1001,0),1)&gt;=100000,INDEX($V$1005:$AE$1005,1,MATCH(COLUMNS($V$1006:AB1006),$V$1006:$AE$1006,0))&gt;=100000), " ",IF(INDEX($V$2:$AE$1001,MATCH(ROWS($O$2:O276),$O$2:$O$1001,0),MATCH(COLUMNS($V$1006:AB1006),$V$1006:$AE$1006,0)), HYPERLINK("#",""), HYPERLINK(CONCATENATE("#Metadata!", ADDRESS(INDEX($Q$2:$Q$1001,MATCH(ROWS($O$2:O276),$O$2:$O$1001,0),0), INDEX($V$1004:$AE$1004,1,MATCH(COLUMNS($V$1006:AB1006),$V$1006:$AE$1006,0)))),"Fix")))</f>
        <v>0</v>
      </c>
      <c r="I276" s="3">
        <f>IF(OR(INDEX($P$2:$P$1001,MATCH(ROWS($O$2:O276),$O$2:$O$1001,0),1)&gt;=100000,INDEX($V$1005:$AE$1005,1,MATCH(COLUMNS($V$1006:AC1006),$V$1006:$AE$1006,0))&gt;=100000), " ",IF(INDEX($V$2:$AE$1001,MATCH(ROWS($O$2:O276),$O$2:$O$1001,0),MATCH(COLUMNS($V$1006:AC1006),$V$1006:$AE$1006,0)), HYPERLINK("#",""), HYPERLINK(CONCATENATE("#Metadata!", ADDRESS(INDEX($Q$2:$Q$1001,MATCH(ROWS($O$2:O276),$O$2:$O$1001,0),0), INDEX($V$1004:$AE$1004,1,MATCH(COLUMNS($V$1006:AC1006),$V$1006:$AE$1006,0)))),"Fix")))</f>
        <v>0</v>
      </c>
      <c r="J276" s="3">
        <f>IF(OR(INDEX($P$2:$P$1001,MATCH(ROWS($O$2:O276),$O$2:$O$1001,0),1)&gt;=100000,INDEX($V$1005:$AE$1005,1,MATCH(COLUMNS($V$1006:AD1006),$V$1006:$AE$1006,0))&gt;=100000), " ",IF(INDEX($V$2:$AE$1001,MATCH(ROWS($O$2:O276),$O$2:$O$1001,0),MATCH(COLUMNS($V$1006:AD1006),$V$1006:$AE$1006,0)), HYPERLINK("#",""), HYPERLINK(CONCATENATE("#Metadata!", ADDRESS(INDEX($Q$2:$Q$1001,MATCH(ROWS($O$2:O276),$O$2:$O$1001,0),0), INDEX($V$1004:$AE$1004,1,MATCH(COLUMNS($V$1006:AD1006),$V$1006:$AE$1006,0)))),"Fix")))</f>
        <v>0</v>
      </c>
      <c r="K276" s="3">
        <f>IF(OR(INDEX($P$2:$P$1001,MATCH(ROWS($O$2:O276),$O$2:$O$1001,0),1)&gt;=100000,INDEX($V$1005:$AE$1005,1,MATCH(COLUMNS($V$1006:AE1006),$V$1006:$AE$1006,0))&gt;=100000), " ",IF(INDEX($V$2:$AE$1001,MATCH(ROWS($O$2:O276),$O$2:$O$1001,0),MATCH(COLUMNS($V$1006:AE1006),$V$1006:$AE$1006,0)), HYPERLINK("#",""), HYPERLINK(CONCATENATE("#Metadata!", ADDRESS(INDEX($Q$2:$Q$1001,MATCH(ROWS($O$2:O276),$O$2:$O$1001,0),0), INDEX($V$1004:$AE$1004,1,MATCH(COLUMNS($V$1006:AE1006),$V$1006:$AE$1006,0)))),"Fix")))</f>
        <v>0</v>
      </c>
      <c r="O276">
        <v>0</v>
      </c>
      <c r="P276">
        <v>0</v>
      </c>
      <c r="Q276">
        <v>0</v>
      </c>
      <c r="R276">
        <f>IF(S276,TRUE,AND(V276:AE276))</f>
        <v>0</v>
      </c>
      <c r="S276">
        <f>COUNTBLANK(Metadata!B276:K276)=COLUMNS(Metadata!B276:K276)</f>
        <v>0</v>
      </c>
      <c r="T276">
        <v>0</v>
      </c>
      <c r="V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W276">
        <f>AND(IF(Metadata!C276="",FALSE,TRUE),exact(Metadata!C276,"animal secretion"))</f>
        <v>0</v>
      </c>
      <c r="X276">
        <f>AND(IF(Metadata!D276="",FALSE,TRUE),exact(Metadata!D276,"saliva"))</f>
        <v>0</v>
      </c>
      <c r="Y276">
        <f>AND(IF(Metadata!E276="",FALSE,TRUE),exact(Metadata!E276,"human-oral"))</f>
        <v>0</v>
      </c>
      <c r="Z276">
        <f>AND(IF(Metadata!F276="",FALSE,TRUE),exact(Metadata!F276,"UBERON:oral cavity"))</f>
        <v>0</v>
      </c>
      <c r="AA276">
        <f>AND(IF(Metadata!G276="",FALSE,TRUE),exact(Metadata!G276,"UBERON:saliva"))</f>
        <v>0</v>
      </c>
      <c r="AB276">
        <f>AND(IF(Metadata!H276="",FALSE,TRUE),exact(Metadata!H276,"UBERON:tongue"))</f>
        <v>0</v>
      </c>
      <c r="AC276">
        <f>AND(IF(Metadata!I276="",FALSE,TRUE),exact(Metadata!I276,"tongue"))</f>
        <v>0</v>
      </c>
      <c r="AD276">
        <f>AND(IF(Metadata!J276="",FALSE,TRUE),exact(Metadata!J276,"human oral metagenome"))</f>
        <v>0</v>
      </c>
      <c r="AE276">
        <f>AND(IF(Metadata!K276="",FALSE,TRUE),exact(Metadata!K276,"447426"))</f>
        <v>0</v>
      </c>
    </row>
    <row r="277" spans="1:31">
      <c r="A277" s="4">
        <f>IF(B277=" "," ",HYPERLINK(CONCATENATE("#metadata!",ADDRESS(INDEX($Q$2:$Q$1001,MATCH(ROWS($O$2:O277),$O$2:$O$1001,0),0),1)),INDEX($T$2:$T$1001,MATCH(ROWS($O$2:O277),$O$2:$O$1001,0),0)))</f>
        <v>0</v>
      </c>
      <c r="B277" s="3">
        <f>IF(OR(INDEX($P$2:$P$1001,MATCH(ROWS($O$2:O277),$O$2:$O$1001,0),1)&gt;=100000,INDEX($V$1005:$AE$1005,1,MATCH(COLUMNS($V$1006:V1006),$V$1006:$AE$1006,0))&gt;=100000), " ",IF(INDEX($V$2:$AE$1001,MATCH(ROWS($O$2:O277),$O$2:$O$1001,0),MATCH(COLUMNS($V$1006:V1006),$V$1006:$AE$1006,0)), HYPERLINK("#",""), HYPERLINK(CONCATENATE("#Metadata!", ADDRESS(INDEX($Q$2:$Q$1001,MATCH(ROWS($O$2:O277),$O$2:$O$1001,0),0), INDEX($V$1004:$AE$1004,1,MATCH(COLUMNS($V$1006:V1006),$V$1006:$AE$1006,0)))),"Fix")))</f>
        <v>0</v>
      </c>
      <c r="C277" s="3">
        <f>IF(OR(INDEX($P$2:$P$1001,MATCH(ROWS($O$2:O277),$O$2:$O$1001,0),1)&gt;=100000,INDEX($V$1005:$AE$1005,1,MATCH(COLUMNS($V$1006:W1006),$V$1006:$AE$1006,0))&gt;=100000), " ",IF(INDEX($V$2:$AE$1001,MATCH(ROWS($O$2:O277),$O$2:$O$1001,0),MATCH(COLUMNS($V$1006:W1006),$V$1006:$AE$1006,0)), HYPERLINK("#",""), HYPERLINK(CONCATENATE("#Metadata!", ADDRESS(INDEX($Q$2:$Q$1001,MATCH(ROWS($O$2:O277),$O$2:$O$1001,0),0), INDEX($V$1004:$AE$1004,1,MATCH(COLUMNS($V$1006:W1006),$V$1006:$AE$1006,0)))),"Fix")))</f>
        <v>0</v>
      </c>
      <c r="D277" s="3">
        <f>IF(OR(INDEX($P$2:$P$1001,MATCH(ROWS($O$2:O277),$O$2:$O$1001,0),1)&gt;=100000,INDEX($V$1005:$AE$1005,1,MATCH(COLUMNS($V$1006:X1006),$V$1006:$AE$1006,0))&gt;=100000), " ",IF(INDEX($V$2:$AE$1001,MATCH(ROWS($O$2:O277),$O$2:$O$1001,0),MATCH(COLUMNS($V$1006:X1006),$V$1006:$AE$1006,0)), HYPERLINK("#",""), HYPERLINK(CONCATENATE("#Metadata!", ADDRESS(INDEX($Q$2:$Q$1001,MATCH(ROWS($O$2:O277),$O$2:$O$1001,0),0), INDEX($V$1004:$AE$1004,1,MATCH(COLUMNS($V$1006:X1006),$V$1006:$AE$1006,0)))),"Fix")))</f>
        <v>0</v>
      </c>
      <c r="E277" s="3">
        <f>IF(OR(INDEX($P$2:$P$1001,MATCH(ROWS($O$2:O277),$O$2:$O$1001,0),1)&gt;=100000,INDEX($V$1005:$AE$1005,1,MATCH(COLUMNS($V$1006:Y1006),$V$1006:$AE$1006,0))&gt;=100000), " ",IF(INDEX($V$2:$AE$1001,MATCH(ROWS($O$2:O277),$O$2:$O$1001,0),MATCH(COLUMNS($V$1006:Y1006),$V$1006:$AE$1006,0)), HYPERLINK("#",""), HYPERLINK(CONCATENATE("#Metadata!", ADDRESS(INDEX($Q$2:$Q$1001,MATCH(ROWS($O$2:O277),$O$2:$O$1001,0),0), INDEX($V$1004:$AE$1004,1,MATCH(COLUMNS($V$1006:Y1006),$V$1006:$AE$1006,0)))),"Fix")))</f>
        <v>0</v>
      </c>
      <c r="F277" s="3">
        <f>IF(OR(INDEX($P$2:$P$1001,MATCH(ROWS($O$2:O277),$O$2:$O$1001,0),1)&gt;=100000,INDEX($V$1005:$AE$1005,1,MATCH(COLUMNS($V$1006:Z1006),$V$1006:$AE$1006,0))&gt;=100000), " ",IF(INDEX($V$2:$AE$1001,MATCH(ROWS($O$2:O277),$O$2:$O$1001,0),MATCH(COLUMNS($V$1006:Z1006),$V$1006:$AE$1006,0)), HYPERLINK("#",""), HYPERLINK(CONCATENATE("#Metadata!", ADDRESS(INDEX($Q$2:$Q$1001,MATCH(ROWS($O$2:O277),$O$2:$O$1001,0),0), INDEX($V$1004:$AE$1004,1,MATCH(COLUMNS($V$1006:Z1006),$V$1006:$AE$1006,0)))),"Fix")))</f>
        <v>0</v>
      </c>
      <c r="G277" s="3">
        <f>IF(OR(INDEX($P$2:$P$1001,MATCH(ROWS($O$2:O277),$O$2:$O$1001,0),1)&gt;=100000,INDEX($V$1005:$AE$1005,1,MATCH(COLUMNS($V$1006:AA1006),$V$1006:$AE$1006,0))&gt;=100000), " ",IF(INDEX($V$2:$AE$1001,MATCH(ROWS($O$2:O277),$O$2:$O$1001,0),MATCH(COLUMNS($V$1006:AA1006),$V$1006:$AE$1006,0)), HYPERLINK("#",""), HYPERLINK(CONCATENATE("#Metadata!", ADDRESS(INDEX($Q$2:$Q$1001,MATCH(ROWS($O$2:O277),$O$2:$O$1001,0),0), INDEX($V$1004:$AE$1004,1,MATCH(COLUMNS($V$1006:AA1006),$V$1006:$AE$1006,0)))),"Fix")))</f>
        <v>0</v>
      </c>
      <c r="H277" s="3">
        <f>IF(OR(INDEX($P$2:$P$1001,MATCH(ROWS($O$2:O277),$O$2:$O$1001,0),1)&gt;=100000,INDEX($V$1005:$AE$1005,1,MATCH(COLUMNS($V$1006:AB1006),$V$1006:$AE$1006,0))&gt;=100000), " ",IF(INDEX($V$2:$AE$1001,MATCH(ROWS($O$2:O277),$O$2:$O$1001,0),MATCH(COLUMNS($V$1006:AB1006),$V$1006:$AE$1006,0)), HYPERLINK("#",""), HYPERLINK(CONCATENATE("#Metadata!", ADDRESS(INDEX($Q$2:$Q$1001,MATCH(ROWS($O$2:O277),$O$2:$O$1001,0),0), INDEX($V$1004:$AE$1004,1,MATCH(COLUMNS($V$1006:AB1006),$V$1006:$AE$1006,0)))),"Fix")))</f>
        <v>0</v>
      </c>
      <c r="I277" s="3">
        <f>IF(OR(INDEX($P$2:$P$1001,MATCH(ROWS($O$2:O277),$O$2:$O$1001,0),1)&gt;=100000,INDEX($V$1005:$AE$1005,1,MATCH(COLUMNS($V$1006:AC1006),$V$1006:$AE$1006,0))&gt;=100000), " ",IF(INDEX($V$2:$AE$1001,MATCH(ROWS($O$2:O277),$O$2:$O$1001,0),MATCH(COLUMNS($V$1006:AC1006),$V$1006:$AE$1006,0)), HYPERLINK("#",""), HYPERLINK(CONCATENATE("#Metadata!", ADDRESS(INDEX($Q$2:$Q$1001,MATCH(ROWS($O$2:O277),$O$2:$O$1001,0),0), INDEX($V$1004:$AE$1004,1,MATCH(COLUMNS($V$1006:AC1006),$V$1006:$AE$1006,0)))),"Fix")))</f>
        <v>0</v>
      </c>
      <c r="J277" s="3">
        <f>IF(OR(INDEX($P$2:$P$1001,MATCH(ROWS($O$2:O277),$O$2:$O$1001,0),1)&gt;=100000,INDEX($V$1005:$AE$1005,1,MATCH(COLUMNS($V$1006:AD1006),$V$1006:$AE$1006,0))&gt;=100000), " ",IF(INDEX($V$2:$AE$1001,MATCH(ROWS($O$2:O277),$O$2:$O$1001,0),MATCH(COLUMNS($V$1006:AD1006),$V$1006:$AE$1006,0)), HYPERLINK("#",""), HYPERLINK(CONCATENATE("#Metadata!", ADDRESS(INDEX($Q$2:$Q$1001,MATCH(ROWS($O$2:O277),$O$2:$O$1001,0),0), INDEX($V$1004:$AE$1004,1,MATCH(COLUMNS($V$1006:AD1006),$V$1006:$AE$1006,0)))),"Fix")))</f>
        <v>0</v>
      </c>
      <c r="K277" s="3">
        <f>IF(OR(INDEX($P$2:$P$1001,MATCH(ROWS($O$2:O277),$O$2:$O$1001,0),1)&gt;=100000,INDEX($V$1005:$AE$1005,1,MATCH(COLUMNS($V$1006:AE1006),$V$1006:$AE$1006,0))&gt;=100000), " ",IF(INDEX($V$2:$AE$1001,MATCH(ROWS($O$2:O277),$O$2:$O$1001,0),MATCH(COLUMNS($V$1006:AE1006),$V$1006:$AE$1006,0)), HYPERLINK("#",""), HYPERLINK(CONCATENATE("#Metadata!", ADDRESS(INDEX($Q$2:$Q$1001,MATCH(ROWS($O$2:O277),$O$2:$O$1001,0),0), INDEX($V$1004:$AE$1004,1,MATCH(COLUMNS($V$1006:AE1006),$V$1006:$AE$1006,0)))),"Fix")))</f>
        <v>0</v>
      </c>
      <c r="O277">
        <v>0</v>
      </c>
      <c r="P277">
        <v>0</v>
      </c>
      <c r="Q277">
        <v>0</v>
      </c>
      <c r="R277">
        <f>IF(S277,TRUE,AND(V277:AE277))</f>
        <v>0</v>
      </c>
      <c r="S277">
        <f>COUNTBLANK(Metadata!B277:K277)=COLUMNS(Metadata!B277:K277)</f>
        <v>0</v>
      </c>
      <c r="T277">
        <v>0</v>
      </c>
      <c r="V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W277">
        <f>AND(IF(Metadata!C277="",FALSE,TRUE),exact(Metadata!C277,"animal secretion"))</f>
        <v>0</v>
      </c>
      <c r="X277">
        <f>AND(IF(Metadata!D277="",FALSE,TRUE),exact(Metadata!D277,"saliva"))</f>
        <v>0</v>
      </c>
      <c r="Y277">
        <f>AND(IF(Metadata!E277="",FALSE,TRUE),exact(Metadata!E277,"human-oral"))</f>
        <v>0</v>
      </c>
      <c r="Z277">
        <f>AND(IF(Metadata!F277="",FALSE,TRUE),exact(Metadata!F277,"UBERON:oral cavity"))</f>
        <v>0</v>
      </c>
      <c r="AA277">
        <f>AND(IF(Metadata!G277="",FALSE,TRUE),exact(Metadata!G277,"UBERON:saliva"))</f>
        <v>0</v>
      </c>
      <c r="AB277">
        <f>AND(IF(Metadata!H277="",FALSE,TRUE),exact(Metadata!H277,"UBERON:tongue"))</f>
        <v>0</v>
      </c>
      <c r="AC277">
        <f>AND(IF(Metadata!I277="",FALSE,TRUE),exact(Metadata!I277,"tongue"))</f>
        <v>0</v>
      </c>
      <c r="AD277">
        <f>AND(IF(Metadata!J277="",FALSE,TRUE),exact(Metadata!J277,"human oral metagenome"))</f>
        <v>0</v>
      </c>
      <c r="AE277">
        <f>AND(IF(Metadata!K277="",FALSE,TRUE),exact(Metadata!K277,"447426"))</f>
        <v>0</v>
      </c>
    </row>
    <row r="278" spans="1:31">
      <c r="A278" s="4">
        <f>IF(B278=" "," ",HYPERLINK(CONCATENATE("#metadata!",ADDRESS(INDEX($Q$2:$Q$1001,MATCH(ROWS($O$2:O278),$O$2:$O$1001,0),0),1)),INDEX($T$2:$T$1001,MATCH(ROWS($O$2:O278),$O$2:$O$1001,0),0)))</f>
        <v>0</v>
      </c>
      <c r="B278" s="3">
        <f>IF(OR(INDEX($P$2:$P$1001,MATCH(ROWS($O$2:O278),$O$2:$O$1001,0),1)&gt;=100000,INDEX($V$1005:$AE$1005,1,MATCH(COLUMNS($V$1006:V1006),$V$1006:$AE$1006,0))&gt;=100000), " ",IF(INDEX($V$2:$AE$1001,MATCH(ROWS($O$2:O278),$O$2:$O$1001,0),MATCH(COLUMNS($V$1006:V1006),$V$1006:$AE$1006,0)), HYPERLINK("#",""), HYPERLINK(CONCATENATE("#Metadata!", ADDRESS(INDEX($Q$2:$Q$1001,MATCH(ROWS($O$2:O278),$O$2:$O$1001,0),0), INDEX($V$1004:$AE$1004,1,MATCH(COLUMNS($V$1006:V1006),$V$1006:$AE$1006,0)))),"Fix")))</f>
        <v>0</v>
      </c>
      <c r="C278" s="3">
        <f>IF(OR(INDEX($P$2:$P$1001,MATCH(ROWS($O$2:O278),$O$2:$O$1001,0),1)&gt;=100000,INDEX($V$1005:$AE$1005,1,MATCH(COLUMNS($V$1006:W1006),$V$1006:$AE$1006,0))&gt;=100000), " ",IF(INDEX($V$2:$AE$1001,MATCH(ROWS($O$2:O278),$O$2:$O$1001,0),MATCH(COLUMNS($V$1006:W1006),$V$1006:$AE$1006,0)), HYPERLINK("#",""), HYPERLINK(CONCATENATE("#Metadata!", ADDRESS(INDEX($Q$2:$Q$1001,MATCH(ROWS($O$2:O278),$O$2:$O$1001,0),0), INDEX($V$1004:$AE$1004,1,MATCH(COLUMNS($V$1006:W1006),$V$1006:$AE$1006,0)))),"Fix")))</f>
        <v>0</v>
      </c>
      <c r="D278" s="3">
        <f>IF(OR(INDEX($P$2:$P$1001,MATCH(ROWS($O$2:O278),$O$2:$O$1001,0),1)&gt;=100000,INDEX($V$1005:$AE$1005,1,MATCH(COLUMNS($V$1006:X1006),$V$1006:$AE$1006,0))&gt;=100000), " ",IF(INDEX($V$2:$AE$1001,MATCH(ROWS($O$2:O278),$O$2:$O$1001,0),MATCH(COLUMNS($V$1006:X1006),$V$1006:$AE$1006,0)), HYPERLINK("#",""), HYPERLINK(CONCATENATE("#Metadata!", ADDRESS(INDEX($Q$2:$Q$1001,MATCH(ROWS($O$2:O278),$O$2:$O$1001,0),0), INDEX($V$1004:$AE$1004,1,MATCH(COLUMNS($V$1006:X1006),$V$1006:$AE$1006,0)))),"Fix")))</f>
        <v>0</v>
      </c>
      <c r="E278" s="3">
        <f>IF(OR(INDEX($P$2:$P$1001,MATCH(ROWS($O$2:O278),$O$2:$O$1001,0),1)&gt;=100000,INDEX($V$1005:$AE$1005,1,MATCH(COLUMNS($V$1006:Y1006),$V$1006:$AE$1006,0))&gt;=100000), " ",IF(INDEX($V$2:$AE$1001,MATCH(ROWS($O$2:O278),$O$2:$O$1001,0),MATCH(COLUMNS($V$1006:Y1006),$V$1006:$AE$1006,0)), HYPERLINK("#",""), HYPERLINK(CONCATENATE("#Metadata!", ADDRESS(INDEX($Q$2:$Q$1001,MATCH(ROWS($O$2:O278),$O$2:$O$1001,0),0), INDEX($V$1004:$AE$1004,1,MATCH(COLUMNS($V$1006:Y1006),$V$1006:$AE$1006,0)))),"Fix")))</f>
        <v>0</v>
      </c>
      <c r="F278" s="3">
        <f>IF(OR(INDEX($P$2:$P$1001,MATCH(ROWS($O$2:O278),$O$2:$O$1001,0),1)&gt;=100000,INDEX($V$1005:$AE$1005,1,MATCH(COLUMNS($V$1006:Z1006),$V$1006:$AE$1006,0))&gt;=100000), " ",IF(INDEX($V$2:$AE$1001,MATCH(ROWS($O$2:O278),$O$2:$O$1001,0),MATCH(COLUMNS($V$1006:Z1006),$V$1006:$AE$1006,0)), HYPERLINK("#",""), HYPERLINK(CONCATENATE("#Metadata!", ADDRESS(INDEX($Q$2:$Q$1001,MATCH(ROWS($O$2:O278),$O$2:$O$1001,0),0), INDEX($V$1004:$AE$1004,1,MATCH(COLUMNS($V$1006:Z1006),$V$1006:$AE$1006,0)))),"Fix")))</f>
        <v>0</v>
      </c>
      <c r="G278" s="3">
        <f>IF(OR(INDEX($P$2:$P$1001,MATCH(ROWS($O$2:O278),$O$2:$O$1001,0),1)&gt;=100000,INDEX($V$1005:$AE$1005,1,MATCH(COLUMNS($V$1006:AA1006),$V$1006:$AE$1006,0))&gt;=100000), " ",IF(INDEX($V$2:$AE$1001,MATCH(ROWS($O$2:O278),$O$2:$O$1001,0),MATCH(COLUMNS($V$1006:AA1006),$V$1006:$AE$1006,0)), HYPERLINK("#",""), HYPERLINK(CONCATENATE("#Metadata!", ADDRESS(INDEX($Q$2:$Q$1001,MATCH(ROWS($O$2:O278),$O$2:$O$1001,0),0), INDEX($V$1004:$AE$1004,1,MATCH(COLUMNS($V$1006:AA1006),$V$1006:$AE$1006,0)))),"Fix")))</f>
        <v>0</v>
      </c>
      <c r="H278" s="3">
        <f>IF(OR(INDEX($P$2:$P$1001,MATCH(ROWS($O$2:O278),$O$2:$O$1001,0),1)&gt;=100000,INDEX($V$1005:$AE$1005,1,MATCH(COLUMNS($V$1006:AB1006),$V$1006:$AE$1006,0))&gt;=100000), " ",IF(INDEX($V$2:$AE$1001,MATCH(ROWS($O$2:O278),$O$2:$O$1001,0),MATCH(COLUMNS($V$1006:AB1006),$V$1006:$AE$1006,0)), HYPERLINK("#",""), HYPERLINK(CONCATENATE("#Metadata!", ADDRESS(INDEX($Q$2:$Q$1001,MATCH(ROWS($O$2:O278),$O$2:$O$1001,0),0), INDEX($V$1004:$AE$1004,1,MATCH(COLUMNS($V$1006:AB1006),$V$1006:$AE$1006,0)))),"Fix")))</f>
        <v>0</v>
      </c>
      <c r="I278" s="3">
        <f>IF(OR(INDEX($P$2:$P$1001,MATCH(ROWS($O$2:O278),$O$2:$O$1001,0),1)&gt;=100000,INDEX($V$1005:$AE$1005,1,MATCH(COLUMNS($V$1006:AC1006),$V$1006:$AE$1006,0))&gt;=100000), " ",IF(INDEX($V$2:$AE$1001,MATCH(ROWS($O$2:O278),$O$2:$O$1001,0),MATCH(COLUMNS($V$1006:AC1006),$V$1006:$AE$1006,0)), HYPERLINK("#",""), HYPERLINK(CONCATENATE("#Metadata!", ADDRESS(INDEX($Q$2:$Q$1001,MATCH(ROWS($O$2:O278),$O$2:$O$1001,0),0), INDEX($V$1004:$AE$1004,1,MATCH(COLUMNS($V$1006:AC1006),$V$1006:$AE$1006,0)))),"Fix")))</f>
        <v>0</v>
      </c>
      <c r="J278" s="3">
        <f>IF(OR(INDEX($P$2:$P$1001,MATCH(ROWS($O$2:O278),$O$2:$O$1001,0),1)&gt;=100000,INDEX($V$1005:$AE$1005,1,MATCH(COLUMNS($V$1006:AD1006),$V$1006:$AE$1006,0))&gt;=100000), " ",IF(INDEX($V$2:$AE$1001,MATCH(ROWS($O$2:O278),$O$2:$O$1001,0),MATCH(COLUMNS($V$1006:AD1006),$V$1006:$AE$1006,0)), HYPERLINK("#",""), HYPERLINK(CONCATENATE("#Metadata!", ADDRESS(INDEX($Q$2:$Q$1001,MATCH(ROWS($O$2:O278),$O$2:$O$1001,0),0), INDEX($V$1004:$AE$1004,1,MATCH(COLUMNS($V$1006:AD1006),$V$1006:$AE$1006,0)))),"Fix")))</f>
        <v>0</v>
      </c>
      <c r="K278" s="3">
        <f>IF(OR(INDEX($P$2:$P$1001,MATCH(ROWS($O$2:O278),$O$2:$O$1001,0),1)&gt;=100000,INDEX($V$1005:$AE$1005,1,MATCH(COLUMNS($V$1006:AE1006),$V$1006:$AE$1006,0))&gt;=100000), " ",IF(INDEX($V$2:$AE$1001,MATCH(ROWS($O$2:O278),$O$2:$O$1001,0),MATCH(COLUMNS($V$1006:AE1006),$V$1006:$AE$1006,0)), HYPERLINK("#",""), HYPERLINK(CONCATENATE("#Metadata!", ADDRESS(INDEX($Q$2:$Q$1001,MATCH(ROWS($O$2:O278),$O$2:$O$1001,0),0), INDEX($V$1004:$AE$1004,1,MATCH(COLUMNS($V$1006:AE1006),$V$1006:$AE$1006,0)))),"Fix")))</f>
        <v>0</v>
      </c>
      <c r="O278">
        <v>0</v>
      </c>
      <c r="P278">
        <v>0</v>
      </c>
      <c r="Q278">
        <v>0</v>
      </c>
      <c r="R278">
        <f>IF(S278,TRUE,AND(V278:AE278))</f>
        <v>0</v>
      </c>
      <c r="S278">
        <f>COUNTBLANK(Metadata!B278:K278)=COLUMNS(Metadata!B278:K278)</f>
        <v>0</v>
      </c>
      <c r="T278">
        <v>0</v>
      </c>
      <c r="V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W278">
        <f>AND(IF(Metadata!C278="",FALSE,TRUE),exact(Metadata!C278,"animal secretion"))</f>
        <v>0</v>
      </c>
      <c r="X278">
        <f>AND(IF(Metadata!D278="",FALSE,TRUE),exact(Metadata!D278,"saliva"))</f>
        <v>0</v>
      </c>
      <c r="Y278">
        <f>AND(IF(Metadata!E278="",FALSE,TRUE),exact(Metadata!E278,"human-oral"))</f>
        <v>0</v>
      </c>
      <c r="Z278">
        <f>AND(IF(Metadata!F278="",FALSE,TRUE),exact(Metadata!F278,"UBERON:oral cavity"))</f>
        <v>0</v>
      </c>
      <c r="AA278">
        <f>AND(IF(Metadata!G278="",FALSE,TRUE),exact(Metadata!G278,"UBERON:saliva"))</f>
        <v>0</v>
      </c>
      <c r="AB278">
        <f>AND(IF(Metadata!H278="",FALSE,TRUE),exact(Metadata!H278,"UBERON:tongue"))</f>
        <v>0</v>
      </c>
      <c r="AC278">
        <f>AND(IF(Metadata!I278="",FALSE,TRUE),exact(Metadata!I278,"tongue"))</f>
        <v>0</v>
      </c>
      <c r="AD278">
        <f>AND(IF(Metadata!J278="",FALSE,TRUE),exact(Metadata!J278,"human oral metagenome"))</f>
        <v>0</v>
      </c>
      <c r="AE278">
        <f>AND(IF(Metadata!K278="",FALSE,TRUE),exact(Metadata!K278,"447426"))</f>
        <v>0</v>
      </c>
    </row>
    <row r="279" spans="1:31">
      <c r="A279" s="4">
        <f>IF(B279=" "," ",HYPERLINK(CONCATENATE("#metadata!",ADDRESS(INDEX($Q$2:$Q$1001,MATCH(ROWS($O$2:O279),$O$2:$O$1001,0),0),1)),INDEX($T$2:$T$1001,MATCH(ROWS($O$2:O279),$O$2:$O$1001,0),0)))</f>
        <v>0</v>
      </c>
      <c r="B279" s="3">
        <f>IF(OR(INDEX($P$2:$P$1001,MATCH(ROWS($O$2:O279),$O$2:$O$1001,0),1)&gt;=100000,INDEX($V$1005:$AE$1005,1,MATCH(COLUMNS($V$1006:V1006),$V$1006:$AE$1006,0))&gt;=100000), " ",IF(INDEX($V$2:$AE$1001,MATCH(ROWS($O$2:O279),$O$2:$O$1001,0),MATCH(COLUMNS($V$1006:V1006),$V$1006:$AE$1006,0)), HYPERLINK("#",""), HYPERLINK(CONCATENATE("#Metadata!", ADDRESS(INDEX($Q$2:$Q$1001,MATCH(ROWS($O$2:O279),$O$2:$O$1001,0),0), INDEX($V$1004:$AE$1004,1,MATCH(COLUMNS($V$1006:V1006),$V$1006:$AE$1006,0)))),"Fix")))</f>
        <v>0</v>
      </c>
      <c r="C279" s="3">
        <f>IF(OR(INDEX($P$2:$P$1001,MATCH(ROWS($O$2:O279),$O$2:$O$1001,0),1)&gt;=100000,INDEX($V$1005:$AE$1005,1,MATCH(COLUMNS($V$1006:W1006),$V$1006:$AE$1006,0))&gt;=100000), " ",IF(INDEX($V$2:$AE$1001,MATCH(ROWS($O$2:O279),$O$2:$O$1001,0),MATCH(COLUMNS($V$1006:W1006),$V$1006:$AE$1006,0)), HYPERLINK("#",""), HYPERLINK(CONCATENATE("#Metadata!", ADDRESS(INDEX($Q$2:$Q$1001,MATCH(ROWS($O$2:O279),$O$2:$O$1001,0),0), INDEX($V$1004:$AE$1004,1,MATCH(COLUMNS($V$1006:W1006),$V$1006:$AE$1006,0)))),"Fix")))</f>
        <v>0</v>
      </c>
      <c r="D279" s="3">
        <f>IF(OR(INDEX($P$2:$P$1001,MATCH(ROWS($O$2:O279),$O$2:$O$1001,0),1)&gt;=100000,INDEX($V$1005:$AE$1005,1,MATCH(COLUMNS($V$1006:X1006),$V$1006:$AE$1006,0))&gt;=100000), " ",IF(INDEX($V$2:$AE$1001,MATCH(ROWS($O$2:O279),$O$2:$O$1001,0),MATCH(COLUMNS($V$1006:X1006),$V$1006:$AE$1006,0)), HYPERLINK("#",""), HYPERLINK(CONCATENATE("#Metadata!", ADDRESS(INDEX($Q$2:$Q$1001,MATCH(ROWS($O$2:O279),$O$2:$O$1001,0),0), INDEX($V$1004:$AE$1004,1,MATCH(COLUMNS($V$1006:X1006),$V$1006:$AE$1006,0)))),"Fix")))</f>
        <v>0</v>
      </c>
      <c r="E279" s="3">
        <f>IF(OR(INDEX($P$2:$P$1001,MATCH(ROWS($O$2:O279),$O$2:$O$1001,0),1)&gt;=100000,INDEX($V$1005:$AE$1005,1,MATCH(COLUMNS($V$1006:Y1006),$V$1006:$AE$1006,0))&gt;=100000), " ",IF(INDEX($V$2:$AE$1001,MATCH(ROWS($O$2:O279),$O$2:$O$1001,0),MATCH(COLUMNS($V$1006:Y1006),$V$1006:$AE$1006,0)), HYPERLINK("#",""), HYPERLINK(CONCATENATE("#Metadata!", ADDRESS(INDEX($Q$2:$Q$1001,MATCH(ROWS($O$2:O279),$O$2:$O$1001,0),0), INDEX($V$1004:$AE$1004,1,MATCH(COLUMNS($V$1006:Y1006),$V$1006:$AE$1006,0)))),"Fix")))</f>
        <v>0</v>
      </c>
      <c r="F279" s="3">
        <f>IF(OR(INDEX($P$2:$P$1001,MATCH(ROWS($O$2:O279),$O$2:$O$1001,0),1)&gt;=100000,INDEX($V$1005:$AE$1005,1,MATCH(COLUMNS($V$1006:Z1006),$V$1006:$AE$1006,0))&gt;=100000), " ",IF(INDEX($V$2:$AE$1001,MATCH(ROWS($O$2:O279),$O$2:$O$1001,0),MATCH(COLUMNS($V$1006:Z1006),$V$1006:$AE$1006,0)), HYPERLINK("#",""), HYPERLINK(CONCATENATE("#Metadata!", ADDRESS(INDEX($Q$2:$Q$1001,MATCH(ROWS($O$2:O279),$O$2:$O$1001,0),0), INDEX($V$1004:$AE$1004,1,MATCH(COLUMNS($V$1006:Z1006),$V$1006:$AE$1006,0)))),"Fix")))</f>
        <v>0</v>
      </c>
      <c r="G279" s="3">
        <f>IF(OR(INDEX($P$2:$P$1001,MATCH(ROWS($O$2:O279),$O$2:$O$1001,0),1)&gt;=100000,INDEX($V$1005:$AE$1005,1,MATCH(COLUMNS($V$1006:AA1006),$V$1006:$AE$1006,0))&gt;=100000), " ",IF(INDEX($V$2:$AE$1001,MATCH(ROWS($O$2:O279),$O$2:$O$1001,0),MATCH(COLUMNS($V$1006:AA1006),$V$1006:$AE$1006,0)), HYPERLINK("#",""), HYPERLINK(CONCATENATE("#Metadata!", ADDRESS(INDEX($Q$2:$Q$1001,MATCH(ROWS($O$2:O279),$O$2:$O$1001,0),0), INDEX($V$1004:$AE$1004,1,MATCH(COLUMNS($V$1006:AA1006),$V$1006:$AE$1006,0)))),"Fix")))</f>
        <v>0</v>
      </c>
      <c r="H279" s="3">
        <f>IF(OR(INDEX($P$2:$P$1001,MATCH(ROWS($O$2:O279),$O$2:$O$1001,0),1)&gt;=100000,INDEX($V$1005:$AE$1005,1,MATCH(COLUMNS($V$1006:AB1006),$V$1006:$AE$1006,0))&gt;=100000), " ",IF(INDEX($V$2:$AE$1001,MATCH(ROWS($O$2:O279),$O$2:$O$1001,0),MATCH(COLUMNS($V$1006:AB1006),$V$1006:$AE$1006,0)), HYPERLINK("#",""), HYPERLINK(CONCATENATE("#Metadata!", ADDRESS(INDEX($Q$2:$Q$1001,MATCH(ROWS($O$2:O279),$O$2:$O$1001,0),0), INDEX($V$1004:$AE$1004,1,MATCH(COLUMNS($V$1006:AB1006),$V$1006:$AE$1006,0)))),"Fix")))</f>
        <v>0</v>
      </c>
      <c r="I279" s="3">
        <f>IF(OR(INDEX($P$2:$P$1001,MATCH(ROWS($O$2:O279),$O$2:$O$1001,0),1)&gt;=100000,INDEX($V$1005:$AE$1005,1,MATCH(COLUMNS($V$1006:AC1006),$V$1006:$AE$1006,0))&gt;=100000), " ",IF(INDEX($V$2:$AE$1001,MATCH(ROWS($O$2:O279),$O$2:$O$1001,0),MATCH(COLUMNS($V$1006:AC1006),$V$1006:$AE$1006,0)), HYPERLINK("#",""), HYPERLINK(CONCATENATE("#Metadata!", ADDRESS(INDEX($Q$2:$Q$1001,MATCH(ROWS($O$2:O279),$O$2:$O$1001,0),0), INDEX($V$1004:$AE$1004,1,MATCH(COLUMNS($V$1006:AC1006),$V$1006:$AE$1006,0)))),"Fix")))</f>
        <v>0</v>
      </c>
      <c r="J279" s="3">
        <f>IF(OR(INDEX($P$2:$P$1001,MATCH(ROWS($O$2:O279),$O$2:$O$1001,0),1)&gt;=100000,INDEX($V$1005:$AE$1005,1,MATCH(COLUMNS($V$1006:AD1006),$V$1006:$AE$1006,0))&gt;=100000), " ",IF(INDEX($V$2:$AE$1001,MATCH(ROWS($O$2:O279),$O$2:$O$1001,0),MATCH(COLUMNS($V$1006:AD1006),$V$1006:$AE$1006,0)), HYPERLINK("#",""), HYPERLINK(CONCATENATE("#Metadata!", ADDRESS(INDEX($Q$2:$Q$1001,MATCH(ROWS($O$2:O279),$O$2:$O$1001,0),0), INDEX($V$1004:$AE$1004,1,MATCH(COLUMNS($V$1006:AD1006),$V$1006:$AE$1006,0)))),"Fix")))</f>
        <v>0</v>
      </c>
      <c r="K279" s="3">
        <f>IF(OR(INDEX($P$2:$P$1001,MATCH(ROWS($O$2:O279),$O$2:$O$1001,0),1)&gt;=100000,INDEX($V$1005:$AE$1005,1,MATCH(COLUMNS($V$1006:AE1006),$V$1006:$AE$1006,0))&gt;=100000), " ",IF(INDEX($V$2:$AE$1001,MATCH(ROWS($O$2:O279),$O$2:$O$1001,0),MATCH(COLUMNS($V$1006:AE1006),$V$1006:$AE$1006,0)), HYPERLINK("#",""), HYPERLINK(CONCATENATE("#Metadata!", ADDRESS(INDEX($Q$2:$Q$1001,MATCH(ROWS($O$2:O279),$O$2:$O$1001,0),0), INDEX($V$1004:$AE$1004,1,MATCH(COLUMNS($V$1006:AE1006),$V$1006:$AE$1006,0)))),"Fix")))</f>
        <v>0</v>
      </c>
      <c r="O279">
        <v>0</v>
      </c>
      <c r="P279">
        <v>0</v>
      </c>
      <c r="Q279">
        <v>0</v>
      </c>
      <c r="R279">
        <f>IF(S279,TRUE,AND(V279:AE279))</f>
        <v>0</v>
      </c>
      <c r="S279">
        <f>COUNTBLANK(Metadata!B279:K279)=COLUMNS(Metadata!B279:K279)</f>
        <v>0</v>
      </c>
      <c r="T279">
        <v>0</v>
      </c>
      <c r="V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W279">
        <f>AND(IF(Metadata!C279="",FALSE,TRUE),exact(Metadata!C279,"animal secretion"))</f>
        <v>0</v>
      </c>
      <c r="X279">
        <f>AND(IF(Metadata!D279="",FALSE,TRUE),exact(Metadata!D279,"saliva"))</f>
        <v>0</v>
      </c>
      <c r="Y279">
        <f>AND(IF(Metadata!E279="",FALSE,TRUE),exact(Metadata!E279,"human-oral"))</f>
        <v>0</v>
      </c>
      <c r="Z279">
        <f>AND(IF(Metadata!F279="",FALSE,TRUE),exact(Metadata!F279,"UBERON:oral cavity"))</f>
        <v>0</v>
      </c>
      <c r="AA279">
        <f>AND(IF(Metadata!G279="",FALSE,TRUE),exact(Metadata!G279,"UBERON:saliva"))</f>
        <v>0</v>
      </c>
      <c r="AB279">
        <f>AND(IF(Metadata!H279="",FALSE,TRUE),exact(Metadata!H279,"UBERON:tongue"))</f>
        <v>0</v>
      </c>
      <c r="AC279">
        <f>AND(IF(Metadata!I279="",FALSE,TRUE),exact(Metadata!I279,"tongue"))</f>
        <v>0</v>
      </c>
      <c r="AD279">
        <f>AND(IF(Metadata!J279="",FALSE,TRUE),exact(Metadata!J279,"human oral metagenome"))</f>
        <v>0</v>
      </c>
      <c r="AE279">
        <f>AND(IF(Metadata!K279="",FALSE,TRUE),exact(Metadata!K279,"447426"))</f>
        <v>0</v>
      </c>
    </row>
    <row r="280" spans="1:31">
      <c r="A280" s="4">
        <f>IF(B280=" "," ",HYPERLINK(CONCATENATE("#metadata!",ADDRESS(INDEX($Q$2:$Q$1001,MATCH(ROWS($O$2:O280),$O$2:$O$1001,0),0),1)),INDEX($T$2:$T$1001,MATCH(ROWS($O$2:O280),$O$2:$O$1001,0),0)))</f>
        <v>0</v>
      </c>
      <c r="B280" s="3">
        <f>IF(OR(INDEX($P$2:$P$1001,MATCH(ROWS($O$2:O280),$O$2:$O$1001,0),1)&gt;=100000,INDEX($V$1005:$AE$1005,1,MATCH(COLUMNS($V$1006:V1006),$V$1006:$AE$1006,0))&gt;=100000), " ",IF(INDEX($V$2:$AE$1001,MATCH(ROWS($O$2:O280),$O$2:$O$1001,0),MATCH(COLUMNS($V$1006:V1006),$V$1006:$AE$1006,0)), HYPERLINK("#",""), HYPERLINK(CONCATENATE("#Metadata!", ADDRESS(INDEX($Q$2:$Q$1001,MATCH(ROWS($O$2:O280),$O$2:$O$1001,0),0), INDEX($V$1004:$AE$1004,1,MATCH(COLUMNS($V$1006:V1006),$V$1006:$AE$1006,0)))),"Fix")))</f>
        <v>0</v>
      </c>
      <c r="C280" s="3">
        <f>IF(OR(INDEX($P$2:$P$1001,MATCH(ROWS($O$2:O280),$O$2:$O$1001,0),1)&gt;=100000,INDEX($V$1005:$AE$1005,1,MATCH(COLUMNS($V$1006:W1006),$V$1006:$AE$1006,0))&gt;=100000), " ",IF(INDEX($V$2:$AE$1001,MATCH(ROWS($O$2:O280),$O$2:$O$1001,0),MATCH(COLUMNS($V$1006:W1006),$V$1006:$AE$1006,0)), HYPERLINK("#",""), HYPERLINK(CONCATENATE("#Metadata!", ADDRESS(INDEX($Q$2:$Q$1001,MATCH(ROWS($O$2:O280),$O$2:$O$1001,0),0), INDEX($V$1004:$AE$1004,1,MATCH(COLUMNS($V$1006:W1006),$V$1006:$AE$1006,0)))),"Fix")))</f>
        <v>0</v>
      </c>
      <c r="D280" s="3">
        <f>IF(OR(INDEX($P$2:$P$1001,MATCH(ROWS($O$2:O280),$O$2:$O$1001,0),1)&gt;=100000,INDEX($V$1005:$AE$1005,1,MATCH(COLUMNS($V$1006:X1006),$V$1006:$AE$1006,0))&gt;=100000), " ",IF(INDEX($V$2:$AE$1001,MATCH(ROWS($O$2:O280),$O$2:$O$1001,0),MATCH(COLUMNS($V$1006:X1006),$V$1006:$AE$1006,0)), HYPERLINK("#",""), HYPERLINK(CONCATENATE("#Metadata!", ADDRESS(INDEX($Q$2:$Q$1001,MATCH(ROWS($O$2:O280),$O$2:$O$1001,0),0), INDEX($V$1004:$AE$1004,1,MATCH(COLUMNS($V$1006:X1006),$V$1006:$AE$1006,0)))),"Fix")))</f>
        <v>0</v>
      </c>
      <c r="E280" s="3">
        <f>IF(OR(INDEX($P$2:$P$1001,MATCH(ROWS($O$2:O280),$O$2:$O$1001,0),1)&gt;=100000,INDEX($V$1005:$AE$1005,1,MATCH(COLUMNS($V$1006:Y1006),$V$1006:$AE$1006,0))&gt;=100000), " ",IF(INDEX($V$2:$AE$1001,MATCH(ROWS($O$2:O280),$O$2:$O$1001,0),MATCH(COLUMNS($V$1006:Y1006),$V$1006:$AE$1006,0)), HYPERLINK("#",""), HYPERLINK(CONCATENATE("#Metadata!", ADDRESS(INDEX($Q$2:$Q$1001,MATCH(ROWS($O$2:O280),$O$2:$O$1001,0),0), INDEX($V$1004:$AE$1004,1,MATCH(COLUMNS($V$1006:Y1006),$V$1006:$AE$1006,0)))),"Fix")))</f>
        <v>0</v>
      </c>
      <c r="F280" s="3">
        <f>IF(OR(INDEX($P$2:$P$1001,MATCH(ROWS($O$2:O280),$O$2:$O$1001,0),1)&gt;=100000,INDEX($V$1005:$AE$1005,1,MATCH(COLUMNS($V$1006:Z1006),$V$1006:$AE$1006,0))&gt;=100000), " ",IF(INDEX($V$2:$AE$1001,MATCH(ROWS($O$2:O280),$O$2:$O$1001,0),MATCH(COLUMNS($V$1006:Z1006),$V$1006:$AE$1006,0)), HYPERLINK("#",""), HYPERLINK(CONCATENATE("#Metadata!", ADDRESS(INDEX($Q$2:$Q$1001,MATCH(ROWS($O$2:O280),$O$2:$O$1001,0),0), INDEX($V$1004:$AE$1004,1,MATCH(COLUMNS($V$1006:Z1006),$V$1006:$AE$1006,0)))),"Fix")))</f>
        <v>0</v>
      </c>
      <c r="G280" s="3">
        <f>IF(OR(INDEX($P$2:$P$1001,MATCH(ROWS($O$2:O280),$O$2:$O$1001,0),1)&gt;=100000,INDEX($V$1005:$AE$1005,1,MATCH(COLUMNS($V$1006:AA1006),$V$1006:$AE$1006,0))&gt;=100000), " ",IF(INDEX($V$2:$AE$1001,MATCH(ROWS($O$2:O280),$O$2:$O$1001,0),MATCH(COLUMNS($V$1006:AA1006),$V$1006:$AE$1006,0)), HYPERLINK("#",""), HYPERLINK(CONCATENATE("#Metadata!", ADDRESS(INDEX($Q$2:$Q$1001,MATCH(ROWS($O$2:O280),$O$2:$O$1001,0),0), INDEX($V$1004:$AE$1004,1,MATCH(COLUMNS($V$1006:AA1006),$V$1006:$AE$1006,0)))),"Fix")))</f>
        <v>0</v>
      </c>
      <c r="H280" s="3">
        <f>IF(OR(INDEX($P$2:$P$1001,MATCH(ROWS($O$2:O280),$O$2:$O$1001,0),1)&gt;=100000,INDEX($V$1005:$AE$1005,1,MATCH(COLUMNS($V$1006:AB1006),$V$1006:$AE$1006,0))&gt;=100000), " ",IF(INDEX($V$2:$AE$1001,MATCH(ROWS($O$2:O280),$O$2:$O$1001,0),MATCH(COLUMNS($V$1006:AB1006),$V$1006:$AE$1006,0)), HYPERLINK("#",""), HYPERLINK(CONCATENATE("#Metadata!", ADDRESS(INDEX($Q$2:$Q$1001,MATCH(ROWS($O$2:O280),$O$2:$O$1001,0),0), INDEX($V$1004:$AE$1004,1,MATCH(COLUMNS($V$1006:AB1006),$V$1006:$AE$1006,0)))),"Fix")))</f>
        <v>0</v>
      </c>
      <c r="I280" s="3">
        <f>IF(OR(INDEX($P$2:$P$1001,MATCH(ROWS($O$2:O280),$O$2:$O$1001,0),1)&gt;=100000,INDEX($V$1005:$AE$1005,1,MATCH(COLUMNS($V$1006:AC1006),$V$1006:$AE$1006,0))&gt;=100000), " ",IF(INDEX($V$2:$AE$1001,MATCH(ROWS($O$2:O280),$O$2:$O$1001,0),MATCH(COLUMNS($V$1006:AC1006),$V$1006:$AE$1006,0)), HYPERLINK("#",""), HYPERLINK(CONCATENATE("#Metadata!", ADDRESS(INDEX($Q$2:$Q$1001,MATCH(ROWS($O$2:O280),$O$2:$O$1001,0),0), INDEX($V$1004:$AE$1004,1,MATCH(COLUMNS($V$1006:AC1006),$V$1006:$AE$1006,0)))),"Fix")))</f>
        <v>0</v>
      </c>
      <c r="J280" s="3">
        <f>IF(OR(INDEX($P$2:$P$1001,MATCH(ROWS($O$2:O280),$O$2:$O$1001,0),1)&gt;=100000,INDEX($V$1005:$AE$1005,1,MATCH(COLUMNS($V$1006:AD1006),$V$1006:$AE$1006,0))&gt;=100000), " ",IF(INDEX($V$2:$AE$1001,MATCH(ROWS($O$2:O280),$O$2:$O$1001,0),MATCH(COLUMNS($V$1006:AD1006),$V$1006:$AE$1006,0)), HYPERLINK("#",""), HYPERLINK(CONCATENATE("#Metadata!", ADDRESS(INDEX($Q$2:$Q$1001,MATCH(ROWS($O$2:O280),$O$2:$O$1001,0),0), INDEX($V$1004:$AE$1004,1,MATCH(COLUMNS($V$1006:AD1006),$V$1006:$AE$1006,0)))),"Fix")))</f>
        <v>0</v>
      </c>
      <c r="K280" s="3">
        <f>IF(OR(INDEX($P$2:$P$1001,MATCH(ROWS($O$2:O280),$O$2:$O$1001,0),1)&gt;=100000,INDEX($V$1005:$AE$1005,1,MATCH(COLUMNS($V$1006:AE1006),$V$1006:$AE$1006,0))&gt;=100000), " ",IF(INDEX($V$2:$AE$1001,MATCH(ROWS($O$2:O280),$O$2:$O$1001,0),MATCH(COLUMNS($V$1006:AE1006),$V$1006:$AE$1006,0)), HYPERLINK("#",""), HYPERLINK(CONCATENATE("#Metadata!", ADDRESS(INDEX($Q$2:$Q$1001,MATCH(ROWS($O$2:O280),$O$2:$O$1001,0),0), INDEX($V$1004:$AE$1004,1,MATCH(COLUMNS($V$1006:AE1006),$V$1006:$AE$1006,0)))),"Fix")))</f>
        <v>0</v>
      </c>
      <c r="O280">
        <v>0</v>
      </c>
      <c r="P280">
        <v>0</v>
      </c>
      <c r="Q280">
        <v>0</v>
      </c>
      <c r="R280">
        <f>IF(S280,TRUE,AND(V280:AE280))</f>
        <v>0</v>
      </c>
      <c r="S280">
        <f>COUNTBLANK(Metadata!B280:K280)=COLUMNS(Metadata!B280:K280)</f>
        <v>0</v>
      </c>
      <c r="T280">
        <v>0</v>
      </c>
      <c r="V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W280">
        <f>AND(IF(Metadata!C280="",FALSE,TRUE),exact(Metadata!C280,"animal secretion"))</f>
        <v>0</v>
      </c>
      <c r="X280">
        <f>AND(IF(Metadata!D280="",FALSE,TRUE),exact(Metadata!D280,"saliva"))</f>
        <v>0</v>
      </c>
      <c r="Y280">
        <f>AND(IF(Metadata!E280="",FALSE,TRUE),exact(Metadata!E280,"human-oral"))</f>
        <v>0</v>
      </c>
      <c r="Z280">
        <f>AND(IF(Metadata!F280="",FALSE,TRUE),exact(Metadata!F280,"UBERON:oral cavity"))</f>
        <v>0</v>
      </c>
      <c r="AA280">
        <f>AND(IF(Metadata!G280="",FALSE,TRUE),exact(Metadata!G280,"UBERON:saliva"))</f>
        <v>0</v>
      </c>
      <c r="AB280">
        <f>AND(IF(Metadata!H280="",FALSE,TRUE),exact(Metadata!H280,"UBERON:tongue"))</f>
        <v>0</v>
      </c>
      <c r="AC280">
        <f>AND(IF(Metadata!I280="",FALSE,TRUE),exact(Metadata!I280,"tongue"))</f>
        <v>0</v>
      </c>
      <c r="AD280">
        <f>AND(IF(Metadata!J280="",FALSE,TRUE),exact(Metadata!J280,"human oral metagenome"))</f>
        <v>0</v>
      </c>
      <c r="AE280">
        <f>AND(IF(Metadata!K280="",FALSE,TRUE),exact(Metadata!K280,"447426"))</f>
        <v>0</v>
      </c>
    </row>
    <row r="281" spans="1:31">
      <c r="A281" s="4">
        <f>IF(B281=" "," ",HYPERLINK(CONCATENATE("#metadata!",ADDRESS(INDEX($Q$2:$Q$1001,MATCH(ROWS($O$2:O281),$O$2:$O$1001,0),0),1)),INDEX($T$2:$T$1001,MATCH(ROWS($O$2:O281),$O$2:$O$1001,0),0)))</f>
        <v>0</v>
      </c>
      <c r="B281" s="3">
        <f>IF(OR(INDEX($P$2:$P$1001,MATCH(ROWS($O$2:O281),$O$2:$O$1001,0),1)&gt;=100000,INDEX($V$1005:$AE$1005,1,MATCH(COLUMNS($V$1006:V1006),$V$1006:$AE$1006,0))&gt;=100000), " ",IF(INDEX($V$2:$AE$1001,MATCH(ROWS($O$2:O281),$O$2:$O$1001,0),MATCH(COLUMNS($V$1006:V1006),$V$1006:$AE$1006,0)), HYPERLINK("#",""), HYPERLINK(CONCATENATE("#Metadata!", ADDRESS(INDEX($Q$2:$Q$1001,MATCH(ROWS($O$2:O281),$O$2:$O$1001,0),0), INDEX($V$1004:$AE$1004,1,MATCH(COLUMNS($V$1006:V1006),$V$1006:$AE$1006,0)))),"Fix")))</f>
        <v>0</v>
      </c>
      <c r="C281" s="3">
        <f>IF(OR(INDEX($P$2:$P$1001,MATCH(ROWS($O$2:O281),$O$2:$O$1001,0),1)&gt;=100000,INDEX($V$1005:$AE$1005,1,MATCH(COLUMNS($V$1006:W1006),$V$1006:$AE$1006,0))&gt;=100000), " ",IF(INDEX($V$2:$AE$1001,MATCH(ROWS($O$2:O281),$O$2:$O$1001,0),MATCH(COLUMNS($V$1006:W1006),$V$1006:$AE$1006,0)), HYPERLINK("#",""), HYPERLINK(CONCATENATE("#Metadata!", ADDRESS(INDEX($Q$2:$Q$1001,MATCH(ROWS($O$2:O281),$O$2:$O$1001,0),0), INDEX($V$1004:$AE$1004,1,MATCH(COLUMNS($V$1006:W1006),$V$1006:$AE$1006,0)))),"Fix")))</f>
        <v>0</v>
      </c>
      <c r="D281" s="3">
        <f>IF(OR(INDEX($P$2:$P$1001,MATCH(ROWS($O$2:O281),$O$2:$O$1001,0),1)&gt;=100000,INDEX($V$1005:$AE$1005,1,MATCH(COLUMNS($V$1006:X1006),$V$1006:$AE$1006,0))&gt;=100000), " ",IF(INDEX($V$2:$AE$1001,MATCH(ROWS($O$2:O281),$O$2:$O$1001,0),MATCH(COLUMNS($V$1006:X1006),$V$1006:$AE$1006,0)), HYPERLINK("#",""), HYPERLINK(CONCATENATE("#Metadata!", ADDRESS(INDEX($Q$2:$Q$1001,MATCH(ROWS($O$2:O281),$O$2:$O$1001,0),0), INDEX($V$1004:$AE$1004,1,MATCH(COLUMNS($V$1006:X1006),$V$1006:$AE$1006,0)))),"Fix")))</f>
        <v>0</v>
      </c>
      <c r="E281" s="3">
        <f>IF(OR(INDEX($P$2:$P$1001,MATCH(ROWS($O$2:O281),$O$2:$O$1001,0),1)&gt;=100000,INDEX($V$1005:$AE$1005,1,MATCH(COLUMNS($V$1006:Y1006),$V$1006:$AE$1006,0))&gt;=100000), " ",IF(INDEX($V$2:$AE$1001,MATCH(ROWS($O$2:O281),$O$2:$O$1001,0),MATCH(COLUMNS($V$1006:Y1006),$V$1006:$AE$1006,0)), HYPERLINK("#",""), HYPERLINK(CONCATENATE("#Metadata!", ADDRESS(INDEX($Q$2:$Q$1001,MATCH(ROWS($O$2:O281),$O$2:$O$1001,0),0), INDEX($V$1004:$AE$1004,1,MATCH(COLUMNS($V$1006:Y1006),$V$1006:$AE$1006,0)))),"Fix")))</f>
        <v>0</v>
      </c>
      <c r="F281" s="3">
        <f>IF(OR(INDEX($P$2:$P$1001,MATCH(ROWS($O$2:O281),$O$2:$O$1001,0),1)&gt;=100000,INDEX($V$1005:$AE$1005,1,MATCH(COLUMNS($V$1006:Z1006),$V$1006:$AE$1006,0))&gt;=100000), " ",IF(INDEX($V$2:$AE$1001,MATCH(ROWS($O$2:O281),$O$2:$O$1001,0),MATCH(COLUMNS($V$1006:Z1006),$V$1006:$AE$1006,0)), HYPERLINK("#",""), HYPERLINK(CONCATENATE("#Metadata!", ADDRESS(INDEX($Q$2:$Q$1001,MATCH(ROWS($O$2:O281),$O$2:$O$1001,0),0), INDEX($V$1004:$AE$1004,1,MATCH(COLUMNS($V$1006:Z1006),$V$1006:$AE$1006,0)))),"Fix")))</f>
        <v>0</v>
      </c>
      <c r="G281" s="3">
        <f>IF(OR(INDEX($P$2:$P$1001,MATCH(ROWS($O$2:O281),$O$2:$O$1001,0),1)&gt;=100000,INDEX($V$1005:$AE$1005,1,MATCH(COLUMNS($V$1006:AA1006),$V$1006:$AE$1006,0))&gt;=100000), " ",IF(INDEX($V$2:$AE$1001,MATCH(ROWS($O$2:O281),$O$2:$O$1001,0),MATCH(COLUMNS($V$1006:AA1006),$V$1006:$AE$1006,0)), HYPERLINK("#",""), HYPERLINK(CONCATENATE("#Metadata!", ADDRESS(INDEX($Q$2:$Q$1001,MATCH(ROWS($O$2:O281),$O$2:$O$1001,0),0), INDEX($V$1004:$AE$1004,1,MATCH(COLUMNS($V$1006:AA1006),$V$1006:$AE$1006,0)))),"Fix")))</f>
        <v>0</v>
      </c>
      <c r="H281" s="3">
        <f>IF(OR(INDEX($P$2:$P$1001,MATCH(ROWS($O$2:O281),$O$2:$O$1001,0),1)&gt;=100000,INDEX($V$1005:$AE$1005,1,MATCH(COLUMNS($V$1006:AB1006),$V$1006:$AE$1006,0))&gt;=100000), " ",IF(INDEX($V$2:$AE$1001,MATCH(ROWS($O$2:O281),$O$2:$O$1001,0),MATCH(COLUMNS($V$1006:AB1006),$V$1006:$AE$1006,0)), HYPERLINK("#",""), HYPERLINK(CONCATENATE("#Metadata!", ADDRESS(INDEX($Q$2:$Q$1001,MATCH(ROWS($O$2:O281),$O$2:$O$1001,0),0), INDEX($V$1004:$AE$1004,1,MATCH(COLUMNS($V$1006:AB1006),$V$1006:$AE$1006,0)))),"Fix")))</f>
        <v>0</v>
      </c>
      <c r="I281" s="3">
        <f>IF(OR(INDEX($P$2:$P$1001,MATCH(ROWS($O$2:O281),$O$2:$O$1001,0),1)&gt;=100000,INDEX($V$1005:$AE$1005,1,MATCH(COLUMNS($V$1006:AC1006),$V$1006:$AE$1006,0))&gt;=100000), " ",IF(INDEX($V$2:$AE$1001,MATCH(ROWS($O$2:O281),$O$2:$O$1001,0),MATCH(COLUMNS($V$1006:AC1006),$V$1006:$AE$1006,0)), HYPERLINK("#",""), HYPERLINK(CONCATENATE("#Metadata!", ADDRESS(INDEX($Q$2:$Q$1001,MATCH(ROWS($O$2:O281),$O$2:$O$1001,0),0), INDEX($V$1004:$AE$1004,1,MATCH(COLUMNS($V$1006:AC1006),$V$1006:$AE$1006,0)))),"Fix")))</f>
        <v>0</v>
      </c>
      <c r="J281" s="3">
        <f>IF(OR(INDEX($P$2:$P$1001,MATCH(ROWS($O$2:O281),$O$2:$O$1001,0),1)&gt;=100000,INDEX($V$1005:$AE$1005,1,MATCH(COLUMNS($V$1006:AD1006),$V$1006:$AE$1006,0))&gt;=100000), " ",IF(INDEX($V$2:$AE$1001,MATCH(ROWS($O$2:O281),$O$2:$O$1001,0),MATCH(COLUMNS($V$1006:AD1006),$V$1006:$AE$1006,0)), HYPERLINK("#",""), HYPERLINK(CONCATENATE("#Metadata!", ADDRESS(INDEX($Q$2:$Q$1001,MATCH(ROWS($O$2:O281),$O$2:$O$1001,0),0), INDEX($V$1004:$AE$1004,1,MATCH(COLUMNS($V$1006:AD1006),$V$1006:$AE$1006,0)))),"Fix")))</f>
        <v>0</v>
      </c>
      <c r="K281" s="3">
        <f>IF(OR(INDEX($P$2:$P$1001,MATCH(ROWS($O$2:O281),$O$2:$O$1001,0),1)&gt;=100000,INDEX($V$1005:$AE$1005,1,MATCH(COLUMNS($V$1006:AE1006),$V$1006:$AE$1006,0))&gt;=100000), " ",IF(INDEX($V$2:$AE$1001,MATCH(ROWS($O$2:O281),$O$2:$O$1001,0),MATCH(COLUMNS($V$1006:AE1006),$V$1006:$AE$1006,0)), HYPERLINK("#",""), HYPERLINK(CONCATENATE("#Metadata!", ADDRESS(INDEX($Q$2:$Q$1001,MATCH(ROWS($O$2:O281),$O$2:$O$1001,0),0), INDEX($V$1004:$AE$1004,1,MATCH(COLUMNS($V$1006:AE1006),$V$1006:$AE$1006,0)))),"Fix")))</f>
        <v>0</v>
      </c>
      <c r="O281">
        <v>0</v>
      </c>
      <c r="P281">
        <v>0</v>
      </c>
      <c r="Q281">
        <v>0</v>
      </c>
      <c r="R281">
        <f>IF(S281,TRUE,AND(V281:AE281))</f>
        <v>0</v>
      </c>
      <c r="S281">
        <f>COUNTBLANK(Metadata!B281:K281)=COLUMNS(Metadata!B281:K281)</f>
        <v>0</v>
      </c>
      <c r="T281">
        <v>0</v>
      </c>
      <c r="V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W281">
        <f>AND(IF(Metadata!C281="",FALSE,TRUE),exact(Metadata!C281,"animal secretion"))</f>
        <v>0</v>
      </c>
      <c r="X281">
        <f>AND(IF(Metadata!D281="",FALSE,TRUE),exact(Metadata!D281,"saliva"))</f>
        <v>0</v>
      </c>
      <c r="Y281">
        <f>AND(IF(Metadata!E281="",FALSE,TRUE),exact(Metadata!E281,"human-oral"))</f>
        <v>0</v>
      </c>
      <c r="Z281">
        <f>AND(IF(Metadata!F281="",FALSE,TRUE),exact(Metadata!F281,"UBERON:oral cavity"))</f>
        <v>0</v>
      </c>
      <c r="AA281">
        <f>AND(IF(Metadata!G281="",FALSE,TRUE),exact(Metadata!G281,"UBERON:saliva"))</f>
        <v>0</v>
      </c>
      <c r="AB281">
        <f>AND(IF(Metadata!H281="",FALSE,TRUE),exact(Metadata!H281,"UBERON:tongue"))</f>
        <v>0</v>
      </c>
      <c r="AC281">
        <f>AND(IF(Metadata!I281="",FALSE,TRUE),exact(Metadata!I281,"tongue"))</f>
        <v>0</v>
      </c>
      <c r="AD281">
        <f>AND(IF(Metadata!J281="",FALSE,TRUE),exact(Metadata!J281,"human oral metagenome"))</f>
        <v>0</v>
      </c>
      <c r="AE281">
        <f>AND(IF(Metadata!K281="",FALSE,TRUE),exact(Metadata!K281,"447426"))</f>
        <v>0</v>
      </c>
    </row>
    <row r="282" spans="1:31">
      <c r="A282" s="4">
        <f>IF(B282=" "," ",HYPERLINK(CONCATENATE("#metadata!",ADDRESS(INDEX($Q$2:$Q$1001,MATCH(ROWS($O$2:O282),$O$2:$O$1001,0),0),1)),INDEX($T$2:$T$1001,MATCH(ROWS($O$2:O282),$O$2:$O$1001,0),0)))</f>
        <v>0</v>
      </c>
      <c r="B282" s="3">
        <f>IF(OR(INDEX($P$2:$P$1001,MATCH(ROWS($O$2:O282),$O$2:$O$1001,0),1)&gt;=100000,INDEX($V$1005:$AE$1005,1,MATCH(COLUMNS($V$1006:V1006),$V$1006:$AE$1006,0))&gt;=100000), " ",IF(INDEX($V$2:$AE$1001,MATCH(ROWS($O$2:O282),$O$2:$O$1001,0),MATCH(COLUMNS($V$1006:V1006),$V$1006:$AE$1006,0)), HYPERLINK("#",""), HYPERLINK(CONCATENATE("#Metadata!", ADDRESS(INDEX($Q$2:$Q$1001,MATCH(ROWS($O$2:O282),$O$2:$O$1001,0),0), INDEX($V$1004:$AE$1004,1,MATCH(COLUMNS($V$1006:V1006),$V$1006:$AE$1006,0)))),"Fix")))</f>
        <v>0</v>
      </c>
      <c r="C282" s="3">
        <f>IF(OR(INDEX($P$2:$P$1001,MATCH(ROWS($O$2:O282),$O$2:$O$1001,0),1)&gt;=100000,INDEX($V$1005:$AE$1005,1,MATCH(COLUMNS($V$1006:W1006),$V$1006:$AE$1006,0))&gt;=100000), " ",IF(INDEX($V$2:$AE$1001,MATCH(ROWS($O$2:O282),$O$2:$O$1001,0),MATCH(COLUMNS($V$1006:W1006),$V$1006:$AE$1006,0)), HYPERLINK("#",""), HYPERLINK(CONCATENATE("#Metadata!", ADDRESS(INDEX($Q$2:$Q$1001,MATCH(ROWS($O$2:O282),$O$2:$O$1001,0),0), INDEX($V$1004:$AE$1004,1,MATCH(COLUMNS($V$1006:W1006),$V$1006:$AE$1006,0)))),"Fix")))</f>
        <v>0</v>
      </c>
      <c r="D282" s="3">
        <f>IF(OR(INDEX($P$2:$P$1001,MATCH(ROWS($O$2:O282),$O$2:$O$1001,0),1)&gt;=100000,INDEX($V$1005:$AE$1005,1,MATCH(COLUMNS($V$1006:X1006),$V$1006:$AE$1006,0))&gt;=100000), " ",IF(INDEX($V$2:$AE$1001,MATCH(ROWS($O$2:O282),$O$2:$O$1001,0),MATCH(COLUMNS($V$1006:X1006),$V$1006:$AE$1006,0)), HYPERLINK("#",""), HYPERLINK(CONCATENATE("#Metadata!", ADDRESS(INDEX($Q$2:$Q$1001,MATCH(ROWS($O$2:O282),$O$2:$O$1001,0),0), INDEX($V$1004:$AE$1004,1,MATCH(COLUMNS($V$1006:X1006),$V$1006:$AE$1006,0)))),"Fix")))</f>
        <v>0</v>
      </c>
      <c r="E282" s="3">
        <f>IF(OR(INDEX($P$2:$P$1001,MATCH(ROWS($O$2:O282),$O$2:$O$1001,0),1)&gt;=100000,INDEX($V$1005:$AE$1005,1,MATCH(COLUMNS($V$1006:Y1006),$V$1006:$AE$1006,0))&gt;=100000), " ",IF(INDEX($V$2:$AE$1001,MATCH(ROWS($O$2:O282),$O$2:$O$1001,0),MATCH(COLUMNS($V$1006:Y1006),$V$1006:$AE$1006,0)), HYPERLINK("#",""), HYPERLINK(CONCATENATE("#Metadata!", ADDRESS(INDEX($Q$2:$Q$1001,MATCH(ROWS($O$2:O282),$O$2:$O$1001,0),0), INDEX($V$1004:$AE$1004,1,MATCH(COLUMNS($V$1006:Y1006),$V$1006:$AE$1006,0)))),"Fix")))</f>
        <v>0</v>
      </c>
      <c r="F282" s="3">
        <f>IF(OR(INDEX($P$2:$P$1001,MATCH(ROWS($O$2:O282),$O$2:$O$1001,0),1)&gt;=100000,INDEX($V$1005:$AE$1005,1,MATCH(COLUMNS($V$1006:Z1006),$V$1006:$AE$1006,0))&gt;=100000), " ",IF(INDEX($V$2:$AE$1001,MATCH(ROWS($O$2:O282),$O$2:$O$1001,0),MATCH(COLUMNS($V$1006:Z1006),$V$1006:$AE$1006,0)), HYPERLINK("#",""), HYPERLINK(CONCATENATE("#Metadata!", ADDRESS(INDEX($Q$2:$Q$1001,MATCH(ROWS($O$2:O282),$O$2:$O$1001,0),0), INDEX($V$1004:$AE$1004,1,MATCH(COLUMNS($V$1006:Z1006),$V$1006:$AE$1006,0)))),"Fix")))</f>
        <v>0</v>
      </c>
      <c r="G282" s="3">
        <f>IF(OR(INDEX($P$2:$P$1001,MATCH(ROWS($O$2:O282),$O$2:$O$1001,0),1)&gt;=100000,INDEX($V$1005:$AE$1005,1,MATCH(COLUMNS($V$1006:AA1006),$V$1006:$AE$1006,0))&gt;=100000), " ",IF(INDEX($V$2:$AE$1001,MATCH(ROWS($O$2:O282),$O$2:$O$1001,0),MATCH(COLUMNS($V$1006:AA1006),$V$1006:$AE$1006,0)), HYPERLINK("#",""), HYPERLINK(CONCATENATE("#Metadata!", ADDRESS(INDEX($Q$2:$Q$1001,MATCH(ROWS($O$2:O282),$O$2:$O$1001,0),0), INDEX($V$1004:$AE$1004,1,MATCH(COLUMNS($V$1006:AA1006),$V$1006:$AE$1006,0)))),"Fix")))</f>
        <v>0</v>
      </c>
      <c r="H282" s="3">
        <f>IF(OR(INDEX($P$2:$P$1001,MATCH(ROWS($O$2:O282),$O$2:$O$1001,0),1)&gt;=100000,INDEX($V$1005:$AE$1005,1,MATCH(COLUMNS($V$1006:AB1006),$V$1006:$AE$1006,0))&gt;=100000), " ",IF(INDEX($V$2:$AE$1001,MATCH(ROWS($O$2:O282),$O$2:$O$1001,0),MATCH(COLUMNS($V$1006:AB1006),$V$1006:$AE$1006,0)), HYPERLINK("#",""), HYPERLINK(CONCATENATE("#Metadata!", ADDRESS(INDEX($Q$2:$Q$1001,MATCH(ROWS($O$2:O282),$O$2:$O$1001,0),0), INDEX($V$1004:$AE$1004,1,MATCH(COLUMNS($V$1006:AB1006),$V$1006:$AE$1006,0)))),"Fix")))</f>
        <v>0</v>
      </c>
      <c r="I282" s="3">
        <f>IF(OR(INDEX($P$2:$P$1001,MATCH(ROWS($O$2:O282),$O$2:$O$1001,0),1)&gt;=100000,INDEX($V$1005:$AE$1005,1,MATCH(COLUMNS($V$1006:AC1006),$V$1006:$AE$1006,0))&gt;=100000), " ",IF(INDEX($V$2:$AE$1001,MATCH(ROWS($O$2:O282),$O$2:$O$1001,0),MATCH(COLUMNS($V$1006:AC1006),$V$1006:$AE$1006,0)), HYPERLINK("#",""), HYPERLINK(CONCATENATE("#Metadata!", ADDRESS(INDEX($Q$2:$Q$1001,MATCH(ROWS($O$2:O282),$O$2:$O$1001,0),0), INDEX($V$1004:$AE$1004,1,MATCH(COLUMNS($V$1006:AC1006),$V$1006:$AE$1006,0)))),"Fix")))</f>
        <v>0</v>
      </c>
      <c r="J282" s="3">
        <f>IF(OR(INDEX($P$2:$P$1001,MATCH(ROWS($O$2:O282),$O$2:$O$1001,0),1)&gt;=100000,INDEX($V$1005:$AE$1005,1,MATCH(COLUMNS($V$1006:AD1006),$V$1006:$AE$1006,0))&gt;=100000), " ",IF(INDEX($V$2:$AE$1001,MATCH(ROWS($O$2:O282),$O$2:$O$1001,0),MATCH(COLUMNS($V$1006:AD1006),$V$1006:$AE$1006,0)), HYPERLINK("#",""), HYPERLINK(CONCATENATE("#Metadata!", ADDRESS(INDEX($Q$2:$Q$1001,MATCH(ROWS($O$2:O282),$O$2:$O$1001,0),0), INDEX($V$1004:$AE$1004,1,MATCH(COLUMNS($V$1006:AD1006),$V$1006:$AE$1006,0)))),"Fix")))</f>
        <v>0</v>
      </c>
      <c r="K282" s="3">
        <f>IF(OR(INDEX($P$2:$P$1001,MATCH(ROWS($O$2:O282),$O$2:$O$1001,0),1)&gt;=100000,INDEX($V$1005:$AE$1005,1,MATCH(COLUMNS($V$1006:AE1006),$V$1006:$AE$1006,0))&gt;=100000), " ",IF(INDEX($V$2:$AE$1001,MATCH(ROWS($O$2:O282),$O$2:$O$1001,0),MATCH(COLUMNS($V$1006:AE1006),$V$1006:$AE$1006,0)), HYPERLINK("#",""), HYPERLINK(CONCATENATE("#Metadata!", ADDRESS(INDEX($Q$2:$Q$1001,MATCH(ROWS($O$2:O282),$O$2:$O$1001,0),0), INDEX($V$1004:$AE$1004,1,MATCH(COLUMNS($V$1006:AE1006),$V$1006:$AE$1006,0)))),"Fix")))</f>
        <v>0</v>
      </c>
      <c r="O282">
        <v>0</v>
      </c>
      <c r="P282">
        <v>0</v>
      </c>
      <c r="Q282">
        <v>0</v>
      </c>
      <c r="R282">
        <f>IF(S282,TRUE,AND(V282:AE282))</f>
        <v>0</v>
      </c>
      <c r="S282">
        <f>COUNTBLANK(Metadata!B282:K282)=COLUMNS(Metadata!B282:K282)</f>
        <v>0</v>
      </c>
      <c r="T282">
        <v>0</v>
      </c>
      <c r="V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W282">
        <f>AND(IF(Metadata!C282="",FALSE,TRUE),exact(Metadata!C282,"animal secretion"))</f>
        <v>0</v>
      </c>
      <c r="X282">
        <f>AND(IF(Metadata!D282="",FALSE,TRUE),exact(Metadata!D282,"saliva"))</f>
        <v>0</v>
      </c>
      <c r="Y282">
        <f>AND(IF(Metadata!E282="",FALSE,TRUE),exact(Metadata!E282,"human-oral"))</f>
        <v>0</v>
      </c>
      <c r="Z282">
        <f>AND(IF(Metadata!F282="",FALSE,TRUE),exact(Metadata!F282,"UBERON:oral cavity"))</f>
        <v>0</v>
      </c>
      <c r="AA282">
        <f>AND(IF(Metadata!G282="",FALSE,TRUE),exact(Metadata!G282,"UBERON:saliva"))</f>
        <v>0</v>
      </c>
      <c r="AB282">
        <f>AND(IF(Metadata!H282="",FALSE,TRUE),exact(Metadata!H282,"UBERON:tongue"))</f>
        <v>0</v>
      </c>
      <c r="AC282">
        <f>AND(IF(Metadata!I282="",FALSE,TRUE),exact(Metadata!I282,"tongue"))</f>
        <v>0</v>
      </c>
      <c r="AD282">
        <f>AND(IF(Metadata!J282="",FALSE,TRUE),exact(Metadata!J282,"human oral metagenome"))</f>
        <v>0</v>
      </c>
      <c r="AE282">
        <f>AND(IF(Metadata!K282="",FALSE,TRUE),exact(Metadata!K282,"447426"))</f>
        <v>0</v>
      </c>
    </row>
    <row r="283" spans="1:31">
      <c r="A283" s="4">
        <f>IF(B283=" "," ",HYPERLINK(CONCATENATE("#metadata!",ADDRESS(INDEX($Q$2:$Q$1001,MATCH(ROWS($O$2:O283),$O$2:$O$1001,0),0),1)),INDEX($T$2:$T$1001,MATCH(ROWS($O$2:O283),$O$2:$O$1001,0),0)))</f>
        <v>0</v>
      </c>
      <c r="B283" s="3">
        <f>IF(OR(INDEX($P$2:$P$1001,MATCH(ROWS($O$2:O283),$O$2:$O$1001,0),1)&gt;=100000,INDEX($V$1005:$AE$1005,1,MATCH(COLUMNS($V$1006:V1006),$V$1006:$AE$1006,0))&gt;=100000), " ",IF(INDEX($V$2:$AE$1001,MATCH(ROWS($O$2:O283),$O$2:$O$1001,0),MATCH(COLUMNS($V$1006:V1006),$V$1006:$AE$1006,0)), HYPERLINK("#",""), HYPERLINK(CONCATENATE("#Metadata!", ADDRESS(INDEX($Q$2:$Q$1001,MATCH(ROWS($O$2:O283),$O$2:$O$1001,0),0), INDEX($V$1004:$AE$1004,1,MATCH(COLUMNS($V$1006:V1006),$V$1006:$AE$1006,0)))),"Fix")))</f>
        <v>0</v>
      </c>
      <c r="C283" s="3">
        <f>IF(OR(INDEX($P$2:$P$1001,MATCH(ROWS($O$2:O283),$O$2:$O$1001,0),1)&gt;=100000,INDEX($V$1005:$AE$1005,1,MATCH(COLUMNS($V$1006:W1006),$V$1006:$AE$1006,0))&gt;=100000), " ",IF(INDEX($V$2:$AE$1001,MATCH(ROWS($O$2:O283),$O$2:$O$1001,0),MATCH(COLUMNS($V$1006:W1006),$V$1006:$AE$1006,0)), HYPERLINK("#",""), HYPERLINK(CONCATENATE("#Metadata!", ADDRESS(INDEX($Q$2:$Q$1001,MATCH(ROWS($O$2:O283),$O$2:$O$1001,0),0), INDEX($V$1004:$AE$1004,1,MATCH(COLUMNS($V$1006:W1006),$V$1006:$AE$1006,0)))),"Fix")))</f>
        <v>0</v>
      </c>
      <c r="D283" s="3">
        <f>IF(OR(INDEX($P$2:$P$1001,MATCH(ROWS($O$2:O283),$O$2:$O$1001,0),1)&gt;=100000,INDEX($V$1005:$AE$1005,1,MATCH(COLUMNS($V$1006:X1006),$V$1006:$AE$1006,0))&gt;=100000), " ",IF(INDEX($V$2:$AE$1001,MATCH(ROWS($O$2:O283),$O$2:$O$1001,0),MATCH(COLUMNS($V$1006:X1006),$V$1006:$AE$1006,0)), HYPERLINK("#",""), HYPERLINK(CONCATENATE("#Metadata!", ADDRESS(INDEX($Q$2:$Q$1001,MATCH(ROWS($O$2:O283),$O$2:$O$1001,0),0), INDEX($V$1004:$AE$1004,1,MATCH(COLUMNS($V$1006:X1006),$V$1006:$AE$1006,0)))),"Fix")))</f>
        <v>0</v>
      </c>
      <c r="E283" s="3">
        <f>IF(OR(INDEX($P$2:$P$1001,MATCH(ROWS($O$2:O283),$O$2:$O$1001,0),1)&gt;=100000,INDEX($V$1005:$AE$1005,1,MATCH(COLUMNS($V$1006:Y1006),$V$1006:$AE$1006,0))&gt;=100000), " ",IF(INDEX($V$2:$AE$1001,MATCH(ROWS($O$2:O283),$O$2:$O$1001,0),MATCH(COLUMNS($V$1006:Y1006),$V$1006:$AE$1006,0)), HYPERLINK("#",""), HYPERLINK(CONCATENATE("#Metadata!", ADDRESS(INDEX($Q$2:$Q$1001,MATCH(ROWS($O$2:O283),$O$2:$O$1001,0),0), INDEX($V$1004:$AE$1004,1,MATCH(COLUMNS($V$1006:Y1006),$V$1006:$AE$1006,0)))),"Fix")))</f>
        <v>0</v>
      </c>
      <c r="F283" s="3">
        <f>IF(OR(INDEX($P$2:$P$1001,MATCH(ROWS($O$2:O283),$O$2:$O$1001,0),1)&gt;=100000,INDEX($V$1005:$AE$1005,1,MATCH(COLUMNS($V$1006:Z1006),$V$1006:$AE$1006,0))&gt;=100000), " ",IF(INDEX($V$2:$AE$1001,MATCH(ROWS($O$2:O283),$O$2:$O$1001,0),MATCH(COLUMNS($V$1006:Z1006),$V$1006:$AE$1006,0)), HYPERLINK("#",""), HYPERLINK(CONCATENATE("#Metadata!", ADDRESS(INDEX($Q$2:$Q$1001,MATCH(ROWS($O$2:O283),$O$2:$O$1001,0),0), INDEX($V$1004:$AE$1004,1,MATCH(COLUMNS($V$1006:Z1006),$V$1006:$AE$1006,0)))),"Fix")))</f>
        <v>0</v>
      </c>
      <c r="G283" s="3">
        <f>IF(OR(INDEX($P$2:$P$1001,MATCH(ROWS($O$2:O283),$O$2:$O$1001,0),1)&gt;=100000,INDEX($V$1005:$AE$1005,1,MATCH(COLUMNS($V$1006:AA1006),$V$1006:$AE$1006,0))&gt;=100000), " ",IF(INDEX($V$2:$AE$1001,MATCH(ROWS($O$2:O283),$O$2:$O$1001,0),MATCH(COLUMNS($V$1006:AA1006),$V$1006:$AE$1006,0)), HYPERLINK("#",""), HYPERLINK(CONCATENATE("#Metadata!", ADDRESS(INDEX($Q$2:$Q$1001,MATCH(ROWS($O$2:O283),$O$2:$O$1001,0),0), INDEX($V$1004:$AE$1004,1,MATCH(COLUMNS($V$1006:AA1006),$V$1006:$AE$1006,0)))),"Fix")))</f>
        <v>0</v>
      </c>
      <c r="H283" s="3">
        <f>IF(OR(INDEX($P$2:$P$1001,MATCH(ROWS($O$2:O283),$O$2:$O$1001,0),1)&gt;=100000,INDEX($V$1005:$AE$1005,1,MATCH(COLUMNS($V$1006:AB1006),$V$1006:$AE$1006,0))&gt;=100000), " ",IF(INDEX($V$2:$AE$1001,MATCH(ROWS($O$2:O283),$O$2:$O$1001,0),MATCH(COLUMNS($V$1006:AB1006),$V$1006:$AE$1006,0)), HYPERLINK("#",""), HYPERLINK(CONCATENATE("#Metadata!", ADDRESS(INDEX($Q$2:$Q$1001,MATCH(ROWS($O$2:O283),$O$2:$O$1001,0),0), INDEX($V$1004:$AE$1004,1,MATCH(COLUMNS($V$1006:AB1006),$V$1006:$AE$1006,0)))),"Fix")))</f>
        <v>0</v>
      </c>
      <c r="I283" s="3">
        <f>IF(OR(INDEX($P$2:$P$1001,MATCH(ROWS($O$2:O283),$O$2:$O$1001,0),1)&gt;=100000,INDEX($V$1005:$AE$1005,1,MATCH(COLUMNS($V$1006:AC1006),$V$1006:$AE$1006,0))&gt;=100000), " ",IF(INDEX($V$2:$AE$1001,MATCH(ROWS($O$2:O283),$O$2:$O$1001,0),MATCH(COLUMNS($V$1006:AC1006),$V$1006:$AE$1006,0)), HYPERLINK("#",""), HYPERLINK(CONCATENATE("#Metadata!", ADDRESS(INDEX($Q$2:$Q$1001,MATCH(ROWS($O$2:O283),$O$2:$O$1001,0),0), INDEX($V$1004:$AE$1004,1,MATCH(COLUMNS($V$1006:AC1006),$V$1006:$AE$1006,0)))),"Fix")))</f>
        <v>0</v>
      </c>
      <c r="J283" s="3">
        <f>IF(OR(INDEX($P$2:$P$1001,MATCH(ROWS($O$2:O283),$O$2:$O$1001,0),1)&gt;=100000,INDEX($V$1005:$AE$1005,1,MATCH(COLUMNS($V$1006:AD1006),$V$1006:$AE$1006,0))&gt;=100000), " ",IF(INDEX($V$2:$AE$1001,MATCH(ROWS($O$2:O283),$O$2:$O$1001,0),MATCH(COLUMNS($V$1006:AD1006),$V$1006:$AE$1006,0)), HYPERLINK("#",""), HYPERLINK(CONCATENATE("#Metadata!", ADDRESS(INDEX($Q$2:$Q$1001,MATCH(ROWS($O$2:O283),$O$2:$O$1001,0),0), INDEX($V$1004:$AE$1004,1,MATCH(COLUMNS($V$1006:AD1006),$V$1006:$AE$1006,0)))),"Fix")))</f>
        <v>0</v>
      </c>
      <c r="K283" s="3">
        <f>IF(OR(INDEX($P$2:$P$1001,MATCH(ROWS($O$2:O283),$O$2:$O$1001,0),1)&gt;=100000,INDEX($V$1005:$AE$1005,1,MATCH(COLUMNS($V$1006:AE1006),$V$1006:$AE$1006,0))&gt;=100000), " ",IF(INDEX($V$2:$AE$1001,MATCH(ROWS($O$2:O283),$O$2:$O$1001,0),MATCH(COLUMNS($V$1006:AE1006),$V$1006:$AE$1006,0)), HYPERLINK("#",""), HYPERLINK(CONCATENATE("#Metadata!", ADDRESS(INDEX($Q$2:$Q$1001,MATCH(ROWS($O$2:O283),$O$2:$O$1001,0),0), INDEX($V$1004:$AE$1004,1,MATCH(COLUMNS($V$1006:AE1006),$V$1006:$AE$1006,0)))),"Fix")))</f>
        <v>0</v>
      </c>
      <c r="O283">
        <v>0</v>
      </c>
      <c r="P283">
        <v>0</v>
      </c>
      <c r="Q283">
        <v>0</v>
      </c>
      <c r="R283">
        <f>IF(S283,TRUE,AND(V283:AE283))</f>
        <v>0</v>
      </c>
      <c r="S283">
        <f>COUNTBLANK(Metadata!B283:K283)=COLUMNS(Metadata!B283:K283)</f>
        <v>0</v>
      </c>
      <c r="T283">
        <v>0</v>
      </c>
      <c r="V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W283">
        <f>AND(IF(Metadata!C283="",FALSE,TRUE),exact(Metadata!C283,"animal secretion"))</f>
        <v>0</v>
      </c>
      <c r="X283">
        <f>AND(IF(Metadata!D283="",FALSE,TRUE),exact(Metadata!D283,"saliva"))</f>
        <v>0</v>
      </c>
      <c r="Y283">
        <f>AND(IF(Metadata!E283="",FALSE,TRUE),exact(Metadata!E283,"human-oral"))</f>
        <v>0</v>
      </c>
      <c r="Z283">
        <f>AND(IF(Metadata!F283="",FALSE,TRUE),exact(Metadata!F283,"UBERON:oral cavity"))</f>
        <v>0</v>
      </c>
      <c r="AA283">
        <f>AND(IF(Metadata!G283="",FALSE,TRUE),exact(Metadata!G283,"UBERON:saliva"))</f>
        <v>0</v>
      </c>
      <c r="AB283">
        <f>AND(IF(Metadata!H283="",FALSE,TRUE),exact(Metadata!H283,"UBERON:tongue"))</f>
        <v>0</v>
      </c>
      <c r="AC283">
        <f>AND(IF(Metadata!I283="",FALSE,TRUE),exact(Metadata!I283,"tongue"))</f>
        <v>0</v>
      </c>
      <c r="AD283">
        <f>AND(IF(Metadata!J283="",FALSE,TRUE),exact(Metadata!J283,"human oral metagenome"))</f>
        <v>0</v>
      </c>
      <c r="AE283">
        <f>AND(IF(Metadata!K283="",FALSE,TRUE),exact(Metadata!K283,"447426"))</f>
        <v>0</v>
      </c>
    </row>
    <row r="284" spans="1:31">
      <c r="A284" s="4">
        <f>IF(B284=" "," ",HYPERLINK(CONCATENATE("#metadata!",ADDRESS(INDEX($Q$2:$Q$1001,MATCH(ROWS($O$2:O284),$O$2:$O$1001,0),0),1)),INDEX($T$2:$T$1001,MATCH(ROWS($O$2:O284),$O$2:$O$1001,0),0)))</f>
        <v>0</v>
      </c>
      <c r="B284" s="3">
        <f>IF(OR(INDEX($P$2:$P$1001,MATCH(ROWS($O$2:O284),$O$2:$O$1001,0),1)&gt;=100000,INDEX($V$1005:$AE$1005,1,MATCH(COLUMNS($V$1006:V1006),$V$1006:$AE$1006,0))&gt;=100000), " ",IF(INDEX($V$2:$AE$1001,MATCH(ROWS($O$2:O284),$O$2:$O$1001,0),MATCH(COLUMNS($V$1006:V1006),$V$1006:$AE$1006,0)), HYPERLINK("#",""), HYPERLINK(CONCATENATE("#Metadata!", ADDRESS(INDEX($Q$2:$Q$1001,MATCH(ROWS($O$2:O284),$O$2:$O$1001,0),0), INDEX($V$1004:$AE$1004,1,MATCH(COLUMNS($V$1006:V1006),$V$1006:$AE$1006,0)))),"Fix")))</f>
        <v>0</v>
      </c>
      <c r="C284" s="3">
        <f>IF(OR(INDEX($P$2:$P$1001,MATCH(ROWS($O$2:O284),$O$2:$O$1001,0),1)&gt;=100000,INDEX($V$1005:$AE$1005,1,MATCH(COLUMNS($V$1006:W1006),$V$1006:$AE$1006,0))&gt;=100000), " ",IF(INDEX($V$2:$AE$1001,MATCH(ROWS($O$2:O284),$O$2:$O$1001,0),MATCH(COLUMNS($V$1006:W1006),$V$1006:$AE$1006,0)), HYPERLINK("#",""), HYPERLINK(CONCATENATE("#Metadata!", ADDRESS(INDEX($Q$2:$Q$1001,MATCH(ROWS($O$2:O284),$O$2:$O$1001,0),0), INDEX($V$1004:$AE$1004,1,MATCH(COLUMNS($V$1006:W1006),$V$1006:$AE$1006,0)))),"Fix")))</f>
        <v>0</v>
      </c>
      <c r="D284" s="3">
        <f>IF(OR(INDEX($P$2:$P$1001,MATCH(ROWS($O$2:O284),$O$2:$O$1001,0),1)&gt;=100000,INDEX($V$1005:$AE$1005,1,MATCH(COLUMNS($V$1006:X1006),$V$1006:$AE$1006,0))&gt;=100000), " ",IF(INDEX($V$2:$AE$1001,MATCH(ROWS($O$2:O284),$O$2:$O$1001,0),MATCH(COLUMNS($V$1006:X1006),$V$1006:$AE$1006,0)), HYPERLINK("#",""), HYPERLINK(CONCATENATE("#Metadata!", ADDRESS(INDEX($Q$2:$Q$1001,MATCH(ROWS($O$2:O284),$O$2:$O$1001,0),0), INDEX($V$1004:$AE$1004,1,MATCH(COLUMNS($V$1006:X1006),$V$1006:$AE$1006,0)))),"Fix")))</f>
        <v>0</v>
      </c>
      <c r="E284" s="3">
        <f>IF(OR(INDEX($P$2:$P$1001,MATCH(ROWS($O$2:O284),$O$2:$O$1001,0),1)&gt;=100000,INDEX($V$1005:$AE$1005,1,MATCH(COLUMNS($V$1006:Y1006),$V$1006:$AE$1006,0))&gt;=100000), " ",IF(INDEX($V$2:$AE$1001,MATCH(ROWS($O$2:O284),$O$2:$O$1001,0),MATCH(COLUMNS($V$1006:Y1006),$V$1006:$AE$1006,0)), HYPERLINK("#",""), HYPERLINK(CONCATENATE("#Metadata!", ADDRESS(INDEX($Q$2:$Q$1001,MATCH(ROWS($O$2:O284),$O$2:$O$1001,0),0), INDEX($V$1004:$AE$1004,1,MATCH(COLUMNS($V$1006:Y1006),$V$1006:$AE$1006,0)))),"Fix")))</f>
        <v>0</v>
      </c>
      <c r="F284" s="3">
        <f>IF(OR(INDEX($P$2:$P$1001,MATCH(ROWS($O$2:O284),$O$2:$O$1001,0),1)&gt;=100000,INDEX($V$1005:$AE$1005,1,MATCH(COLUMNS($V$1006:Z1006),$V$1006:$AE$1006,0))&gt;=100000), " ",IF(INDEX($V$2:$AE$1001,MATCH(ROWS($O$2:O284),$O$2:$O$1001,0),MATCH(COLUMNS($V$1006:Z1006),$V$1006:$AE$1006,0)), HYPERLINK("#",""), HYPERLINK(CONCATENATE("#Metadata!", ADDRESS(INDEX($Q$2:$Q$1001,MATCH(ROWS($O$2:O284),$O$2:$O$1001,0),0), INDEX($V$1004:$AE$1004,1,MATCH(COLUMNS($V$1006:Z1006),$V$1006:$AE$1006,0)))),"Fix")))</f>
        <v>0</v>
      </c>
      <c r="G284" s="3">
        <f>IF(OR(INDEX($P$2:$P$1001,MATCH(ROWS($O$2:O284),$O$2:$O$1001,0),1)&gt;=100000,INDEX($V$1005:$AE$1005,1,MATCH(COLUMNS($V$1006:AA1006),$V$1006:$AE$1006,0))&gt;=100000), " ",IF(INDEX($V$2:$AE$1001,MATCH(ROWS($O$2:O284),$O$2:$O$1001,0),MATCH(COLUMNS($V$1006:AA1006),$V$1006:$AE$1006,0)), HYPERLINK("#",""), HYPERLINK(CONCATENATE("#Metadata!", ADDRESS(INDEX($Q$2:$Q$1001,MATCH(ROWS($O$2:O284),$O$2:$O$1001,0),0), INDEX($V$1004:$AE$1004,1,MATCH(COLUMNS($V$1006:AA1006),$V$1006:$AE$1006,0)))),"Fix")))</f>
        <v>0</v>
      </c>
      <c r="H284" s="3">
        <f>IF(OR(INDEX($P$2:$P$1001,MATCH(ROWS($O$2:O284),$O$2:$O$1001,0),1)&gt;=100000,INDEX($V$1005:$AE$1005,1,MATCH(COLUMNS($V$1006:AB1006),$V$1006:$AE$1006,0))&gt;=100000), " ",IF(INDEX($V$2:$AE$1001,MATCH(ROWS($O$2:O284),$O$2:$O$1001,0),MATCH(COLUMNS($V$1006:AB1006),$V$1006:$AE$1006,0)), HYPERLINK("#",""), HYPERLINK(CONCATENATE("#Metadata!", ADDRESS(INDEX($Q$2:$Q$1001,MATCH(ROWS($O$2:O284),$O$2:$O$1001,0),0), INDEX($V$1004:$AE$1004,1,MATCH(COLUMNS($V$1006:AB1006),$V$1006:$AE$1006,0)))),"Fix")))</f>
        <v>0</v>
      </c>
      <c r="I284" s="3">
        <f>IF(OR(INDEX($P$2:$P$1001,MATCH(ROWS($O$2:O284),$O$2:$O$1001,0),1)&gt;=100000,INDEX($V$1005:$AE$1005,1,MATCH(COLUMNS($V$1006:AC1006),$V$1006:$AE$1006,0))&gt;=100000), " ",IF(INDEX($V$2:$AE$1001,MATCH(ROWS($O$2:O284),$O$2:$O$1001,0),MATCH(COLUMNS($V$1006:AC1006),$V$1006:$AE$1006,0)), HYPERLINK("#",""), HYPERLINK(CONCATENATE("#Metadata!", ADDRESS(INDEX($Q$2:$Q$1001,MATCH(ROWS($O$2:O284),$O$2:$O$1001,0),0), INDEX($V$1004:$AE$1004,1,MATCH(COLUMNS($V$1006:AC1006),$V$1006:$AE$1006,0)))),"Fix")))</f>
        <v>0</v>
      </c>
      <c r="J284" s="3">
        <f>IF(OR(INDEX($P$2:$P$1001,MATCH(ROWS($O$2:O284),$O$2:$O$1001,0),1)&gt;=100000,INDEX($V$1005:$AE$1005,1,MATCH(COLUMNS($V$1006:AD1006),$V$1006:$AE$1006,0))&gt;=100000), " ",IF(INDEX($V$2:$AE$1001,MATCH(ROWS($O$2:O284),$O$2:$O$1001,0),MATCH(COLUMNS($V$1006:AD1006),$V$1006:$AE$1006,0)), HYPERLINK("#",""), HYPERLINK(CONCATENATE("#Metadata!", ADDRESS(INDEX($Q$2:$Q$1001,MATCH(ROWS($O$2:O284),$O$2:$O$1001,0),0), INDEX($V$1004:$AE$1004,1,MATCH(COLUMNS($V$1006:AD1006),$V$1006:$AE$1006,0)))),"Fix")))</f>
        <v>0</v>
      </c>
      <c r="K284" s="3">
        <f>IF(OR(INDEX($P$2:$P$1001,MATCH(ROWS($O$2:O284),$O$2:$O$1001,0),1)&gt;=100000,INDEX($V$1005:$AE$1005,1,MATCH(COLUMNS($V$1006:AE1006),$V$1006:$AE$1006,0))&gt;=100000), " ",IF(INDEX($V$2:$AE$1001,MATCH(ROWS($O$2:O284),$O$2:$O$1001,0),MATCH(COLUMNS($V$1006:AE1006),$V$1006:$AE$1006,0)), HYPERLINK("#",""), HYPERLINK(CONCATENATE("#Metadata!", ADDRESS(INDEX($Q$2:$Q$1001,MATCH(ROWS($O$2:O284),$O$2:$O$1001,0),0), INDEX($V$1004:$AE$1004,1,MATCH(COLUMNS($V$1006:AE1006),$V$1006:$AE$1006,0)))),"Fix")))</f>
        <v>0</v>
      </c>
      <c r="O284">
        <v>0</v>
      </c>
      <c r="P284">
        <v>0</v>
      </c>
      <c r="Q284">
        <v>0</v>
      </c>
      <c r="R284">
        <f>IF(S284,TRUE,AND(V284:AE284))</f>
        <v>0</v>
      </c>
      <c r="S284">
        <f>COUNTBLANK(Metadata!B284:K284)=COLUMNS(Metadata!B284:K284)</f>
        <v>0</v>
      </c>
      <c r="T284">
        <v>0</v>
      </c>
      <c r="V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W284">
        <f>AND(IF(Metadata!C284="",FALSE,TRUE),exact(Metadata!C284,"animal secretion"))</f>
        <v>0</v>
      </c>
      <c r="X284">
        <f>AND(IF(Metadata!D284="",FALSE,TRUE),exact(Metadata!D284,"saliva"))</f>
        <v>0</v>
      </c>
      <c r="Y284">
        <f>AND(IF(Metadata!E284="",FALSE,TRUE),exact(Metadata!E284,"human-oral"))</f>
        <v>0</v>
      </c>
      <c r="Z284">
        <f>AND(IF(Metadata!F284="",FALSE,TRUE),exact(Metadata!F284,"UBERON:oral cavity"))</f>
        <v>0</v>
      </c>
      <c r="AA284">
        <f>AND(IF(Metadata!G284="",FALSE,TRUE),exact(Metadata!G284,"UBERON:saliva"))</f>
        <v>0</v>
      </c>
      <c r="AB284">
        <f>AND(IF(Metadata!H284="",FALSE,TRUE),exact(Metadata!H284,"UBERON:tongue"))</f>
        <v>0</v>
      </c>
      <c r="AC284">
        <f>AND(IF(Metadata!I284="",FALSE,TRUE),exact(Metadata!I284,"tongue"))</f>
        <v>0</v>
      </c>
      <c r="AD284">
        <f>AND(IF(Metadata!J284="",FALSE,TRUE),exact(Metadata!J284,"human oral metagenome"))</f>
        <v>0</v>
      </c>
      <c r="AE284">
        <f>AND(IF(Metadata!K284="",FALSE,TRUE),exact(Metadata!K284,"447426"))</f>
        <v>0</v>
      </c>
    </row>
    <row r="285" spans="1:31">
      <c r="A285" s="4">
        <f>IF(B285=" "," ",HYPERLINK(CONCATENATE("#metadata!",ADDRESS(INDEX($Q$2:$Q$1001,MATCH(ROWS($O$2:O285),$O$2:$O$1001,0),0),1)),INDEX($T$2:$T$1001,MATCH(ROWS($O$2:O285),$O$2:$O$1001,0),0)))</f>
        <v>0</v>
      </c>
      <c r="B285" s="3">
        <f>IF(OR(INDEX($P$2:$P$1001,MATCH(ROWS($O$2:O285),$O$2:$O$1001,0),1)&gt;=100000,INDEX($V$1005:$AE$1005,1,MATCH(COLUMNS($V$1006:V1006),$V$1006:$AE$1006,0))&gt;=100000), " ",IF(INDEX($V$2:$AE$1001,MATCH(ROWS($O$2:O285),$O$2:$O$1001,0),MATCH(COLUMNS($V$1006:V1006),$V$1006:$AE$1006,0)), HYPERLINK("#",""), HYPERLINK(CONCATENATE("#Metadata!", ADDRESS(INDEX($Q$2:$Q$1001,MATCH(ROWS($O$2:O285),$O$2:$O$1001,0),0), INDEX($V$1004:$AE$1004,1,MATCH(COLUMNS($V$1006:V1006),$V$1006:$AE$1006,0)))),"Fix")))</f>
        <v>0</v>
      </c>
      <c r="C285" s="3">
        <f>IF(OR(INDEX($P$2:$P$1001,MATCH(ROWS($O$2:O285),$O$2:$O$1001,0),1)&gt;=100000,INDEX($V$1005:$AE$1005,1,MATCH(COLUMNS($V$1006:W1006),$V$1006:$AE$1006,0))&gt;=100000), " ",IF(INDEX($V$2:$AE$1001,MATCH(ROWS($O$2:O285),$O$2:$O$1001,0),MATCH(COLUMNS($V$1006:W1006),$V$1006:$AE$1006,0)), HYPERLINK("#",""), HYPERLINK(CONCATENATE("#Metadata!", ADDRESS(INDEX($Q$2:$Q$1001,MATCH(ROWS($O$2:O285),$O$2:$O$1001,0),0), INDEX($V$1004:$AE$1004,1,MATCH(COLUMNS($V$1006:W1006),$V$1006:$AE$1006,0)))),"Fix")))</f>
        <v>0</v>
      </c>
      <c r="D285" s="3">
        <f>IF(OR(INDEX($P$2:$P$1001,MATCH(ROWS($O$2:O285),$O$2:$O$1001,0),1)&gt;=100000,INDEX($V$1005:$AE$1005,1,MATCH(COLUMNS($V$1006:X1006),$V$1006:$AE$1006,0))&gt;=100000), " ",IF(INDEX($V$2:$AE$1001,MATCH(ROWS($O$2:O285),$O$2:$O$1001,0),MATCH(COLUMNS($V$1006:X1006),$V$1006:$AE$1006,0)), HYPERLINK("#",""), HYPERLINK(CONCATENATE("#Metadata!", ADDRESS(INDEX($Q$2:$Q$1001,MATCH(ROWS($O$2:O285),$O$2:$O$1001,0),0), INDEX($V$1004:$AE$1004,1,MATCH(COLUMNS($V$1006:X1006),$V$1006:$AE$1006,0)))),"Fix")))</f>
        <v>0</v>
      </c>
      <c r="E285" s="3">
        <f>IF(OR(INDEX($P$2:$P$1001,MATCH(ROWS($O$2:O285),$O$2:$O$1001,0),1)&gt;=100000,INDEX($V$1005:$AE$1005,1,MATCH(COLUMNS($V$1006:Y1006),$V$1006:$AE$1006,0))&gt;=100000), " ",IF(INDEX($V$2:$AE$1001,MATCH(ROWS($O$2:O285),$O$2:$O$1001,0),MATCH(COLUMNS($V$1006:Y1006),$V$1006:$AE$1006,0)), HYPERLINK("#",""), HYPERLINK(CONCATENATE("#Metadata!", ADDRESS(INDEX($Q$2:$Q$1001,MATCH(ROWS($O$2:O285),$O$2:$O$1001,0),0), INDEX($V$1004:$AE$1004,1,MATCH(COLUMNS($V$1006:Y1006),$V$1006:$AE$1006,0)))),"Fix")))</f>
        <v>0</v>
      </c>
      <c r="F285" s="3">
        <f>IF(OR(INDEX($P$2:$P$1001,MATCH(ROWS($O$2:O285),$O$2:$O$1001,0),1)&gt;=100000,INDEX($V$1005:$AE$1005,1,MATCH(COLUMNS($V$1006:Z1006),$V$1006:$AE$1006,0))&gt;=100000), " ",IF(INDEX($V$2:$AE$1001,MATCH(ROWS($O$2:O285),$O$2:$O$1001,0),MATCH(COLUMNS($V$1006:Z1006),$V$1006:$AE$1006,0)), HYPERLINK("#",""), HYPERLINK(CONCATENATE("#Metadata!", ADDRESS(INDEX($Q$2:$Q$1001,MATCH(ROWS($O$2:O285),$O$2:$O$1001,0),0), INDEX($V$1004:$AE$1004,1,MATCH(COLUMNS($V$1006:Z1006),$V$1006:$AE$1006,0)))),"Fix")))</f>
        <v>0</v>
      </c>
      <c r="G285" s="3">
        <f>IF(OR(INDEX($P$2:$P$1001,MATCH(ROWS($O$2:O285),$O$2:$O$1001,0),1)&gt;=100000,INDEX($V$1005:$AE$1005,1,MATCH(COLUMNS($V$1006:AA1006),$V$1006:$AE$1006,0))&gt;=100000), " ",IF(INDEX($V$2:$AE$1001,MATCH(ROWS($O$2:O285),$O$2:$O$1001,0),MATCH(COLUMNS($V$1006:AA1006),$V$1006:$AE$1006,0)), HYPERLINK("#",""), HYPERLINK(CONCATENATE("#Metadata!", ADDRESS(INDEX($Q$2:$Q$1001,MATCH(ROWS($O$2:O285),$O$2:$O$1001,0),0), INDEX($V$1004:$AE$1004,1,MATCH(COLUMNS($V$1006:AA1006),$V$1006:$AE$1006,0)))),"Fix")))</f>
        <v>0</v>
      </c>
      <c r="H285" s="3">
        <f>IF(OR(INDEX($P$2:$P$1001,MATCH(ROWS($O$2:O285),$O$2:$O$1001,0),1)&gt;=100000,INDEX($V$1005:$AE$1005,1,MATCH(COLUMNS($V$1006:AB1006),$V$1006:$AE$1006,0))&gt;=100000), " ",IF(INDEX($V$2:$AE$1001,MATCH(ROWS($O$2:O285),$O$2:$O$1001,0),MATCH(COLUMNS($V$1006:AB1006),$V$1006:$AE$1006,0)), HYPERLINK("#",""), HYPERLINK(CONCATENATE("#Metadata!", ADDRESS(INDEX($Q$2:$Q$1001,MATCH(ROWS($O$2:O285),$O$2:$O$1001,0),0), INDEX($V$1004:$AE$1004,1,MATCH(COLUMNS($V$1006:AB1006),$V$1006:$AE$1006,0)))),"Fix")))</f>
        <v>0</v>
      </c>
      <c r="I285" s="3">
        <f>IF(OR(INDEX($P$2:$P$1001,MATCH(ROWS($O$2:O285),$O$2:$O$1001,0),1)&gt;=100000,INDEX($V$1005:$AE$1005,1,MATCH(COLUMNS($V$1006:AC1006),$V$1006:$AE$1006,0))&gt;=100000), " ",IF(INDEX($V$2:$AE$1001,MATCH(ROWS($O$2:O285),$O$2:$O$1001,0),MATCH(COLUMNS($V$1006:AC1006),$V$1006:$AE$1006,0)), HYPERLINK("#",""), HYPERLINK(CONCATENATE("#Metadata!", ADDRESS(INDEX($Q$2:$Q$1001,MATCH(ROWS($O$2:O285),$O$2:$O$1001,0),0), INDEX($V$1004:$AE$1004,1,MATCH(COLUMNS($V$1006:AC1006),$V$1006:$AE$1006,0)))),"Fix")))</f>
        <v>0</v>
      </c>
      <c r="J285" s="3">
        <f>IF(OR(INDEX($P$2:$P$1001,MATCH(ROWS($O$2:O285),$O$2:$O$1001,0),1)&gt;=100000,INDEX($V$1005:$AE$1005,1,MATCH(COLUMNS($V$1006:AD1006),$V$1006:$AE$1006,0))&gt;=100000), " ",IF(INDEX($V$2:$AE$1001,MATCH(ROWS($O$2:O285),$O$2:$O$1001,0),MATCH(COLUMNS($V$1006:AD1006),$V$1006:$AE$1006,0)), HYPERLINK("#",""), HYPERLINK(CONCATENATE("#Metadata!", ADDRESS(INDEX($Q$2:$Q$1001,MATCH(ROWS($O$2:O285),$O$2:$O$1001,0),0), INDEX($V$1004:$AE$1004,1,MATCH(COLUMNS($V$1006:AD1006),$V$1006:$AE$1006,0)))),"Fix")))</f>
        <v>0</v>
      </c>
      <c r="K285" s="3">
        <f>IF(OR(INDEX($P$2:$P$1001,MATCH(ROWS($O$2:O285),$O$2:$O$1001,0),1)&gt;=100000,INDEX($V$1005:$AE$1005,1,MATCH(COLUMNS($V$1006:AE1006),$V$1006:$AE$1006,0))&gt;=100000), " ",IF(INDEX($V$2:$AE$1001,MATCH(ROWS($O$2:O285),$O$2:$O$1001,0),MATCH(COLUMNS($V$1006:AE1006),$V$1006:$AE$1006,0)), HYPERLINK("#",""), HYPERLINK(CONCATENATE("#Metadata!", ADDRESS(INDEX($Q$2:$Q$1001,MATCH(ROWS($O$2:O285),$O$2:$O$1001,0),0), INDEX($V$1004:$AE$1004,1,MATCH(COLUMNS($V$1006:AE1006),$V$1006:$AE$1006,0)))),"Fix")))</f>
        <v>0</v>
      </c>
      <c r="O285">
        <v>0</v>
      </c>
      <c r="P285">
        <v>0</v>
      </c>
      <c r="Q285">
        <v>0</v>
      </c>
      <c r="R285">
        <f>IF(S285,TRUE,AND(V285:AE285))</f>
        <v>0</v>
      </c>
      <c r="S285">
        <f>COUNTBLANK(Metadata!B285:K285)=COLUMNS(Metadata!B285:K285)</f>
        <v>0</v>
      </c>
      <c r="T285">
        <v>0</v>
      </c>
      <c r="V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W285">
        <f>AND(IF(Metadata!C285="",FALSE,TRUE),exact(Metadata!C285,"animal secretion"))</f>
        <v>0</v>
      </c>
      <c r="X285">
        <f>AND(IF(Metadata!D285="",FALSE,TRUE),exact(Metadata!D285,"saliva"))</f>
        <v>0</v>
      </c>
      <c r="Y285">
        <f>AND(IF(Metadata!E285="",FALSE,TRUE),exact(Metadata!E285,"human-oral"))</f>
        <v>0</v>
      </c>
      <c r="Z285">
        <f>AND(IF(Metadata!F285="",FALSE,TRUE),exact(Metadata!F285,"UBERON:oral cavity"))</f>
        <v>0</v>
      </c>
      <c r="AA285">
        <f>AND(IF(Metadata!G285="",FALSE,TRUE),exact(Metadata!G285,"UBERON:saliva"))</f>
        <v>0</v>
      </c>
      <c r="AB285">
        <f>AND(IF(Metadata!H285="",FALSE,TRUE),exact(Metadata!H285,"UBERON:tongue"))</f>
        <v>0</v>
      </c>
      <c r="AC285">
        <f>AND(IF(Metadata!I285="",FALSE,TRUE),exact(Metadata!I285,"tongue"))</f>
        <v>0</v>
      </c>
      <c r="AD285">
        <f>AND(IF(Metadata!J285="",FALSE,TRUE),exact(Metadata!J285,"human oral metagenome"))</f>
        <v>0</v>
      </c>
      <c r="AE285">
        <f>AND(IF(Metadata!K285="",FALSE,TRUE),exact(Metadata!K285,"447426"))</f>
        <v>0</v>
      </c>
    </row>
    <row r="286" spans="1:31">
      <c r="A286" s="4">
        <f>IF(B286=" "," ",HYPERLINK(CONCATENATE("#metadata!",ADDRESS(INDEX($Q$2:$Q$1001,MATCH(ROWS($O$2:O286),$O$2:$O$1001,0),0),1)),INDEX($T$2:$T$1001,MATCH(ROWS($O$2:O286),$O$2:$O$1001,0),0)))</f>
        <v>0</v>
      </c>
      <c r="B286" s="3">
        <f>IF(OR(INDEX($P$2:$P$1001,MATCH(ROWS($O$2:O286),$O$2:$O$1001,0),1)&gt;=100000,INDEX($V$1005:$AE$1005,1,MATCH(COLUMNS($V$1006:V1006),$V$1006:$AE$1006,0))&gt;=100000), " ",IF(INDEX($V$2:$AE$1001,MATCH(ROWS($O$2:O286),$O$2:$O$1001,0),MATCH(COLUMNS($V$1006:V1006),$V$1006:$AE$1006,0)), HYPERLINK("#",""), HYPERLINK(CONCATENATE("#Metadata!", ADDRESS(INDEX($Q$2:$Q$1001,MATCH(ROWS($O$2:O286),$O$2:$O$1001,0),0), INDEX($V$1004:$AE$1004,1,MATCH(COLUMNS($V$1006:V1006),$V$1006:$AE$1006,0)))),"Fix")))</f>
        <v>0</v>
      </c>
      <c r="C286" s="3">
        <f>IF(OR(INDEX($P$2:$P$1001,MATCH(ROWS($O$2:O286),$O$2:$O$1001,0),1)&gt;=100000,INDEX($V$1005:$AE$1005,1,MATCH(COLUMNS($V$1006:W1006),$V$1006:$AE$1006,0))&gt;=100000), " ",IF(INDEX($V$2:$AE$1001,MATCH(ROWS($O$2:O286),$O$2:$O$1001,0),MATCH(COLUMNS($V$1006:W1006),$V$1006:$AE$1006,0)), HYPERLINK("#",""), HYPERLINK(CONCATENATE("#Metadata!", ADDRESS(INDEX($Q$2:$Q$1001,MATCH(ROWS($O$2:O286),$O$2:$O$1001,0),0), INDEX($V$1004:$AE$1004,1,MATCH(COLUMNS($V$1006:W1006),$V$1006:$AE$1006,0)))),"Fix")))</f>
        <v>0</v>
      </c>
      <c r="D286" s="3">
        <f>IF(OR(INDEX($P$2:$P$1001,MATCH(ROWS($O$2:O286),$O$2:$O$1001,0),1)&gt;=100000,INDEX($V$1005:$AE$1005,1,MATCH(COLUMNS($V$1006:X1006),$V$1006:$AE$1006,0))&gt;=100000), " ",IF(INDEX($V$2:$AE$1001,MATCH(ROWS($O$2:O286),$O$2:$O$1001,0),MATCH(COLUMNS($V$1006:X1006),$V$1006:$AE$1006,0)), HYPERLINK("#",""), HYPERLINK(CONCATENATE("#Metadata!", ADDRESS(INDEX($Q$2:$Q$1001,MATCH(ROWS($O$2:O286),$O$2:$O$1001,0),0), INDEX($V$1004:$AE$1004,1,MATCH(COLUMNS($V$1006:X1006),$V$1006:$AE$1006,0)))),"Fix")))</f>
        <v>0</v>
      </c>
      <c r="E286" s="3">
        <f>IF(OR(INDEX($P$2:$P$1001,MATCH(ROWS($O$2:O286),$O$2:$O$1001,0),1)&gt;=100000,INDEX($V$1005:$AE$1005,1,MATCH(COLUMNS($V$1006:Y1006),$V$1006:$AE$1006,0))&gt;=100000), " ",IF(INDEX($V$2:$AE$1001,MATCH(ROWS($O$2:O286),$O$2:$O$1001,0),MATCH(COLUMNS($V$1006:Y1006),$V$1006:$AE$1006,0)), HYPERLINK("#",""), HYPERLINK(CONCATENATE("#Metadata!", ADDRESS(INDEX($Q$2:$Q$1001,MATCH(ROWS($O$2:O286),$O$2:$O$1001,0),0), INDEX($V$1004:$AE$1004,1,MATCH(COLUMNS($V$1006:Y1006),$V$1006:$AE$1006,0)))),"Fix")))</f>
        <v>0</v>
      </c>
      <c r="F286" s="3">
        <f>IF(OR(INDEX($P$2:$P$1001,MATCH(ROWS($O$2:O286),$O$2:$O$1001,0),1)&gt;=100000,INDEX($V$1005:$AE$1005,1,MATCH(COLUMNS($V$1006:Z1006),$V$1006:$AE$1006,0))&gt;=100000), " ",IF(INDEX($V$2:$AE$1001,MATCH(ROWS($O$2:O286),$O$2:$O$1001,0),MATCH(COLUMNS($V$1006:Z1006),$V$1006:$AE$1006,0)), HYPERLINK("#",""), HYPERLINK(CONCATENATE("#Metadata!", ADDRESS(INDEX($Q$2:$Q$1001,MATCH(ROWS($O$2:O286),$O$2:$O$1001,0),0), INDEX($V$1004:$AE$1004,1,MATCH(COLUMNS($V$1006:Z1006),$V$1006:$AE$1006,0)))),"Fix")))</f>
        <v>0</v>
      </c>
      <c r="G286" s="3">
        <f>IF(OR(INDEX($P$2:$P$1001,MATCH(ROWS($O$2:O286),$O$2:$O$1001,0),1)&gt;=100000,INDEX($V$1005:$AE$1005,1,MATCH(COLUMNS($V$1006:AA1006),$V$1006:$AE$1006,0))&gt;=100000), " ",IF(INDEX($V$2:$AE$1001,MATCH(ROWS($O$2:O286),$O$2:$O$1001,0),MATCH(COLUMNS($V$1006:AA1006),$V$1006:$AE$1006,0)), HYPERLINK("#",""), HYPERLINK(CONCATENATE("#Metadata!", ADDRESS(INDEX($Q$2:$Q$1001,MATCH(ROWS($O$2:O286),$O$2:$O$1001,0),0), INDEX($V$1004:$AE$1004,1,MATCH(COLUMNS($V$1006:AA1006),$V$1006:$AE$1006,0)))),"Fix")))</f>
        <v>0</v>
      </c>
      <c r="H286" s="3">
        <f>IF(OR(INDEX($P$2:$P$1001,MATCH(ROWS($O$2:O286),$O$2:$O$1001,0),1)&gt;=100000,INDEX($V$1005:$AE$1005,1,MATCH(COLUMNS($V$1006:AB1006),$V$1006:$AE$1006,0))&gt;=100000), " ",IF(INDEX($V$2:$AE$1001,MATCH(ROWS($O$2:O286),$O$2:$O$1001,0),MATCH(COLUMNS($V$1006:AB1006),$V$1006:$AE$1006,0)), HYPERLINK("#",""), HYPERLINK(CONCATENATE("#Metadata!", ADDRESS(INDEX($Q$2:$Q$1001,MATCH(ROWS($O$2:O286),$O$2:$O$1001,0),0), INDEX($V$1004:$AE$1004,1,MATCH(COLUMNS($V$1006:AB1006),$V$1006:$AE$1006,0)))),"Fix")))</f>
        <v>0</v>
      </c>
      <c r="I286" s="3">
        <f>IF(OR(INDEX($P$2:$P$1001,MATCH(ROWS($O$2:O286),$O$2:$O$1001,0),1)&gt;=100000,INDEX($V$1005:$AE$1005,1,MATCH(COLUMNS($V$1006:AC1006),$V$1006:$AE$1006,0))&gt;=100000), " ",IF(INDEX($V$2:$AE$1001,MATCH(ROWS($O$2:O286),$O$2:$O$1001,0),MATCH(COLUMNS($V$1006:AC1006),$V$1006:$AE$1006,0)), HYPERLINK("#",""), HYPERLINK(CONCATENATE("#Metadata!", ADDRESS(INDEX($Q$2:$Q$1001,MATCH(ROWS($O$2:O286),$O$2:$O$1001,0),0), INDEX($V$1004:$AE$1004,1,MATCH(COLUMNS($V$1006:AC1006),$V$1006:$AE$1006,0)))),"Fix")))</f>
        <v>0</v>
      </c>
      <c r="J286" s="3">
        <f>IF(OR(INDEX($P$2:$P$1001,MATCH(ROWS($O$2:O286),$O$2:$O$1001,0),1)&gt;=100000,INDEX($V$1005:$AE$1005,1,MATCH(COLUMNS($V$1006:AD1006),$V$1006:$AE$1006,0))&gt;=100000), " ",IF(INDEX($V$2:$AE$1001,MATCH(ROWS($O$2:O286),$O$2:$O$1001,0),MATCH(COLUMNS($V$1006:AD1006),$V$1006:$AE$1006,0)), HYPERLINK("#",""), HYPERLINK(CONCATENATE("#Metadata!", ADDRESS(INDEX($Q$2:$Q$1001,MATCH(ROWS($O$2:O286),$O$2:$O$1001,0),0), INDEX($V$1004:$AE$1004,1,MATCH(COLUMNS($V$1006:AD1006),$V$1006:$AE$1006,0)))),"Fix")))</f>
        <v>0</v>
      </c>
      <c r="K286" s="3">
        <f>IF(OR(INDEX($P$2:$P$1001,MATCH(ROWS($O$2:O286),$O$2:$O$1001,0),1)&gt;=100000,INDEX($V$1005:$AE$1005,1,MATCH(COLUMNS($V$1006:AE1006),$V$1006:$AE$1006,0))&gt;=100000), " ",IF(INDEX($V$2:$AE$1001,MATCH(ROWS($O$2:O286),$O$2:$O$1001,0),MATCH(COLUMNS($V$1006:AE1006),$V$1006:$AE$1006,0)), HYPERLINK("#",""), HYPERLINK(CONCATENATE("#Metadata!", ADDRESS(INDEX($Q$2:$Q$1001,MATCH(ROWS($O$2:O286),$O$2:$O$1001,0),0), INDEX($V$1004:$AE$1004,1,MATCH(COLUMNS($V$1006:AE1006),$V$1006:$AE$1006,0)))),"Fix")))</f>
        <v>0</v>
      </c>
      <c r="O286">
        <v>0</v>
      </c>
      <c r="P286">
        <v>0</v>
      </c>
      <c r="Q286">
        <v>0</v>
      </c>
      <c r="R286">
        <f>IF(S286,TRUE,AND(V286:AE286))</f>
        <v>0</v>
      </c>
      <c r="S286">
        <f>COUNTBLANK(Metadata!B286:K286)=COLUMNS(Metadata!B286:K286)</f>
        <v>0</v>
      </c>
      <c r="T286">
        <v>0</v>
      </c>
      <c r="V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W286">
        <f>AND(IF(Metadata!C286="",FALSE,TRUE),exact(Metadata!C286,"animal secretion"))</f>
        <v>0</v>
      </c>
      <c r="X286">
        <f>AND(IF(Metadata!D286="",FALSE,TRUE),exact(Metadata!D286,"saliva"))</f>
        <v>0</v>
      </c>
      <c r="Y286">
        <f>AND(IF(Metadata!E286="",FALSE,TRUE),exact(Metadata!E286,"human-oral"))</f>
        <v>0</v>
      </c>
      <c r="Z286">
        <f>AND(IF(Metadata!F286="",FALSE,TRUE),exact(Metadata!F286,"UBERON:oral cavity"))</f>
        <v>0</v>
      </c>
      <c r="AA286">
        <f>AND(IF(Metadata!G286="",FALSE,TRUE),exact(Metadata!G286,"UBERON:saliva"))</f>
        <v>0</v>
      </c>
      <c r="AB286">
        <f>AND(IF(Metadata!H286="",FALSE,TRUE),exact(Metadata!H286,"UBERON:tongue"))</f>
        <v>0</v>
      </c>
      <c r="AC286">
        <f>AND(IF(Metadata!I286="",FALSE,TRUE),exact(Metadata!I286,"tongue"))</f>
        <v>0</v>
      </c>
      <c r="AD286">
        <f>AND(IF(Metadata!J286="",FALSE,TRUE),exact(Metadata!J286,"human oral metagenome"))</f>
        <v>0</v>
      </c>
      <c r="AE286">
        <f>AND(IF(Metadata!K286="",FALSE,TRUE),exact(Metadata!K286,"447426"))</f>
        <v>0</v>
      </c>
    </row>
    <row r="287" spans="1:31">
      <c r="A287" s="4">
        <f>IF(B287=" "," ",HYPERLINK(CONCATENATE("#metadata!",ADDRESS(INDEX($Q$2:$Q$1001,MATCH(ROWS($O$2:O287),$O$2:$O$1001,0),0),1)),INDEX($T$2:$T$1001,MATCH(ROWS($O$2:O287),$O$2:$O$1001,0),0)))</f>
        <v>0</v>
      </c>
      <c r="B287" s="3">
        <f>IF(OR(INDEX($P$2:$P$1001,MATCH(ROWS($O$2:O287),$O$2:$O$1001,0),1)&gt;=100000,INDEX($V$1005:$AE$1005,1,MATCH(COLUMNS($V$1006:V1006),$V$1006:$AE$1006,0))&gt;=100000), " ",IF(INDEX($V$2:$AE$1001,MATCH(ROWS($O$2:O287),$O$2:$O$1001,0),MATCH(COLUMNS($V$1006:V1006),$V$1006:$AE$1006,0)), HYPERLINK("#",""), HYPERLINK(CONCATENATE("#Metadata!", ADDRESS(INDEX($Q$2:$Q$1001,MATCH(ROWS($O$2:O287),$O$2:$O$1001,0),0), INDEX($V$1004:$AE$1004,1,MATCH(COLUMNS($V$1006:V1006),$V$1006:$AE$1006,0)))),"Fix")))</f>
        <v>0</v>
      </c>
      <c r="C287" s="3">
        <f>IF(OR(INDEX($P$2:$P$1001,MATCH(ROWS($O$2:O287),$O$2:$O$1001,0),1)&gt;=100000,INDEX($V$1005:$AE$1005,1,MATCH(COLUMNS($V$1006:W1006),$V$1006:$AE$1006,0))&gt;=100000), " ",IF(INDEX($V$2:$AE$1001,MATCH(ROWS($O$2:O287),$O$2:$O$1001,0),MATCH(COLUMNS($V$1006:W1006),$V$1006:$AE$1006,0)), HYPERLINK("#",""), HYPERLINK(CONCATENATE("#Metadata!", ADDRESS(INDEX($Q$2:$Q$1001,MATCH(ROWS($O$2:O287),$O$2:$O$1001,0),0), INDEX($V$1004:$AE$1004,1,MATCH(COLUMNS($V$1006:W1006),$V$1006:$AE$1006,0)))),"Fix")))</f>
        <v>0</v>
      </c>
      <c r="D287" s="3">
        <f>IF(OR(INDEX($P$2:$P$1001,MATCH(ROWS($O$2:O287),$O$2:$O$1001,0),1)&gt;=100000,INDEX($V$1005:$AE$1005,1,MATCH(COLUMNS($V$1006:X1006),$V$1006:$AE$1006,0))&gt;=100000), " ",IF(INDEX($V$2:$AE$1001,MATCH(ROWS($O$2:O287),$O$2:$O$1001,0),MATCH(COLUMNS($V$1006:X1006),$V$1006:$AE$1006,0)), HYPERLINK("#",""), HYPERLINK(CONCATENATE("#Metadata!", ADDRESS(INDEX($Q$2:$Q$1001,MATCH(ROWS($O$2:O287),$O$2:$O$1001,0),0), INDEX($V$1004:$AE$1004,1,MATCH(COLUMNS($V$1006:X1006),$V$1006:$AE$1006,0)))),"Fix")))</f>
        <v>0</v>
      </c>
      <c r="E287" s="3">
        <f>IF(OR(INDEX($P$2:$P$1001,MATCH(ROWS($O$2:O287),$O$2:$O$1001,0),1)&gt;=100000,INDEX($V$1005:$AE$1005,1,MATCH(COLUMNS($V$1006:Y1006),$V$1006:$AE$1006,0))&gt;=100000), " ",IF(INDEX($V$2:$AE$1001,MATCH(ROWS($O$2:O287),$O$2:$O$1001,0),MATCH(COLUMNS($V$1006:Y1006),$V$1006:$AE$1006,0)), HYPERLINK("#",""), HYPERLINK(CONCATENATE("#Metadata!", ADDRESS(INDEX($Q$2:$Q$1001,MATCH(ROWS($O$2:O287),$O$2:$O$1001,0),0), INDEX($V$1004:$AE$1004,1,MATCH(COLUMNS($V$1006:Y1006),$V$1006:$AE$1006,0)))),"Fix")))</f>
        <v>0</v>
      </c>
      <c r="F287" s="3">
        <f>IF(OR(INDEX($P$2:$P$1001,MATCH(ROWS($O$2:O287),$O$2:$O$1001,0),1)&gt;=100000,INDEX($V$1005:$AE$1005,1,MATCH(COLUMNS($V$1006:Z1006),$V$1006:$AE$1006,0))&gt;=100000), " ",IF(INDEX($V$2:$AE$1001,MATCH(ROWS($O$2:O287),$O$2:$O$1001,0),MATCH(COLUMNS($V$1006:Z1006),$V$1006:$AE$1006,0)), HYPERLINK("#",""), HYPERLINK(CONCATENATE("#Metadata!", ADDRESS(INDEX($Q$2:$Q$1001,MATCH(ROWS($O$2:O287),$O$2:$O$1001,0),0), INDEX($V$1004:$AE$1004,1,MATCH(COLUMNS($V$1006:Z1006),$V$1006:$AE$1006,0)))),"Fix")))</f>
        <v>0</v>
      </c>
      <c r="G287" s="3">
        <f>IF(OR(INDEX($P$2:$P$1001,MATCH(ROWS($O$2:O287),$O$2:$O$1001,0),1)&gt;=100000,INDEX($V$1005:$AE$1005,1,MATCH(COLUMNS($V$1006:AA1006),$V$1006:$AE$1006,0))&gt;=100000), " ",IF(INDEX($V$2:$AE$1001,MATCH(ROWS($O$2:O287),$O$2:$O$1001,0),MATCH(COLUMNS($V$1006:AA1006),$V$1006:$AE$1006,0)), HYPERLINK("#",""), HYPERLINK(CONCATENATE("#Metadata!", ADDRESS(INDEX($Q$2:$Q$1001,MATCH(ROWS($O$2:O287),$O$2:$O$1001,0),0), INDEX($V$1004:$AE$1004,1,MATCH(COLUMNS($V$1006:AA1006),$V$1006:$AE$1006,0)))),"Fix")))</f>
        <v>0</v>
      </c>
      <c r="H287" s="3">
        <f>IF(OR(INDEX($P$2:$P$1001,MATCH(ROWS($O$2:O287),$O$2:$O$1001,0),1)&gt;=100000,INDEX($V$1005:$AE$1005,1,MATCH(COLUMNS($V$1006:AB1006),$V$1006:$AE$1006,0))&gt;=100000), " ",IF(INDEX($V$2:$AE$1001,MATCH(ROWS($O$2:O287),$O$2:$O$1001,0),MATCH(COLUMNS($V$1006:AB1006),$V$1006:$AE$1006,0)), HYPERLINK("#",""), HYPERLINK(CONCATENATE("#Metadata!", ADDRESS(INDEX($Q$2:$Q$1001,MATCH(ROWS($O$2:O287),$O$2:$O$1001,0),0), INDEX($V$1004:$AE$1004,1,MATCH(COLUMNS($V$1006:AB1006),$V$1006:$AE$1006,0)))),"Fix")))</f>
        <v>0</v>
      </c>
      <c r="I287" s="3">
        <f>IF(OR(INDEX($P$2:$P$1001,MATCH(ROWS($O$2:O287),$O$2:$O$1001,0),1)&gt;=100000,INDEX($V$1005:$AE$1005,1,MATCH(COLUMNS($V$1006:AC1006),$V$1006:$AE$1006,0))&gt;=100000), " ",IF(INDEX($V$2:$AE$1001,MATCH(ROWS($O$2:O287),$O$2:$O$1001,0),MATCH(COLUMNS($V$1006:AC1006),$V$1006:$AE$1006,0)), HYPERLINK("#",""), HYPERLINK(CONCATENATE("#Metadata!", ADDRESS(INDEX($Q$2:$Q$1001,MATCH(ROWS($O$2:O287),$O$2:$O$1001,0),0), INDEX($V$1004:$AE$1004,1,MATCH(COLUMNS($V$1006:AC1006),$V$1006:$AE$1006,0)))),"Fix")))</f>
        <v>0</v>
      </c>
      <c r="J287" s="3">
        <f>IF(OR(INDEX($P$2:$P$1001,MATCH(ROWS($O$2:O287),$O$2:$O$1001,0),1)&gt;=100000,INDEX($V$1005:$AE$1005,1,MATCH(COLUMNS($V$1006:AD1006),$V$1006:$AE$1006,0))&gt;=100000), " ",IF(INDEX($V$2:$AE$1001,MATCH(ROWS($O$2:O287),$O$2:$O$1001,0),MATCH(COLUMNS($V$1006:AD1006),$V$1006:$AE$1006,0)), HYPERLINK("#",""), HYPERLINK(CONCATENATE("#Metadata!", ADDRESS(INDEX($Q$2:$Q$1001,MATCH(ROWS($O$2:O287),$O$2:$O$1001,0),0), INDEX($V$1004:$AE$1004,1,MATCH(COLUMNS($V$1006:AD1006),$V$1006:$AE$1006,0)))),"Fix")))</f>
        <v>0</v>
      </c>
      <c r="K287" s="3">
        <f>IF(OR(INDEX($P$2:$P$1001,MATCH(ROWS($O$2:O287),$O$2:$O$1001,0),1)&gt;=100000,INDEX($V$1005:$AE$1005,1,MATCH(COLUMNS($V$1006:AE1006),$V$1006:$AE$1006,0))&gt;=100000), " ",IF(INDEX($V$2:$AE$1001,MATCH(ROWS($O$2:O287),$O$2:$O$1001,0),MATCH(COLUMNS($V$1006:AE1006),$V$1006:$AE$1006,0)), HYPERLINK("#",""), HYPERLINK(CONCATENATE("#Metadata!", ADDRESS(INDEX($Q$2:$Q$1001,MATCH(ROWS($O$2:O287),$O$2:$O$1001,0),0), INDEX($V$1004:$AE$1004,1,MATCH(COLUMNS($V$1006:AE1006),$V$1006:$AE$1006,0)))),"Fix")))</f>
        <v>0</v>
      </c>
      <c r="O287">
        <v>0</v>
      </c>
      <c r="P287">
        <v>0</v>
      </c>
      <c r="Q287">
        <v>0</v>
      </c>
      <c r="R287">
        <f>IF(S287,TRUE,AND(V287:AE287))</f>
        <v>0</v>
      </c>
      <c r="S287">
        <f>COUNTBLANK(Metadata!B287:K287)=COLUMNS(Metadata!B287:K287)</f>
        <v>0</v>
      </c>
      <c r="T287">
        <v>0</v>
      </c>
      <c r="V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W287">
        <f>AND(IF(Metadata!C287="",FALSE,TRUE),exact(Metadata!C287,"animal secretion"))</f>
        <v>0</v>
      </c>
      <c r="X287">
        <f>AND(IF(Metadata!D287="",FALSE,TRUE),exact(Metadata!D287,"saliva"))</f>
        <v>0</v>
      </c>
      <c r="Y287">
        <f>AND(IF(Metadata!E287="",FALSE,TRUE),exact(Metadata!E287,"human-oral"))</f>
        <v>0</v>
      </c>
      <c r="Z287">
        <f>AND(IF(Metadata!F287="",FALSE,TRUE),exact(Metadata!F287,"UBERON:oral cavity"))</f>
        <v>0</v>
      </c>
      <c r="AA287">
        <f>AND(IF(Metadata!G287="",FALSE,TRUE),exact(Metadata!G287,"UBERON:saliva"))</f>
        <v>0</v>
      </c>
      <c r="AB287">
        <f>AND(IF(Metadata!H287="",FALSE,TRUE),exact(Metadata!H287,"UBERON:tongue"))</f>
        <v>0</v>
      </c>
      <c r="AC287">
        <f>AND(IF(Metadata!I287="",FALSE,TRUE),exact(Metadata!I287,"tongue"))</f>
        <v>0</v>
      </c>
      <c r="AD287">
        <f>AND(IF(Metadata!J287="",FALSE,TRUE),exact(Metadata!J287,"human oral metagenome"))</f>
        <v>0</v>
      </c>
      <c r="AE287">
        <f>AND(IF(Metadata!K287="",FALSE,TRUE),exact(Metadata!K287,"447426"))</f>
        <v>0</v>
      </c>
    </row>
    <row r="288" spans="1:31">
      <c r="A288" s="4">
        <f>IF(B288=" "," ",HYPERLINK(CONCATENATE("#metadata!",ADDRESS(INDEX($Q$2:$Q$1001,MATCH(ROWS($O$2:O288),$O$2:$O$1001,0),0),1)),INDEX($T$2:$T$1001,MATCH(ROWS($O$2:O288),$O$2:$O$1001,0),0)))</f>
        <v>0</v>
      </c>
      <c r="B288" s="3">
        <f>IF(OR(INDEX($P$2:$P$1001,MATCH(ROWS($O$2:O288),$O$2:$O$1001,0),1)&gt;=100000,INDEX($V$1005:$AE$1005,1,MATCH(COLUMNS($V$1006:V1006),$V$1006:$AE$1006,0))&gt;=100000), " ",IF(INDEX($V$2:$AE$1001,MATCH(ROWS($O$2:O288),$O$2:$O$1001,0),MATCH(COLUMNS($V$1006:V1006),$V$1006:$AE$1006,0)), HYPERLINK("#",""), HYPERLINK(CONCATENATE("#Metadata!", ADDRESS(INDEX($Q$2:$Q$1001,MATCH(ROWS($O$2:O288),$O$2:$O$1001,0),0), INDEX($V$1004:$AE$1004,1,MATCH(COLUMNS($V$1006:V1006),$V$1006:$AE$1006,0)))),"Fix")))</f>
        <v>0</v>
      </c>
      <c r="C288" s="3">
        <f>IF(OR(INDEX($P$2:$P$1001,MATCH(ROWS($O$2:O288),$O$2:$O$1001,0),1)&gt;=100000,INDEX($V$1005:$AE$1005,1,MATCH(COLUMNS($V$1006:W1006),$V$1006:$AE$1006,0))&gt;=100000), " ",IF(INDEX($V$2:$AE$1001,MATCH(ROWS($O$2:O288),$O$2:$O$1001,0),MATCH(COLUMNS($V$1006:W1006),$V$1006:$AE$1006,0)), HYPERLINK("#",""), HYPERLINK(CONCATENATE("#Metadata!", ADDRESS(INDEX($Q$2:$Q$1001,MATCH(ROWS($O$2:O288),$O$2:$O$1001,0),0), INDEX($V$1004:$AE$1004,1,MATCH(COLUMNS($V$1006:W1006),$V$1006:$AE$1006,0)))),"Fix")))</f>
        <v>0</v>
      </c>
      <c r="D288" s="3">
        <f>IF(OR(INDEX($P$2:$P$1001,MATCH(ROWS($O$2:O288),$O$2:$O$1001,0),1)&gt;=100000,INDEX($V$1005:$AE$1005,1,MATCH(COLUMNS($V$1006:X1006),$V$1006:$AE$1006,0))&gt;=100000), " ",IF(INDEX($V$2:$AE$1001,MATCH(ROWS($O$2:O288),$O$2:$O$1001,0),MATCH(COLUMNS($V$1006:X1006),$V$1006:$AE$1006,0)), HYPERLINK("#",""), HYPERLINK(CONCATENATE("#Metadata!", ADDRESS(INDEX($Q$2:$Q$1001,MATCH(ROWS($O$2:O288),$O$2:$O$1001,0),0), INDEX($V$1004:$AE$1004,1,MATCH(COLUMNS($V$1006:X1006),$V$1006:$AE$1006,0)))),"Fix")))</f>
        <v>0</v>
      </c>
      <c r="E288" s="3">
        <f>IF(OR(INDEX($P$2:$P$1001,MATCH(ROWS($O$2:O288),$O$2:$O$1001,0),1)&gt;=100000,INDEX($V$1005:$AE$1005,1,MATCH(COLUMNS($V$1006:Y1006),$V$1006:$AE$1006,0))&gt;=100000), " ",IF(INDEX($V$2:$AE$1001,MATCH(ROWS($O$2:O288),$O$2:$O$1001,0),MATCH(COLUMNS($V$1006:Y1006),$V$1006:$AE$1006,0)), HYPERLINK("#",""), HYPERLINK(CONCATENATE("#Metadata!", ADDRESS(INDEX($Q$2:$Q$1001,MATCH(ROWS($O$2:O288),$O$2:$O$1001,0),0), INDEX($V$1004:$AE$1004,1,MATCH(COLUMNS($V$1006:Y1006),$V$1006:$AE$1006,0)))),"Fix")))</f>
        <v>0</v>
      </c>
      <c r="F288" s="3">
        <f>IF(OR(INDEX($P$2:$P$1001,MATCH(ROWS($O$2:O288),$O$2:$O$1001,0),1)&gt;=100000,INDEX($V$1005:$AE$1005,1,MATCH(COLUMNS($V$1006:Z1006),$V$1006:$AE$1006,0))&gt;=100000), " ",IF(INDEX($V$2:$AE$1001,MATCH(ROWS($O$2:O288),$O$2:$O$1001,0),MATCH(COLUMNS($V$1006:Z1006),$V$1006:$AE$1006,0)), HYPERLINK("#",""), HYPERLINK(CONCATENATE("#Metadata!", ADDRESS(INDEX($Q$2:$Q$1001,MATCH(ROWS($O$2:O288),$O$2:$O$1001,0),0), INDEX($V$1004:$AE$1004,1,MATCH(COLUMNS($V$1006:Z1006),$V$1006:$AE$1006,0)))),"Fix")))</f>
        <v>0</v>
      </c>
      <c r="G288" s="3">
        <f>IF(OR(INDEX($P$2:$P$1001,MATCH(ROWS($O$2:O288),$O$2:$O$1001,0),1)&gt;=100000,INDEX($V$1005:$AE$1005,1,MATCH(COLUMNS($V$1006:AA1006),$V$1006:$AE$1006,0))&gt;=100000), " ",IF(INDEX($V$2:$AE$1001,MATCH(ROWS($O$2:O288),$O$2:$O$1001,0),MATCH(COLUMNS($V$1006:AA1006),$V$1006:$AE$1006,0)), HYPERLINK("#",""), HYPERLINK(CONCATENATE("#Metadata!", ADDRESS(INDEX($Q$2:$Q$1001,MATCH(ROWS($O$2:O288),$O$2:$O$1001,0),0), INDEX($V$1004:$AE$1004,1,MATCH(COLUMNS($V$1006:AA1006),$V$1006:$AE$1006,0)))),"Fix")))</f>
        <v>0</v>
      </c>
      <c r="H288" s="3">
        <f>IF(OR(INDEX($P$2:$P$1001,MATCH(ROWS($O$2:O288),$O$2:$O$1001,0),1)&gt;=100000,INDEX($V$1005:$AE$1005,1,MATCH(COLUMNS($V$1006:AB1006),$V$1006:$AE$1006,0))&gt;=100000), " ",IF(INDEX($V$2:$AE$1001,MATCH(ROWS($O$2:O288),$O$2:$O$1001,0),MATCH(COLUMNS($V$1006:AB1006),$V$1006:$AE$1006,0)), HYPERLINK("#",""), HYPERLINK(CONCATENATE("#Metadata!", ADDRESS(INDEX($Q$2:$Q$1001,MATCH(ROWS($O$2:O288),$O$2:$O$1001,0),0), INDEX($V$1004:$AE$1004,1,MATCH(COLUMNS($V$1006:AB1006),$V$1006:$AE$1006,0)))),"Fix")))</f>
        <v>0</v>
      </c>
      <c r="I288" s="3">
        <f>IF(OR(INDEX($P$2:$P$1001,MATCH(ROWS($O$2:O288),$O$2:$O$1001,0),1)&gt;=100000,INDEX($V$1005:$AE$1005,1,MATCH(COLUMNS($V$1006:AC1006),$V$1006:$AE$1006,0))&gt;=100000), " ",IF(INDEX($V$2:$AE$1001,MATCH(ROWS($O$2:O288),$O$2:$O$1001,0),MATCH(COLUMNS($V$1006:AC1006),$V$1006:$AE$1006,0)), HYPERLINK("#",""), HYPERLINK(CONCATENATE("#Metadata!", ADDRESS(INDEX($Q$2:$Q$1001,MATCH(ROWS($O$2:O288),$O$2:$O$1001,0),0), INDEX($V$1004:$AE$1004,1,MATCH(COLUMNS($V$1006:AC1006),$V$1006:$AE$1006,0)))),"Fix")))</f>
        <v>0</v>
      </c>
      <c r="J288" s="3">
        <f>IF(OR(INDEX($P$2:$P$1001,MATCH(ROWS($O$2:O288),$O$2:$O$1001,0),1)&gt;=100000,INDEX($V$1005:$AE$1005,1,MATCH(COLUMNS($V$1006:AD1006),$V$1006:$AE$1006,0))&gt;=100000), " ",IF(INDEX($V$2:$AE$1001,MATCH(ROWS($O$2:O288),$O$2:$O$1001,0),MATCH(COLUMNS($V$1006:AD1006),$V$1006:$AE$1006,0)), HYPERLINK("#",""), HYPERLINK(CONCATENATE("#Metadata!", ADDRESS(INDEX($Q$2:$Q$1001,MATCH(ROWS($O$2:O288),$O$2:$O$1001,0),0), INDEX($V$1004:$AE$1004,1,MATCH(COLUMNS($V$1006:AD1006),$V$1006:$AE$1006,0)))),"Fix")))</f>
        <v>0</v>
      </c>
      <c r="K288" s="3">
        <f>IF(OR(INDEX($P$2:$P$1001,MATCH(ROWS($O$2:O288),$O$2:$O$1001,0),1)&gt;=100000,INDEX($V$1005:$AE$1005,1,MATCH(COLUMNS($V$1006:AE1006),$V$1006:$AE$1006,0))&gt;=100000), " ",IF(INDEX($V$2:$AE$1001,MATCH(ROWS($O$2:O288),$O$2:$O$1001,0),MATCH(COLUMNS($V$1006:AE1006),$V$1006:$AE$1006,0)), HYPERLINK("#",""), HYPERLINK(CONCATENATE("#Metadata!", ADDRESS(INDEX($Q$2:$Q$1001,MATCH(ROWS($O$2:O288),$O$2:$O$1001,0),0), INDEX($V$1004:$AE$1004,1,MATCH(COLUMNS($V$1006:AE1006),$V$1006:$AE$1006,0)))),"Fix")))</f>
        <v>0</v>
      </c>
      <c r="O288">
        <v>0</v>
      </c>
      <c r="P288">
        <v>0</v>
      </c>
      <c r="Q288">
        <v>0</v>
      </c>
      <c r="R288">
        <f>IF(S288,TRUE,AND(V288:AE288))</f>
        <v>0</v>
      </c>
      <c r="S288">
        <f>COUNTBLANK(Metadata!B288:K288)=COLUMNS(Metadata!B288:K288)</f>
        <v>0</v>
      </c>
      <c r="T288">
        <v>0</v>
      </c>
      <c r="V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W288">
        <f>AND(IF(Metadata!C288="",FALSE,TRUE),exact(Metadata!C288,"animal secretion"))</f>
        <v>0</v>
      </c>
      <c r="X288">
        <f>AND(IF(Metadata!D288="",FALSE,TRUE),exact(Metadata!D288,"saliva"))</f>
        <v>0</v>
      </c>
      <c r="Y288">
        <f>AND(IF(Metadata!E288="",FALSE,TRUE),exact(Metadata!E288,"human-oral"))</f>
        <v>0</v>
      </c>
      <c r="Z288">
        <f>AND(IF(Metadata!F288="",FALSE,TRUE),exact(Metadata!F288,"UBERON:oral cavity"))</f>
        <v>0</v>
      </c>
      <c r="AA288">
        <f>AND(IF(Metadata!G288="",FALSE,TRUE),exact(Metadata!G288,"UBERON:saliva"))</f>
        <v>0</v>
      </c>
      <c r="AB288">
        <f>AND(IF(Metadata!H288="",FALSE,TRUE),exact(Metadata!H288,"UBERON:tongue"))</f>
        <v>0</v>
      </c>
      <c r="AC288">
        <f>AND(IF(Metadata!I288="",FALSE,TRUE),exact(Metadata!I288,"tongue"))</f>
        <v>0</v>
      </c>
      <c r="AD288">
        <f>AND(IF(Metadata!J288="",FALSE,TRUE),exact(Metadata!J288,"human oral metagenome"))</f>
        <v>0</v>
      </c>
      <c r="AE288">
        <f>AND(IF(Metadata!K288="",FALSE,TRUE),exact(Metadata!K288,"447426"))</f>
        <v>0</v>
      </c>
    </row>
    <row r="289" spans="1:31">
      <c r="A289" s="4">
        <f>IF(B289=" "," ",HYPERLINK(CONCATENATE("#metadata!",ADDRESS(INDEX($Q$2:$Q$1001,MATCH(ROWS($O$2:O289),$O$2:$O$1001,0),0),1)),INDEX($T$2:$T$1001,MATCH(ROWS($O$2:O289),$O$2:$O$1001,0),0)))</f>
        <v>0</v>
      </c>
      <c r="B289" s="3">
        <f>IF(OR(INDEX($P$2:$P$1001,MATCH(ROWS($O$2:O289),$O$2:$O$1001,0),1)&gt;=100000,INDEX($V$1005:$AE$1005,1,MATCH(COLUMNS($V$1006:V1006),$V$1006:$AE$1006,0))&gt;=100000), " ",IF(INDEX($V$2:$AE$1001,MATCH(ROWS($O$2:O289),$O$2:$O$1001,0),MATCH(COLUMNS($V$1006:V1006),$V$1006:$AE$1006,0)), HYPERLINK("#",""), HYPERLINK(CONCATENATE("#Metadata!", ADDRESS(INDEX($Q$2:$Q$1001,MATCH(ROWS($O$2:O289),$O$2:$O$1001,0),0), INDEX($V$1004:$AE$1004,1,MATCH(COLUMNS($V$1006:V1006),$V$1006:$AE$1006,0)))),"Fix")))</f>
        <v>0</v>
      </c>
      <c r="C289" s="3">
        <f>IF(OR(INDEX($P$2:$P$1001,MATCH(ROWS($O$2:O289),$O$2:$O$1001,0),1)&gt;=100000,INDEX($V$1005:$AE$1005,1,MATCH(COLUMNS($V$1006:W1006),$V$1006:$AE$1006,0))&gt;=100000), " ",IF(INDEX($V$2:$AE$1001,MATCH(ROWS($O$2:O289),$O$2:$O$1001,0),MATCH(COLUMNS($V$1006:W1006),$V$1006:$AE$1006,0)), HYPERLINK("#",""), HYPERLINK(CONCATENATE("#Metadata!", ADDRESS(INDEX($Q$2:$Q$1001,MATCH(ROWS($O$2:O289),$O$2:$O$1001,0),0), INDEX($V$1004:$AE$1004,1,MATCH(COLUMNS($V$1006:W1006),$V$1006:$AE$1006,0)))),"Fix")))</f>
        <v>0</v>
      </c>
      <c r="D289" s="3">
        <f>IF(OR(INDEX($P$2:$P$1001,MATCH(ROWS($O$2:O289),$O$2:$O$1001,0),1)&gt;=100000,INDEX($V$1005:$AE$1005,1,MATCH(COLUMNS($V$1006:X1006),$V$1006:$AE$1006,0))&gt;=100000), " ",IF(INDEX($V$2:$AE$1001,MATCH(ROWS($O$2:O289),$O$2:$O$1001,0),MATCH(COLUMNS($V$1006:X1006),$V$1006:$AE$1006,0)), HYPERLINK("#",""), HYPERLINK(CONCATENATE("#Metadata!", ADDRESS(INDEX($Q$2:$Q$1001,MATCH(ROWS($O$2:O289),$O$2:$O$1001,0),0), INDEX($V$1004:$AE$1004,1,MATCH(COLUMNS($V$1006:X1006),$V$1006:$AE$1006,0)))),"Fix")))</f>
        <v>0</v>
      </c>
      <c r="E289" s="3">
        <f>IF(OR(INDEX($P$2:$P$1001,MATCH(ROWS($O$2:O289),$O$2:$O$1001,0),1)&gt;=100000,INDEX($V$1005:$AE$1005,1,MATCH(COLUMNS($V$1006:Y1006),$V$1006:$AE$1006,0))&gt;=100000), " ",IF(INDEX($V$2:$AE$1001,MATCH(ROWS($O$2:O289),$O$2:$O$1001,0),MATCH(COLUMNS($V$1006:Y1006),$V$1006:$AE$1006,0)), HYPERLINK("#",""), HYPERLINK(CONCATENATE("#Metadata!", ADDRESS(INDEX($Q$2:$Q$1001,MATCH(ROWS($O$2:O289),$O$2:$O$1001,0),0), INDEX($V$1004:$AE$1004,1,MATCH(COLUMNS($V$1006:Y1006),$V$1006:$AE$1006,0)))),"Fix")))</f>
        <v>0</v>
      </c>
      <c r="F289" s="3">
        <f>IF(OR(INDEX($P$2:$P$1001,MATCH(ROWS($O$2:O289),$O$2:$O$1001,0),1)&gt;=100000,INDEX($V$1005:$AE$1005,1,MATCH(COLUMNS($V$1006:Z1006),$V$1006:$AE$1006,0))&gt;=100000), " ",IF(INDEX($V$2:$AE$1001,MATCH(ROWS($O$2:O289),$O$2:$O$1001,0),MATCH(COLUMNS($V$1006:Z1006),$V$1006:$AE$1006,0)), HYPERLINK("#",""), HYPERLINK(CONCATENATE("#Metadata!", ADDRESS(INDEX($Q$2:$Q$1001,MATCH(ROWS($O$2:O289),$O$2:$O$1001,0),0), INDEX($V$1004:$AE$1004,1,MATCH(COLUMNS($V$1006:Z1006),$V$1006:$AE$1006,0)))),"Fix")))</f>
        <v>0</v>
      </c>
      <c r="G289" s="3">
        <f>IF(OR(INDEX($P$2:$P$1001,MATCH(ROWS($O$2:O289),$O$2:$O$1001,0),1)&gt;=100000,INDEX($V$1005:$AE$1005,1,MATCH(COLUMNS($V$1006:AA1006),$V$1006:$AE$1006,0))&gt;=100000), " ",IF(INDEX($V$2:$AE$1001,MATCH(ROWS($O$2:O289),$O$2:$O$1001,0),MATCH(COLUMNS($V$1006:AA1006),$V$1006:$AE$1006,0)), HYPERLINK("#",""), HYPERLINK(CONCATENATE("#Metadata!", ADDRESS(INDEX($Q$2:$Q$1001,MATCH(ROWS($O$2:O289),$O$2:$O$1001,0),0), INDEX($V$1004:$AE$1004,1,MATCH(COLUMNS($V$1006:AA1006),$V$1006:$AE$1006,0)))),"Fix")))</f>
        <v>0</v>
      </c>
      <c r="H289" s="3">
        <f>IF(OR(INDEX($P$2:$P$1001,MATCH(ROWS($O$2:O289),$O$2:$O$1001,0),1)&gt;=100000,INDEX($V$1005:$AE$1005,1,MATCH(COLUMNS($V$1006:AB1006),$V$1006:$AE$1006,0))&gt;=100000), " ",IF(INDEX($V$2:$AE$1001,MATCH(ROWS($O$2:O289),$O$2:$O$1001,0),MATCH(COLUMNS($V$1006:AB1006),$V$1006:$AE$1006,0)), HYPERLINK("#",""), HYPERLINK(CONCATENATE("#Metadata!", ADDRESS(INDEX($Q$2:$Q$1001,MATCH(ROWS($O$2:O289),$O$2:$O$1001,0),0), INDEX($V$1004:$AE$1004,1,MATCH(COLUMNS($V$1006:AB1006),$V$1006:$AE$1006,0)))),"Fix")))</f>
        <v>0</v>
      </c>
      <c r="I289" s="3">
        <f>IF(OR(INDEX($P$2:$P$1001,MATCH(ROWS($O$2:O289),$O$2:$O$1001,0),1)&gt;=100000,INDEX($V$1005:$AE$1005,1,MATCH(COLUMNS($V$1006:AC1006),$V$1006:$AE$1006,0))&gt;=100000), " ",IF(INDEX($V$2:$AE$1001,MATCH(ROWS($O$2:O289),$O$2:$O$1001,0),MATCH(COLUMNS($V$1006:AC1006),$V$1006:$AE$1006,0)), HYPERLINK("#",""), HYPERLINK(CONCATENATE("#Metadata!", ADDRESS(INDEX($Q$2:$Q$1001,MATCH(ROWS($O$2:O289),$O$2:$O$1001,0),0), INDEX($V$1004:$AE$1004,1,MATCH(COLUMNS($V$1006:AC1006),$V$1006:$AE$1006,0)))),"Fix")))</f>
        <v>0</v>
      </c>
      <c r="J289" s="3">
        <f>IF(OR(INDEX($P$2:$P$1001,MATCH(ROWS($O$2:O289),$O$2:$O$1001,0),1)&gt;=100000,INDEX($V$1005:$AE$1005,1,MATCH(COLUMNS($V$1006:AD1006),$V$1006:$AE$1006,0))&gt;=100000), " ",IF(INDEX($V$2:$AE$1001,MATCH(ROWS($O$2:O289),$O$2:$O$1001,0),MATCH(COLUMNS($V$1006:AD1006),$V$1006:$AE$1006,0)), HYPERLINK("#",""), HYPERLINK(CONCATENATE("#Metadata!", ADDRESS(INDEX($Q$2:$Q$1001,MATCH(ROWS($O$2:O289),$O$2:$O$1001,0),0), INDEX($V$1004:$AE$1004,1,MATCH(COLUMNS($V$1006:AD1006),$V$1006:$AE$1006,0)))),"Fix")))</f>
        <v>0</v>
      </c>
      <c r="K289" s="3">
        <f>IF(OR(INDEX($P$2:$P$1001,MATCH(ROWS($O$2:O289),$O$2:$O$1001,0),1)&gt;=100000,INDEX($V$1005:$AE$1005,1,MATCH(COLUMNS($V$1006:AE1006),$V$1006:$AE$1006,0))&gt;=100000), " ",IF(INDEX($V$2:$AE$1001,MATCH(ROWS($O$2:O289),$O$2:$O$1001,0),MATCH(COLUMNS($V$1006:AE1006),$V$1006:$AE$1006,0)), HYPERLINK("#",""), HYPERLINK(CONCATENATE("#Metadata!", ADDRESS(INDEX($Q$2:$Q$1001,MATCH(ROWS($O$2:O289),$O$2:$O$1001,0),0), INDEX($V$1004:$AE$1004,1,MATCH(COLUMNS($V$1006:AE1006),$V$1006:$AE$1006,0)))),"Fix")))</f>
        <v>0</v>
      </c>
      <c r="O289">
        <v>0</v>
      </c>
      <c r="P289">
        <v>0</v>
      </c>
      <c r="Q289">
        <v>0</v>
      </c>
      <c r="R289">
        <f>IF(S289,TRUE,AND(V289:AE289))</f>
        <v>0</v>
      </c>
      <c r="S289">
        <f>COUNTBLANK(Metadata!B289:K289)=COLUMNS(Metadata!B289:K289)</f>
        <v>0</v>
      </c>
      <c r="T289">
        <v>0</v>
      </c>
      <c r="V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W289">
        <f>AND(IF(Metadata!C289="",FALSE,TRUE),exact(Metadata!C289,"animal secretion"))</f>
        <v>0</v>
      </c>
      <c r="X289">
        <f>AND(IF(Metadata!D289="",FALSE,TRUE),exact(Metadata!D289,"saliva"))</f>
        <v>0</v>
      </c>
      <c r="Y289">
        <f>AND(IF(Metadata!E289="",FALSE,TRUE),exact(Metadata!E289,"human-oral"))</f>
        <v>0</v>
      </c>
      <c r="Z289">
        <f>AND(IF(Metadata!F289="",FALSE,TRUE),exact(Metadata!F289,"UBERON:oral cavity"))</f>
        <v>0</v>
      </c>
      <c r="AA289">
        <f>AND(IF(Metadata!G289="",FALSE,TRUE),exact(Metadata!G289,"UBERON:saliva"))</f>
        <v>0</v>
      </c>
      <c r="AB289">
        <f>AND(IF(Metadata!H289="",FALSE,TRUE),exact(Metadata!H289,"UBERON:tongue"))</f>
        <v>0</v>
      </c>
      <c r="AC289">
        <f>AND(IF(Metadata!I289="",FALSE,TRUE),exact(Metadata!I289,"tongue"))</f>
        <v>0</v>
      </c>
      <c r="AD289">
        <f>AND(IF(Metadata!J289="",FALSE,TRUE),exact(Metadata!J289,"human oral metagenome"))</f>
        <v>0</v>
      </c>
      <c r="AE289">
        <f>AND(IF(Metadata!K289="",FALSE,TRUE),exact(Metadata!K289,"447426"))</f>
        <v>0</v>
      </c>
    </row>
    <row r="290" spans="1:31">
      <c r="A290" s="4">
        <f>IF(B290=" "," ",HYPERLINK(CONCATENATE("#metadata!",ADDRESS(INDEX($Q$2:$Q$1001,MATCH(ROWS($O$2:O290),$O$2:$O$1001,0),0),1)),INDEX($T$2:$T$1001,MATCH(ROWS($O$2:O290),$O$2:$O$1001,0),0)))</f>
        <v>0</v>
      </c>
      <c r="B290" s="3">
        <f>IF(OR(INDEX($P$2:$P$1001,MATCH(ROWS($O$2:O290),$O$2:$O$1001,0),1)&gt;=100000,INDEX($V$1005:$AE$1005,1,MATCH(COLUMNS($V$1006:V1006),$V$1006:$AE$1006,0))&gt;=100000), " ",IF(INDEX($V$2:$AE$1001,MATCH(ROWS($O$2:O290),$O$2:$O$1001,0),MATCH(COLUMNS($V$1006:V1006),$V$1006:$AE$1006,0)), HYPERLINK("#",""), HYPERLINK(CONCATENATE("#Metadata!", ADDRESS(INDEX($Q$2:$Q$1001,MATCH(ROWS($O$2:O290),$O$2:$O$1001,0),0), INDEX($V$1004:$AE$1004,1,MATCH(COLUMNS($V$1006:V1006),$V$1006:$AE$1006,0)))),"Fix")))</f>
        <v>0</v>
      </c>
      <c r="C290" s="3">
        <f>IF(OR(INDEX($P$2:$P$1001,MATCH(ROWS($O$2:O290),$O$2:$O$1001,0),1)&gt;=100000,INDEX($V$1005:$AE$1005,1,MATCH(COLUMNS($V$1006:W1006),$V$1006:$AE$1006,0))&gt;=100000), " ",IF(INDEX($V$2:$AE$1001,MATCH(ROWS($O$2:O290),$O$2:$O$1001,0),MATCH(COLUMNS($V$1006:W1006),$V$1006:$AE$1006,0)), HYPERLINK("#",""), HYPERLINK(CONCATENATE("#Metadata!", ADDRESS(INDEX($Q$2:$Q$1001,MATCH(ROWS($O$2:O290),$O$2:$O$1001,0),0), INDEX($V$1004:$AE$1004,1,MATCH(COLUMNS($V$1006:W1006),$V$1006:$AE$1006,0)))),"Fix")))</f>
        <v>0</v>
      </c>
      <c r="D290" s="3">
        <f>IF(OR(INDEX($P$2:$P$1001,MATCH(ROWS($O$2:O290),$O$2:$O$1001,0),1)&gt;=100000,INDEX($V$1005:$AE$1005,1,MATCH(COLUMNS($V$1006:X1006),$V$1006:$AE$1006,0))&gt;=100000), " ",IF(INDEX($V$2:$AE$1001,MATCH(ROWS($O$2:O290),$O$2:$O$1001,0),MATCH(COLUMNS($V$1006:X1006),$V$1006:$AE$1006,0)), HYPERLINK("#",""), HYPERLINK(CONCATENATE("#Metadata!", ADDRESS(INDEX($Q$2:$Q$1001,MATCH(ROWS($O$2:O290),$O$2:$O$1001,0),0), INDEX($V$1004:$AE$1004,1,MATCH(COLUMNS($V$1006:X1006),$V$1006:$AE$1006,0)))),"Fix")))</f>
        <v>0</v>
      </c>
      <c r="E290" s="3">
        <f>IF(OR(INDEX($P$2:$P$1001,MATCH(ROWS($O$2:O290),$O$2:$O$1001,0),1)&gt;=100000,INDEX($V$1005:$AE$1005,1,MATCH(COLUMNS($V$1006:Y1006),$V$1006:$AE$1006,0))&gt;=100000), " ",IF(INDEX($V$2:$AE$1001,MATCH(ROWS($O$2:O290),$O$2:$O$1001,0),MATCH(COLUMNS($V$1006:Y1006),$V$1006:$AE$1006,0)), HYPERLINK("#",""), HYPERLINK(CONCATENATE("#Metadata!", ADDRESS(INDEX($Q$2:$Q$1001,MATCH(ROWS($O$2:O290),$O$2:$O$1001,0),0), INDEX($V$1004:$AE$1004,1,MATCH(COLUMNS($V$1006:Y1006),$V$1006:$AE$1006,0)))),"Fix")))</f>
        <v>0</v>
      </c>
      <c r="F290" s="3">
        <f>IF(OR(INDEX($P$2:$P$1001,MATCH(ROWS($O$2:O290),$O$2:$O$1001,0),1)&gt;=100000,INDEX($V$1005:$AE$1005,1,MATCH(COLUMNS($V$1006:Z1006),$V$1006:$AE$1006,0))&gt;=100000), " ",IF(INDEX($V$2:$AE$1001,MATCH(ROWS($O$2:O290),$O$2:$O$1001,0),MATCH(COLUMNS($V$1006:Z1006),$V$1006:$AE$1006,0)), HYPERLINK("#",""), HYPERLINK(CONCATENATE("#Metadata!", ADDRESS(INDEX($Q$2:$Q$1001,MATCH(ROWS($O$2:O290),$O$2:$O$1001,0),0), INDEX($V$1004:$AE$1004,1,MATCH(COLUMNS($V$1006:Z1006),$V$1006:$AE$1006,0)))),"Fix")))</f>
        <v>0</v>
      </c>
      <c r="G290" s="3">
        <f>IF(OR(INDEX($P$2:$P$1001,MATCH(ROWS($O$2:O290),$O$2:$O$1001,0),1)&gt;=100000,INDEX($V$1005:$AE$1005,1,MATCH(COLUMNS($V$1006:AA1006),$V$1006:$AE$1006,0))&gt;=100000), " ",IF(INDEX($V$2:$AE$1001,MATCH(ROWS($O$2:O290),$O$2:$O$1001,0),MATCH(COLUMNS($V$1006:AA1006),$V$1006:$AE$1006,0)), HYPERLINK("#",""), HYPERLINK(CONCATENATE("#Metadata!", ADDRESS(INDEX($Q$2:$Q$1001,MATCH(ROWS($O$2:O290),$O$2:$O$1001,0),0), INDEX($V$1004:$AE$1004,1,MATCH(COLUMNS($V$1006:AA1006),$V$1006:$AE$1006,0)))),"Fix")))</f>
        <v>0</v>
      </c>
      <c r="H290" s="3">
        <f>IF(OR(INDEX($P$2:$P$1001,MATCH(ROWS($O$2:O290),$O$2:$O$1001,0),1)&gt;=100000,INDEX($V$1005:$AE$1005,1,MATCH(COLUMNS($V$1006:AB1006),$V$1006:$AE$1006,0))&gt;=100000), " ",IF(INDEX($V$2:$AE$1001,MATCH(ROWS($O$2:O290),$O$2:$O$1001,0),MATCH(COLUMNS($V$1006:AB1006),$V$1006:$AE$1006,0)), HYPERLINK("#",""), HYPERLINK(CONCATENATE("#Metadata!", ADDRESS(INDEX($Q$2:$Q$1001,MATCH(ROWS($O$2:O290),$O$2:$O$1001,0),0), INDEX($V$1004:$AE$1004,1,MATCH(COLUMNS($V$1006:AB1006),$V$1006:$AE$1006,0)))),"Fix")))</f>
        <v>0</v>
      </c>
      <c r="I290" s="3">
        <f>IF(OR(INDEX($P$2:$P$1001,MATCH(ROWS($O$2:O290),$O$2:$O$1001,0),1)&gt;=100000,INDEX($V$1005:$AE$1005,1,MATCH(COLUMNS($V$1006:AC1006),$V$1006:$AE$1006,0))&gt;=100000), " ",IF(INDEX($V$2:$AE$1001,MATCH(ROWS($O$2:O290),$O$2:$O$1001,0),MATCH(COLUMNS($V$1006:AC1006),$V$1006:$AE$1006,0)), HYPERLINK("#",""), HYPERLINK(CONCATENATE("#Metadata!", ADDRESS(INDEX($Q$2:$Q$1001,MATCH(ROWS($O$2:O290),$O$2:$O$1001,0),0), INDEX($V$1004:$AE$1004,1,MATCH(COLUMNS($V$1006:AC1006),$V$1006:$AE$1006,0)))),"Fix")))</f>
        <v>0</v>
      </c>
      <c r="J290" s="3">
        <f>IF(OR(INDEX($P$2:$P$1001,MATCH(ROWS($O$2:O290),$O$2:$O$1001,0),1)&gt;=100000,INDEX($V$1005:$AE$1005,1,MATCH(COLUMNS($V$1006:AD1006),$V$1006:$AE$1006,0))&gt;=100000), " ",IF(INDEX($V$2:$AE$1001,MATCH(ROWS($O$2:O290),$O$2:$O$1001,0),MATCH(COLUMNS($V$1006:AD1006),$V$1006:$AE$1006,0)), HYPERLINK("#",""), HYPERLINK(CONCATENATE("#Metadata!", ADDRESS(INDEX($Q$2:$Q$1001,MATCH(ROWS($O$2:O290),$O$2:$O$1001,0),0), INDEX($V$1004:$AE$1004,1,MATCH(COLUMNS($V$1006:AD1006),$V$1006:$AE$1006,0)))),"Fix")))</f>
        <v>0</v>
      </c>
      <c r="K290" s="3">
        <f>IF(OR(INDEX($P$2:$P$1001,MATCH(ROWS($O$2:O290),$O$2:$O$1001,0),1)&gt;=100000,INDEX($V$1005:$AE$1005,1,MATCH(COLUMNS($V$1006:AE1006),$V$1006:$AE$1006,0))&gt;=100000), " ",IF(INDEX($V$2:$AE$1001,MATCH(ROWS($O$2:O290),$O$2:$O$1001,0),MATCH(COLUMNS($V$1006:AE1006),$V$1006:$AE$1006,0)), HYPERLINK("#",""), HYPERLINK(CONCATENATE("#Metadata!", ADDRESS(INDEX($Q$2:$Q$1001,MATCH(ROWS($O$2:O290),$O$2:$O$1001,0),0), INDEX($V$1004:$AE$1004,1,MATCH(COLUMNS($V$1006:AE1006),$V$1006:$AE$1006,0)))),"Fix")))</f>
        <v>0</v>
      </c>
      <c r="O290">
        <v>0</v>
      </c>
      <c r="P290">
        <v>0</v>
      </c>
      <c r="Q290">
        <v>0</v>
      </c>
      <c r="R290">
        <f>IF(S290,TRUE,AND(V290:AE290))</f>
        <v>0</v>
      </c>
      <c r="S290">
        <f>COUNTBLANK(Metadata!B290:K290)=COLUMNS(Metadata!B290:K290)</f>
        <v>0</v>
      </c>
      <c r="T290">
        <v>0</v>
      </c>
      <c r="V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W290">
        <f>AND(IF(Metadata!C290="",FALSE,TRUE),exact(Metadata!C290,"animal secretion"))</f>
        <v>0</v>
      </c>
      <c r="X290">
        <f>AND(IF(Metadata!D290="",FALSE,TRUE),exact(Metadata!D290,"saliva"))</f>
        <v>0</v>
      </c>
      <c r="Y290">
        <f>AND(IF(Metadata!E290="",FALSE,TRUE),exact(Metadata!E290,"human-oral"))</f>
        <v>0</v>
      </c>
      <c r="Z290">
        <f>AND(IF(Metadata!F290="",FALSE,TRUE),exact(Metadata!F290,"UBERON:oral cavity"))</f>
        <v>0</v>
      </c>
      <c r="AA290">
        <f>AND(IF(Metadata!G290="",FALSE,TRUE),exact(Metadata!G290,"UBERON:saliva"))</f>
        <v>0</v>
      </c>
      <c r="AB290">
        <f>AND(IF(Metadata!H290="",FALSE,TRUE),exact(Metadata!H290,"UBERON:tongue"))</f>
        <v>0</v>
      </c>
      <c r="AC290">
        <f>AND(IF(Metadata!I290="",FALSE,TRUE),exact(Metadata!I290,"tongue"))</f>
        <v>0</v>
      </c>
      <c r="AD290">
        <f>AND(IF(Metadata!J290="",FALSE,TRUE),exact(Metadata!J290,"human oral metagenome"))</f>
        <v>0</v>
      </c>
      <c r="AE290">
        <f>AND(IF(Metadata!K290="",FALSE,TRUE),exact(Metadata!K290,"447426"))</f>
        <v>0</v>
      </c>
    </row>
    <row r="291" spans="1:31">
      <c r="A291" s="4">
        <f>IF(B291=" "," ",HYPERLINK(CONCATENATE("#metadata!",ADDRESS(INDEX($Q$2:$Q$1001,MATCH(ROWS($O$2:O291),$O$2:$O$1001,0),0),1)),INDEX($T$2:$T$1001,MATCH(ROWS($O$2:O291),$O$2:$O$1001,0),0)))</f>
        <v>0</v>
      </c>
      <c r="B291" s="3">
        <f>IF(OR(INDEX($P$2:$P$1001,MATCH(ROWS($O$2:O291),$O$2:$O$1001,0),1)&gt;=100000,INDEX($V$1005:$AE$1005,1,MATCH(COLUMNS($V$1006:V1006),$V$1006:$AE$1006,0))&gt;=100000), " ",IF(INDEX($V$2:$AE$1001,MATCH(ROWS($O$2:O291),$O$2:$O$1001,0),MATCH(COLUMNS($V$1006:V1006),$V$1006:$AE$1006,0)), HYPERLINK("#",""), HYPERLINK(CONCATENATE("#Metadata!", ADDRESS(INDEX($Q$2:$Q$1001,MATCH(ROWS($O$2:O291),$O$2:$O$1001,0),0), INDEX($V$1004:$AE$1004,1,MATCH(COLUMNS($V$1006:V1006),$V$1006:$AE$1006,0)))),"Fix")))</f>
        <v>0</v>
      </c>
      <c r="C291" s="3">
        <f>IF(OR(INDEX($P$2:$P$1001,MATCH(ROWS($O$2:O291),$O$2:$O$1001,0),1)&gt;=100000,INDEX($V$1005:$AE$1005,1,MATCH(COLUMNS($V$1006:W1006),$V$1006:$AE$1006,0))&gt;=100000), " ",IF(INDEX($V$2:$AE$1001,MATCH(ROWS($O$2:O291),$O$2:$O$1001,0),MATCH(COLUMNS($V$1006:W1006),$V$1006:$AE$1006,0)), HYPERLINK("#",""), HYPERLINK(CONCATENATE("#Metadata!", ADDRESS(INDEX($Q$2:$Q$1001,MATCH(ROWS($O$2:O291),$O$2:$O$1001,0),0), INDEX($V$1004:$AE$1004,1,MATCH(COLUMNS($V$1006:W1006),$V$1006:$AE$1006,0)))),"Fix")))</f>
        <v>0</v>
      </c>
      <c r="D291" s="3">
        <f>IF(OR(INDEX($P$2:$P$1001,MATCH(ROWS($O$2:O291),$O$2:$O$1001,0),1)&gt;=100000,INDEX($V$1005:$AE$1005,1,MATCH(COLUMNS($V$1006:X1006),$V$1006:$AE$1006,0))&gt;=100000), " ",IF(INDEX($V$2:$AE$1001,MATCH(ROWS($O$2:O291),$O$2:$O$1001,0),MATCH(COLUMNS($V$1006:X1006),$V$1006:$AE$1006,0)), HYPERLINK("#",""), HYPERLINK(CONCATENATE("#Metadata!", ADDRESS(INDEX($Q$2:$Q$1001,MATCH(ROWS($O$2:O291),$O$2:$O$1001,0),0), INDEX($V$1004:$AE$1004,1,MATCH(COLUMNS($V$1006:X1006),$V$1006:$AE$1006,0)))),"Fix")))</f>
        <v>0</v>
      </c>
      <c r="E291" s="3">
        <f>IF(OR(INDEX($P$2:$P$1001,MATCH(ROWS($O$2:O291),$O$2:$O$1001,0),1)&gt;=100000,INDEX($V$1005:$AE$1005,1,MATCH(COLUMNS($V$1006:Y1006),$V$1006:$AE$1006,0))&gt;=100000), " ",IF(INDEX($V$2:$AE$1001,MATCH(ROWS($O$2:O291),$O$2:$O$1001,0),MATCH(COLUMNS($V$1006:Y1006),$V$1006:$AE$1006,0)), HYPERLINK("#",""), HYPERLINK(CONCATENATE("#Metadata!", ADDRESS(INDEX($Q$2:$Q$1001,MATCH(ROWS($O$2:O291),$O$2:$O$1001,0),0), INDEX($V$1004:$AE$1004,1,MATCH(COLUMNS($V$1006:Y1006),$V$1006:$AE$1006,0)))),"Fix")))</f>
        <v>0</v>
      </c>
      <c r="F291" s="3">
        <f>IF(OR(INDEX($P$2:$P$1001,MATCH(ROWS($O$2:O291),$O$2:$O$1001,0),1)&gt;=100000,INDEX($V$1005:$AE$1005,1,MATCH(COLUMNS($V$1006:Z1006),$V$1006:$AE$1006,0))&gt;=100000), " ",IF(INDEX($V$2:$AE$1001,MATCH(ROWS($O$2:O291),$O$2:$O$1001,0),MATCH(COLUMNS($V$1006:Z1006),$V$1006:$AE$1006,0)), HYPERLINK("#",""), HYPERLINK(CONCATENATE("#Metadata!", ADDRESS(INDEX($Q$2:$Q$1001,MATCH(ROWS($O$2:O291),$O$2:$O$1001,0),0), INDEX($V$1004:$AE$1004,1,MATCH(COLUMNS($V$1006:Z1006),$V$1006:$AE$1006,0)))),"Fix")))</f>
        <v>0</v>
      </c>
      <c r="G291" s="3">
        <f>IF(OR(INDEX($P$2:$P$1001,MATCH(ROWS($O$2:O291),$O$2:$O$1001,0),1)&gt;=100000,INDEX($V$1005:$AE$1005,1,MATCH(COLUMNS($V$1006:AA1006),$V$1006:$AE$1006,0))&gt;=100000), " ",IF(INDEX($V$2:$AE$1001,MATCH(ROWS($O$2:O291),$O$2:$O$1001,0),MATCH(COLUMNS($V$1006:AA1006),$V$1006:$AE$1006,0)), HYPERLINK("#",""), HYPERLINK(CONCATENATE("#Metadata!", ADDRESS(INDEX($Q$2:$Q$1001,MATCH(ROWS($O$2:O291),$O$2:$O$1001,0),0), INDEX($V$1004:$AE$1004,1,MATCH(COLUMNS($V$1006:AA1006),$V$1006:$AE$1006,0)))),"Fix")))</f>
        <v>0</v>
      </c>
      <c r="H291" s="3">
        <f>IF(OR(INDEX($P$2:$P$1001,MATCH(ROWS($O$2:O291),$O$2:$O$1001,0),1)&gt;=100000,INDEX($V$1005:$AE$1005,1,MATCH(COLUMNS($V$1006:AB1006),$V$1006:$AE$1006,0))&gt;=100000), " ",IF(INDEX($V$2:$AE$1001,MATCH(ROWS($O$2:O291),$O$2:$O$1001,0),MATCH(COLUMNS($V$1006:AB1006),$V$1006:$AE$1006,0)), HYPERLINK("#",""), HYPERLINK(CONCATENATE("#Metadata!", ADDRESS(INDEX($Q$2:$Q$1001,MATCH(ROWS($O$2:O291),$O$2:$O$1001,0),0), INDEX($V$1004:$AE$1004,1,MATCH(COLUMNS($V$1006:AB1006),$V$1006:$AE$1006,0)))),"Fix")))</f>
        <v>0</v>
      </c>
      <c r="I291" s="3">
        <f>IF(OR(INDEX($P$2:$P$1001,MATCH(ROWS($O$2:O291),$O$2:$O$1001,0),1)&gt;=100000,INDEX($V$1005:$AE$1005,1,MATCH(COLUMNS($V$1006:AC1006),$V$1006:$AE$1006,0))&gt;=100000), " ",IF(INDEX($V$2:$AE$1001,MATCH(ROWS($O$2:O291),$O$2:$O$1001,0),MATCH(COLUMNS($V$1006:AC1006),$V$1006:$AE$1006,0)), HYPERLINK("#",""), HYPERLINK(CONCATENATE("#Metadata!", ADDRESS(INDEX($Q$2:$Q$1001,MATCH(ROWS($O$2:O291),$O$2:$O$1001,0),0), INDEX($V$1004:$AE$1004,1,MATCH(COLUMNS($V$1006:AC1006),$V$1006:$AE$1006,0)))),"Fix")))</f>
        <v>0</v>
      </c>
      <c r="J291" s="3">
        <f>IF(OR(INDEX($P$2:$P$1001,MATCH(ROWS($O$2:O291),$O$2:$O$1001,0),1)&gt;=100000,INDEX($V$1005:$AE$1005,1,MATCH(COLUMNS($V$1006:AD1006),$V$1006:$AE$1006,0))&gt;=100000), " ",IF(INDEX($V$2:$AE$1001,MATCH(ROWS($O$2:O291),$O$2:$O$1001,0),MATCH(COLUMNS($V$1006:AD1006),$V$1006:$AE$1006,0)), HYPERLINK("#",""), HYPERLINK(CONCATENATE("#Metadata!", ADDRESS(INDEX($Q$2:$Q$1001,MATCH(ROWS($O$2:O291),$O$2:$O$1001,0),0), INDEX($V$1004:$AE$1004,1,MATCH(COLUMNS($V$1006:AD1006),$V$1006:$AE$1006,0)))),"Fix")))</f>
        <v>0</v>
      </c>
      <c r="K291" s="3">
        <f>IF(OR(INDEX($P$2:$P$1001,MATCH(ROWS($O$2:O291),$O$2:$O$1001,0),1)&gt;=100000,INDEX($V$1005:$AE$1005,1,MATCH(COLUMNS($V$1006:AE1006),$V$1006:$AE$1006,0))&gt;=100000), " ",IF(INDEX($V$2:$AE$1001,MATCH(ROWS($O$2:O291),$O$2:$O$1001,0),MATCH(COLUMNS($V$1006:AE1006),$V$1006:$AE$1006,0)), HYPERLINK("#",""), HYPERLINK(CONCATENATE("#Metadata!", ADDRESS(INDEX($Q$2:$Q$1001,MATCH(ROWS($O$2:O291),$O$2:$O$1001,0),0), INDEX($V$1004:$AE$1004,1,MATCH(COLUMNS($V$1006:AE1006),$V$1006:$AE$1006,0)))),"Fix")))</f>
        <v>0</v>
      </c>
      <c r="O291">
        <v>0</v>
      </c>
      <c r="P291">
        <v>0</v>
      </c>
      <c r="Q291">
        <v>0</v>
      </c>
      <c r="R291">
        <f>IF(S291,TRUE,AND(V291:AE291))</f>
        <v>0</v>
      </c>
      <c r="S291">
        <f>COUNTBLANK(Metadata!B291:K291)=COLUMNS(Metadata!B291:K291)</f>
        <v>0</v>
      </c>
      <c r="T291">
        <v>0</v>
      </c>
      <c r="V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W291">
        <f>AND(IF(Metadata!C291="",FALSE,TRUE),exact(Metadata!C291,"animal secretion"))</f>
        <v>0</v>
      </c>
      <c r="X291">
        <f>AND(IF(Metadata!D291="",FALSE,TRUE),exact(Metadata!D291,"saliva"))</f>
        <v>0</v>
      </c>
      <c r="Y291">
        <f>AND(IF(Metadata!E291="",FALSE,TRUE),exact(Metadata!E291,"human-oral"))</f>
        <v>0</v>
      </c>
      <c r="Z291">
        <f>AND(IF(Metadata!F291="",FALSE,TRUE),exact(Metadata!F291,"UBERON:oral cavity"))</f>
        <v>0</v>
      </c>
      <c r="AA291">
        <f>AND(IF(Metadata!G291="",FALSE,TRUE),exact(Metadata!G291,"UBERON:saliva"))</f>
        <v>0</v>
      </c>
      <c r="AB291">
        <f>AND(IF(Metadata!H291="",FALSE,TRUE),exact(Metadata!H291,"UBERON:tongue"))</f>
        <v>0</v>
      </c>
      <c r="AC291">
        <f>AND(IF(Metadata!I291="",FALSE,TRUE),exact(Metadata!I291,"tongue"))</f>
        <v>0</v>
      </c>
      <c r="AD291">
        <f>AND(IF(Metadata!J291="",FALSE,TRUE),exact(Metadata!J291,"human oral metagenome"))</f>
        <v>0</v>
      </c>
      <c r="AE291">
        <f>AND(IF(Metadata!K291="",FALSE,TRUE),exact(Metadata!K291,"447426"))</f>
        <v>0</v>
      </c>
    </row>
    <row r="292" spans="1:31">
      <c r="A292" s="4">
        <f>IF(B292=" "," ",HYPERLINK(CONCATENATE("#metadata!",ADDRESS(INDEX($Q$2:$Q$1001,MATCH(ROWS($O$2:O292),$O$2:$O$1001,0),0),1)),INDEX($T$2:$T$1001,MATCH(ROWS($O$2:O292),$O$2:$O$1001,0),0)))</f>
        <v>0</v>
      </c>
      <c r="B292" s="3">
        <f>IF(OR(INDEX($P$2:$P$1001,MATCH(ROWS($O$2:O292),$O$2:$O$1001,0),1)&gt;=100000,INDEX($V$1005:$AE$1005,1,MATCH(COLUMNS($V$1006:V1006),$V$1006:$AE$1006,0))&gt;=100000), " ",IF(INDEX($V$2:$AE$1001,MATCH(ROWS($O$2:O292),$O$2:$O$1001,0),MATCH(COLUMNS($V$1006:V1006),$V$1006:$AE$1006,0)), HYPERLINK("#",""), HYPERLINK(CONCATENATE("#Metadata!", ADDRESS(INDEX($Q$2:$Q$1001,MATCH(ROWS($O$2:O292),$O$2:$O$1001,0),0), INDEX($V$1004:$AE$1004,1,MATCH(COLUMNS($V$1006:V1006),$V$1006:$AE$1006,0)))),"Fix")))</f>
        <v>0</v>
      </c>
      <c r="C292" s="3">
        <f>IF(OR(INDEX($P$2:$P$1001,MATCH(ROWS($O$2:O292),$O$2:$O$1001,0),1)&gt;=100000,INDEX($V$1005:$AE$1005,1,MATCH(COLUMNS($V$1006:W1006),$V$1006:$AE$1006,0))&gt;=100000), " ",IF(INDEX($V$2:$AE$1001,MATCH(ROWS($O$2:O292),$O$2:$O$1001,0),MATCH(COLUMNS($V$1006:W1006),$V$1006:$AE$1006,0)), HYPERLINK("#",""), HYPERLINK(CONCATENATE("#Metadata!", ADDRESS(INDEX($Q$2:$Q$1001,MATCH(ROWS($O$2:O292),$O$2:$O$1001,0),0), INDEX($V$1004:$AE$1004,1,MATCH(COLUMNS($V$1006:W1006),$V$1006:$AE$1006,0)))),"Fix")))</f>
        <v>0</v>
      </c>
      <c r="D292" s="3">
        <f>IF(OR(INDEX($P$2:$P$1001,MATCH(ROWS($O$2:O292),$O$2:$O$1001,0),1)&gt;=100000,INDEX($V$1005:$AE$1005,1,MATCH(COLUMNS($V$1006:X1006),$V$1006:$AE$1006,0))&gt;=100000), " ",IF(INDEX($V$2:$AE$1001,MATCH(ROWS($O$2:O292),$O$2:$O$1001,0),MATCH(COLUMNS($V$1006:X1006),$V$1006:$AE$1006,0)), HYPERLINK("#",""), HYPERLINK(CONCATENATE("#Metadata!", ADDRESS(INDEX($Q$2:$Q$1001,MATCH(ROWS($O$2:O292),$O$2:$O$1001,0),0), INDEX($V$1004:$AE$1004,1,MATCH(COLUMNS($V$1006:X1006),$V$1006:$AE$1006,0)))),"Fix")))</f>
        <v>0</v>
      </c>
      <c r="E292" s="3">
        <f>IF(OR(INDEX($P$2:$P$1001,MATCH(ROWS($O$2:O292),$O$2:$O$1001,0),1)&gt;=100000,INDEX($V$1005:$AE$1005,1,MATCH(COLUMNS($V$1006:Y1006),$V$1006:$AE$1006,0))&gt;=100000), " ",IF(INDEX($V$2:$AE$1001,MATCH(ROWS($O$2:O292),$O$2:$O$1001,0),MATCH(COLUMNS($V$1006:Y1006),$V$1006:$AE$1006,0)), HYPERLINK("#",""), HYPERLINK(CONCATENATE("#Metadata!", ADDRESS(INDEX($Q$2:$Q$1001,MATCH(ROWS($O$2:O292),$O$2:$O$1001,0),0), INDEX($V$1004:$AE$1004,1,MATCH(COLUMNS($V$1006:Y1006),$V$1006:$AE$1006,0)))),"Fix")))</f>
        <v>0</v>
      </c>
      <c r="F292" s="3">
        <f>IF(OR(INDEX($P$2:$P$1001,MATCH(ROWS($O$2:O292),$O$2:$O$1001,0),1)&gt;=100000,INDEX($V$1005:$AE$1005,1,MATCH(COLUMNS($V$1006:Z1006),$V$1006:$AE$1006,0))&gt;=100000), " ",IF(INDEX($V$2:$AE$1001,MATCH(ROWS($O$2:O292),$O$2:$O$1001,0),MATCH(COLUMNS($V$1006:Z1006),$V$1006:$AE$1006,0)), HYPERLINK("#",""), HYPERLINK(CONCATENATE("#Metadata!", ADDRESS(INDEX($Q$2:$Q$1001,MATCH(ROWS($O$2:O292),$O$2:$O$1001,0),0), INDEX($V$1004:$AE$1004,1,MATCH(COLUMNS($V$1006:Z1006),$V$1006:$AE$1006,0)))),"Fix")))</f>
        <v>0</v>
      </c>
      <c r="G292" s="3">
        <f>IF(OR(INDEX($P$2:$P$1001,MATCH(ROWS($O$2:O292),$O$2:$O$1001,0),1)&gt;=100000,INDEX($V$1005:$AE$1005,1,MATCH(COLUMNS($V$1006:AA1006),$V$1006:$AE$1006,0))&gt;=100000), " ",IF(INDEX($V$2:$AE$1001,MATCH(ROWS($O$2:O292),$O$2:$O$1001,0),MATCH(COLUMNS($V$1006:AA1006),$V$1006:$AE$1006,0)), HYPERLINK("#",""), HYPERLINK(CONCATENATE("#Metadata!", ADDRESS(INDEX($Q$2:$Q$1001,MATCH(ROWS($O$2:O292),$O$2:$O$1001,0),0), INDEX($V$1004:$AE$1004,1,MATCH(COLUMNS($V$1006:AA1006),$V$1006:$AE$1006,0)))),"Fix")))</f>
        <v>0</v>
      </c>
      <c r="H292" s="3">
        <f>IF(OR(INDEX($P$2:$P$1001,MATCH(ROWS($O$2:O292),$O$2:$O$1001,0),1)&gt;=100000,INDEX($V$1005:$AE$1005,1,MATCH(COLUMNS($V$1006:AB1006),$V$1006:$AE$1006,0))&gt;=100000), " ",IF(INDEX($V$2:$AE$1001,MATCH(ROWS($O$2:O292),$O$2:$O$1001,0),MATCH(COLUMNS($V$1006:AB1006),$V$1006:$AE$1006,0)), HYPERLINK("#",""), HYPERLINK(CONCATENATE("#Metadata!", ADDRESS(INDEX($Q$2:$Q$1001,MATCH(ROWS($O$2:O292),$O$2:$O$1001,0),0), INDEX($V$1004:$AE$1004,1,MATCH(COLUMNS($V$1006:AB1006),$V$1006:$AE$1006,0)))),"Fix")))</f>
        <v>0</v>
      </c>
      <c r="I292" s="3">
        <f>IF(OR(INDEX($P$2:$P$1001,MATCH(ROWS($O$2:O292),$O$2:$O$1001,0),1)&gt;=100000,INDEX($V$1005:$AE$1005,1,MATCH(COLUMNS($V$1006:AC1006),$V$1006:$AE$1006,0))&gt;=100000), " ",IF(INDEX($V$2:$AE$1001,MATCH(ROWS($O$2:O292),$O$2:$O$1001,0),MATCH(COLUMNS($V$1006:AC1006),$V$1006:$AE$1006,0)), HYPERLINK("#",""), HYPERLINK(CONCATENATE("#Metadata!", ADDRESS(INDEX($Q$2:$Q$1001,MATCH(ROWS($O$2:O292),$O$2:$O$1001,0),0), INDEX($V$1004:$AE$1004,1,MATCH(COLUMNS($V$1006:AC1006),$V$1006:$AE$1006,0)))),"Fix")))</f>
        <v>0</v>
      </c>
      <c r="J292" s="3">
        <f>IF(OR(INDEX($P$2:$P$1001,MATCH(ROWS($O$2:O292),$O$2:$O$1001,0),1)&gt;=100000,INDEX($V$1005:$AE$1005,1,MATCH(COLUMNS($V$1006:AD1006),$V$1006:$AE$1006,0))&gt;=100000), " ",IF(INDEX($V$2:$AE$1001,MATCH(ROWS($O$2:O292),$O$2:$O$1001,0),MATCH(COLUMNS($V$1006:AD1006),$V$1006:$AE$1006,0)), HYPERLINK("#",""), HYPERLINK(CONCATENATE("#Metadata!", ADDRESS(INDEX($Q$2:$Q$1001,MATCH(ROWS($O$2:O292),$O$2:$O$1001,0),0), INDEX($V$1004:$AE$1004,1,MATCH(COLUMNS($V$1006:AD1006),$V$1006:$AE$1006,0)))),"Fix")))</f>
        <v>0</v>
      </c>
      <c r="K292" s="3">
        <f>IF(OR(INDEX($P$2:$P$1001,MATCH(ROWS($O$2:O292),$O$2:$O$1001,0),1)&gt;=100000,INDEX($V$1005:$AE$1005,1,MATCH(COLUMNS($V$1006:AE1006),$V$1006:$AE$1006,0))&gt;=100000), " ",IF(INDEX($V$2:$AE$1001,MATCH(ROWS($O$2:O292),$O$2:$O$1001,0),MATCH(COLUMNS($V$1006:AE1006),$V$1006:$AE$1006,0)), HYPERLINK("#",""), HYPERLINK(CONCATENATE("#Metadata!", ADDRESS(INDEX($Q$2:$Q$1001,MATCH(ROWS($O$2:O292),$O$2:$O$1001,0),0), INDEX($V$1004:$AE$1004,1,MATCH(COLUMNS($V$1006:AE1006),$V$1006:$AE$1006,0)))),"Fix")))</f>
        <v>0</v>
      </c>
      <c r="O292">
        <v>0</v>
      </c>
      <c r="P292">
        <v>0</v>
      </c>
      <c r="Q292">
        <v>0</v>
      </c>
      <c r="R292">
        <f>IF(S292,TRUE,AND(V292:AE292))</f>
        <v>0</v>
      </c>
      <c r="S292">
        <f>COUNTBLANK(Metadata!B292:K292)=COLUMNS(Metadata!B292:K292)</f>
        <v>0</v>
      </c>
      <c r="T292">
        <v>0</v>
      </c>
      <c r="V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W292">
        <f>AND(IF(Metadata!C292="",FALSE,TRUE),exact(Metadata!C292,"animal secretion"))</f>
        <v>0</v>
      </c>
      <c r="X292">
        <f>AND(IF(Metadata!D292="",FALSE,TRUE),exact(Metadata!D292,"saliva"))</f>
        <v>0</v>
      </c>
      <c r="Y292">
        <f>AND(IF(Metadata!E292="",FALSE,TRUE),exact(Metadata!E292,"human-oral"))</f>
        <v>0</v>
      </c>
      <c r="Z292">
        <f>AND(IF(Metadata!F292="",FALSE,TRUE),exact(Metadata!F292,"UBERON:oral cavity"))</f>
        <v>0</v>
      </c>
      <c r="AA292">
        <f>AND(IF(Metadata!G292="",FALSE,TRUE),exact(Metadata!G292,"UBERON:saliva"))</f>
        <v>0</v>
      </c>
      <c r="AB292">
        <f>AND(IF(Metadata!H292="",FALSE,TRUE),exact(Metadata!H292,"UBERON:tongue"))</f>
        <v>0</v>
      </c>
      <c r="AC292">
        <f>AND(IF(Metadata!I292="",FALSE,TRUE),exact(Metadata!I292,"tongue"))</f>
        <v>0</v>
      </c>
      <c r="AD292">
        <f>AND(IF(Metadata!J292="",FALSE,TRUE),exact(Metadata!J292,"human oral metagenome"))</f>
        <v>0</v>
      </c>
      <c r="AE292">
        <f>AND(IF(Metadata!K292="",FALSE,TRUE),exact(Metadata!K292,"447426"))</f>
        <v>0</v>
      </c>
    </row>
    <row r="293" spans="1:31">
      <c r="A293" s="4">
        <f>IF(B293=" "," ",HYPERLINK(CONCATENATE("#metadata!",ADDRESS(INDEX($Q$2:$Q$1001,MATCH(ROWS($O$2:O293),$O$2:$O$1001,0),0),1)),INDEX($T$2:$T$1001,MATCH(ROWS($O$2:O293),$O$2:$O$1001,0),0)))</f>
        <v>0</v>
      </c>
      <c r="B293" s="3">
        <f>IF(OR(INDEX($P$2:$P$1001,MATCH(ROWS($O$2:O293),$O$2:$O$1001,0),1)&gt;=100000,INDEX($V$1005:$AE$1005,1,MATCH(COLUMNS($V$1006:V1006),$V$1006:$AE$1006,0))&gt;=100000), " ",IF(INDEX($V$2:$AE$1001,MATCH(ROWS($O$2:O293),$O$2:$O$1001,0),MATCH(COLUMNS($V$1006:V1006),$V$1006:$AE$1006,0)), HYPERLINK("#",""), HYPERLINK(CONCATENATE("#Metadata!", ADDRESS(INDEX($Q$2:$Q$1001,MATCH(ROWS($O$2:O293),$O$2:$O$1001,0),0), INDEX($V$1004:$AE$1004,1,MATCH(COLUMNS($V$1006:V1006),$V$1006:$AE$1006,0)))),"Fix")))</f>
        <v>0</v>
      </c>
      <c r="C293" s="3">
        <f>IF(OR(INDEX($P$2:$P$1001,MATCH(ROWS($O$2:O293),$O$2:$O$1001,0),1)&gt;=100000,INDEX($V$1005:$AE$1005,1,MATCH(COLUMNS($V$1006:W1006),$V$1006:$AE$1006,0))&gt;=100000), " ",IF(INDEX($V$2:$AE$1001,MATCH(ROWS($O$2:O293),$O$2:$O$1001,0),MATCH(COLUMNS($V$1006:W1006),$V$1006:$AE$1006,0)), HYPERLINK("#",""), HYPERLINK(CONCATENATE("#Metadata!", ADDRESS(INDEX($Q$2:$Q$1001,MATCH(ROWS($O$2:O293),$O$2:$O$1001,0),0), INDEX($V$1004:$AE$1004,1,MATCH(COLUMNS($V$1006:W1006),$V$1006:$AE$1006,0)))),"Fix")))</f>
        <v>0</v>
      </c>
      <c r="D293" s="3">
        <f>IF(OR(INDEX($P$2:$P$1001,MATCH(ROWS($O$2:O293),$O$2:$O$1001,0),1)&gt;=100000,INDEX($V$1005:$AE$1005,1,MATCH(COLUMNS($V$1006:X1006),$V$1006:$AE$1006,0))&gt;=100000), " ",IF(INDEX($V$2:$AE$1001,MATCH(ROWS($O$2:O293),$O$2:$O$1001,0),MATCH(COLUMNS($V$1006:X1006),$V$1006:$AE$1006,0)), HYPERLINK("#",""), HYPERLINK(CONCATENATE("#Metadata!", ADDRESS(INDEX($Q$2:$Q$1001,MATCH(ROWS($O$2:O293),$O$2:$O$1001,0),0), INDEX($V$1004:$AE$1004,1,MATCH(COLUMNS($V$1006:X1006),$V$1006:$AE$1006,0)))),"Fix")))</f>
        <v>0</v>
      </c>
      <c r="E293" s="3">
        <f>IF(OR(INDEX($P$2:$P$1001,MATCH(ROWS($O$2:O293),$O$2:$O$1001,0),1)&gt;=100000,INDEX($V$1005:$AE$1005,1,MATCH(COLUMNS($V$1006:Y1006),$V$1006:$AE$1006,0))&gt;=100000), " ",IF(INDEX($V$2:$AE$1001,MATCH(ROWS($O$2:O293),$O$2:$O$1001,0),MATCH(COLUMNS($V$1006:Y1006),$V$1006:$AE$1006,0)), HYPERLINK("#",""), HYPERLINK(CONCATENATE("#Metadata!", ADDRESS(INDEX($Q$2:$Q$1001,MATCH(ROWS($O$2:O293),$O$2:$O$1001,0),0), INDEX($V$1004:$AE$1004,1,MATCH(COLUMNS($V$1006:Y1006),$V$1006:$AE$1006,0)))),"Fix")))</f>
        <v>0</v>
      </c>
      <c r="F293" s="3">
        <f>IF(OR(INDEX($P$2:$P$1001,MATCH(ROWS($O$2:O293),$O$2:$O$1001,0),1)&gt;=100000,INDEX($V$1005:$AE$1005,1,MATCH(COLUMNS($V$1006:Z1006),$V$1006:$AE$1006,0))&gt;=100000), " ",IF(INDEX($V$2:$AE$1001,MATCH(ROWS($O$2:O293),$O$2:$O$1001,0),MATCH(COLUMNS($V$1006:Z1006),$V$1006:$AE$1006,0)), HYPERLINK("#",""), HYPERLINK(CONCATENATE("#Metadata!", ADDRESS(INDEX($Q$2:$Q$1001,MATCH(ROWS($O$2:O293),$O$2:$O$1001,0),0), INDEX($V$1004:$AE$1004,1,MATCH(COLUMNS($V$1006:Z1006),$V$1006:$AE$1006,0)))),"Fix")))</f>
        <v>0</v>
      </c>
      <c r="G293" s="3">
        <f>IF(OR(INDEX($P$2:$P$1001,MATCH(ROWS($O$2:O293),$O$2:$O$1001,0),1)&gt;=100000,INDEX($V$1005:$AE$1005,1,MATCH(COLUMNS($V$1006:AA1006),$V$1006:$AE$1006,0))&gt;=100000), " ",IF(INDEX($V$2:$AE$1001,MATCH(ROWS($O$2:O293),$O$2:$O$1001,0),MATCH(COLUMNS($V$1006:AA1006),$V$1006:$AE$1006,0)), HYPERLINK("#",""), HYPERLINK(CONCATENATE("#Metadata!", ADDRESS(INDEX($Q$2:$Q$1001,MATCH(ROWS($O$2:O293),$O$2:$O$1001,0),0), INDEX($V$1004:$AE$1004,1,MATCH(COLUMNS($V$1006:AA1006),$V$1006:$AE$1006,0)))),"Fix")))</f>
        <v>0</v>
      </c>
      <c r="H293" s="3">
        <f>IF(OR(INDEX($P$2:$P$1001,MATCH(ROWS($O$2:O293),$O$2:$O$1001,0),1)&gt;=100000,INDEX($V$1005:$AE$1005,1,MATCH(COLUMNS($V$1006:AB1006),$V$1006:$AE$1006,0))&gt;=100000), " ",IF(INDEX($V$2:$AE$1001,MATCH(ROWS($O$2:O293),$O$2:$O$1001,0),MATCH(COLUMNS($V$1006:AB1006),$V$1006:$AE$1006,0)), HYPERLINK("#",""), HYPERLINK(CONCATENATE("#Metadata!", ADDRESS(INDEX($Q$2:$Q$1001,MATCH(ROWS($O$2:O293),$O$2:$O$1001,0),0), INDEX($V$1004:$AE$1004,1,MATCH(COLUMNS($V$1006:AB1006),$V$1006:$AE$1006,0)))),"Fix")))</f>
        <v>0</v>
      </c>
      <c r="I293" s="3">
        <f>IF(OR(INDEX($P$2:$P$1001,MATCH(ROWS($O$2:O293),$O$2:$O$1001,0),1)&gt;=100000,INDEX($V$1005:$AE$1005,1,MATCH(COLUMNS($V$1006:AC1006),$V$1006:$AE$1006,0))&gt;=100000), " ",IF(INDEX($V$2:$AE$1001,MATCH(ROWS($O$2:O293),$O$2:$O$1001,0),MATCH(COLUMNS($V$1006:AC1006),$V$1006:$AE$1006,0)), HYPERLINK("#",""), HYPERLINK(CONCATENATE("#Metadata!", ADDRESS(INDEX($Q$2:$Q$1001,MATCH(ROWS($O$2:O293),$O$2:$O$1001,0),0), INDEX($V$1004:$AE$1004,1,MATCH(COLUMNS($V$1006:AC1006),$V$1006:$AE$1006,0)))),"Fix")))</f>
        <v>0</v>
      </c>
      <c r="J293" s="3">
        <f>IF(OR(INDEX($P$2:$P$1001,MATCH(ROWS($O$2:O293),$O$2:$O$1001,0),1)&gt;=100000,INDEX($V$1005:$AE$1005,1,MATCH(COLUMNS($V$1006:AD1006),$V$1006:$AE$1006,0))&gt;=100000), " ",IF(INDEX($V$2:$AE$1001,MATCH(ROWS($O$2:O293),$O$2:$O$1001,0),MATCH(COLUMNS($V$1006:AD1006),$V$1006:$AE$1006,0)), HYPERLINK("#",""), HYPERLINK(CONCATENATE("#Metadata!", ADDRESS(INDEX($Q$2:$Q$1001,MATCH(ROWS($O$2:O293),$O$2:$O$1001,0),0), INDEX($V$1004:$AE$1004,1,MATCH(COLUMNS($V$1006:AD1006),$V$1006:$AE$1006,0)))),"Fix")))</f>
        <v>0</v>
      </c>
      <c r="K293" s="3">
        <f>IF(OR(INDEX($P$2:$P$1001,MATCH(ROWS($O$2:O293),$O$2:$O$1001,0),1)&gt;=100000,INDEX($V$1005:$AE$1005,1,MATCH(COLUMNS($V$1006:AE1006),$V$1006:$AE$1006,0))&gt;=100000), " ",IF(INDEX($V$2:$AE$1001,MATCH(ROWS($O$2:O293),$O$2:$O$1001,0),MATCH(COLUMNS($V$1006:AE1006),$V$1006:$AE$1006,0)), HYPERLINK("#",""), HYPERLINK(CONCATENATE("#Metadata!", ADDRESS(INDEX($Q$2:$Q$1001,MATCH(ROWS($O$2:O293),$O$2:$O$1001,0),0), INDEX($V$1004:$AE$1004,1,MATCH(COLUMNS($V$1006:AE1006),$V$1006:$AE$1006,0)))),"Fix")))</f>
        <v>0</v>
      </c>
      <c r="O293">
        <v>0</v>
      </c>
      <c r="P293">
        <v>0</v>
      </c>
      <c r="Q293">
        <v>0</v>
      </c>
      <c r="R293">
        <f>IF(S293,TRUE,AND(V293:AE293))</f>
        <v>0</v>
      </c>
      <c r="S293">
        <f>COUNTBLANK(Metadata!B293:K293)=COLUMNS(Metadata!B293:K293)</f>
        <v>0</v>
      </c>
      <c r="T293">
        <v>0</v>
      </c>
      <c r="V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W293">
        <f>AND(IF(Metadata!C293="",FALSE,TRUE),exact(Metadata!C293,"animal secretion"))</f>
        <v>0</v>
      </c>
      <c r="X293">
        <f>AND(IF(Metadata!D293="",FALSE,TRUE),exact(Metadata!D293,"saliva"))</f>
        <v>0</v>
      </c>
      <c r="Y293">
        <f>AND(IF(Metadata!E293="",FALSE,TRUE),exact(Metadata!E293,"human-oral"))</f>
        <v>0</v>
      </c>
      <c r="Z293">
        <f>AND(IF(Metadata!F293="",FALSE,TRUE),exact(Metadata!F293,"UBERON:oral cavity"))</f>
        <v>0</v>
      </c>
      <c r="AA293">
        <f>AND(IF(Metadata!G293="",FALSE,TRUE),exact(Metadata!G293,"UBERON:saliva"))</f>
        <v>0</v>
      </c>
      <c r="AB293">
        <f>AND(IF(Metadata!H293="",FALSE,TRUE),exact(Metadata!H293,"UBERON:tongue"))</f>
        <v>0</v>
      </c>
      <c r="AC293">
        <f>AND(IF(Metadata!I293="",FALSE,TRUE),exact(Metadata!I293,"tongue"))</f>
        <v>0</v>
      </c>
      <c r="AD293">
        <f>AND(IF(Metadata!J293="",FALSE,TRUE),exact(Metadata!J293,"human oral metagenome"))</f>
        <v>0</v>
      </c>
      <c r="AE293">
        <f>AND(IF(Metadata!K293="",FALSE,TRUE),exact(Metadata!K293,"447426"))</f>
        <v>0</v>
      </c>
    </row>
    <row r="294" spans="1:31">
      <c r="A294" s="4">
        <f>IF(B294=" "," ",HYPERLINK(CONCATENATE("#metadata!",ADDRESS(INDEX($Q$2:$Q$1001,MATCH(ROWS($O$2:O294),$O$2:$O$1001,0),0),1)),INDEX($T$2:$T$1001,MATCH(ROWS($O$2:O294),$O$2:$O$1001,0),0)))</f>
        <v>0</v>
      </c>
      <c r="B294" s="3">
        <f>IF(OR(INDEX($P$2:$P$1001,MATCH(ROWS($O$2:O294),$O$2:$O$1001,0),1)&gt;=100000,INDEX($V$1005:$AE$1005,1,MATCH(COLUMNS($V$1006:V1006),$V$1006:$AE$1006,0))&gt;=100000), " ",IF(INDEX($V$2:$AE$1001,MATCH(ROWS($O$2:O294),$O$2:$O$1001,0),MATCH(COLUMNS($V$1006:V1006),$V$1006:$AE$1006,0)), HYPERLINK("#",""), HYPERLINK(CONCATENATE("#Metadata!", ADDRESS(INDEX($Q$2:$Q$1001,MATCH(ROWS($O$2:O294),$O$2:$O$1001,0),0), INDEX($V$1004:$AE$1004,1,MATCH(COLUMNS($V$1006:V1006),$V$1006:$AE$1006,0)))),"Fix")))</f>
        <v>0</v>
      </c>
      <c r="C294" s="3">
        <f>IF(OR(INDEX($P$2:$P$1001,MATCH(ROWS($O$2:O294),$O$2:$O$1001,0),1)&gt;=100000,INDEX($V$1005:$AE$1005,1,MATCH(COLUMNS($V$1006:W1006),$V$1006:$AE$1006,0))&gt;=100000), " ",IF(INDEX($V$2:$AE$1001,MATCH(ROWS($O$2:O294),$O$2:$O$1001,0),MATCH(COLUMNS($V$1006:W1006),$V$1006:$AE$1006,0)), HYPERLINK("#",""), HYPERLINK(CONCATENATE("#Metadata!", ADDRESS(INDEX($Q$2:$Q$1001,MATCH(ROWS($O$2:O294),$O$2:$O$1001,0),0), INDEX($V$1004:$AE$1004,1,MATCH(COLUMNS($V$1006:W1006),$V$1006:$AE$1006,0)))),"Fix")))</f>
        <v>0</v>
      </c>
      <c r="D294" s="3">
        <f>IF(OR(INDEX($P$2:$P$1001,MATCH(ROWS($O$2:O294),$O$2:$O$1001,0),1)&gt;=100000,INDEX($V$1005:$AE$1005,1,MATCH(COLUMNS($V$1006:X1006),$V$1006:$AE$1006,0))&gt;=100000), " ",IF(INDEX($V$2:$AE$1001,MATCH(ROWS($O$2:O294),$O$2:$O$1001,0),MATCH(COLUMNS($V$1006:X1006),$V$1006:$AE$1006,0)), HYPERLINK("#",""), HYPERLINK(CONCATENATE("#Metadata!", ADDRESS(INDEX($Q$2:$Q$1001,MATCH(ROWS($O$2:O294),$O$2:$O$1001,0),0), INDEX($V$1004:$AE$1004,1,MATCH(COLUMNS($V$1006:X1006),$V$1006:$AE$1006,0)))),"Fix")))</f>
        <v>0</v>
      </c>
      <c r="E294" s="3">
        <f>IF(OR(INDEX($P$2:$P$1001,MATCH(ROWS($O$2:O294),$O$2:$O$1001,0),1)&gt;=100000,INDEX($V$1005:$AE$1005,1,MATCH(COLUMNS($V$1006:Y1006),$V$1006:$AE$1006,0))&gt;=100000), " ",IF(INDEX($V$2:$AE$1001,MATCH(ROWS($O$2:O294),$O$2:$O$1001,0),MATCH(COLUMNS($V$1006:Y1006),$V$1006:$AE$1006,0)), HYPERLINK("#",""), HYPERLINK(CONCATENATE("#Metadata!", ADDRESS(INDEX($Q$2:$Q$1001,MATCH(ROWS($O$2:O294),$O$2:$O$1001,0),0), INDEX($V$1004:$AE$1004,1,MATCH(COLUMNS($V$1006:Y1006),$V$1006:$AE$1006,0)))),"Fix")))</f>
        <v>0</v>
      </c>
      <c r="F294" s="3">
        <f>IF(OR(INDEX($P$2:$P$1001,MATCH(ROWS($O$2:O294),$O$2:$O$1001,0),1)&gt;=100000,INDEX($V$1005:$AE$1005,1,MATCH(COLUMNS($V$1006:Z1006),$V$1006:$AE$1006,0))&gt;=100000), " ",IF(INDEX($V$2:$AE$1001,MATCH(ROWS($O$2:O294),$O$2:$O$1001,0),MATCH(COLUMNS($V$1006:Z1006),$V$1006:$AE$1006,0)), HYPERLINK("#",""), HYPERLINK(CONCATENATE("#Metadata!", ADDRESS(INDEX($Q$2:$Q$1001,MATCH(ROWS($O$2:O294),$O$2:$O$1001,0),0), INDEX($V$1004:$AE$1004,1,MATCH(COLUMNS($V$1006:Z1006),$V$1006:$AE$1006,0)))),"Fix")))</f>
        <v>0</v>
      </c>
      <c r="G294" s="3">
        <f>IF(OR(INDEX($P$2:$P$1001,MATCH(ROWS($O$2:O294),$O$2:$O$1001,0),1)&gt;=100000,INDEX($V$1005:$AE$1005,1,MATCH(COLUMNS($V$1006:AA1006),$V$1006:$AE$1006,0))&gt;=100000), " ",IF(INDEX($V$2:$AE$1001,MATCH(ROWS($O$2:O294),$O$2:$O$1001,0),MATCH(COLUMNS($V$1006:AA1006),$V$1006:$AE$1006,0)), HYPERLINK("#",""), HYPERLINK(CONCATENATE("#Metadata!", ADDRESS(INDEX($Q$2:$Q$1001,MATCH(ROWS($O$2:O294),$O$2:$O$1001,0),0), INDEX($V$1004:$AE$1004,1,MATCH(COLUMNS($V$1006:AA1006),$V$1006:$AE$1006,0)))),"Fix")))</f>
        <v>0</v>
      </c>
      <c r="H294" s="3">
        <f>IF(OR(INDEX($P$2:$P$1001,MATCH(ROWS($O$2:O294),$O$2:$O$1001,0),1)&gt;=100000,INDEX($V$1005:$AE$1005,1,MATCH(COLUMNS($V$1006:AB1006),$V$1006:$AE$1006,0))&gt;=100000), " ",IF(INDEX($V$2:$AE$1001,MATCH(ROWS($O$2:O294),$O$2:$O$1001,0),MATCH(COLUMNS($V$1006:AB1006),$V$1006:$AE$1006,0)), HYPERLINK("#",""), HYPERLINK(CONCATENATE("#Metadata!", ADDRESS(INDEX($Q$2:$Q$1001,MATCH(ROWS($O$2:O294),$O$2:$O$1001,0),0), INDEX($V$1004:$AE$1004,1,MATCH(COLUMNS($V$1006:AB1006),$V$1006:$AE$1006,0)))),"Fix")))</f>
        <v>0</v>
      </c>
      <c r="I294" s="3">
        <f>IF(OR(INDEX($P$2:$P$1001,MATCH(ROWS($O$2:O294),$O$2:$O$1001,0),1)&gt;=100000,INDEX($V$1005:$AE$1005,1,MATCH(COLUMNS($V$1006:AC1006),$V$1006:$AE$1006,0))&gt;=100000), " ",IF(INDEX($V$2:$AE$1001,MATCH(ROWS($O$2:O294),$O$2:$O$1001,0),MATCH(COLUMNS($V$1006:AC1006),$V$1006:$AE$1006,0)), HYPERLINK("#",""), HYPERLINK(CONCATENATE("#Metadata!", ADDRESS(INDEX($Q$2:$Q$1001,MATCH(ROWS($O$2:O294),$O$2:$O$1001,0),0), INDEX($V$1004:$AE$1004,1,MATCH(COLUMNS($V$1006:AC1006),$V$1006:$AE$1006,0)))),"Fix")))</f>
        <v>0</v>
      </c>
      <c r="J294" s="3">
        <f>IF(OR(INDEX($P$2:$P$1001,MATCH(ROWS($O$2:O294),$O$2:$O$1001,0),1)&gt;=100000,INDEX($V$1005:$AE$1005,1,MATCH(COLUMNS($V$1006:AD1006),$V$1006:$AE$1006,0))&gt;=100000), " ",IF(INDEX($V$2:$AE$1001,MATCH(ROWS($O$2:O294),$O$2:$O$1001,0),MATCH(COLUMNS($V$1006:AD1006),$V$1006:$AE$1006,0)), HYPERLINK("#",""), HYPERLINK(CONCATENATE("#Metadata!", ADDRESS(INDEX($Q$2:$Q$1001,MATCH(ROWS($O$2:O294),$O$2:$O$1001,0),0), INDEX($V$1004:$AE$1004,1,MATCH(COLUMNS($V$1006:AD1006),$V$1006:$AE$1006,0)))),"Fix")))</f>
        <v>0</v>
      </c>
      <c r="K294" s="3">
        <f>IF(OR(INDEX($P$2:$P$1001,MATCH(ROWS($O$2:O294),$O$2:$O$1001,0),1)&gt;=100000,INDEX($V$1005:$AE$1005,1,MATCH(COLUMNS($V$1006:AE1006),$V$1006:$AE$1006,0))&gt;=100000), " ",IF(INDEX($V$2:$AE$1001,MATCH(ROWS($O$2:O294),$O$2:$O$1001,0),MATCH(COLUMNS($V$1006:AE1006),$V$1006:$AE$1006,0)), HYPERLINK("#",""), HYPERLINK(CONCATENATE("#Metadata!", ADDRESS(INDEX($Q$2:$Q$1001,MATCH(ROWS($O$2:O294),$O$2:$O$1001,0),0), INDEX($V$1004:$AE$1004,1,MATCH(COLUMNS($V$1006:AE1006),$V$1006:$AE$1006,0)))),"Fix")))</f>
        <v>0</v>
      </c>
      <c r="O294">
        <v>0</v>
      </c>
      <c r="P294">
        <v>0</v>
      </c>
      <c r="Q294">
        <v>0</v>
      </c>
      <c r="R294">
        <f>IF(S294,TRUE,AND(V294:AE294))</f>
        <v>0</v>
      </c>
      <c r="S294">
        <f>COUNTBLANK(Metadata!B294:K294)=COLUMNS(Metadata!B294:K294)</f>
        <v>0</v>
      </c>
      <c r="T294">
        <v>0</v>
      </c>
      <c r="V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W294">
        <f>AND(IF(Metadata!C294="",FALSE,TRUE),exact(Metadata!C294,"animal secretion"))</f>
        <v>0</v>
      </c>
      <c r="X294">
        <f>AND(IF(Metadata!D294="",FALSE,TRUE),exact(Metadata!D294,"saliva"))</f>
        <v>0</v>
      </c>
      <c r="Y294">
        <f>AND(IF(Metadata!E294="",FALSE,TRUE),exact(Metadata!E294,"human-oral"))</f>
        <v>0</v>
      </c>
      <c r="Z294">
        <f>AND(IF(Metadata!F294="",FALSE,TRUE),exact(Metadata!F294,"UBERON:oral cavity"))</f>
        <v>0</v>
      </c>
      <c r="AA294">
        <f>AND(IF(Metadata!G294="",FALSE,TRUE),exact(Metadata!G294,"UBERON:saliva"))</f>
        <v>0</v>
      </c>
      <c r="AB294">
        <f>AND(IF(Metadata!H294="",FALSE,TRUE),exact(Metadata!H294,"UBERON:tongue"))</f>
        <v>0</v>
      </c>
      <c r="AC294">
        <f>AND(IF(Metadata!I294="",FALSE,TRUE),exact(Metadata!I294,"tongue"))</f>
        <v>0</v>
      </c>
      <c r="AD294">
        <f>AND(IF(Metadata!J294="",FALSE,TRUE),exact(Metadata!J294,"human oral metagenome"))</f>
        <v>0</v>
      </c>
      <c r="AE294">
        <f>AND(IF(Metadata!K294="",FALSE,TRUE),exact(Metadata!K294,"447426"))</f>
        <v>0</v>
      </c>
    </row>
    <row r="295" spans="1:31">
      <c r="A295" s="4">
        <f>IF(B295=" "," ",HYPERLINK(CONCATENATE("#metadata!",ADDRESS(INDEX($Q$2:$Q$1001,MATCH(ROWS($O$2:O295),$O$2:$O$1001,0),0),1)),INDEX($T$2:$T$1001,MATCH(ROWS($O$2:O295),$O$2:$O$1001,0),0)))</f>
        <v>0</v>
      </c>
      <c r="B295" s="3">
        <f>IF(OR(INDEX($P$2:$P$1001,MATCH(ROWS($O$2:O295),$O$2:$O$1001,0),1)&gt;=100000,INDEX($V$1005:$AE$1005,1,MATCH(COLUMNS($V$1006:V1006),$V$1006:$AE$1006,0))&gt;=100000), " ",IF(INDEX($V$2:$AE$1001,MATCH(ROWS($O$2:O295),$O$2:$O$1001,0),MATCH(COLUMNS($V$1006:V1006),$V$1006:$AE$1006,0)), HYPERLINK("#",""), HYPERLINK(CONCATENATE("#Metadata!", ADDRESS(INDEX($Q$2:$Q$1001,MATCH(ROWS($O$2:O295),$O$2:$O$1001,0),0), INDEX($V$1004:$AE$1004,1,MATCH(COLUMNS($V$1006:V1006),$V$1006:$AE$1006,0)))),"Fix")))</f>
        <v>0</v>
      </c>
      <c r="C295" s="3">
        <f>IF(OR(INDEX($P$2:$P$1001,MATCH(ROWS($O$2:O295),$O$2:$O$1001,0),1)&gt;=100000,INDEX($V$1005:$AE$1005,1,MATCH(COLUMNS($V$1006:W1006),$V$1006:$AE$1006,0))&gt;=100000), " ",IF(INDEX($V$2:$AE$1001,MATCH(ROWS($O$2:O295),$O$2:$O$1001,0),MATCH(COLUMNS($V$1006:W1006),$V$1006:$AE$1006,0)), HYPERLINK("#",""), HYPERLINK(CONCATENATE("#Metadata!", ADDRESS(INDEX($Q$2:$Q$1001,MATCH(ROWS($O$2:O295),$O$2:$O$1001,0),0), INDEX($V$1004:$AE$1004,1,MATCH(COLUMNS($V$1006:W1006),$V$1006:$AE$1006,0)))),"Fix")))</f>
        <v>0</v>
      </c>
      <c r="D295" s="3">
        <f>IF(OR(INDEX($P$2:$P$1001,MATCH(ROWS($O$2:O295),$O$2:$O$1001,0),1)&gt;=100000,INDEX($V$1005:$AE$1005,1,MATCH(COLUMNS($V$1006:X1006),$V$1006:$AE$1006,0))&gt;=100000), " ",IF(INDEX($V$2:$AE$1001,MATCH(ROWS($O$2:O295),$O$2:$O$1001,0),MATCH(COLUMNS($V$1006:X1006),$V$1006:$AE$1006,0)), HYPERLINK("#",""), HYPERLINK(CONCATENATE("#Metadata!", ADDRESS(INDEX($Q$2:$Q$1001,MATCH(ROWS($O$2:O295),$O$2:$O$1001,0),0), INDEX($V$1004:$AE$1004,1,MATCH(COLUMNS($V$1006:X1006),$V$1006:$AE$1006,0)))),"Fix")))</f>
        <v>0</v>
      </c>
      <c r="E295" s="3">
        <f>IF(OR(INDEX($P$2:$P$1001,MATCH(ROWS($O$2:O295),$O$2:$O$1001,0),1)&gt;=100000,INDEX($V$1005:$AE$1005,1,MATCH(COLUMNS($V$1006:Y1006),$V$1006:$AE$1006,0))&gt;=100000), " ",IF(INDEX($V$2:$AE$1001,MATCH(ROWS($O$2:O295),$O$2:$O$1001,0),MATCH(COLUMNS($V$1006:Y1006),$V$1006:$AE$1006,0)), HYPERLINK("#",""), HYPERLINK(CONCATENATE("#Metadata!", ADDRESS(INDEX($Q$2:$Q$1001,MATCH(ROWS($O$2:O295),$O$2:$O$1001,0),0), INDEX($V$1004:$AE$1004,1,MATCH(COLUMNS($V$1006:Y1006),$V$1006:$AE$1006,0)))),"Fix")))</f>
        <v>0</v>
      </c>
      <c r="F295" s="3">
        <f>IF(OR(INDEX($P$2:$P$1001,MATCH(ROWS($O$2:O295),$O$2:$O$1001,0),1)&gt;=100000,INDEX($V$1005:$AE$1005,1,MATCH(COLUMNS($V$1006:Z1006),$V$1006:$AE$1006,0))&gt;=100000), " ",IF(INDEX($V$2:$AE$1001,MATCH(ROWS($O$2:O295),$O$2:$O$1001,0),MATCH(COLUMNS($V$1006:Z1006),$V$1006:$AE$1006,0)), HYPERLINK("#",""), HYPERLINK(CONCATENATE("#Metadata!", ADDRESS(INDEX($Q$2:$Q$1001,MATCH(ROWS($O$2:O295),$O$2:$O$1001,0),0), INDEX($V$1004:$AE$1004,1,MATCH(COLUMNS($V$1006:Z1006),$V$1006:$AE$1006,0)))),"Fix")))</f>
        <v>0</v>
      </c>
      <c r="G295" s="3">
        <f>IF(OR(INDEX($P$2:$P$1001,MATCH(ROWS($O$2:O295),$O$2:$O$1001,0),1)&gt;=100000,INDEX($V$1005:$AE$1005,1,MATCH(COLUMNS($V$1006:AA1006),$V$1006:$AE$1006,0))&gt;=100000), " ",IF(INDEX($V$2:$AE$1001,MATCH(ROWS($O$2:O295),$O$2:$O$1001,0),MATCH(COLUMNS($V$1006:AA1006),$V$1006:$AE$1006,0)), HYPERLINK("#",""), HYPERLINK(CONCATENATE("#Metadata!", ADDRESS(INDEX($Q$2:$Q$1001,MATCH(ROWS($O$2:O295),$O$2:$O$1001,0),0), INDEX($V$1004:$AE$1004,1,MATCH(COLUMNS($V$1006:AA1006),$V$1006:$AE$1006,0)))),"Fix")))</f>
        <v>0</v>
      </c>
      <c r="H295" s="3">
        <f>IF(OR(INDEX($P$2:$P$1001,MATCH(ROWS($O$2:O295),$O$2:$O$1001,0),1)&gt;=100000,INDEX($V$1005:$AE$1005,1,MATCH(COLUMNS($V$1006:AB1006),$V$1006:$AE$1006,0))&gt;=100000), " ",IF(INDEX($V$2:$AE$1001,MATCH(ROWS($O$2:O295),$O$2:$O$1001,0),MATCH(COLUMNS($V$1006:AB1006),$V$1006:$AE$1006,0)), HYPERLINK("#",""), HYPERLINK(CONCATENATE("#Metadata!", ADDRESS(INDEX($Q$2:$Q$1001,MATCH(ROWS($O$2:O295),$O$2:$O$1001,0),0), INDEX($V$1004:$AE$1004,1,MATCH(COLUMNS($V$1006:AB1006),$V$1006:$AE$1006,0)))),"Fix")))</f>
        <v>0</v>
      </c>
      <c r="I295" s="3">
        <f>IF(OR(INDEX($P$2:$P$1001,MATCH(ROWS($O$2:O295),$O$2:$O$1001,0),1)&gt;=100000,INDEX($V$1005:$AE$1005,1,MATCH(COLUMNS($V$1006:AC1006),$V$1006:$AE$1006,0))&gt;=100000), " ",IF(INDEX($V$2:$AE$1001,MATCH(ROWS($O$2:O295),$O$2:$O$1001,0),MATCH(COLUMNS($V$1006:AC1006),$V$1006:$AE$1006,0)), HYPERLINK("#",""), HYPERLINK(CONCATENATE("#Metadata!", ADDRESS(INDEX($Q$2:$Q$1001,MATCH(ROWS($O$2:O295),$O$2:$O$1001,0),0), INDEX($V$1004:$AE$1004,1,MATCH(COLUMNS($V$1006:AC1006),$V$1006:$AE$1006,0)))),"Fix")))</f>
        <v>0</v>
      </c>
      <c r="J295" s="3">
        <f>IF(OR(INDEX($P$2:$P$1001,MATCH(ROWS($O$2:O295),$O$2:$O$1001,0),1)&gt;=100000,INDEX($V$1005:$AE$1005,1,MATCH(COLUMNS($V$1006:AD1006),$V$1006:$AE$1006,0))&gt;=100000), " ",IF(INDEX($V$2:$AE$1001,MATCH(ROWS($O$2:O295),$O$2:$O$1001,0),MATCH(COLUMNS($V$1006:AD1006),$V$1006:$AE$1006,0)), HYPERLINK("#",""), HYPERLINK(CONCATENATE("#Metadata!", ADDRESS(INDEX($Q$2:$Q$1001,MATCH(ROWS($O$2:O295),$O$2:$O$1001,0),0), INDEX($V$1004:$AE$1004,1,MATCH(COLUMNS($V$1006:AD1006),$V$1006:$AE$1006,0)))),"Fix")))</f>
        <v>0</v>
      </c>
      <c r="K295" s="3">
        <f>IF(OR(INDEX($P$2:$P$1001,MATCH(ROWS($O$2:O295),$O$2:$O$1001,0),1)&gt;=100000,INDEX($V$1005:$AE$1005,1,MATCH(COLUMNS($V$1006:AE1006),$V$1006:$AE$1006,0))&gt;=100000), " ",IF(INDEX($V$2:$AE$1001,MATCH(ROWS($O$2:O295),$O$2:$O$1001,0),MATCH(COLUMNS($V$1006:AE1006),$V$1006:$AE$1006,0)), HYPERLINK("#",""), HYPERLINK(CONCATENATE("#Metadata!", ADDRESS(INDEX($Q$2:$Q$1001,MATCH(ROWS($O$2:O295),$O$2:$O$1001,0),0), INDEX($V$1004:$AE$1004,1,MATCH(COLUMNS($V$1006:AE1006),$V$1006:$AE$1006,0)))),"Fix")))</f>
        <v>0</v>
      </c>
      <c r="O295">
        <v>0</v>
      </c>
      <c r="P295">
        <v>0</v>
      </c>
      <c r="Q295">
        <v>0</v>
      </c>
      <c r="R295">
        <f>IF(S295,TRUE,AND(V295:AE295))</f>
        <v>0</v>
      </c>
      <c r="S295">
        <f>COUNTBLANK(Metadata!B295:K295)=COLUMNS(Metadata!B295:K295)</f>
        <v>0</v>
      </c>
      <c r="T295">
        <v>0</v>
      </c>
      <c r="V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W295">
        <f>AND(IF(Metadata!C295="",FALSE,TRUE),exact(Metadata!C295,"animal secretion"))</f>
        <v>0</v>
      </c>
      <c r="X295">
        <f>AND(IF(Metadata!D295="",FALSE,TRUE),exact(Metadata!D295,"saliva"))</f>
        <v>0</v>
      </c>
      <c r="Y295">
        <f>AND(IF(Metadata!E295="",FALSE,TRUE),exact(Metadata!E295,"human-oral"))</f>
        <v>0</v>
      </c>
      <c r="Z295">
        <f>AND(IF(Metadata!F295="",FALSE,TRUE),exact(Metadata!F295,"UBERON:oral cavity"))</f>
        <v>0</v>
      </c>
      <c r="AA295">
        <f>AND(IF(Metadata!G295="",FALSE,TRUE),exact(Metadata!G295,"UBERON:saliva"))</f>
        <v>0</v>
      </c>
      <c r="AB295">
        <f>AND(IF(Metadata!H295="",FALSE,TRUE),exact(Metadata!H295,"UBERON:tongue"))</f>
        <v>0</v>
      </c>
      <c r="AC295">
        <f>AND(IF(Metadata!I295="",FALSE,TRUE),exact(Metadata!I295,"tongue"))</f>
        <v>0</v>
      </c>
      <c r="AD295">
        <f>AND(IF(Metadata!J295="",FALSE,TRUE),exact(Metadata!J295,"human oral metagenome"))</f>
        <v>0</v>
      </c>
      <c r="AE295">
        <f>AND(IF(Metadata!K295="",FALSE,TRUE),exact(Metadata!K295,"447426"))</f>
        <v>0</v>
      </c>
    </row>
    <row r="296" spans="1:31">
      <c r="A296" s="4">
        <f>IF(B296=" "," ",HYPERLINK(CONCATENATE("#metadata!",ADDRESS(INDEX($Q$2:$Q$1001,MATCH(ROWS($O$2:O296),$O$2:$O$1001,0),0),1)),INDEX($T$2:$T$1001,MATCH(ROWS($O$2:O296),$O$2:$O$1001,0),0)))</f>
        <v>0</v>
      </c>
      <c r="B296" s="3">
        <f>IF(OR(INDEX($P$2:$P$1001,MATCH(ROWS($O$2:O296),$O$2:$O$1001,0),1)&gt;=100000,INDEX($V$1005:$AE$1005,1,MATCH(COLUMNS($V$1006:V1006),$V$1006:$AE$1006,0))&gt;=100000), " ",IF(INDEX($V$2:$AE$1001,MATCH(ROWS($O$2:O296),$O$2:$O$1001,0),MATCH(COLUMNS($V$1006:V1006),$V$1006:$AE$1006,0)), HYPERLINK("#",""), HYPERLINK(CONCATENATE("#Metadata!", ADDRESS(INDEX($Q$2:$Q$1001,MATCH(ROWS($O$2:O296),$O$2:$O$1001,0),0), INDEX($V$1004:$AE$1004,1,MATCH(COLUMNS($V$1006:V1006),$V$1006:$AE$1006,0)))),"Fix")))</f>
        <v>0</v>
      </c>
      <c r="C296" s="3">
        <f>IF(OR(INDEX($P$2:$P$1001,MATCH(ROWS($O$2:O296),$O$2:$O$1001,0),1)&gt;=100000,INDEX($V$1005:$AE$1005,1,MATCH(COLUMNS($V$1006:W1006),$V$1006:$AE$1006,0))&gt;=100000), " ",IF(INDEX($V$2:$AE$1001,MATCH(ROWS($O$2:O296),$O$2:$O$1001,0),MATCH(COLUMNS($V$1006:W1006),$V$1006:$AE$1006,0)), HYPERLINK("#",""), HYPERLINK(CONCATENATE("#Metadata!", ADDRESS(INDEX($Q$2:$Q$1001,MATCH(ROWS($O$2:O296),$O$2:$O$1001,0),0), INDEX($V$1004:$AE$1004,1,MATCH(COLUMNS($V$1006:W1006),$V$1006:$AE$1006,0)))),"Fix")))</f>
        <v>0</v>
      </c>
      <c r="D296" s="3">
        <f>IF(OR(INDEX($P$2:$P$1001,MATCH(ROWS($O$2:O296),$O$2:$O$1001,0),1)&gt;=100000,INDEX($V$1005:$AE$1005,1,MATCH(COLUMNS($V$1006:X1006),$V$1006:$AE$1006,0))&gt;=100000), " ",IF(INDEX($V$2:$AE$1001,MATCH(ROWS($O$2:O296),$O$2:$O$1001,0),MATCH(COLUMNS($V$1006:X1006),$V$1006:$AE$1006,0)), HYPERLINK("#",""), HYPERLINK(CONCATENATE("#Metadata!", ADDRESS(INDEX($Q$2:$Q$1001,MATCH(ROWS($O$2:O296),$O$2:$O$1001,0),0), INDEX($V$1004:$AE$1004,1,MATCH(COLUMNS($V$1006:X1006),$V$1006:$AE$1006,0)))),"Fix")))</f>
        <v>0</v>
      </c>
      <c r="E296" s="3">
        <f>IF(OR(INDEX($P$2:$P$1001,MATCH(ROWS($O$2:O296),$O$2:$O$1001,0),1)&gt;=100000,INDEX($V$1005:$AE$1005,1,MATCH(COLUMNS($V$1006:Y1006),$V$1006:$AE$1006,0))&gt;=100000), " ",IF(INDEX($V$2:$AE$1001,MATCH(ROWS($O$2:O296),$O$2:$O$1001,0),MATCH(COLUMNS($V$1006:Y1006),$V$1006:$AE$1006,0)), HYPERLINK("#",""), HYPERLINK(CONCATENATE("#Metadata!", ADDRESS(INDEX($Q$2:$Q$1001,MATCH(ROWS($O$2:O296),$O$2:$O$1001,0),0), INDEX($V$1004:$AE$1004,1,MATCH(COLUMNS($V$1006:Y1006),$V$1006:$AE$1006,0)))),"Fix")))</f>
        <v>0</v>
      </c>
      <c r="F296" s="3">
        <f>IF(OR(INDEX($P$2:$P$1001,MATCH(ROWS($O$2:O296),$O$2:$O$1001,0),1)&gt;=100000,INDEX($V$1005:$AE$1005,1,MATCH(COLUMNS($V$1006:Z1006),$V$1006:$AE$1006,0))&gt;=100000), " ",IF(INDEX($V$2:$AE$1001,MATCH(ROWS($O$2:O296),$O$2:$O$1001,0),MATCH(COLUMNS($V$1006:Z1006),$V$1006:$AE$1006,0)), HYPERLINK("#",""), HYPERLINK(CONCATENATE("#Metadata!", ADDRESS(INDEX($Q$2:$Q$1001,MATCH(ROWS($O$2:O296),$O$2:$O$1001,0),0), INDEX($V$1004:$AE$1004,1,MATCH(COLUMNS($V$1006:Z1006),$V$1006:$AE$1006,0)))),"Fix")))</f>
        <v>0</v>
      </c>
      <c r="G296" s="3">
        <f>IF(OR(INDEX($P$2:$P$1001,MATCH(ROWS($O$2:O296),$O$2:$O$1001,0),1)&gt;=100000,INDEX($V$1005:$AE$1005,1,MATCH(COLUMNS($V$1006:AA1006),$V$1006:$AE$1006,0))&gt;=100000), " ",IF(INDEX($V$2:$AE$1001,MATCH(ROWS($O$2:O296),$O$2:$O$1001,0),MATCH(COLUMNS($V$1006:AA1006),$V$1006:$AE$1006,0)), HYPERLINK("#",""), HYPERLINK(CONCATENATE("#Metadata!", ADDRESS(INDEX($Q$2:$Q$1001,MATCH(ROWS($O$2:O296),$O$2:$O$1001,0),0), INDEX($V$1004:$AE$1004,1,MATCH(COLUMNS($V$1006:AA1006),$V$1006:$AE$1006,0)))),"Fix")))</f>
        <v>0</v>
      </c>
      <c r="H296" s="3">
        <f>IF(OR(INDEX($P$2:$P$1001,MATCH(ROWS($O$2:O296),$O$2:$O$1001,0),1)&gt;=100000,INDEX($V$1005:$AE$1005,1,MATCH(COLUMNS($V$1006:AB1006),$V$1006:$AE$1006,0))&gt;=100000), " ",IF(INDEX($V$2:$AE$1001,MATCH(ROWS($O$2:O296),$O$2:$O$1001,0),MATCH(COLUMNS($V$1006:AB1006),$V$1006:$AE$1006,0)), HYPERLINK("#",""), HYPERLINK(CONCATENATE("#Metadata!", ADDRESS(INDEX($Q$2:$Q$1001,MATCH(ROWS($O$2:O296),$O$2:$O$1001,0),0), INDEX($V$1004:$AE$1004,1,MATCH(COLUMNS($V$1006:AB1006),$V$1006:$AE$1006,0)))),"Fix")))</f>
        <v>0</v>
      </c>
      <c r="I296" s="3">
        <f>IF(OR(INDEX($P$2:$P$1001,MATCH(ROWS($O$2:O296),$O$2:$O$1001,0),1)&gt;=100000,INDEX($V$1005:$AE$1005,1,MATCH(COLUMNS($V$1006:AC1006),$V$1006:$AE$1006,0))&gt;=100000), " ",IF(INDEX($V$2:$AE$1001,MATCH(ROWS($O$2:O296),$O$2:$O$1001,0),MATCH(COLUMNS($V$1006:AC1006),$V$1006:$AE$1006,0)), HYPERLINK("#",""), HYPERLINK(CONCATENATE("#Metadata!", ADDRESS(INDEX($Q$2:$Q$1001,MATCH(ROWS($O$2:O296),$O$2:$O$1001,0),0), INDEX($V$1004:$AE$1004,1,MATCH(COLUMNS($V$1006:AC1006),$V$1006:$AE$1006,0)))),"Fix")))</f>
        <v>0</v>
      </c>
      <c r="J296" s="3">
        <f>IF(OR(INDEX($P$2:$P$1001,MATCH(ROWS($O$2:O296),$O$2:$O$1001,0),1)&gt;=100000,INDEX($V$1005:$AE$1005,1,MATCH(COLUMNS($V$1006:AD1006),$V$1006:$AE$1006,0))&gt;=100000), " ",IF(INDEX($V$2:$AE$1001,MATCH(ROWS($O$2:O296),$O$2:$O$1001,0),MATCH(COLUMNS($V$1006:AD1006),$V$1006:$AE$1006,0)), HYPERLINK("#",""), HYPERLINK(CONCATENATE("#Metadata!", ADDRESS(INDEX($Q$2:$Q$1001,MATCH(ROWS($O$2:O296),$O$2:$O$1001,0),0), INDEX($V$1004:$AE$1004,1,MATCH(COLUMNS($V$1006:AD1006),$V$1006:$AE$1006,0)))),"Fix")))</f>
        <v>0</v>
      </c>
      <c r="K296" s="3">
        <f>IF(OR(INDEX($P$2:$P$1001,MATCH(ROWS($O$2:O296),$O$2:$O$1001,0),1)&gt;=100000,INDEX($V$1005:$AE$1005,1,MATCH(COLUMNS($V$1006:AE1006),$V$1006:$AE$1006,0))&gt;=100000), " ",IF(INDEX($V$2:$AE$1001,MATCH(ROWS($O$2:O296),$O$2:$O$1001,0),MATCH(COLUMNS($V$1006:AE1006),$V$1006:$AE$1006,0)), HYPERLINK("#",""), HYPERLINK(CONCATENATE("#Metadata!", ADDRESS(INDEX($Q$2:$Q$1001,MATCH(ROWS($O$2:O296),$O$2:$O$1001,0),0), INDEX($V$1004:$AE$1004,1,MATCH(COLUMNS($V$1006:AE1006),$V$1006:$AE$1006,0)))),"Fix")))</f>
        <v>0</v>
      </c>
      <c r="O296">
        <v>0</v>
      </c>
      <c r="P296">
        <v>0</v>
      </c>
      <c r="Q296">
        <v>0</v>
      </c>
      <c r="R296">
        <f>IF(S296,TRUE,AND(V296:AE296))</f>
        <v>0</v>
      </c>
      <c r="S296">
        <f>COUNTBLANK(Metadata!B296:K296)=COLUMNS(Metadata!B296:K296)</f>
        <v>0</v>
      </c>
      <c r="T296">
        <v>0</v>
      </c>
      <c r="V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W296">
        <f>AND(IF(Metadata!C296="",FALSE,TRUE),exact(Metadata!C296,"animal secretion"))</f>
        <v>0</v>
      </c>
      <c r="X296">
        <f>AND(IF(Metadata!D296="",FALSE,TRUE),exact(Metadata!D296,"saliva"))</f>
        <v>0</v>
      </c>
      <c r="Y296">
        <f>AND(IF(Metadata!E296="",FALSE,TRUE),exact(Metadata!E296,"human-oral"))</f>
        <v>0</v>
      </c>
      <c r="Z296">
        <f>AND(IF(Metadata!F296="",FALSE,TRUE),exact(Metadata!F296,"UBERON:oral cavity"))</f>
        <v>0</v>
      </c>
      <c r="AA296">
        <f>AND(IF(Metadata!G296="",FALSE,TRUE),exact(Metadata!G296,"UBERON:saliva"))</f>
        <v>0</v>
      </c>
      <c r="AB296">
        <f>AND(IF(Metadata!H296="",FALSE,TRUE),exact(Metadata!H296,"UBERON:tongue"))</f>
        <v>0</v>
      </c>
      <c r="AC296">
        <f>AND(IF(Metadata!I296="",FALSE,TRUE),exact(Metadata!I296,"tongue"))</f>
        <v>0</v>
      </c>
      <c r="AD296">
        <f>AND(IF(Metadata!J296="",FALSE,TRUE),exact(Metadata!J296,"human oral metagenome"))</f>
        <v>0</v>
      </c>
      <c r="AE296">
        <f>AND(IF(Metadata!K296="",FALSE,TRUE),exact(Metadata!K296,"447426"))</f>
        <v>0</v>
      </c>
    </row>
    <row r="297" spans="1:31">
      <c r="A297" s="4">
        <f>IF(B297=" "," ",HYPERLINK(CONCATENATE("#metadata!",ADDRESS(INDEX($Q$2:$Q$1001,MATCH(ROWS($O$2:O297),$O$2:$O$1001,0),0),1)),INDEX($T$2:$T$1001,MATCH(ROWS($O$2:O297),$O$2:$O$1001,0),0)))</f>
        <v>0</v>
      </c>
      <c r="B297" s="3">
        <f>IF(OR(INDEX($P$2:$P$1001,MATCH(ROWS($O$2:O297),$O$2:$O$1001,0),1)&gt;=100000,INDEX($V$1005:$AE$1005,1,MATCH(COLUMNS($V$1006:V1006),$V$1006:$AE$1006,0))&gt;=100000), " ",IF(INDEX($V$2:$AE$1001,MATCH(ROWS($O$2:O297),$O$2:$O$1001,0),MATCH(COLUMNS($V$1006:V1006),$V$1006:$AE$1006,0)), HYPERLINK("#",""), HYPERLINK(CONCATENATE("#Metadata!", ADDRESS(INDEX($Q$2:$Q$1001,MATCH(ROWS($O$2:O297),$O$2:$O$1001,0),0), INDEX($V$1004:$AE$1004,1,MATCH(COLUMNS($V$1006:V1006),$V$1006:$AE$1006,0)))),"Fix")))</f>
        <v>0</v>
      </c>
      <c r="C297" s="3">
        <f>IF(OR(INDEX($P$2:$P$1001,MATCH(ROWS($O$2:O297),$O$2:$O$1001,0),1)&gt;=100000,INDEX($V$1005:$AE$1005,1,MATCH(COLUMNS($V$1006:W1006),$V$1006:$AE$1006,0))&gt;=100000), " ",IF(INDEX($V$2:$AE$1001,MATCH(ROWS($O$2:O297),$O$2:$O$1001,0),MATCH(COLUMNS($V$1006:W1006),$V$1006:$AE$1006,0)), HYPERLINK("#",""), HYPERLINK(CONCATENATE("#Metadata!", ADDRESS(INDEX($Q$2:$Q$1001,MATCH(ROWS($O$2:O297),$O$2:$O$1001,0),0), INDEX($V$1004:$AE$1004,1,MATCH(COLUMNS($V$1006:W1006),$V$1006:$AE$1006,0)))),"Fix")))</f>
        <v>0</v>
      </c>
      <c r="D297" s="3">
        <f>IF(OR(INDEX($P$2:$P$1001,MATCH(ROWS($O$2:O297),$O$2:$O$1001,0),1)&gt;=100000,INDEX($V$1005:$AE$1005,1,MATCH(COLUMNS($V$1006:X1006),$V$1006:$AE$1006,0))&gt;=100000), " ",IF(INDEX($V$2:$AE$1001,MATCH(ROWS($O$2:O297),$O$2:$O$1001,0),MATCH(COLUMNS($V$1006:X1006),$V$1006:$AE$1006,0)), HYPERLINK("#",""), HYPERLINK(CONCATENATE("#Metadata!", ADDRESS(INDEX($Q$2:$Q$1001,MATCH(ROWS($O$2:O297),$O$2:$O$1001,0),0), INDEX($V$1004:$AE$1004,1,MATCH(COLUMNS($V$1006:X1006),$V$1006:$AE$1006,0)))),"Fix")))</f>
        <v>0</v>
      </c>
      <c r="E297" s="3">
        <f>IF(OR(INDEX($P$2:$P$1001,MATCH(ROWS($O$2:O297),$O$2:$O$1001,0),1)&gt;=100000,INDEX($V$1005:$AE$1005,1,MATCH(COLUMNS($V$1006:Y1006),$V$1006:$AE$1006,0))&gt;=100000), " ",IF(INDEX($V$2:$AE$1001,MATCH(ROWS($O$2:O297),$O$2:$O$1001,0),MATCH(COLUMNS($V$1006:Y1006),$V$1006:$AE$1006,0)), HYPERLINK("#",""), HYPERLINK(CONCATENATE("#Metadata!", ADDRESS(INDEX($Q$2:$Q$1001,MATCH(ROWS($O$2:O297),$O$2:$O$1001,0),0), INDEX($V$1004:$AE$1004,1,MATCH(COLUMNS($V$1006:Y1006),$V$1006:$AE$1006,0)))),"Fix")))</f>
        <v>0</v>
      </c>
      <c r="F297" s="3">
        <f>IF(OR(INDEX($P$2:$P$1001,MATCH(ROWS($O$2:O297),$O$2:$O$1001,0),1)&gt;=100000,INDEX($V$1005:$AE$1005,1,MATCH(COLUMNS($V$1006:Z1006),$V$1006:$AE$1006,0))&gt;=100000), " ",IF(INDEX($V$2:$AE$1001,MATCH(ROWS($O$2:O297),$O$2:$O$1001,0),MATCH(COLUMNS($V$1006:Z1006),$V$1006:$AE$1006,0)), HYPERLINK("#",""), HYPERLINK(CONCATENATE("#Metadata!", ADDRESS(INDEX($Q$2:$Q$1001,MATCH(ROWS($O$2:O297),$O$2:$O$1001,0),0), INDEX($V$1004:$AE$1004,1,MATCH(COLUMNS($V$1006:Z1006),$V$1006:$AE$1006,0)))),"Fix")))</f>
        <v>0</v>
      </c>
      <c r="G297" s="3">
        <f>IF(OR(INDEX($P$2:$P$1001,MATCH(ROWS($O$2:O297),$O$2:$O$1001,0),1)&gt;=100000,INDEX($V$1005:$AE$1005,1,MATCH(COLUMNS($V$1006:AA1006),$V$1006:$AE$1006,0))&gt;=100000), " ",IF(INDEX($V$2:$AE$1001,MATCH(ROWS($O$2:O297),$O$2:$O$1001,0),MATCH(COLUMNS($V$1006:AA1006),$V$1006:$AE$1006,0)), HYPERLINK("#",""), HYPERLINK(CONCATENATE("#Metadata!", ADDRESS(INDEX($Q$2:$Q$1001,MATCH(ROWS($O$2:O297),$O$2:$O$1001,0),0), INDEX($V$1004:$AE$1004,1,MATCH(COLUMNS($V$1006:AA1006),$V$1006:$AE$1006,0)))),"Fix")))</f>
        <v>0</v>
      </c>
      <c r="H297" s="3">
        <f>IF(OR(INDEX($P$2:$P$1001,MATCH(ROWS($O$2:O297),$O$2:$O$1001,0),1)&gt;=100000,INDEX($V$1005:$AE$1005,1,MATCH(COLUMNS($V$1006:AB1006),$V$1006:$AE$1006,0))&gt;=100000), " ",IF(INDEX($V$2:$AE$1001,MATCH(ROWS($O$2:O297),$O$2:$O$1001,0),MATCH(COLUMNS($V$1006:AB1006),$V$1006:$AE$1006,0)), HYPERLINK("#",""), HYPERLINK(CONCATENATE("#Metadata!", ADDRESS(INDEX($Q$2:$Q$1001,MATCH(ROWS($O$2:O297),$O$2:$O$1001,0),0), INDEX($V$1004:$AE$1004,1,MATCH(COLUMNS($V$1006:AB1006),$V$1006:$AE$1006,0)))),"Fix")))</f>
        <v>0</v>
      </c>
      <c r="I297" s="3">
        <f>IF(OR(INDEX($P$2:$P$1001,MATCH(ROWS($O$2:O297),$O$2:$O$1001,0),1)&gt;=100000,INDEX($V$1005:$AE$1005,1,MATCH(COLUMNS($V$1006:AC1006),$V$1006:$AE$1006,0))&gt;=100000), " ",IF(INDEX($V$2:$AE$1001,MATCH(ROWS($O$2:O297),$O$2:$O$1001,0),MATCH(COLUMNS($V$1006:AC1006),$V$1006:$AE$1006,0)), HYPERLINK("#",""), HYPERLINK(CONCATENATE("#Metadata!", ADDRESS(INDEX($Q$2:$Q$1001,MATCH(ROWS($O$2:O297),$O$2:$O$1001,0),0), INDEX($V$1004:$AE$1004,1,MATCH(COLUMNS($V$1006:AC1006),$V$1006:$AE$1006,0)))),"Fix")))</f>
        <v>0</v>
      </c>
      <c r="J297" s="3">
        <f>IF(OR(INDEX($P$2:$P$1001,MATCH(ROWS($O$2:O297),$O$2:$O$1001,0),1)&gt;=100000,INDEX($V$1005:$AE$1005,1,MATCH(COLUMNS($V$1006:AD1006),$V$1006:$AE$1006,0))&gt;=100000), " ",IF(INDEX($V$2:$AE$1001,MATCH(ROWS($O$2:O297),$O$2:$O$1001,0),MATCH(COLUMNS($V$1006:AD1006),$V$1006:$AE$1006,0)), HYPERLINK("#",""), HYPERLINK(CONCATENATE("#Metadata!", ADDRESS(INDEX($Q$2:$Q$1001,MATCH(ROWS($O$2:O297),$O$2:$O$1001,0),0), INDEX($V$1004:$AE$1004,1,MATCH(COLUMNS($V$1006:AD1006),$V$1006:$AE$1006,0)))),"Fix")))</f>
        <v>0</v>
      </c>
      <c r="K297" s="3">
        <f>IF(OR(INDEX($P$2:$P$1001,MATCH(ROWS($O$2:O297),$O$2:$O$1001,0),1)&gt;=100000,INDEX($V$1005:$AE$1005,1,MATCH(COLUMNS($V$1006:AE1006),$V$1006:$AE$1006,0))&gt;=100000), " ",IF(INDEX($V$2:$AE$1001,MATCH(ROWS($O$2:O297),$O$2:$O$1001,0),MATCH(COLUMNS($V$1006:AE1006),$V$1006:$AE$1006,0)), HYPERLINK("#",""), HYPERLINK(CONCATENATE("#Metadata!", ADDRESS(INDEX($Q$2:$Q$1001,MATCH(ROWS($O$2:O297),$O$2:$O$1001,0),0), INDEX($V$1004:$AE$1004,1,MATCH(COLUMNS($V$1006:AE1006),$V$1006:$AE$1006,0)))),"Fix")))</f>
        <v>0</v>
      </c>
      <c r="O297">
        <v>0</v>
      </c>
      <c r="P297">
        <v>0</v>
      </c>
      <c r="Q297">
        <v>0</v>
      </c>
      <c r="R297">
        <f>IF(S297,TRUE,AND(V297:AE297))</f>
        <v>0</v>
      </c>
      <c r="S297">
        <f>COUNTBLANK(Metadata!B297:K297)=COLUMNS(Metadata!B297:K297)</f>
        <v>0</v>
      </c>
      <c r="T297">
        <v>0</v>
      </c>
      <c r="V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W297">
        <f>AND(IF(Metadata!C297="",FALSE,TRUE),exact(Metadata!C297,"animal secretion"))</f>
        <v>0</v>
      </c>
      <c r="X297">
        <f>AND(IF(Metadata!D297="",FALSE,TRUE),exact(Metadata!D297,"saliva"))</f>
        <v>0</v>
      </c>
      <c r="Y297">
        <f>AND(IF(Metadata!E297="",FALSE,TRUE),exact(Metadata!E297,"human-oral"))</f>
        <v>0</v>
      </c>
      <c r="Z297">
        <f>AND(IF(Metadata!F297="",FALSE,TRUE),exact(Metadata!F297,"UBERON:oral cavity"))</f>
        <v>0</v>
      </c>
      <c r="AA297">
        <f>AND(IF(Metadata!G297="",FALSE,TRUE),exact(Metadata!G297,"UBERON:saliva"))</f>
        <v>0</v>
      </c>
      <c r="AB297">
        <f>AND(IF(Metadata!H297="",FALSE,TRUE),exact(Metadata!H297,"UBERON:tongue"))</f>
        <v>0</v>
      </c>
      <c r="AC297">
        <f>AND(IF(Metadata!I297="",FALSE,TRUE),exact(Metadata!I297,"tongue"))</f>
        <v>0</v>
      </c>
      <c r="AD297">
        <f>AND(IF(Metadata!J297="",FALSE,TRUE),exact(Metadata!J297,"human oral metagenome"))</f>
        <v>0</v>
      </c>
      <c r="AE297">
        <f>AND(IF(Metadata!K297="",FALSE,TRUE),exact(Metadata!K297,"447426"))</f>
        <v>0</v>
      </c>
    </row>
    <row r="298" spans="1:31">
      <c r="A298" s="4">
        <f>IF(B298=" "," ",HYPERLINK(CONCATENATE("#metadata!",ADDRESS(INDEX($Q$2:$Q$1001,MATCH(ROWS($O$2:O298),$O$2:$O$1001,0),0),1)),INDEX($T$2:$T$1001,MATCH(ROWS($O$2:O298),$O$2:$O$1001,0),0)))</f>
        <v>0</v>
      </c>
      <c r="B298" s="3">
        <f>IF(OR(INDEX($P$2:$P$1001,MATCH(ROWS($O$2:O298),$O$2:$O$1001,0),1)&gt;=100000,INDEX($V$1005:$AE$1005,1,MATCH(COLUMNS($V$1006:V1006),$V$1006:$AE$1006,0))&gt;=100000), " ",IF(INDEX($V$2:$AE$1001,MATCH(ROWS($O$2:O298),$O$2:$O$1001,0),MATCH(COLUMNS($V$1006:V1006),$V$1006:$AE$1006,0)), HYPERLINK("#",""), HYPERLINK(CONCATENATE("#Metadata!", ADDRESS(INDEX($Q$2:$Q$1001,MATCH(ROWS($O$2:O298),$O$2:$O$1001,0),0), INDEX($V$1004:$AE$1004,1,MATCH(COLUMNS($V$1006:V1006),$V$1006:$AE$1006,0)))),"Fix")))</f>
        <v>0</v>
      </c>
      <c r="C298" s="3">
        <f>IF(OR(INDEX($P$2:$P$1001,MATCH(ROWS($O$2:O298),$O$2:$O$1001,0),1)&gt;=100000,INDEX($V$1005:$AE$1005,1,MATCH(COLUMNS($V$1006:W1006),$V$1006:$AE$1006,0))&gt;=100000), " ",IF(INDEX($V$2:$AE$1001,MATCH(ROWS($O$2:O298),$O$2:$O$1001,0),MATCH(COLUMNS($V$1006:W1006),$V$1006:$AE$1006,0)), HYPERLINK("#",""), HYPERLINK(CONCATENATE("#Metadata!", ADDRESS(INDEX($Q$2:$Q$1001,MATCH(ROWS($O$2:O298),$O$2:$O$1001,0),0), INDEX($V$1004:$AE$1004,1,MATCH(COLUMNS($V$1006:W1006),$V$1006:$AE$1006,0)))),"Fix")))</f>
        <v>0</v>
      </c>
      <c r="D298" s="3">
        <f>IF(OR(INDEX($P$2:$P$1001,MATCH(ROWS($O$2:O298),$O$2:$O$1001,0),1)&gt;=100000,INDEX($V$1005:$AE$1005,1,MATCH(COLUMNS($V$1006:X1006),$V$1006:$AE$1006,0))&gt;=100000), " ",IF(INDEX($V$2:$AE$1001,MATCH(ROWS($O$2:O298),$O$2:$O$1001,0),MATCH(COLUMNS($V$1006:X1006),$V$1006:$AE$1006,0)), HYPERLINK("#",""), HYPERLINK(CONCATENATE("#Metadata!", ADDRESS(INDEX($Q$2:$Q$1001,MATCH(ROWS($O$2:O298),$O$2:$O$1001,0),0), INDEX($V$1004:$AE$1004,1,MATCH(COLUMNS($V$1006:X1006),$V$1006:$AE$1006,0)))),"Fix")))</f>
        <v>0</v>
      </c>
      <c r="E298" s="3">
        <f>IF(OR(INDEX($P$2:$P$1001,MATCH(ROWS($O$2:O298),$O$2:$O$1001,0),1)&gt;=100000,INDEX($V$1005:$AE$1005,1,MATCH(COLUMNS($V$1006:Y1006),$V$1006:$AE$1006,0))&gt;=100000), " ",IF(INDEX($V$2:$AE$1001,MATCH(ROWS($O$2:O298),$O$2:$O$1001,0),MATCH(COLUMNS($V$1006:Y1006),$V$1006:$AE$1006,0)), HYPERLINK("#",""), HYPERLINK(CONCATENATE("#Metadata!", ADDRESS(INDEX($Q$2:$Q$1001,MATCH(ROWS($O$2:O298),$O$2:$O$1001,0),0), INDEX($V$1004:$AE$1004,1,MATCH(COLUMNS($V$1006:Y1006),$V$1006:$AE$1006,0)))),"Fix")))</f>
        <v>0</v>
      </c>
      <c r="F298" s="3">
        <f>IF(OR(INDEX($P$2:$P$1001,MATCH(ROWS($O$2:O298),$O$2:$O$1001,0),1)&gt;=100000,INDEX($V$1005:$AE$1005,1,MATCH(COLUMNS($V$1006:Z1006),$V$1006:$AE$1006,0))&gt;=100000), " ",IF(INDEX($V$2:$AE$1001,MATCH(ROWS($O$2:O298),$O$2:$O$1001,0),MATCH(COLUMNS($V$1006:Z1006),$V$1006:$AE$1006,0)), HYPERLINK("#",""), HYPERLINK(CONCATENATE("#Metadata!", ADDRESS(INDEX($Q$2:$Q$1001,MATCH(ROWS($O$2:O298),$O$2:$O$1001,0),0), INDEX($V$1004:$AE$1004,1,MATCH(COLUMNS($V$1006:Z1006),$V$1006:$AE$1006,0)))),"Fix")))</f>
        <v>0</v>
      </c>
      <c r="G298" s="3">
        <f>IF(OR(INDEX($P$2:$P$1001,MATCH(ROWS($O$2:O298),$O$2:$O$1001,0),1)&gt;=100000,INDEX($V$1005:$AE$1005,1,MATCH(COLUMNS($V$1006:AA1006),$V$1006:$AE$1006,0))&gt;=100000), " ",IF(INDEX($V$2:$AE$1001,MATCH(ROWS($O$2:O298),$O$2:$O$1001,0),MATCH(COLUMNS($V$1006:AA1006),$V$1006:$AE$1006,0)), HYPERLINK("#",""), HYPERLINK(CONCATENATE("#Metadata!", ADDRESS(INDEX($Q$2:$Q$1001,MATCH(ROWS($O$2:O298),$O$2:$O$1001,0),0), INDEX($V$1004:$AE$1004,1,MATCH(COLUMNS($V$1006:AA1006),$V$1006:$AE$1006,0)))),"Fix")))</f>
        <v>0</v>
      </c>
      <c r="H298" s="3">
        <f>IF(OR(INDEX($P$2:$P$1001,MATCH(ROWS($O$2:O298),$O$2:$O$1001,0),1)&gt;=100000,INDEX($V$1005:$AE$1005,1,MATCH(COLUMNS($V$1006:AB1006),$V$1006:$AE$1006,0))&gt;=100000), " ",IF(INDEX($V$2:$AE$1001,MATCH(ROWS($O$2:O298),$O$2:$O$1001,0),MATCH(COLUMNS($V$1006:AB1006),$V$1006:$AE$1006,0)), HYPERLINK("#",""), HYPERLINK(CONCATENATE("#Metadata!", ADDRESS(INDEX($Q$2:$Q$1001,MATCH(ROWS($O$2:O298),$O$2:$O$1001,0),0), INDEX($V$1004:$AE$1004,1,MATCH(COLUMNS($V$1006:AB1006),$V$1006:$AE$1006,0)))),"Fix")))</f>
        <v>0</v>
      </c>
      <c r="I298" s="3">
        <f>IF(OR(INDEX($P$2:$P$1001,MATCH(ROWS($O$2:O298),$O$2:$O$1001,0),1)&gt;=100000,INDEX($V$1005:$AE$1005,1,MATCH(COLUMNS($V$1006:AC1006),$V$1006:$AE$1006,0))&gt;=100000), " ",IF(INDEX($V$2:$AE$1001,MATCH(ROWS($O$2:O298),$O$2:$O$1001,0),MATCH(COLUMNS($V$1006:AC1006),$V$1006:$AE$1006,0)), HYPERLINK("#",""), HYPERLINK(CONCATENATE("#Metadata!", ADDRESS(INDEX($Q$2:$Q$1001,MATCH(ROWS($O$2:O298),$O$2:$O$1001,0),0), INDEX($V$1004:$AE$1004,1,MATCH(COLUMNS($V$1006:AC1006),$V$1006:$AE$1006,0)))),"Fix")))</f>
        <v>0</v>
      </c>
      <c r="J298" s="3">
        <f>IF(OR(INDEX($P$2:$P$1001,MATCH(ROWS($O$2:O298),$O$2:$O$1001,0),1)&gt;=100000,INDEX($V$1005:$AE$1005,1,MATCH(COLUMNS($V$1006:AD1006),$V$1006:$AE$1006,0))&gt;=100000), " ",IF(INDEX($V$2:$AE$1001,MATCH(ROWS($O$2:O298),$O$2:$O$1001,0),MATCH(COLUMNS($V$1006:AD1006),$V$1006:$AE$1006,0)), HYPERLINK("#",""), HYPERLINK(CONCATENATE("#Metadata!", ADDRESS(INDEX($Q$2:$Q$1001,MATCH(ROWS($O$2:O298),$O$2:$O$1001,0),0), INDEX($V$1004:$AE$1004,1,MATCH(COLUMNS($V$1006:AD1006),$V$1006:$AE$1006,0)))),"Fix")))</f>
        <v>0</v>
      </c>
      <c r="K298" s="3">
        <f>IF(OR(INDEX($P$2:$P$1001,MATCH(ROWS($O$2:O298),$O$2:$O$1001,0),1)&gt;=100000,INDEX($V$1005:$AE$1005,1,MATCH(COLUMNS($V$1006:AE1006),$V$1006:$AE$1006,0))&gt;=100000), " ",IF(INDEX($V$2:$AE$1001,MATCH(ROWS($O$2:O298),$O$2:$O$1001,0),MATCH(COLUMNS($V$1006:AE1006),$V$1006:$AE$1006,0)), HYPERLINK("#",""), HYPERLINK(CONCATENATE("#Metadata!", ADDRESS(INDEX($Q$2:$Q$1001,MATCH(ROWS($O$2:O298),$O$2:$O$1001,0),0), INDEX($V$1004:$AE$1004,1,MATCH(COLUMNS($V$1006:AE1006),$V$1006:$AE$1006,0)))),"Fix")))</f>
        <v>0</v>
      </c>
      <c r="O298">
        <v>0</v>
      </c>
      <c r="P298">
        <v>0</v>
      </c>
      <c r="Q298">
        <v>0</v>
      </c>
      <c r="R298">
        <f>IF(S298,TRUE,AND(V298:AE298))</f>
        <v>0</v>
      </c>
      <c r="S298">
        <f>COUNTBLANK(Metadata!B298:K298)=COLUMNS(Metadata!B298:K298)</f>
        <v>0</v>
      </c>
      <c r="T298">
        <v>0</v>
      </c>
      <c r="V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W298">
        <f>AND(IF(Metadata!C298="",FALSE,TRUE),exact(Metadata!C298,"animal secretion"))</f>
        <v>0</v>
      </c>
      <c r="X298">
        <f>AND(IF(Metadata!D298="",FALSE,TRUE),exact(Metadata!D298,"saliva"))</f>
        <v>0</v>
      </c>
      <c r="Y298">
        <f>AND(IF(Metadata!E298="",FALSE,TRUE),exact(Metadata!E298,"human-oral"))</f>
        <v>0</v>
      </c>
      <c r="Z298">
        <f>AND(IF(Metadata!F298="",FALSE,TRUE),exact(Metadata!F298,"UBERON:oral cavity"))</f>
        <v>0</v>
      </c>
      <c r="AA298">
        <f>AND(IF(Metadata!G298="",FALSE,TRUE),exact(Metadata!G298,"UBERON:saliva"))</f>
        <v>0</v>
      </c>
      <c r="AB298">
        <f>AND(IF(Metadata!H298="",FALSE,TRUE),exact(Metadata!H298,"UBERON:tongue"))</f>
        <v>0</v>
      </c>
      <c r="AC298">
        <f>AND(IF(Metadata!I298="",FALSE,TRUE),exact(Metadata!I298,"tongue"))</f>
        <v>0</v>
      </c>
      <c r="AD298">
        <f>AND(IF(Metadata!J298="",FALSE,TRUE),exact(Metadata!J298,"human oral metagenome"))</f>
        <v>0</v>
      </c>
      <c r="AE298">
        <f>AND(IF(Metadata!K298="",FALSE,TRUE),exact(Metadata!K298,"447426"))</f>
        <v>0</v>
      </c>
    </row>
    <row r="299" spans="1:31">
      <c r="A299" s="4">
        <f>IF(B299=" "," ",HYPERLINK(CONCATENATE("#metadata!",ADDRESS(INDEX($Q$2:$Q$1001,MATCH(ROWS($O$2:O299),$O$2:$O$1001,0),0),1)),INDEX($T$2:$T$1001,MATCH(ROWS($O$2:O299),$O$2:$O$1001,0),0)))</f>
        <v>0</v>
      </c>
      <c r="B299" s="3">
        <f>IF(OR(INDEX($P$2:$P$1001,MATCH(ROWS($O$2:O299),$O$2:$O$1001,0),1)&gt;=100000,INDEX($V$1005:$AE$1005,1,MATCH(COLUMNS($V$1006:V1006),$V$1006:$AE$1006,0))&gt;=100000), " ",IF(INDEX($V$2:$AE$1001,MATCH(ROWS($O$2:O299),$O$2:$O$1001,0),MATCH(COLUMNS($V$1006:V1006),$V$1006:$AE$1006,0)), HYPERLINK("#",""), HYPERLINK(CONCATENATE("#Metadata!", ADDRESS(INDEX($Q$2:$Q$1001,MATCH(ROWS($O$2:O299),$O$2:$O$1001,0),0), INDEX($V$1004:$AE$1004,1,MATCH(COLUMNS($V$1006:V1006),$V$1006:$AE$1006,0)))),"Fix")))</f>
        <v>0</v>
      </c>
      <c r="C299" s="3">
        <f>IF(OR(INDEX($P$2:$P$1001,MATCH(ROWS($O$2:O299),$O$2:$O$1001,0),1)&gt;=100000,INDEX($V$1005:$AE$1005,1,MATCH(COLUMNS($V$1006:W1006),$V$1006:$AE$1006,0))&gt;=100000), " ",IF(INDEX($V$2:$AE$1001,MATCH(ROWS($O$2:O299),$O$2:$O$1001,0),MATCH(COLUMNS($V$1006:W1006),$V$1006:$AE$1006,0)), HYPERLINK("#",""), HYPERLINK(CONCATENATE("#Metadata!", ADDRESS(INDEX($Q$2:$Q$1001,MATCH(ROWS($O$2:O299),$O$2:$O$1001,0),0), INDEX($V$1004:$AE$1004,1,MATCH(COLUMNS($V$1006:W1006),$V$1006:$AE$1006,0)))),"Fix")))</f>
        <v>0</v>
      </c>
      <c r="D299" s="3">
        <f>IF(OR(INDEX($P$2:$P$1001,MATCH(ROWS($O$2:O299),$O$2:$O$1001,0),1)&gt;=100000,INDEX($V$1005:$AE$1005,1,MATCH(COLUMNS($V$1006:X1006),$V$1006:$AE$1006,0))&gt;=100000), " ",IF(INDEX($V$2:$AE$1001,MATCH(ROWS($O$2:O299),$O$2:$O$1001,0),MATCH(COLUMNS($V$1006:X1006),$V$1006:$AE$1006,0)), HYPERLINK("#",""), HYPERLINK(CONCATENATE("#Metadata!", ADDRESS(INDEX($Q$2:$Q$1001,MATCH(ROWS($O$2:O299),$O$2:$O$1001,0),0), INDEX($V$1004:$AE$1004,1,MATCH(COLUMNS($V$1006:X1006),$V$1006:$AE$1006,0)))),"Fix")))</f>
        <v>0</v>
      </c>
      <c r="E299" s="3">
        <f>IF(OR(INDEX($P$2:$P$1001,MATCH(ROWS($O$2:O299),$O$2:$O$1001,0),1)&gt;=100000,INDEX($V$1005:$AE$1005,1,MATCH(COLUMNS($V$1006:Y1006),$V$1006:$AE$1006,0))&gt;=100000), " ",IF(INDEX($V$2:$AE$1001,MATCH(ROWS($O$2:O299),$O$2:$O$1001,0),MATCH(COLUMNS($V$1006:Y1006),$V$1006:$AE$1006,0)), HYPERLINK("#",""), HYPERLINK(CONCATENATE("#Metadata!", ADDRESS(INDEX($Q$2:$Q$1001,MATCH(ROWS($O$2:O299),$O$2:$O$1001,0),0), INDEX($V$1004:$AE$1004,1,MATCH(COLUMNS($V$1006:Y1006),$V$1006:$AE$1006,0)))),"Fix")))</f>
        <v>0</v>
      </c>
      <c r="F299" s="3">
        <f>IF(OR(INDEX($P$2:$P$1001,MATCH(ROWS($O$2:O299),$O$2:$O$1001,0),1)&gt;=100000,INDEX($V$1005:$AE$1005,1,MATCH(COLUMNS($V$1006:Z1006),$V$1006:$AE$1006,0))&gt;=100000), " ",IF(INDEX($V$2:$AE$1001,MATCH(ROWS($O$2:O299),$O$2:$O$1001,0),MATCH(COLUMNS($V$1006:Z1006),$V$1006:$AE$1006,0)), HYPERLINK("#",""), HYPERLINK(CONCATENATE("#Metadata!", ADDRESS(INDEX($Q$2:$Q$1001,MATCH(ROWS($O$2:O299),$O$2:$O$1001,0),0), INDEX($V$1004:$AE$1004,1,MATCH(COLUMNS($V$1006:Z1006),$V$1006:$AE$1006,0)))),"Fix")))</f>
        <v>0</v>
      </c>
      <c r="G299" s="3">
        <f>IF(OR(INDEX($P$2:$P$1001,MATCH(ROWS($O$2:O299),$O$2:$O$1001,0),1)&gt;=100000,INDEX($V$1005:$AE$1005,1,MATCH(COLUMNS($V$1006:AA1006),$V$1006:$AE$1006,0))&gt;=100000), " ",IF(INDEX($V$2:$AE$1001,MATCH(ROWS($O$2:O299),$O$2:$O$1001,0),MATCH(COLUMNS($V$1006:AA1006),$V$1006:$AE$1006,0)), HYPERLINK("#",""), HYPERLINK(CONCATENATE("#Metadata!", ADDRESS(INDEX($Q$2:$Q$1001,MATCH(ROWS($O$2:O299),$O$2:$O$1001,0),0), INDEX($V$1004:$AE$1004,1,MATCH(COLUMNS($V$1006:AA1006),$V$1006:$AE$1006,0)))),"Fix")))</f>
        <v>0</v>
      </c>
      <c r="H299" s="3">
        <f>IF(OR(INDEX($P$2:$P$1001,MATCH(ROWS($O$2:O299),$O$2:$O$1001,0),1)&gt;=100000,INDEX($V$1005:$AE$1005,1,MATCH(COLUMNS($V$1006:AB1006),$V$1006:$AE$1006,0))&gt;=100000), " ",IF(INDEX($V$2:$AE$1001,MATCH(ROWS($O$2:O299),$O$2:$O$1001,0),MATCH(COLUMNS($V$1006:AB1006),$V$1006:$AE$1006,0)), HYPERLINK("#",""), HYPERLINK(CONCATENATE("#Metadata!", ADDRESS(INDEX($Q$2:$Q$1001,MATCH(ROWS($O$2:O299),$O$2:$O$1001,0),0), INDEX($V$1004:$AE$1004,1,MATCH(COLUMNS($V$1006:AB1006),$V$1006:$AE$1006,0)))),"Fix")))</f>
        <v>0</v>
      </c>
      <c r="I299" s="3">
        <f>IF(OR(INDEX($P$2:$P$1001,MATCH(ROWS($O$2:O299),$O$2:$O$1001,0),1)&gt;=100000,INDEX($V$1005:$AE$1005,1,MATCH(COLUMNS($V$1006:AC1006),$V$1006:$AE$1006,0))&gt;=100000), " ",IF(INDEX($V$2:$AE$1001,MATCH(ROWS($O$2:O299),$O$2:$O$1001,0),MATCH(COLUMNS($V$1006:AC1006),$V$1006:$AE$1006,0)), HYPERLINK("#",""), HYPERLINK(CONCATENATE("#Metadata!", ADDRESS(INDEX($Q$2:$Q$1001,MATCH(ROWS($O$2:O299),$O$2:$O$1001,0),0), INDEX($V$1004:$AE$1004,1,MATCH(COLUMNS($V$1006:AC1006),$V$1006:$AE$1006,0)))),"Fix")))</f>
        <v>0</v>
      </c>
      <c r="J299" s="3">
        <f>IF(OR(INDEX($P$2:$P$1001,MATCH(ROWS($O$2:O299),$O$2:$O$1001,0),1)&gt;=100000,INDEX($V$1005:$AE$1005,1,MATCH(COLUMNS($V$1006:AD1006),$V$1006:$AE$1006,0))&gt;=100000), " ",IF(INDEX($V$2:$AE$1001,MATCH(ROWS($O$2:O299),$O$2:$O$1001,0),MATCH(COLUMNS($V$1006:AD1006),$V$1006:$AE$1006,0)), HYPERLINK("#",""), HYPERLINK(CONCATENATE("#Metadata!", ADDRESS(INDEX($Q$2:$Q$1001,MATCH(ROWS($O$2:O299),$O$2:$O$1001,0),0), INDEX($V$1004:$AE$1004,1,MATCH(COLUMNS($V$1006:AD1006),$V$1006:$AE$1006,0)))),"Fix")))</f>
        <v>0</v>
      </c>
      <c r="K299" s="3">
        <f>IF(OR(INDEX($P$2:$P$1001,MATCH(ROWS($O$2:O299),$O$2:$O$1001,0),1)&gt;=100000,INDEX($V$1005:$AE$1005,1,MATCH(COLUMNS($V$1006:AE1006),$V$1006:$AE$1006,0))&gt;=100000), " ",IF(INDEX($V$2:$AE$1001,MATCH(ROWS($O$2:O299),$O$2:$O$1001,0),MATCH(COLUMNS($V$1006:AE1006),$V$1006:$AE$1006,0)), HYPERLINK("#",""), HYPERLINK(CONCATENATE("#Metadata!", ADDRESS(INDEX($Q$2:$Q$1001,MATCH(ROWS($O$2:O299),$O$2:$O$1001,0),0), INDEX($V$1004:$AE$1004,1,MATCH(COLUMNS($V$1006:AE1006),$V$1006:$AE$1006,0)))),"Fix")))</f>
        <v>0</v>
      </c>
      <c r="O299">
        <v>0</v>
      </c>
      <c r="P299">
        <v>0</v>
      </c>
      <c r="Q299">
        <v>0</v>
      </c>
      <c r="R299">
        <f>IF(S299,TRUE,AND(V299:AE299))</f>
        <v>0</v>
      </c>
      <c r="S299">
        <f>COUNTBLANK(Metadata!B299:K299)=COLUMNS(Metadata!B299:K299)</f>
        <v>0</v>
      </c>
      <c r="T299">
        <v>0</v>
      </c>
      <c r="V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W299">
        <f>AND(IF(Metadata!C299="",FALSE,TRUE),exact(Metadata!C299,"animal secretion"))</f>
        <v>0</v>
      </c>
      <c r="X299">
        <f>AND(IF(Metadata!D299="",FALSE,TRUE),exact(Metadata!D299,"saliva"))</f>
        <v>0</v>
      </c>
      <c r="Y299">
        <f>AND(IF(Metadata!E299="",FALSE,TRUE),exact(Metadata!E299,"human-oral"))</f>
        <v>0</v>
      </c>
      <c r="Z299">
        <f>AND(IF(Metadata!F299="",FALSE,TRUE),exact(Metadata!F299,"UBERON:oral cavity"))</f>
        <v>0</v>
      </c>
      <c r="AA299">
        <f>AND(IF(Metadata!G299="",FALSE,TRUE),exact(Metadata!G299,"UBERON:saliva"))</f>
        <v>0</v>
      </c>
      <c r="AB299">
        <f>AND(IF(Metadata!H299="",FALSE,TRUE),exact(Metadata!H299,"UBERON:tongue"))</f>
        <v>0</v>
      </c>
      <c r="AC299">
        <f>AND(IF(Metadata!I299="",FALSE,TRUE),exact(Metadata!I299,"tongue"))</f>
        <v>0</v>
      </c>
      <c r="AD299">
        <f>AND(IF(Metadata!J299="",FALSE,TRUE),exact(Metadata!J299,"human oral metagenome"))</f>
        <v>0</v>
      </c>
      <c r="AE299">
        <f>AND(IF(Metadata!K299="",FALSE,TRUE),exact(Metadata!K299,"447426"))</f>
        <v>0</v>
      </c>
    </row>
    <row r="300" spans="1:31">
      <c r="A300" s="4">
        <f>IF(B300=" "," ",HYPERLINK(CONCATENATE("#metadata!",ADDRESS(INDEX($Q$2:$Q$1001,MATCH(ROWS($O$2:O300),$O$2:$O$1001,0),0),1)),INDEX($T$2:$T$1001,MATCH(ROWS($O$2:O300),$O$2:$O$1001,0),0)))</f>
        <v>0</v>
      </c>
      <c r="B300" s="3">
        <f>IF(OR(INDEX($P$2:$P$1001,MATCH(ROWS($O$2:O300),$O$2:$O$1001,0),1)&gt;=100000,INDEX($V$1005:$AE$1005,1,MATCH(COLUMNS($V$1006:V1006),$V$1006:$AE$1006,0))&gt;=100000), " ",IF(INDEX($V$2:$AE$1001,MATCH(ROWS($O$2:O300),$O$2:$O$1001,0),MATCH(COLUMNS($V$1006:V1006),$V$1006:$AE$1006,0)), HYPERLINK("#",""), HYPERLINK(CONCATENATE("#Metadata!", ADDRESS(INDEX($Q$2:$Q$1001,MATCH(ROWS($O$2:O300),$O$2:$O$1001,0),0), INDEX($V$1004:$AE$1004,1,MATCH(COLUMNS($V$1006:V1006),$V$1006:$AE$1006,0)))),"Fix")))</f>
        <v>0</v>
      </c>
      <c r="C300" s="3">
        <f>IF(OR(INDEX($P$2:$P$1001,MATCH(ROWS($O$2:O300),$O$2:$O$1001,0),1)&gt;=100000,INDEX($V$1005:$AE$1005,1,MATCH(COLUMNS($V$1006:W1006),$V$1006:$AE$1006,0))&gt;=100000), " ",IF(INDEX($V$2:$AE$1001,MATCH(ROWS($O$2:O300),$O$2:$O$1001,0),MATCH(COLUMNS($V$1006:W1006),$V$1006:$AE$1006,0)), HYPERLINK("#",""), HYPERLINK(CONCATENATE("#Metadata!", ADDRESS(INDEX($Q$2:$Q$1001,MATCH(ROWS($O$2:O300),$O$2:$O$1001,0),0), INDEX($V$1004:$AE$1004,1,MATCH(COLUMNS($V$1006:W1006),$V$1006:$AE$1006,0)))),"Fix")))</f>
        <v>0</v>
      </c>
      <c r="D300" s="3">
        <f>IF(OR(INDEX($P$2:$P$1001,MATCH(ROWS($O$2:O300),$O$2:$O$1001,0),1)&gt;=100000,INDEX($V$1005:$AE$1005,1,MATCH(COLUMNS($V$1006:X1006),$V$1006:$AE$1006,0))&gt;=100000), " ",IF(INDEX($V$2:$AE$1001,MATCH(ROWS($O$2:O300),$O$2:$O$1001,0),MATCH(COLUMNS($V$1006:X1006),$V$1006:$AE$1006,0)), HYPERLINK("#",""), HYPERLINK(CONCATENATE("#Metadata!", ADDRESS(INDEX($Q$2:$Q$1001,MATCH(ROWS($O$2:O300),$O$2:$O$1001,0),0), INDEX($V$1004:$AE$1004,1,MATCH(COLUMNS($V$1006:X1006),$V$1006:$AE$1006,0)))),"Fix")))</f>
        <v>0</v>
      </c>
      <c r="E300" s="3">
        <f>IF(OR(INDEX($P$2:$P$1001,MATCH(ROWS($O$2:O300),$O$2:$O$1001,0),1)&gt;=100000,INDEX($V$1005:$AE$1005,1,MATCH(COLUMNS($V$1006:Y1006),$V$1006:$AE$1006,0))&gt;=100000), " ",IF(INDEX($V$2:$AE$1001,MATCH(ROWS($O$2:O300),$O$2:$O$1001,0),MATCH(COLUMNS($V$1006:Y1006),$V$1006:$AE$1006,0)), HYPERLINK("#",""), HYPERLINK(CONCATENATE("#Metadata!", ADDRESS(INDEX($Q$2:$Q$1001,MATCH(ROWS($O$2:O300),$O$2:$O$1001,0),0), INDEX($V$1004:$AE$1004,1,MATCH(COLUMNS($V$1006:Y1006),$V$1006:$AE$1006,0)))),"Fix")))</f>
        <v>0</v>
      </c>
      <c r="F300" s="3">
        <f>IF(OR(INDEX($P$2:$P$1001,MATCH(ROWS($O$2:O300),$O$2:$O$1001,0),1)&gt;=100000,INDEX($V$1005:$AE$1005,1,MATCH(COLUMNS($V$1006:Z1006),$V$1006:$AE$1006,0))&gt;=100000), " ",IF(INDEX($V$2:$AE$1001,MATCH(ROWS($O$2:O300),$O$2:$O$1001,0),MATCH(COLUMNS($V$1006:Z1006),$V$1006:$AE$1006,0)), HYPERLINK("#",""), HYPERLINK(CONCATENATE("#Metadata!", ADDRESS(INDEX($Q$2:$Q$1001,MATCH(ROWS($O$2:O300),$O$2:$O$1001,0),0), INDEX($V$1004:$AE$1004,1,MATCH(COLUMNS($V$1006:Z1006),$V$1006:$AE$1006,0)))),"Fix")))</f>
        <v>0</v>
      </c>
      <c r="G300" s="3">
        <f>IF(OR(INDEX($P$2:$P$1001,MATCH(ROWS($O$2:O300),$O$2:$O$1001,0),1)&gt;=100000,INDEX($V$1005:$AE$1005,1,MATCH(COLUMNS($V$1006:AA1006),$V$1006:$AE$1006,0))&gt;=100000), " ",IF(INDEX($V$2:$AE$1001,MATCH(ROWS($O$2:O300),$O$2:$O$1001,0),MATCH(COLUMNS($V$1006:AA1006),$V$1006:$AE$1006,0)), HYPERLINK("#",""), HYPERLINK(CONCATENATE("#Metadata!", ADDRESS(INDEX($Q$2:$Q$1001,MATCH(ROWS($O$2:O300),$O$2:$O$1001,0),0), INDEX($V$1004:$AE$1004,1,MATCH(COLUMNS($V$1006:AA1006),$V$1006:$AE$1006,0)))),"Fix")))</f>
        <v>0</v>
      </c>
      <c r="H300" s="3">
        <f>IF(OR(INDEX($P$2:$P$1001,MATCH(ROWS($O$2:O300),$O$2:$O$1001,0),1)&gt;=100000,INDEX($V$1005:$AE$1005,1,MATCH(COLUMNS($V$1006:AB1006),$V$1006:$AE$1006,0))&gt;=100000), " ",IF(INDEX($V$2:$AE$1001,MATCH(ROWS($O$2:O300),$O$2:$O$1001,0),MATCH(COLUMNS($V$1006:AB1006),$V$1006:$AE$1006,0)), HYPERLINK("#",""), HYPERLINK(CONCATENATE("#Metadata!", ADDRESS(INDEX($Q$2:$Q$1001,MATCH(ROWS($O$2:O300),$O$2:$O$1001,0),0), INDEX($V$1004:$AE$1004,1,MATCH(COLUMNS($V$1006:AB1006),$V$1006:$AE$1006,0)))),"Fix")))</f>
        <v>0</v>
      </c>
      <c r="I300" s="3">
        <f>IF(OR(INDEX($P$2:$P$1001,MATCH(ROWS($O$2:O300),$O$2:$O$1001,0),1)&gt;=100000,INDEX($V$1005:$AE$1005,1,MATCH(COLUMNS($V$1006:AC1006),$V$1006:$AE$1006,0))&gt;=100000), " ",IF(INDEX($V$2:$AE$1001,MATCH(ROWS($O$2:O300),$O$2:$O$1001,0),MATCH(COLUMNS($V$1006:AC1006),$V$1006:$AE$1006,0)), HYPERLINK("#",""), HYPERLINK(CONCATENATE("#Metadata!", ADDRESS(INDEX($Q$2:$Q$1001,MATCH(ROWS($O$2:O300),$O$2:$O$1001,0),0), INDEX($V$1004:$AE$1004,1,MATCH(COLUMNS($V$1006:AC1006),$V$1006:$AE$1006,0)))),"Fix")))</f>
        <v>0</v>
      </c>
      <c r="J300" s="3">
        <f>IF(OR(INDEX($P$2:$P$1001,MATCH(ROWS($O$2:O300),$O$2:$O$1001,0),1)&gt;=100000,INDEX($V$1005:$AE$1005,1,MATCH(COLUMNS($V$1006:AD1006),$V$1006:$AE$1006,0))&gt;=100000), " ",IF(INDEX($V$2:$AE$1001,MATCH(ROWS($O$2:O300),$O$2:$O$1001,0),MATCH(COLUMNS($V$1006:AD1006),$V$1006:$AE$1006,0)), HYPERLINK("#",""), HYPERLINK(CONCATENATE("#Metadata!", ADDRESS(INDEX($Q$2:$Q$1001,MATCH(ROWS($O$2:O300),$O$2:$O$1001,0),0), INDEX($V$1004:$AE$1004,1,MATCH(COLUMNS($V$1006:AD1006),$V$1006:$AE$1006,0)))),"Fix")))</f>
        <v>0</v>
      </c>
      <c r="K300" s="3">
        <f>IF(OR(INDEX($P$2:$P$1001,MATCH(ROWS($O$2:O300),$O$2:$O$1001,0),1)&gt;=100000,INDEX($V$1005:$AE$1005,1,MATCH(COLUMNS($V$1006:AE1006),$V$1006:$AE$1006,0))&gt;=100000), " ",IF(INDEX($V$2:$AE$1001,MATCH(ROWS($O$2:O300),$O$2:$O$1001,0),MATCH(COLUMNS($V$1006:AE1006),$V$1006:$AE$1006,0)), HYPERLINK("#",""), HYPERLINK(CONCATENATE("#Metadata!", ADDRESS(INDEX($Q$2:$Q$1001,MATCH(ROWS($O$2:O300),$O$2:$O$1001,0),0), INDEX($V$1004:$AE$1004,1,MATCH(COLUMNS($V$1006:AE1006),$V$1006:$AE$1006,0)))),"Fix")))</f>
        <v>0</v>
      </c>
      <c r="O300">
        <v>0</v>
      </c>
      <c r="P300">
        <v>0</v>
      </c>
      <c r="Q300">
        <v>0</v>
      </c>
      <c r="R300">
        <f>IF(S300,TRUE,AND(V300:AE300))</f>
        <v>0</v>
      </c>
      <c r="S300">
        <f>COUNTBLANK(Metadata!B300:K300)=COLUMNS(Metadata!B300:K300)</f>
        <v>0</v>
      </c>
      <c r="T300">
        <v>0</v>
      </c>
      <c r="V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W300">
        <f>AND(IF(Metadata!C300="",FALSE,TRUE),exact(Metadata!C300,"animal secretion"))</f>
        <v>0</v>
      </c>
      <c r="X300">
        <f>AND(IF(Metadata!D300="",FALSE,TRUE),exact(Metadata!D300,"saliva"))</f>
        <v>0</v>
      </c>
      <c r="Y300">
        <f>AND(IF(Metadata!E300="",FALSE,TRUE),exact(Metadata!E300,"human-oral"))</f>
        <v>0</v>
      </c>
      <c r="Z300">
        <f>AND(IF(Metadata!F300="",FALSE,TRUE),exact(Metadata!F300,"UBERON:oral cavity"))</f>
        <v>0</v>
      </c>
      <c r="AA300">
        <f>AND(IF(Metadata!G300="",FALSE,TRUE),exact(Metadata!G300,"UBERON:saliva"))</f>
        <v>0</v>
      </c>
      <c r="AB300">
        <f>AND(IF(Metadata!H300="",FALSE,TRUE),exact(Metadata!H300,"UBERON:tongue"))</f>
        <v>0</v>
      </c>
      <c r="AC300">
        <f>AND(IF(Metadata!I300="",FALSE,TRUE),exact(Metadata!I300,"tongue"))</f>
        <v>0</v>
      </c>
      <c r="AD300">
        <f>AND(IF(Metadata!J300="",FALSE,TRUE),exact(Metadata!J300,"human oral metagenome"))</f>
        <v>0</v>
      </c>
      <c r="AE300">
        <f>AND(IF(Metadata!K300="",FALSE,TRUE),exact(Metadata!K300,"447426"))</f>
        <v>0</v>
      </c>
    </row>
    <row r="301" spans="1:31">
      <c r="A301" s="4">
        <f>IF(B301=" "," ",HYPERLINK(CONCATENATE("#metadata!",ADDRESS(INDEX($Q$2:$Q$1001,MATCH(ROWS($O$2:O301),$O$2:$O$1001,0),0),1)),INDEX($T$2:$T$1001,MATCH(ROWS($O$2:O301),$O$2:$O$1001,0),0)))</f>
        <v>0</v>
      </c>
      <c r="B301" s="3">
        <f>IF(OR(INDEX($P$2:$P$1001,MATCH(ROWS($O$2:O301),$O$2:$O$1001,0),1)&gt;=100000,INDEX($V$1005:$AE$1005,1,MATCH(COLUMNS($V$1006:V1006),$V$1006:$AE$1006,0))&gt;=100000), " ",IF(INDEX($V$2:$AE$1001,MATCH(ROWS($O$2:O301),$O$2:$O$1001,0),MATCH(COLUMNS($V$1006:V1006),$V$1006:$AE$1006,0)), HYPERLINK("#",""), HYPERLINK(CONCATENATE("#Metadata!", ADDRESS(INDEX($Q$2:$Q$1001,MATCH(ROWS($O$2:O301),$O$2:$O$1001,0),0), INDEX($V$1004:$AE$1004,1,MATCH(COLUMNS($V$1006:V1006),$V$1006:$AE$1006,0)))),"Fix")))</f>
        <v>0</v>
      </c>
      <c r="C301" s="3">
        <f>IF(OR(INDEX($P$2:$P$1001,MATCH(ROWS($O$2:O301),$O$2:$O$1001,0),1)&gt;=100000,INDEX($V$1005:$AE$1005,1,MATCH(COLUMNS($V$1006:W1006),$V$1006:$AE$1006,0))&gt;=100000), " ",IF(INDEX($V$2:$AE$1001,MATCH(ROWS($O$2:O301),$O$2:$O$1001,0),MATCH(COLUMNS($V$1006:W1006),$V$1006:$AE$1006,0)), HYPERLINK("#",""), HYPERLINK(CONCATENATE("#Metadata!", ADDRESS(INDEX($Q$2:$Q$1001,MATCH(ROWS($O$2:O301),$O$2:$O$1001,0),0), INDEX($V$1004:$AE$1004,1,MATCH(COLUMNS($V$1006:W1006),$V$1006:$AE$1006,0)))),"Fix")))</f>
        <v>0</v>
      </c>
      <c r="D301" s="3">
        <f>IF(OR(INDEX($P$2:$P$1001,MATCH(ROWS($O$2:O301),$O$2:$O$1001,0),1)&gt;=100000,INDEX($V$1005:$AE$1005,1,MATCH(COLUMNS($V$1006:X1006),$V$1006:$AE$1006,0))&gt;=100000), " ",IF(INDEX($V$2:$AE$1001,MATCH(ROWS($O$2:O301),$O$2:$O$1001,0),MATCH(COLUMNS($V$1006:X1006),$V$1006:$AE$1006,0)), HYPERLINK("#",""), HYPERLINK(CONCATENATE("#Metadata!", ADDRESS(INDEX($Q$2:$Q$1001,MATCH(ROWS($O$2:O301),$O$2:$O$1001,0),0), INDEX($V$1004:$AE$1004,1,MATCH(COLUMNS($V$1006:X1006),$V$1006:$AE$1006,0)))),"Fix")))</f>
        <v>0</v>
      </c>
      <c r="E301" s="3">
        <f>IF(OR(INDEX($P$2:$P$1001,MATCH(ROWS($O$2:O301),$O$2:$O$1001,0),1)&gt;=100000,INDEX($V$1005:$AE$1005,1,MATCH(COLUMNS($V$1006:Y1006),$V$1006:$AE$1006,0))&gt;=100000), " ",IF(INDEX($V$2:$AE$1001,MATCH(ROWS($O$2:O301),$O$2:$O$1001,0),MATCH(COLUMNS($V$1006:Y1006),$V$1006:$AE$1006,0)), HYPERLINK("#",""), HYPERLINK(CONCATENATE("#Metadata!", ADDRESS(INDEX($Q$2:$Q$1001,MATCH(ROWS($O$2:O301),$O$2:$O$1001,0),0), INDEX($V$1004:$AE$1004,1,MATCH(COLUMNS($V$1006:Y1006),$V$1006:$AE$1006,0)))),"Fix")))</f>
        <v>0</v>
      </c>
      <c r="F301" s="3">
        <f>IF(OR(INDEX($P$2:$P$1001,MATCH(ROWS($O$2:O301),$O$2:$O$1001,0),1)&gt;=100000,INDEX($V$1005:$AE$1005,1,MATCH(COLUMNS($V$1006:Z1006),$V$1006:$AE$1006,0))&gt;=100000), " ",IF(INDEX($V$2:$AE$1001,MATCH(ROWS($O$2:O301),$O$2:$O$1001,0),MATCH(COLUMNS($V$1006:Z1006),$V$1006:$AE$1006,0)), HYPERLINK("#",""), HYPERLINK(CONCATENATE("#Metadata!", ADDRESS(INDEX($Q$2:$Q$1001,MATCH(ROWS($O$2:O301),$O$2:$O$1001,0),0), INDEX($V$1004:$AE$1004,1,MATCH(COLUMNS($V$1006:Z1006),$V$1006:$AE$1006,0)))),"Fix")))</f>
        <v>0</v>
      </c>
      <c r="G301" s="3">
        <f>IF(OR(INDEX($P$2:$P$1001,MATCH(ROWS($O$2:O301),$O$2:$O$1001,0),1)&gt;=100000,INDEX($V$1005:$AE$1005,1,MATCH(COLUMNS($V$1006:AA1006),$V$1006:$AE$1006,0))&gt;=100000), " ",IF(INDEX($V$2:$AE$1001,MATCH(ROWS($O$2:O301),$O$2:$O$1001,0),MATCH(COLUMNS($V$1006:AA1006),$V$1006:$AE$1006,0)), HYPERLINK("#",""), HYPERLINK(CONCATENATE("#Metadata!", ADDRESS(INDEX($Q$2:$Q$1001,MATCH(ROWS($O$2:O301),$O$2:$O$1001,0),0), INDEX($V$1004:$AE$1004,1,MATCH(COLUMNS($V$1006:AA1006),$V$1006:$AE$1006,0)))),"Fix")))</f>
        <v>0</v>
      </c>
      <c r="H301" s="3">
        <f>IF(OR(INDEX($P$2:$P$1001,MATCH(ROWS($O$2:O301),$O$2:$O$1001,0),1)&gt;=100000,INDEX($V$1005:$AE$1005,1,MATCH(COLUMNS($V$1006:AB1006),$V$1006:$AE$1006,0))&gt;=100000), " ",IF(INDEX($V$2:$AE$1001,MATCH(ROWS($O$2:O301),$O$2:$O$1001,0),MATCH(COLUMNS($V$1006:AB1006),$V$1006:$AE$1006,0)), HYPERLINK("#",""), HYPERLINK(CONCATENATE("#Metadata!", ADDRESS(INDEX($Q$2:$Q$1001,MATCH(ROWS($O$2:O301),$O$2:$O$1001,0),0), INDEX($V$1004:$AE$1004,1,MATCH(COLUMNS($V$1006:AB1006),$V$1006:$AE$1006,0)))),"Fix")))</f>
        <v>0</v>
      </c>
      <c r="I301" s="3">
        <f>IF(OR(INDEX($P$2:$P$1001,MATCH(ROWS($O$2:O301),$O$2:$O$1001,0),1)&gt;=100000,INDEX($V$1005:$AE$1005,1,MATCH(COLUMNS($V$1006:AC1006),$V$1006:$AE$1006,0))&gt;=100000), " ",IF(INDEX($V$2:$AE$1001,MATCH(ROWS($O$2:O301),$O$2:$O$1001,0),MATCH(COLUMNS($V$1006:AC1006),$V$1006:$AE$1006,0)), HYPERLINK("#",""), HYPERLINK(CONCATENATE("#Metadata!", ADDRESS(INDEX($Q$2:$Q$1001,MATCH(ROWS($O$2:O301),$O$2:$O$1001,0),0), INDEX($V$1004:$AE$1004,1,MATCH(COLUMNS($V$1006:AC1006),$V$1006:$AE$1006,0)))),"Fix")))</f>
        <v>0</v>
      </c>
      <c r="J301" s="3">
        <f>IF(OR(INDEX($P$2:$P$1001,MATCH(ROWS($O$2:O301),$O$2:$O$1001,0),1)&gt;=100000,INDEX($V$1005:$AE$1005,1,MATCH(COLUMNS($V$1006:AD1006),$V$1006:$AE$1006,0))&gt;=100000), " ",IF(INDEX($V$2:$AE$1001,MATCH(ROWS($O$2:O301),$O$2:$O$1001,0),MATCH(COLUMNS($V$1006:AD1006),$V$1006:$AE$1006,0)), HYPERLINK("#",""), HYPERLINK(CONCATENATE("#Metadata!", ADDRESS(INDEX($Q$2:$Q$1001,MATCH(ROWS($O$2:O301),$O$2:$O$1001,0),0), INDEX($V$1004:$AE$1004,1,MATCH(COLUMNS($V$1006:AD1006),$V$1006:$AE$1006,0)))),"Fix")))</f>
        <v>0</v>
      </c>
      <c r="K301" s="3">
        <f>IF(OR(INDEX($P$2:$P$1001,MATCH(ROWS($O$2:O301),$O$2:$O$1001,0),1)&gt;=100000,INDEX($V$1005:$AE$1005,1,MATCH(COLUMNS($V$1006:AE1006),$V$1006:$AE$1006,0))&gt;=100000), " ",IF(INDEX($V$2:$AE$1001,MATCH(ROWS($O$2:O301),$O$2:$O$1001,0),MATCH(COLUMNS($V$1006:AE1006),$V$1006:$AE$1006,0)), HYPERLINK("#",""), HYPERLINK(CONCATENATE("#Metadata!", ADDRESS(INDEX($Q$2:$Q$1001,MATCH(ROWS($O$2:O301),$O$2:$O$1001,0),0), INDEX($V$1004:$AE$1004,1,MATCH(COLUMNS($V$1006:AE1006),$V$1006:$AE$1006,0)))),"Fix")))</f>
        <v>0</v>
      </c>
      <c r="O301">
        <v>0</v>
      </c>
      <c r="P301">
        <v>0</v>
      </c>
      <c r="Q301">
        <v>0</v>
      </c>
      <c r="R301">
        <f>IF(S301,TRUE,AND(V301:AE301))</f>
        <v>0</v>
      </c>
      <c r="S301">
        <f>COUNTBLANK(Metadata!B301:K301)=COLUMNS(Metadata!B301:K301)</f>
        <v>0</v>
      </c>
      <c r="T301">
        <v>0</v>
      </c>
      <c r="V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W301">
        <f>AND(IF(Metadata!C301="",FALSE,TRUE),exact(Metadata!C301,"animal secretion"))</f>
        <v>0</v>
      </c>
      <c r="X301">
        <f>AND(IF(Metadata!D301="",FALSE,TRUE),exact(Metadata!D301,"saliva"))</f>
        <v>0</v>
      </c>
      <c r="Y301">
        <f>AND(IF(Metadata!E301="",FALSE,TRUE),exact(Metadata!E301,"human-oral"))</f>
        <v>0</v>
      </c>
      <c r="Z301">
        <f>AND(IF(Metadata!F301="",FALSE,TRUE),exact(Metadata!F301,"UBERON:oral cavity"))</f>
        <v>0</v>
      </c>
      <c r="AA301">
        <f>AND(IF(Metadata!G301="",FALSE,TRUE),exact(Metadata!G301,"UBERON:saliva"))</f>
        <v>0</v>
      </c>
      <c r="AB301">
        <f>AND(IF(Metadata!H301="",FALSE,TRUE),exact(Metadata!H301,"UBERON:tongue"))</f>
        <v>0</v>
      </c>
      <c r="AC301">
        <f>AND(IF(Metadata!I301="",FALSE,TRUE),exact(Metadata!I301,"tongue"))</f>
        <v>0</v>
      </c>
      <c r="AD301">
        <f>AND(IF(Metadata!J301="",FALSE,TRUE),exact(Metadata!J301,"human oral metagenome"))</f>
        <v>0</v>
      </c>
      <c r="AE301">
        <f>AND(IF(Metadata!K301="",FALSE,TRUE),exact(Metadata!K301,"447426"))</f>
        <v>0</v>
      </c>
    </row>
    <row r="302" spans="1:31">
      <c r="A302" s="4">
        <f>IF(B302=" "," ",HYPERLINK(CONCATENATE("#metadata!",ADDRESS(INDEX($Q$2:$Q$1001,MATCH(ROWS($O$2:O302),$O$2:$O$1001,0),0),1)),INDEX($T$2:$T$1001,MATCH(ROWS($O$2:O302),$O$2:$O$1001,0),0)))</f>
        <v>0</v>
      </c>
      <c r="B302" s="3">
        <f>IF(OR(INDEX($P$2:$P$1001,MATCH(ROWS($O$2:O302),$O$2:$O$1001,0),1)&gt;=100000,INDEX($V$1005:$AE$1005,1,MATCH(COLUMNS($V$1006:V1006),$V$1006:$AE$1006,0))&gt;=100000), " ",IF(INDEX($V$2:$AE$1001,MATCH(ROWS($O$2:O302),$O$2:$O$1001,0),MATCH(COLUMNS($V$1006:V1006),$V$1006:$AE$1006,0)), HYPERLINK("#",""), HYPERLINK(CONCATENATE("#Metadata!", ADDRESS(INDEX($Q$2:$Q$1001,MATCH(ROWS($O$2:O302),$O$2:$O$1001,0),0), INDEX($V$1004:$AE$1004,1,MATCH(COLUMNS($V$1006:V1006),$V$1006:$AE$1006,0)))),"Fix")))</f>
        <v>0</v>
      </c>
      <c r="C302" s="3">
        <f>IF(OR(INDEX($P$2:$P$1001,MATCH(ROWS($O$2:O302),$O$2:$O$1001,0),1)&gt;=100000,INDEX($V$1005:$AE$1005,1,MATCH(COLUMNS($V$1006:W1006),$V$1006:$AE$1006,0))&gt;=100000), " ",IF(INDEX($V$2:$AE$1001,MATCH(ROWS($O$2:O302),$O$2:$O$1001,0),MATCH(COLUMNS($V$1006:W1006),$V$1006:$AE$1006,0)), HYPERLINK("#",""), HYPERLINK(CONCATENATE("#Metadata!", ADDRESS(INDEX($Q$2:$Q$1001,MATCH(ROWS($O$2:O302),$O$2:$O$1001,0),0), INDEX($V$1004:$AE$1004,1,MATCH(COLUMNS($V$1006:W1006),$V$1006:$AE$1006,0)))),"Fix")))</f>
        <v>0</v>
      </c>
      <c r="D302" s="3">
        <f>IF(OR(INDEX($P$2:$P$1001,MATCH(ROWS($O$2:O302),$O$2:$O$1001,0),1)&gt;=100000,INDEX($V$1005:$AE$1005,1,MATCH(COLUMNS($V$1006:X1006),$V$1006:$AE$1006,0))&gt;=100000), " ",IF(INDEX($V$2:$AE$1001,MATCH(ROWS($O$2:O302),$O$2:$O$1001,0),MATCH(COLUMNS($V$1006:X1006),$V$1006:$AE$1006,0)), HYPERLINK("#",""), HYPERLINK(CONCATENATE("#Metadata!", ADDRESS(INDEX($Q$2:$Q$1001,MATCH(ROWS($O$2:O302),$O$2:$O$1001,0),0), INDEX($V$1004:$AE$1004,1,MATCH(COLUMNS($V$1006:X1006),$V$1006:$AE$1006,0)))),"Fix")))</f>
        <v>0</v>
      </c>
      <c r="E302" s="3">
        <f>IF(OR(INDEX($P$2:$P$1001,MATCH(ROWS($O$2:O302),$O$2:$O$1001,0),1)&gt;=100000,INDEX($V$1005:$AE$1005,1,MATCH(COLUMNS($V$1006:Y1006),$V$1006:$AE$1006,0))&gt;=100000), " ",IF(INDEX($V$2:$AE$1001,MATCH(ROWS($O$2:O302),$O$2:$O$1001,0),MATCH(COLUMNS($V$1006:Y1006),$V$1006:$AE$1006,0)), HYPERLINK("#",""), HYPERLINK(CONCATENATE("#Metadata!", ADDRESS(INDEX($Q$2:$Q$1001,MATCH(ROWS($O$2:O302),$O$2:$O$1001,0),0), INDEX($V$1004:$AE$1004,1,MATCH(COLUMNS($V$1006:Y1006),$V$1006:$AE$1006,0)))),"Fix")))</f>
        <v>0</v>
      </c>
      <c r="F302" s="3">
        <f>IF(OR(INDEX($P$2:$P$1001,MATCH(ROWS($O$2:O302),$O$2:$O$1001,0),1)&gt;=100000,INDEX($V$1005:$AE$1005,1,MATCH(COLUMNS($V$1006:Z1006),$V$1006:$AE$1006,0))&gt;=100000), " ",IF(INDEX($V$2:$AE$1001,MATCH(ROWS($O$2:O302),$O$2:$O$1001,0),MATCH(COLUMNS($V$1006:Z1006),$V$1006:$AE$1006,0)), HYPERLINK("#",""), HYPERLINK(CONCATENATE("#Metadata!", ADDRESS(INDEX($Q$2:$Q$1001,MATCH(ROWS($O$2:O302),$O$2:$O$1001,0),0), INDEX($V$1004:$AE$1004,1,MATCH(COLUMNS($V$1006:Z1006),$V$1006:$AE$1006,0)))),"Fix")))</f>
        <v>0</v>
      </c>
      <c r="G302" s="3">
        <f>IF(OR(INDEX($P$2:$P$1001,MATCH(ROWS($O$2:O302),$O$2:$O$1001,0),1)&gt;=100000,INDEX($V$1005:$AE$1005,1,MATCH(COLUMNS($V$1006:AA1006),$V$1006:$AE$1006,0))&gt;=100000), " ",IF(INDEX($V$2:$AE$1001,MATCH(ROWS($O$2:O302),$O$2:$O$1001,0),MATCH(COLUMNS($V$1006:AA1006),$V$1006:$AE$1006,0)), HYPERLINK("#",""), HYPERLINK(CONCATENATE("#Metadata!", ADDRESS(INDEX($Q$2:$Q$1001,MATCH(ROWS($O$2:O302),$O$2:$O$1001,0),0), INDEX($V$1004:$AE$1004,1,MATCH(COLUMNS($V$1006:AA1006),$V$1006:$AE$1006,0)))),"Fix")))</f>
        <v>0</v>
      </c>
      <c r="H302" s="3">
        <f>IF(OR(INDEX($P$2:$P$1001,MATCH(ROWS($O$2:O302),$O$2:$O$1001,0),1)&gt;=100000,INDEX($V$1005:$AE$1005,1,MATCH(COLUMNS($V$1006:AB1006),$V$1006:$AE$1006,0))&gt;=100000), " ",IF(INDEX($V$2:$AE$1001,MATCH(ROWS($O$2:O302),$O$2:$O$1001,0),MATCH(COLUMNS($V$1006:AB1006),$V$1006:$AE$1006,0)), HYPERLINK("#",""), HYPERLINK(CONCATENATE("#Metadata!", ADDRESS(INDEX($Q$2:$Q$1001,MATCH(ROWS($O$2:O302),$O$2:$O$1001,0),0), INDEX($V$1004:$AE$1004,1,MATCH(COLUMNS($V$1006:AB1006),$V$1006:$AE$1006,0)))),"Fix")))</f>
        <v>0</v>
      </c>
      <c r="I302" s="3">
        <f>IF(OR(INDEX($P$2:$P$1001,MATCH(ROWS($O$2:O302),$O$2:$O$1001,0),1)&gt;=100000,INDEX($V$1005:$AE$1005,1,MATCH(COLUMNS($V$1006:AC1006),$V$1006:$AE$1006,0))&gt;=100000), " ",IF(INDEX($V$2:$AE$1001,MATCH(ROWS($O$2:O302),$O$2:$O$1001,0),MATCH(COLUMNS($V$1006:AC1006),$V$1006:$AE$1006,0)), HYPERLINK("#",""), HYPERLINK(CONCATENATE("#Metadata!", ADDRESS(INDEX($Q$2:$Q$1001,MATCH(ROWS($O$2:O302),$O$2:$O$1001,0),0), INDEX($V$1004:$AE$1004,1,MATCH(COLUMNS($V$1006:AC1006),$V$1006:$AE$1006,0)))),"Fix")))</f>
        <v>0</v>
      </c>
      <c r="J302" s="3">
        <f>IF(OR(INDEX($P$2:$P$1001,MATCH(ROWS($O$2:O302),$O$2:$O$1001,0),1)&gt;=100000,INDEX($V$1005:$AE$1005,1,MATCH(COLUMNS($V$1006:AD1006),$V$1006:$AE$1006,0))&gt;=100000), " ",IF(INDEX($V$2:$AE$1001,MATCH(ROWS($O$2:O302),$O$2:$O$1001,0),MATCH(COLUMNS($V$1006:AD1006),$V$1006:$AE$1006,0)), HYPERLINK("#",""), HYPERLINK(CONCATENATE("#Metadata!", ADDRESS(INDEX($Q$2:$Q$1001,MATCH(ROWS($O$2:O302),$O$2:$O$1001,0),0), INDEX($V$1004:$AE$1004,1,MATCH(COLUMNS($V$1006:AD1006),$V$1006:$AE$1006,0)))),"Fix")))</f>
        <v>0</v>
      </c>
      <c r="K302" s="3">
        <f>IF(OR(INDEX($P$2:$P$1001,MATCH(ROWS($O$2:O302),$O$2:$O$1001,0),1)&gt;=100000,INDEX($V$1005:$AE$1005,1,MATCH(COLUMNS($V$1006:AE1006),$V$1006:$AE$1006,0))&gt;=100000), " ",IF(INDEX($V$2:$AE$1001,MATCH(ROWS($O$2:O302),$O$2:$O$1001,0),MATCH(COLUMNS($V$1006:AE1006),$V$1006:$AE$1006,0)), HYPERLINK("#",""), HYPERLINK(CONCATENATE("#Metadata!", ADDRESS(INDEX($Q$2:$Q$1001,MATCH(ROWS($O$2:O302),$O$2:$O$1001,0),0), INDEX($V$1004:$AE$1004,1,MATCH(COLUMNS($V$1006:AE1006),$V$1006:$AE$1006,0)))),"Fix")))</f>
        <v>0</v>
      </c>
      <c r="O302">
        <v>0</v>
      </c>
      <c r="P302">
        <v>0</v>
      </c>
      <c r="Q302">
        <v>0</v>
      </c>
      <c r="R302">
        <f>IF(S302,TRUE,AND(V302:AE302))</f>
        <v>0</v>
      </c>
      <c r="S302">
        <f>COUNTBLANK(Metadata!B302:K302)=COLUMNS(Metadata!B302:K302)</f>
        <v>0</v>
      </c>
      <c r="T302">
        <v>0</v>
      </c>
      <c r="V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W302">
        <f>AND(IF(Metadata!C302="",FALSE,TRUE),exact(Metadata!C302,"animal secretion"))</f>
        <v>0</v>
      </c>
      <c r="X302">
        <f>AND(IF(Metadata!D302="",FALSE,TRUE),exact(Metadata!D302,"saliva"))</f>
        <v>0</v>
      </c>
      <c r="Y302">
        <f>AND(IF(Metadata!E302="",FALSE,TRUE),exact(Metadata!E302,"human-oral"))</f>
        <v>0</v>
      </c>
      <c r="Z302">
        <f>AND(IF(Metadata!F302="",FALSE,TRUE),exact(Metadata!F302,"UBERON:oral cavity"))</f>
        <v>0</v>
      </c>
      <c r="AA302">
        <f>AND(IF(Metadata!G302="",FALSE,TRUE),exact(Metadata!G302,"UBERON:saliva"))</f>
        <v>0</v>
      </c>
      <c r="AB302">
        <f>AND(IF(Metadata!H302="",FALSE,TRUE),exact(Metadata!H302,"UBERON:tongue"))</f>
        <v>0</v>
      </c>
      <c r="AC302">
        <f>AND(IF(Metadata!I302="",FALSE,TRUE),exact(Metadata!I302,"tongue"))</f>
        <v>0</v>
      </c>
      <c r="AD302">
        <f>AND(IF(Metadata!J302="",FALSE,TRUE),exact(Metadata!J302,"human oral metagenome"))</f>
        <v>0</v>
      </c>
      <c r="AE302">
        <f>AND(IF(Metadata!K302="",FALSE,TRUE),exact(Metadata!K302,"447426"))</f>
        <v>0</v>
      </c>
    </row>
    <row r="303" spans="1:31">
      <c r="A303" s="4">
        <f>IF(B303=" "," ",HYPERLINK(CONCATENATE("#metadata!",ADDRESS(INDEX($Q$2:$Q$1001,MATCH(ROWS($O$2:O303),$O$2:$O$1001,0),0),1)),INDEX($T$2:$T$1001,MATCH(ROWS($O$2:O303),$O$2:$O$1001,0),0)))</f>
        <v>0</v>
      </c>
      <c r="B303" s="3">
        <f>IF(OR(INDEX($P$2:$P$1001,MATCH(ROWS($O$2:O303),$O$2:$O$1001,0),1)&gt;=100000,INDEX($V$1005:$AE$1005,1,MATCH(COLUMNS($V$1006:V1006),$V$1006:$AE$1006,0))&gt;=100000), " ",IF(INDEX($V$2:$AE$1001,MATCH(ROWS($O$2:O303),$O$2:$O$1001,0),MATCH(COLUMNS($V$1006:V1006),$V$1006:$AE$1006,0)), HYPERLINK("#",""), HYPERLINK(CONCATENATE("#Metadata!", ADDRESS(INDEX($Q$2:$Q$1001,MATCH(ROWS($O$2:O303),$O$2:$O$1001,0),0), INDEX($V$1004:$AE$1004,1,MATCH(COLUMNS($V$1006:V1006),$V$1006:$AE$1006,0)))),"Fix")))</f>
        <v>0</v>
      </c>
      <c r="C303" s="3">
        <f>IF(OR(INDEX($P$2:$P$1001,MATCH(ROWS($O$2:O303),$O$2:$O$1001,0),1)&gt;=100000,INDEX($V$1005:$AE$1005,1,MATCH(COLUMNS($V$1006:W1006),$V$1006:$AE$1006,0))&gt;=100000), " ",IF(INDEX($V$2:$AE$1001,MATCH(ROWS($O$2:O303),$O$2:$O$1001,0),MATCH(COLUMNS($V$1006:W1006),$V$1006:$AE$1006,0)), HYPERLINK("#",""), HYPERLINK(CONCATENATE("#Metadata!", ADDRESS(INDEX($Q$2:$Q$1001,MATCH(ROWS($O$2:O303),$O$2:$O$1001,0),0), INDEX($V$1004:$AE$1004,1,MATCH(COLUMNS($V$1006:W1006),$V$1006:$AE$1006,0)))),"Fix")))</f>
        <v>0</v>
      </c>
      <c r="D303" s="3">
        <f>IF(OR(INDEX($P$2:$P$1001,MATCH(ROWS($O$2:O303),$O$2:$O$1001,0),1)&gt;=100000,INDEX($V$1005:$AE$1005,1,MATCH(COLUMNS($V$1006:X1006),$V$1006:$AE$1006,0))&gt;=100000), " ",IF(INDEX($V$2:$AE$1001,MATCH(ROWS($O$2:O303),$O$2:$O$1001,0),MATCH(COLUMNS($V$1006:X1006),$V$1006:$AE$1006,0)), HYPERLINK("#",""), HYPERLINK(CONCATENATE("#Metadata!", ADDRESS(INDEX($Q$2:$Q$1001,MATCH(ROWS($O$2:O303),$O$2:$O$1001,0),0), INDEX($V$1004:$AE$1004,1,MATCH(COLUMNS($V$1006:X1006),$V$1006:$AE$1006,0)))),"Fix")))</f>
        <v>0</v>
      </c>
      <c r="E303" s="3">
        <f>IF(OR(INDEX($P$2:$P$1001,MATCH(ROWS($O$2:O303),$O$2:$O$1001,0),1)&gt;=100000,INDEX($V$1005:$AE$1005,1,MATCH(COLUMNS($V$1006:Y1006),$V$1006:$AE$1006,0))&gt;=100000), " ",IF(INDEX($V$2:$AE$1001,MATCH(ROWS($O$2:O303),$O$2:$O$1001,0),MATCH(COLUMNS($V$1006:Y1006),$V$1006:$AE$1006,0)), HYPERLINK("#",""), HYPERLINK(CONCATENATE("#Metadata!", ADDRESS(INDEX($Q$2:$Q$1001,MATCH(ROWS($O$2:O303),$O$2:$O$1001,0),0), INDEX($V$1004:$AE$1004,1,MATCH(COLUMNS($V$1006:Y1006),$V$1006:$AE$1006,0)))),"Fix")))</f>
        <v>0</v>
      </c>
      <c r="F303" s="3">
        <f>IF(OR(INDEX($P$2:$P$1001,MATCH(ROWS($O$2:O303),$O$2:$O$1001,0),1)&gt;=100000,INDEX($V$1005:$AE$1005,1,MATCH(COLUMNS($V$1006:Z1006),$V$1006:$AE$1006,0))&gt;=100000), " ",IF(INDEX($V$2:$AE$1001,MATCH(ROWS($O$2:O303),$O$2:$O$1001,0),MATCH(COLUMNS($V$1006:Z1006),$V$1006:$AE$1006,0)), HYPERLINK("#",""), HYPERLINK(CONCATENATE("#Metadata!", ADDRESS(INDEX($Q$2:$Q$1001,MATCH(ROWS($O$2:O303),$O$2:$O$1001,0),0), INDEX($V$1004:$AE$1004,1,MATCH(COLUMNS($V$1006:Z1006),$V$1006:$AE$1006,0)))),"Fix")))</f>
        <v>0</v>
      </c>
      <c r="G303" s="3">
        <f>IF(OR(INDEX($P$2:$P$1001,MATCH(ROWS($O$2:O303),$O$2:$O$1001,0),1)&gt;=100000,INDEX($V$1005:$AE$1005,1,MATCH(COLUMNS($V$1006:AA1006),$V$1006:$AE$1006,0))&gt;=100000), " ",IF(INDEX($V$2:$AE$1001,MATCH(ROWS($O$2:O303),$O$2:$O$1001,0),MATCH(COLUMNS($V$1006:AA1006),$V$1006:$AE$1006,0)), HYPERLINK("#",""), HYPERLINK(CONCATENATE("#Metadata!", ADDRESS(INDEX($Q$2:$Q$1001,MATCH(ROWS($O$2:O303),$O$2:$O$1001,0),0), INDEX($V$1004:$AE$1004,1,MATCH(COLUMNS($V$1006:AA1006),$V$1006:$AE$1006,0)))),"Fix")))</f>
        <v>0</v>
      </c>
      <c r="H303" s="3">
        <f>IF(OR(INDEX($P$2:$P$1001,MATCH(ROWS($O$2:O303),$O$2:$O$1001,0),1)&gt;=100000,INDEX($V$1005:$AE$1005,1,MATCH(COLUMNS($V$1006:AB1006),$V$1006:$AE$1006,0))&gt;=100000), " ",IF(INDEX($V$2:$AE$1001,MATCH(ROWS($O$2:O303),$O$2:$O$1001,0),MATCH(COLUMNS($V$1006:AB1006),$V$1006:$AE$1006,0)), HYPERLINK("#",""), HYPERLINK(CONCATENATE("#Metadata!", ADDRESS(INDEX($Q$2:$Q$1001,MATCH(ROWS($O$2:O303),$O$2:$O$1001,0),0), INDEX($V$1004:$AE$1004,1,MATCH(COLUMNS($V$1006:AB1006),$V$1006:$AE$1006,0)))),"Fix")))</f>
        <v>0</v>
      </c>
      <c r="I303" s="3">
        <f>IF(OR(INDEX($P$2:$P$1001,MATCH(ROWS($O$2:O303),$O$2:$O$1001,0),1)&gt;=100000,INDEX($V$1005:$AE$1005,1,MATCH(COLUMNS($V$1006:AC1006),$V$1006:$AE$1006,0))&gt;=100000), " ",IF(INDEX($V$2:$AE$1001,MATCH(ROWS($O$2:O303),$O$2:$O$1001,0),MATCH(COLUMNS($V$1006:AC1006),$V$1006:$AE$1006,0)), HYPERLINK("#",""), HYPERLINK(CONCATENATE("#Metadata!", ADDRESS(INDEX($Q$2:$Q$1001,MATCH(ROWS($O$2:O303),$O$2:$O$1001,0),0), INDEX($V$1004:$AE$1004,1,MATCH(COLUMNS($V$1006:AC1006),$V$1006:$AE$1006,0)))),"Fix")))</f>
        <v>0</v>
      </c>
      <c r="J303" s="3">
        <f>IF(OR(INDEX($P$2:$P$1001,MATCH(ROWS($O$2:O303),$O$2:$O$1001,0),1)&gt;=100000,INDEX($V$1005:$AE$1005,1,MATCH(COLUMNS($V$1006:AD1006),$V$1006:$AE$1006,0))&gt;=100000), " ",IF(INDEX($V$2:$AE$1001,MATCH(ROWS($O$2:O303),$O$2:$O$1001,0),MATCH(COLUMNS($V$1006:AD1006),$V$1006:$AE$1006,0)), HYPERLINK("#",""), HYPERLINK(CONCATENATE("#Metadata!", ADDRESS(INDEX($Q$2:$Q$1001,MATCH(ROWS($O$2:O303),$O$2:$O$1001,0),0), INDEX($V$1004:$AE$1004,1,MATCH(COLUMNS($V$1006:AD1006),$V$1006:$AE$1006,0)))),"Fix")))</f>
        <v>0</v>
      </c>
      <c r="K303" s="3">
        <f>IF(OR(INDEX($P$2:$P$1001,MATCH(ROWS($O$2:O303),$O$2:$O$1001,0),1)&gt;=100000,INDEX($V$1005:$AE$1005,1,MATCH(COLUMNS($V$1006:AE1006),$V$1006:$AE$1006,0))&gt;=100000), " ",IF(INDEX($V$2:$AE$1001,MATCH(ROWS($O$2:O303),$O$2:$O$1001,0),MATCH(COLUMNS($V$1006:AE1006),$V$1006:$AE$1006,0)), HYPERLINK("#",""), HYPERLINK(CONCATENATE("#Metadata!", ADDRESS(INDEX($Q$2:$Q$1001,MATCH(ROWS($O$2:O303),$O$2:$O$1001,0),0), INDEX($V$1004:$AE$1004,1,MATCH(COLUMNS($V$1006:AE1006),$V$1006:$AE$1006,0)))),"Fix")))</f>
        <v>0</v>
      </c>
      <c r="O303">
        <v>0</v>
      </c>
      <c r="P303">
        <v>0</v>
      </c>
      <c r="Q303">
        <v>0</v>
      </c>
      <c r="R303">
        <f>IF(S303,TRUE,AND(V303:AE303))</f>
        <v>0</v>
      </c>
      <c r="S303">
        <f>COUNTBLANK(Metadata!B303:K303)=COLUMNS(Metadata!B303:K303)</f>
        <v>0</v>
      </c>
      <c r="T303">
        <v>0</v>
      </c>
      <c r="V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W303">
        <f>AND(IF(Metadata!C303="",FALSE,TRUE),exact(Metadata!C303,"animal secretion"))</f>
        <v>0</v>
      </c>
      <c r="X303">
        <f>AND(IF(Metadata!D303="",FALSE,TRUE),exact(Metadata!D303,"saliva"))</f>
        <v>0</v>
      </c>
      <c r="Y303">
        <f>AND(IF(Metadata!E303="",FALSE,TRUE),exact(Metadata!E303,"human-oral"))</f>
        <v>0</v>
      </c>
      <c r="Z303">
        <f>AND(IF(Metadata!F303="",FALSE,TRUE),exact(Metadata!F303,"UBERON:oral cavity"))</f>
        <v>0</v>
      </c>
      <c r="AA303">
        <f>AND(IF(Metadata!G303="",FALSE,TRUE),exact(Metadata!G303,"UBERON:saliva"))</f>
        <v>0</v>
      </c>
      <c r="AB303">
        <f>AND(IF(Metadata!H303="",FALSE,TRUE),exact(Metadata!H303,"UBERON:tongue"))</f>
        <v>0</v>
      </c>
      <c r="AC303">
        <f>AND(IF(Metadata!I303="",FALSE,TRUE),exact(Metadata!I303,"tongue"))</f>
        <v>0</v>
      </c>
      <c r="AD303">
        <f>AND(IF(Metadata!J303="",FALSE,TRUE),exact(Metadata!J303,"human oral metagenome"))</f>
        <v>0</v>
      </c>
      <c r="AE303">
        <f>AND(IF(Metadata!K303="",FALSE,TRUE),exact(Metadata!K303,"447426"))</f>
        <v>0</v>
      </c>
    </row>
    <row r="304" spans="1:31">
      <c r="A304" s="4">
        <f>IF(B304=" "," ",HYPERLINK(CONCATENATE("#metadata!",ADDRESS(INDEX($Q$2:$Q$1001,MATCH(ROWS($O$2:O304),$O$2:$O$1001,0),0),1)),INDEX($T$2:$T$1001,MATCH(ROWS($O$2:O304),$O$2:$O$1001,0),0)))</f>
        <v>0</v>
      </c>
      <c r="B304" s="3">
        <f>IF(OR(INDEX($P$2:$P$1001,MATCH(ROWS($O$2:O304),$O$2:$O$1001,0),1)&gt;=100000,INDEX($V$1005:$AE$1005,1,MATCH(COLUMNS($V$1006:V1006),$V$1006:$AE$1006,0))&gt;=100000), " ",IF(INDEX($V$2:$AE$1001,MATCH(ROWS($O$2:O304),$O$2:$O$1001,0),MATCH(COLUMNS($V$1006:V1006),$V$1006:$AE$1006,0)), HYPERLINK("#",""), HYPERLINK(CONCATENATE("#Metadata!", ADDRESS(INDEX($Q$2:$Q$1001,MATCH(ROWS($O$2:O304),$O$2:$O$1001,0),0), INDEX($V$1004:$AE$1004,1,MATCH(COLUMNS($V$1006:V1006),$V$1006:$AE$1006,0)))),"Fix")))</f>
        <v>0</v>
      </c>
      <c r="C304" s="3">
        <f>IF(OR(INDEX($P$2:$P$1001,MATCH(ROWS($O$2:O304),$O$2:$O$1001,0),1)&gt;=100000,INDEX($V$1005:$AE$1005,1,MATCH(COLUMNS($V$1006:W1006),$V$1006:$AE$1006,0))&gt;=100000), " ",IF(INDEX($V$2:$AE$1001,MATCH(ROWS($O$2:O304),$O$2:$O$1001,0),MATCH(COLUMNS($V$1006:W1006),$V$1006:$AE$1006,0)), HYPERLINK("#",""), HYPERLINK(CONCATENATE("#Metadata!", ADDRESS(INDEX($Q$2:$Q$1001,MATCH(ROWS($O$2:O304),$O$2:$O$1001,0),0), INDEX($V$1004:$AE$1004,1,MATCH(COLUMNS($V$1006:W1006),$V$1006:$AE$1006,0)))),"Fix")))</f>
        <v>0</v>
      </c>
      <c r="D304" s="3">
        <f>IF(OR(INDEX($P$2:$P$1001,MATCH(ROWS($O$2:O304),$O$2:$O$1001,0),1)&gt;=100000,INDEX($V$1005:$AE$1005,1,MATCH(COLUMNS($V$1006:X1006),$V$1006:$AE$1006,0))&gt;=100000), " ",IF(INDEX($V$2:$AE$1001,MATCH(ROWS($O$2:O304),$O$2:$O$1001,0),MATCH(COLUMNS($V$1006:X1006),$V$1006:$AE$1006,0)), HYPERLINK("#",""), HYPERLINK(CONCATENATE("#Metadata!", ADDRESS(INDEX($Q$2:$Q$1001,MATCH(ROWS($O$2:O304),$O$2:$O$1001,0),0), INDEX($V$1004:$AE$1004,1,MATCH(COLUMNS($V$1006:X1006),$V$1006:$AE$1006,0)))),"Fix")))</f>
        <v>0</v>
      </c>
      <c r="E304" s="3">
        <f>IF(OR(INDEX($P$2:$P$1001,MATCH(ROWS($O$2:O304),$O$2:$O$1001,0),1)&gt;=100000,INDEX($V$1005:$AE$1005,1,MATCH(COLUMNS($V$1006:Y1006),$V$1006:$AE$1006,0))&gt;=100000), " ",IF(INDEX($V$2:$AE$1001,MATCH(ROWS($O$2:O304),$O$2:$O$1001,0),MATCH(COLUMNS($V$1006:Y1006),$V$1006:$AE$1006,0)), HYPERLINK("#",""), HYPERLINK(CONCATENATE("#Metadata!", ADDRESS(INDEX($Q$2:$Q$1001,MATCH(ROWS($O$2:O304),$O$2:$O$1001,0),0), INDEX($V$1004:$AE$1004,1,MATCH(COLUMNS($V$1006:Y1006),$V$1006:$AE$1006,0)))),"Fix")))</f>
        <v>0</v>
      </c>
      <c r="F304" s="3">
        <f>IF(OR(INDEX($P$2:$P$1001,MATCH(ROWS($O$2:O304),$O$2:$O$1001,0),1)&gt;=100000,INDEX($V$1005:$AE$1005,1,MATCH(COLUMNS($V$1006:Z1006),$V$1006:$AE$1006,0))&gt;=100000), " ",IF(INDEX($V$2:$AE$1001,MATCH(ROWS($O$2:O304),$O$2:$O$1001,0),MATCH(COLUMNS($V$1006:Z1006),$V$1006:$AE$1006,0)), HYPERLINK("#",""), HYPERLINK(CONCATENATE("#Metadata!", ADDRESS(INDEX($Q$2:$Q$1001,MATCH(ROWS($O$2:O304),$O$2:$O$1001,0),0), INDEX($V$1004:$AE$1004,1,MATCH(COLUMNS($V$1006:Z1006),$V$1006:$AE$1006,0)))),"Fix")))</f>
        <v>0</v>
      </c>
      <c r="G304" s="3">
        <f>IF(OR(INDEX($P$2:$P$1001,MATCH(ROWS($O$2:O304),$O$2:$O$1001,0),1)&gt;=100000,INDEX($V$1005:$AE$1005,1,MATCH(COLUMNS($V$1006:AA1006),$V$1006:$AE$1006,0))&gt;=100000), " ",IF(INDEX($V$2:$AE$1001,MATCH(ROWS($O$2:O304),$O$2:$O$1001,0),MATCH(COLUMNS($V$1006:AA1006),$V$1006:$AE$1006,0)), HYPERLINK("#",""), HYPERLINK(CONCATENATE("#Metadata!", ADDRESS(INDEX($Q$2:$Q$1001,MATCH(ROWS($O$2:O304),$O$2:$O$1001,0),0), INDEX($V$1004:$AE$1004,1,MATCH(COLUMNS($V$1006:AA1006),$V$1006:$AE$1006,0)))),"Fix")))</f>
        <v>0</v>
      </c>
      <c r="H304" s="3">
        <f>IF(OR(INDEX($P$2:$P$1001,MATCH(ROWS($O$2:O304),$O$2:$O$1001,0),1)&gt;=100000,INDEX($V$1005:$AE$1005,1,MATCH(COLUMNS($V$1006:AB1006),$V$1006:$AE$1006,0))&gt;=100000), " ",IF(INDEX($V$2:$AE$1001,MATCH(ROWS($O$2:O304),$O$2:$O$1001,0),MATCH(COLUMNS($V$1006:AB1006),$V$1006:$AE$1006,0)), HYPERLINK("#",""), HYPERLINK(CONCATENATE("#Metadata!", ADDRESS(INDEX($Q$2:$Q$1001,MATCH(ROWS($O$2:O304),$O$2:$O$1001,0),0), INDEX($V$1004:$AE$1004,1,MATCH(COLUMNS($V$1006:AB1006),$V$1006:$AE$1006,0)))),"Fix")))</f>
        <v>0</v>
      </c>
      <c r="I304" s="3">
        <f>IF(OR(INDEX($P$2:$P$1001,MATCH(ROWS($O$2:O304),$O$2:$O$1001,0),1)&gt;=100000,INDEX($V$1005:$AE$1005,1,MATCH(COLUMNS($V$1006:AC1006),$V$1006:$AE$1006,0))&gt;=100000), " ",IF(INDEX($V$2:$AE$1001,MATCH(ROWS($O$2:O304),$O$2:$O$1001,0),MATCH(COLUMNS($V$1006:AC1006),$V$1006:$AE$1006,0)), HYPERLINK("#",""), HYPERLINK(CONCATENATE("#Metadata!", ADDRESS(INDEX($Q$2:$Q$1001,MATCH(ROWS($O$2:O304),$O$2:$O$1001,0),0), INDEX($V$1004:$AE$1004,1,MATCH(COLUMNS($V$1006:AC1006),$V$1006:$AE$1006,0)))),"Fix")))</f>
        <v>0</v>
      </c>
      <c r="J304" s="3">
        <f>IF(OR(INDEX($P$2:$P$1001,MATCH(ROWS($O$2:O304),$O$2:$O$1001,0),1)&gt;=100000,INDEX($V$1005:$AE$1005,1,MATCH(COLUMNS($V$1006:AD1006),$V$1006:$AE$1006,0))&gt;=100000), " ",IF(INDEX($V$2:$AE$1001,MATCH(ROWS($O$2:O304),$O$2:$O$1001,0),MATCH(COLUMNS($V$1006:AD1006),$V$1006:$AE$1006,0)), HYPERLINK("#",""), HYPERLINK(CONCATENATE("#Metadata!", ADDRESS(INDEX($Q$2:$Q$1001,MATCH(ROWS($O$2:O304),$O$2:$O$1001,0),0), INDEX($V$1004:$AE$1004,1,MATCH(COLUMNS($V$1006:AD1006),$V$1006:$AE$1006,0)))),"Fix")))</f>
        <v>0</v>
      </c>
      <c r="K304" s="3">
        <f>IF(OR(INDEX($P$2:$P$1001,MATCH(ROWS($O$2:O304),$O$2:$O$1001,0),1)&gt;=100000,INDEX($V$1005:$AE$1005,1,MATCH(COLUMNS($V$1006:AE1006),$V$1006:$AE$1006,0))&gt;=100000), " ",IF(INDEX($V$2:$AE$1001,MATCH(ROWS($O$2:O304),$O$2:$O$1001,0),MATCH(COLUMNS($V$1006:AE1006),$V$1006:$AE$1006,0)), HYPERLINK("#",""), HYPERLINK(CONCATENATE("#Metadata!", ADDRESS(INDEX($Q$2:$Q$1001,MATCH(ROWS($O$2:O304),$O$2:$O$1001,0),0), INDEX($V$1004:$AE$1004,1,MATCH(COLUMNS($V$1006:AE1006),$V$1006:$AE$1006,0)))),"Fix")))</f>
        <v>0</v>
      </c>
      <c r="O304">
        <v>0</v>
      </c>
      <c r="P304">
        <v>0</v>
      </c>
      <c r="Q304">
        <v>0</v>
      </c>
      <c r="R304">
        <f>IF(S304,TRUE,AND(V304:AE304))</f>
        <v>0</v>
      </c>
      <c r="S304">
        <f>COUNTBLANK(Metadata!B304:K304)=COLUMNS(Metadata!B304:K304)</f>
        <v>0</v>
      </c>
      <c r="T304">
        <v>0</v>
      </c>
      <c r="V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W304">
        <f>AND(IF(Metadata!C304="",FALSE,TRUE),exact(Metadata!C304,"animal secretion"))</f>
        <v>0</v>
      </c>
      <c r="X304">
        <f>AND(IF(Metadata!D304="",FALSE,TRUE),exact(Metadata!D304,"saliva"))</f>
        <v>0</v>
      </c>
      <c r="Y304">
        <f>AND(IF(Metadata!E304="",FALSE,TRUE),exact(Metadata!E304,"human-oral"))</f>
        <v>0</v>
      </c>
      <c r="Z304">
        <f>AND(IF(Metadata!F304="",FALSE,TRUE),exact(Metadata!F304,"UBERON:oral cavity"))</f>
        <v>0</v>
      </c>
      <c r="AA304">
        <f>AND(IF(Metadata!G304="",FALSE,TRUE),exact(Metadata!G304,"UBERON:saliva"))</f>
        <v>0</v>
      </c>
      <c r="AB304">
        <f>AND(IF(Metadata!H304="",FALSE,TRUE),exact(Metadata!H304,"UBERON:tongue"))</f>
        <v>0</v>
      </c>
      <c r="AC304">
        <f>AND(IF(Metadata!I304="",FALSE,TRUE),exact(Metadata!I304,"tongue"))</f>
        <v>0</v>
      </c>
      <c r="AD304">
        <f>AND(IF(Metadata!J304="",FALSE,TRUE),exact(Metadata!J304,"human oral metagenome"))</f>
        <v>0</v>
      </c>
      <c r="AE304">
        <f>AND(IF(Metadata!K304="",FALSE,TRUE),exact(Metadata!K304,"447426"))</f>
        <v>0</v>
      </c>
    </row>
    <row r="305" spans="1:31">
      <c r="A305" s="4">
        <f>IF(B305=" "," ",HYPERLINK(CONCATENATE("#metadata!",ADDRESS(INDEX($Q$2:$Q$1001,MATCH(ROWS($O$2:O305),$O$2:$O$1001,0),0),1)),INDEX($T$2:$T$1001,MATCH(ROWS($O$2:O305),$O$2:$O$1001,0),0)))</f>
        <v>0</v>
      </c>
      <c r="B305" s="3">
        <f>IF(OR(INDEX($P$2:$P$1001,MATCH(ROWS($O$2:O305),$O$2:$O$1001,0),1)&gt;=100000,INDEX($V$1005:$AE$1005,1,MATCH(COLUMNS($V$1006:V1006),$V$1006:$AE$1006,0))&gt;=100000), " ",IF(INDEX($V$2:$AE$1001,MATCH(ROWS($O$2:O305),$O$2:$O$1001,0),MATCH(COLUMNS($V$1006:V1006),$V$1006:$AE$1006,0)), HYPERLINK("#",""), HYPERLINK(CONCATENATE("#Metadata!", ADDRESS(INDEX($Q$2:$Q$1001,MATCH(ROWS($O$2:O305),$O$2:$O$1001,0),0), INDEX($V$1004:$AE$1004,1,MATCH(COLUMNS($V$1006:V1006),$V$1006:$AE$1006,0)))),"Fix")))</f>
        <v>0</v>
      </c>
      <c r="C305" s="3">
        <f>IF(OR(INDEX($P$2:$P$1001,MATCH(ROWS($O$2:O305),$O$2:$O$1001,0),1)&gt;=100000,INDEX($V$1005:$AE$1005,1,MATCH(COLUMNS($V$1006:W1006),$V$1006:$AE$1006,0))&gt;=100000), " ",IF(INDEX($V$2:$AE$1001,MATCH(ROWS($O$2:O305),$O$2:$O$1001,0),MATCH(COLUMNS($V$1006:W1006),$V$1006:$AE$1006,0)), HYPERLINK("#",""), HYPERLINK(CONCATENATE("#Metadata!", ADDRESS(INDEX($Q$2:$Q$1001,MATCH(ROWS($O$2:O305),$O$2:$O$1001,0),0), INDEX($V$1004:$AE$1004,1,MATCH(COLUMNS($V$1006:W1006),$V$1006:$AE$1006,0)))),"Fix")))</f>
        <v>0</v>
      </c>
      <c r="D305" s="3">
        <f>IF(OR(INDEX($P$2:$P$1001,MATCH(ROWS($O$2:O305),$O$2:$O$1001,0),1)&gt;=100000,INDEX($V$1005:$AE$1005,1,MATCH(COLUMNS($V$1006:X1006),$V$1006:$AE$1006,0))&gt;=100000), " ",IF(INDEX($V$2:$AE$1001,MATCH(ROWS($O$2:O305),$O$2:$O$1001,0),MATCH(COLUMNS($V$1006:X1006),$V$1006:$AE$1006,0)), HYPERLINK("#",""), HYPERLINK(CONCATENATE("#Metadata!", ADDRESS(INDEX($Q$2:$Q$1001,MATCH(ROWS($O$2:O305),$O$2:$O$1001,0),0), INDEX($V$1004:$AE$1004,1,MATCH(COLUMNS($V$1006:X1006),$V$1006:$AE$1006,0)))),"Fix")))</f>
        <v>0</v>
      </c>
      <c r="E305" s="3">
        <f>IF(OR(INDEX($P$2:$P$1001,MATCH(ROWS($O$2:O305),$O$2:$O$1001,0),1)&gt;=100000,INDEX($V$1005:$AE$1005,1,MATCH(COLUMNS($V$1006:Y1006),$V$1006:$AE$1006,0))&gt;=100000), " ",IF(INDEX($V$2:$AE$1001,MATCH(ROWS($O$2:O305),$O$2:$O$1001,0),MATCH(COLUMNS($V$1006:Y1006),$V$1006:$AE$1006,0)), HYPERLINK("#",""), HYPERLINK(CONCATENATE("#Metadata!", ADDRESS(INDEX($Q$2:$Q$1001,MATCH(ROWS($O$2:O305),$O$2:$O$1001,0),0), INDEX($V$1004:$AE$1004,1,MATCH(COLUMNS($V$1006:Y1006),$V$1006:$AE$1006,0)))),"Fix")))</f>
        <v>0</v>
      </c>
      <c r="F305" s="3">
        <f>IF(OR(INDEX($P$2:$P$1001,MATCH(ROWS($O$2:O305),$O$2:$O$1001,0),1)&gt;=100000,INDEX($V$1005:$AE$1005,1,MATCH(COLUMNS($V$1006:Z1006),$V$1006:$AE$1006,0))&gt;=100000), " ",IF(INDEX($V$2:$AE$1001,MATCH(ROWS($O$2:O305),$O$2:$O$1001,0),MATCH(COLUMNS($V$1006:Z1006),$V$1006:$AE$1006,0)), HYPERLINK("#",""), HYPERLINK(CONCATENATE("#Metadata!", ADDRESS(INDEX($Q$2:$Q$1001,MATCH(ROWS($O$2:O305),$O$2:$O$1001,0),0), INDEX($V$1004:$AE$1004,1,MATCH(COLUMNS($V$1006:Z1006),$V$1006:$AE$1006,0)))),"Fix")))</f>
        <v>0</v>
      </c>
      <c r="G305" s="3">
        <f>IF(OR(INDEX($P$2:$P$1001,MATCH(ROWS($O$2:O305),$O$2:$O$1001,0),1)&gt;=100000,INDEX($V$1005:$AE$1005,1,MATCH(COLUMNS($V$1006:AA1006),$V$1006:$AE$1006,0))&gt;=100000), " ",IF(INDEX($V$2:$AE$1001,MATCH(ROWS($O$2:O305),$O$2:$O$1001,0),MATCH(COLUMNS($V$1006:AA1006),$V$1006:$AE$1006,0)), HYPERLINK("#",""), HYPERLINK(CONCATENATE("#Metadata!", ADDRESS(INDEX($Q$2:$Q$1001,MATCH(ROWS($O$2:O305),$O$2:$O$1001,0),0), INDEX($V$1004:$AE$1004,1,MATCH(COLUMNS($V$1006:AA1006),$V$1006:$AE$1006,0)))),"Fix")))</f>
        <v>0</v>
      </c>
      <c r="H305" s="3">
        <f>IF(OR(INDEX($P$2:$P$1001,MATCH(ROWS($O$2:O305),$O$2:$O$1001,0),1)&gt;=100000,INDEX($V$1005:$AE$1005,1,MATCH(COLUMNS($V$1006:AB1006),$V$1006:$AE$1006,0))&gt;=100000), " ",IF(INDEX($V$2:$AE$1001,MATCH(ROWS($O$2:O305),$O$2:$O$1001,0),MATCH(COLUMNS($V$1006:AB1006),$V$1006:$AE$1006,0)), HYPERLINK("#",""), HYPERLINK(CONCATENATE("#Metadata!", ADDRESS(INDEX($Q$2:$Q$1001,MATCH(ROWS($O$2:O305),$O$2:$O$1001,0),0), INDEX($V$1004:$AE$1004,1,MATCH(COLUMNS($V$1006:AB1006),$V$1006:$AE$1006,0)))),"Fix")))</f>
        <v>0</v>
      </c>
      <c r="I305" s="3">
        <f>IF(OR(INDEX($P$2:$P$1001,MATCH(ROWS($O$2:O305),$O$2:$O$1001,0),1)&gt;=100000,INDEX($V$1005:$AE$1005,1,MATCH(COLUMNS($V$1006:AC1006),$V$1006:$AE$1006,0))&gt;=100000), " ",IF(INDEX($V$2:$AE$1001,MATCH(ROWS($O$2:O305),$O$2:$O$1001,0),MATCH(COLUMNS($V$1006:AC1006),$V$1006:$AE$1006,0)), HYPERLINK("#",""), HYPERLINK(CONCATENATE("#Metadata!", ADDRESS(INDEX($Q$2:$Q$1001,MATCH(ROWS($O$2:O305),$O$2:$O$1001,0),0), INDEX($V$1004:$AE$1004,1,MATCH(COLUMNS($V$1006:AC1006),$V$1006:$AE$1006,0)))),"Fix")))</f>
        <v>0</v>
      </c>
      <c r="J305" s="3">
        <f>IF(OR(INDEX($P$2:$P$1001,MATCH(ROWS($O$2:O305),$O$2:$O$1001,0),1)&gt;=100000,INDEX($V$1005:$AE$1005,1,MATCH(COLUMNS($V$1006:AD1006),$V$1006:$AE$1006,0))&gt;=100000), " ",IF(INDEX($V$2:$AE$1001,MATCH(ROWS($O$2:O305),$O$2:$O$1001,0),MATCH(COLUMNS($V$1006:AD1006),$V$1006:$AE$1006,0)), HYPERLINK("#",""), HYPERLINK(CONCATENATE("#Metadata!", ADDRESS(INDEX($Q$2:$Q$1001,MATCH(ROWS($O$2:O305),$O$2:$O$1001,0),0), INDEX($V$1004:$AE$1004,1,MATCH(COLUMNS($V$1006:AD1006),$V$1006:$AE$1006,0)))),"Fix")))</f>
        <v>0</v>
      </c>
      <c r="K305" s="3">
        <f>IF(OR(INDEX($P$2:$P$1001,MATCH(ROWS($O$2:O305),$O$2:$O$1001,0),1)&gt;=100000,INDEX($V$1005:$AE$1005,1,MATCH(COLUMNS($V$1006:AE1006),$V$1006:$AE$1006,0))&gt;=100000), " ",IF(INDEX($V$2:$AE$1001,MATCH(ROWS($O$2:O305),$O$2:$O$1001,0),MATCH(COLUMNS($V$1006:AE1006),$V$1006:$AE$1006,0)), HYPERLINK("#",""), HYPERLINK(CONCATENATE("#Metadata!", ADDRESS(INDEX($Q$2:$Q$1001,MATCH(ROWS($O$2:O305),$O$2:$O$1001,0),0), INDEX($V$1004:$AE$1004,1,MATCH(COLUMNS($V$1006:AE1006),$V$1006:$AE$1006,0)))),"Fix")))</f>
        <v>0</v>
      </c>
      <c r="O305">
        <v>0</v>
      </c>
      <c r="P305">
        <v>0</v>
      </c>
      <c r="Q305">
        <v>0</v>
      </c>
      <c r="R305">
        <f>IF(S305,TRUE,AND(V305:AE305))</f>
        <v>0</v>
      </c>
      <c r="S305">
        <f>COUNTBLANK(Metadata!B305:K305)=COLUMNS(Metadata!B305:K305)</f>
        <v>0</v>
      </c>
      <c r="T305">
        <v>0</v>
      </c>
      <c r="V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W305">
        <f>AND(IF(Metadata!C305="",FALSE,TRUE),exact(Metadata!C305,"animal secretion"))</f>
        <v>0</v>
      </c>
      <c r="X305">
        <f>AND(IF(Metadata!D305="",FALSE,TRUE),exact(Metadata!D305,"saliva"))</f>
        <v>0</v>
      </c>
      <c r="Y305">
        <f>AND(IF(Metadata!E305="",FALSE,TRUE),exact(Metadata!E305,"human-oral"))</f>
        <v>0</v>
      </c>
      <c r="Z305">
        <f>AND(IF(Metadata!F305="",FALSE,TRUE),exact(Metadata!F305,"UBERON:oral cavity"))</f>
        <v>0</v>
      </c>
      <c r="AA305">
        <f>AND(IF(Metadata!G305="",FALSE,TRUE),exact(Metadata!G305,"UBERON:saliva"))</f>
        <v>0</v>
      </c>
      <c r="AB305">
        <f>AND(IF(Metadata!H305="",FALSE,TRUE),exact(Metadata!H305,"UBERON:tongue"))</f>
        <v>0</v>
      </c>
      <c r="AC305">
        <f>AND(IF(Metadata!I305="",FALSE,TRUE),exact(Metadata!I305,"tongue"))</f>
        <v>0</v>
      </c>
      <c r="AD305">
        <f>AND(IF(Metadata!J305="",FALSE,TRUE),exact(Metadata!J305,"human oral metagenome"))</f>
        <v>0</v>
      </c>
      <c r="AE305">
        <f>AND(IF(Metadata!K305="",FALSE,TRUE),exact(Metadata!K305,"447426"))</f>
        <v>0</v>
      </c>
    </row>
    <row r="306" spans="1:31">
      <c r="A306" s="4">
        <f>IF(B306=" "," ",HYPERLINK(CONCATENATE("#metadata!",ADDRESS(INDEX($Q$2:$Q$1001,MATCH(ROWS($O$2:O306),$O$2:$O$1001,0),0),1)),INDEX($T$2:$T$1001,MATCH(ROWS($O$2:O306),$O$2:$O$1001,0),0)))</f>
        <v>0</v>
      </c>
      <c r="B306" s="3">
        <f>IF(OR(INDEX($P$2:$P$1001,MATCH(ROWS($O$2:O306),$O$2:$O$1001,0),1)&gt;=100000,INDEX($V$1005:$AE$1005,1,MATCH(COLUMNS($V$1006:V1006),$V$1006:$AE$1006,0))&gt;=100000), " ",IF(INDEX($V$2:$AE$1001,MATCH(ROWS($O$2:O306),$O$2:$O$1001,0),MATCH(COLUMNS($V$1006:V1006),$V$1006:$AE$1006,0)), HYPERLINK("#",""), HYPERLINK(CONCATENATE("#Metadata!", ADDRESS(INDEX($Q$2:$Q$1001,MATCH(ROWS($O$2:O306),$O$2:$O$1001,0),0), INDEX($V$1004:$AE$1004,1,MATCH(COLUMNS($V$1006:V1006),$V$1006:$AE$1006,0)))),"Fix")))</f>
        <v>0</v>
      </c>
      <c r="C306" s="3">
        <f>IF(OR(INDEX($P$2:$P$1001,MATCH(ROWS($O$2:O306),$O$2:$O$1001,0),1)&gt;=100000,INDEX($V$1005:$AE$1005,1,MATCH(COLUMNS($V$1006:W1006),$V$1006:$AE$1006,0))&gt;=100000), " ",IF(INDEX($V$2:$AE$1001,MATCH(ROWS($O$2:O306),$O$2:$O$1001,0),MATCH(COLUMNS($V$1006:W1006),$V$1006:$AE$1006,0)), HYPERLINK("#",""), HYPERLINK(CONCATENATE("#Metadata!", ADDRESS(INDEX($Q$2:$Q$1001,MATCH(ROWS($O$2:O306),$O$2:$O$1001,0),0), INDEX($V$1004:$AE$1004,1,MATCH(COLUMNS($V$1006:W1006),$V$1006:$AE$1006,0)))),"Fix")))</f>
        <v>0</v>
      </c>
      <c r="D306" s="3">
        <f>IF(OR(INDEX($P$2:$P$1001,MATCH(ROWS($O$2:O306),$O$2:$O$1001,0),1)&gt;=100000,INDEX($V$1005:$AE$1005,1,MATCH(COLUMNS($V$1006:X1006),$V$1006:$AE$1006,0))&gt;=100000), " ",IF(INDEX($V$2:$AE$1001,MATCH(ROWS($O$2:O306),$O$2:$O$1001,0),MATCH(COLUMNS($V$1006:X1006),$V$1006:$AE$1006,0)), HYPERLINK("#",""), HYPERLINK(CONCATENATE("#Metadata!", ADDRESS(INDEX($Q$2:$Q$1001,MATCH(ROWS($O$2:O306),$O$2:$O$1001,0),0), INDEX($V$1004:$AE$1004,1,MATCH(COLUMNS($V$1006:X1006),$V$1006:$AE$1006,0)))),"Fix")))</f>
        <v>0</v>
      </c>
      <c r="E306" s="3">
        <f>IF(OR(INDEX($P$2:$P$1001,MATCH(ROWS($O$2:O306),$O$2:$O$1001,0),1)&gt;=100000,INDEX($V$1005:$AE$1005,1,MATCH(COLUMNS($V$1006:Y1006),$V$1006:$AE$1006,0))&gt;=100000), " ",IF(INDEX($V$2:$AE$1001,MATCH(ROWS($O$2:O306),$O$2:$O$1001,0),MATCH(COLUMNS($V$1006:Y1006),$V$1006:$AE$1006,0)), HYPERLINK("#",""), HYPERLINK(CONCATENATE("#Metadata!", ADDRESS(INDEX($Q$2:$Q$1001,MATCH(ROWS($O$2:O306),$O$2:$O$1001,0),0), INDEX($V$1004:$AE$1004,1,MATCH(COLUMNS($V$1006:Y1006),$V$1006:$AE$1006,0)))),"Fix")))</f>
        <v>0</v>
      </c>
      <c r="F306" s="3">
        <f>IF(OR(INDEX($P$2:$P$1001,MATCH(ROWS($O$2:O306),$O$2:$O$1001,0),1)&gt;=100000,INDEX($V$1005:$AE$1005,1,MATCH(COLUMNS($V$1006:Z1006),$V$1006:$AE$1006,0))&gt;=100000), " ",IF(INDEX($V$2:$AE$1001,MATCH(ROWS($O$2:O306),$O$2:$O$1001,0),MATCH(COLUMNS($V$1006:Z1006),$V$1006:$AE$1006,0)), HYPERLINK("#",""), HYPERLINK(CONCATENATE("#Metadata!", ADDRESS(INDEX($Q$2:$Q$1001,MATCH(ROWS($O$2:O306),$O$2:$O$1001,0),0), INDEX($V$1004:$AE$1004,1,MATCH(COLUMNS($V$1006:Z1006),$V$1006:$AE$1006,0)))),"Fix")))</f>
        <v>0</v>
      </c>
      <c r="G306" s="3">
        <f>IF(OR(INDEX($P$2:$P$1001,MATCH(ROWS($O$2:O306),$O$2:$O$1001,0),1)&gt;=100000,INDEX($V$1005:$AE$1005,1,MATCH(COLUMNS($V$1006:AA1006),$V$1006:$AE$1006,0))&gt;=100000), " ",IF(INDEX($V$2:$AE$1001,MATCH(ROWS($O$2:O306),$O$2:$O$1001,0),MATCH(COLUMNS($V$1006:AA1006),$V$1006:$AE$1006,0)), HYPERLINK("#",""), HYPERLINK(CONCATENATE("#Metadata!", ADDRESS(INDEX($Q$2:$Q$1001,MATCH(ROWS($O$2:O306),$O$2:$O$1001,0),0), INDEX($V$1004:$AE$1004,1,MATCH(COLUMNS($V$1006:AA1006),$V$1006:$AE$1006,0)))),"Fix")))</f>
        <v>0</v>
      </c>
      <c r="H306" s="3">
        <f>IF(OR(INDEX($P$2:$P$1001,MATCH(ROWS($O$2:O306),$O$2:$O$1001,0),1)&gt;=100000,INDEX($V$1005:$AE$1005,1,MATCH(COLUMNS($V$1006:AB1006),$V$1006:$AE$1006,0))&gt;=100000), " ",IF(INDEX($V$2:$AE$1001,MATCH(ROWS($O$2:O306),$O$2:$O$1001,0),MATCH(COLUMNS($V$1006:AB1006),$V$1006:$AE$1006,0)), HYPERLINK("#",""), HYPERLINK(CONCATENATE("#Metadata!", ADDRESS(INDEX($Q$2:$Q$1001,MATCH(ROWS($O$2:O306),$O$2:$O$1001,0),0), INDEX($V$1004:$AE$1004,1,MATCH(COLUMNS($V$1006:AB1006),$V$1006:$AE$1006,0)))),"Fix")))</f>
        <v>0</v>
      </c>
      <c r="I306" s="3">
        <f>IF(OR(INDEX($P$2:$P$1001,MATCH(ROWS($O$2:O306),$O$2:$O$1001,0),1)&gt;=100000,INDEX($V$1005:$AE$1005,1,MATCH(COLUMNS($V$1006:AC1006),$V$1006:$AE$1006,0))&gt;=100000), " ",IF(INDEX($V$2:$AE$1001,MATCH(ROWS($O$2:O306),$O$2:$O$1001,0),MATCH(COLUMNS($V$1006:AC1006),$V$1006:$AE$1006,0)), HYPERLINK("#",""), HYPERLINK(CONCATENATE("#Metadata!", ADDRESS(INDEX($Q$2:$Q$1001,MATCH(ROWS($O$2:O306),$O$2:$O$1001,0),0), INDEX($V$1004:$AE$1004,1,MATCH(COLUMNS($V$1006:AC1006),$V$1006:$AE$1006,0)))),"Fix")))</f>
        <v>0</v>
      </c>
      <c r="J306" s="3">
        <f>IF(OR(INDEX($P$2:$P$1001,MATCH(ROWS($O$2:O306),$O$2:$O$1001,0),1)&gt;=100000,INDEX($V$1005:$AE$1005,1,MATCH(COLUMNS($V$1006:AD1006),$V$1006:$AE$1006,0))&gt;=100000), " ",IF(INDEX($V$2:$AE$1001,MATCH(ROWS($O$2:O306),$O$2:$O$1001,0),MATCH(COLUMNS($V$1006:AD1006),$V$1006:$AE$1006,0)), HYPERLINK("#",""), HYPERLINK(CONCATENATE("#Metadata!", ADDRESS(INDEX($Q$2:$Q$1001,MATCH(ROWS($O$2:O306),$O$2:$O$1001,0),0), INDEX($V$1004:$AE$1004,1,MATCH(COLUMNS($V$1006:AD1006),$V$1006:$AE$1006,0)))),"Fix")))</f>
        <v>0</v>
      </c>
      <c r="K306" s="3">
        <f>IF(OR(INDEX($P$2:$P$1001,MATCH(ROWS($O$2:O306),$O$2:$O$1001,0),1)&gt;=100000,INDEX($V$1005:$AE$1005,1,MATCH(COLUMNS($V$1006:AE1006),$V$1006:$AE$1006,0))&gt;=100000), " ",IF(INDEX($V$2:$AE$1001,MATCH(ROWS($O$2:O306),$O$2:$O$1001,0),MATCH(COLUMNS($V$1006:AE1006),$V$1006:$AE$1006,0)), HYPERLINK("#",""), HYPERLINK(CONCATENATE("#Metadata!", ADDRESS(INDEX($Q$2:$Q$1001,MATCH(ROWS($O$2:O306),$O$2:$O$1001,0),0), INDEX($V$1004:$AE$1004,1,MATCH(COLUMNS($V$1006:AE1006),$V$1006:$AE$1006,0)))),"Fix")))</f>
        <v>0</v>
      </c>
      <c r="O306">
        <v>0</v>
      </c>
      <c r="P306">
        <v>0</v>
      </c>
      <c r="Q306">
        <v>0</v>
      </c>
      <c r="R306">
        <f>IF(S306,TRUE,AND(V306:AE306))</f>
        <v>0</v>
      </c>
      <c r="S306">
        <f>COUNTBLANK(Metadata!B306:K306)=COLUMNS(Metadata!B306:K306)</f>
        <v>0</v>
      </c>
      <c r="T306">
        <v>0</v>
      </c>
      <c r="V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W306">
        <f>AND(IF(Metadata!C306="",FALSE,TRUE),exact(Metadata!C306,"animal secretion"))</f>
        <v>0</v>
      </c>
      <c r="X306">
        <f>AND(IF(Metadata!D306="",FALSE,TRUE),exact(Metadata!D306,"saliva"))</f>
        <v>0</v>
      </c>
      <c r="Y306">
        <f>AND(IF(Metadata!E306="",FALSE,TRUE),exact(Metadata!E306,"human-oral"))</f>
        <v>0</v>
      </c>
      <c r="Z306">
        <f>AND(IF(Metadata!F306="",FALSE,TRUE),exact(Metadata!F306,"UBERON:oral cavity"))</f>
        <v>0</v>
      </c>
      <c r="AA306">
        <f>AND(IF(Metadata!G306="",FALSE,TRUE),exact(Metadata!G306,"UBERON:saliva"))</f>
        <v>0</v>
      </c>
      <c r="AB306">
        <f>AND(IF(Metadata!H306="",FALSE,TRUE),exact(Metadata!H306,"UBERON:tongue"))</f>
        <v>0</v>
      </c>
      <c r="AC306">
        <f>AND(IF(Metadata!I306="",FALSE,TRUE),exact(Metadata!I306,"tongue"))</f>
        <v>0</v>
      </c>
      <c r="AD306">
        <f>AND(IF(Metadata!J306="",FALSE,TRUE),exact(Metadata!J306,"human oral metagenome"))</f>
        <v>0</v>
      </c>
      <c r="AE306">
        <f>AND(IF(Metadata!K306="",FALSE,TRUE),exact(Metadata!K306,"447426"))</f>
        <v>0</v>
      </c>
    </row>
    <row r="307" spans="1:31">
      <c r="A307" s="4">
        <f>IF(B307=" "," ",HYPERLINK(CONCATENATE("#metadata!",ADDRESS(INDEX($Q$2:$Q$1001,MATCH(ROWS($O$2:O307),$O$2:$O$1001,0),0),1)),INDEX($T$2:$T$1001,MATCH(ROWS($O$2:O307),$O$2:$O$1001,0),0)))</f>
        <v>0</v>
      </c>
      <c r="B307" s="3">
        <f>IF(OR(INDEX($P$2:$P$1001,MATCH(ROWS($O$2:O307),$O$2:$O$1001,0),1)&gt;=100000,INDEX($V$1005:$AE$1005,1,MATCH(COLUMNS($V$1006:V1006),$V$1006:$AE$1006,0))&gt;=100000), " ",IF(INDEX($V$2:$AE$1001,MATCH(ROWS($O$2:O307),$O$2:$O$1001,0),MATCH(COLUMNS($V$1006:V1006),$V$1006:$AE$1006,0)), HYPERLINK("#",""), HYPERLINK(CONCATENATE("#Metadata!", ADDRESS(INDEX($Q$2:$Q$1001,MATCH(ROWS($O$2:O307),$O$2:$O$1001,0),0), INDEX($V$1004:$AE$1004,1,MATCH(COLUMNS($V$1006:V1006),$V$1006:$AE$1006,0)))),"Fix")))</f>
        <v>0</v>
      </c>
      <c r="C307" s="3">
        <f>IF(OR(INDEX($P$2:$P$1001,MATCH(ROWS($O$2:O307),$O$2:$O$1001,0),1)&gt;=100000,INDEX($V$1005:$AE$1005,1,MATCH(COLUMNS($V$1006:W1006),$V$1006:$AE$1006,0))&gt;=100000), " ",IF(INDEX($V$2:$AE$1001,MATCH(ROWS($O$2:O307),$O$2:$O$1001,0),MATCH(COLUMNS($V$1006:W1006),$V$1006:$AE$1006,0)), HYPERLINK("#",""), HYPERLINK(CONCATENATE("#Metadata!", ADDRESS(INDEX($Q$2:$Q$1001,MATCH(ROWS($O$2:O307),$O$2:$O$1001,0),0), INDEX($V$1004:$AE$1004,1,MATCH(COLUMNS($V$1006:W1006),$V$1006:$AE$1006,0)))),"Fix")))</f>
        <v>0</v>
      </c>
      <c r="D307" s="3">
        <f>IF(OR(INDEX($P$2:$P$1001,MATCH(ROWS($O$2:O307),$O$2:$O$1001,0),1)&gt;=100000,INDEX($V$1005:$AE$1005,1,MATCH(COLUMNS($V$1006:X1006),$V$1006:$AE$1006,0))&gt;=100000), " ",IF(INDEX($V$2:$AE$1001,MATCH(ROWS($O$2:O307),$O$2:$O$1001,0),MATCH(COLUMNS($V$1006:X1006),$V$1006:$AE$1006,0)), HYPERLINK("#",""), HYPERLINK(CONCATENATE("#Metadata!", ADDRESS(INDEX($Q$2:$Q$1001,MATCH(ROWS($O$2:O307),$O$2:$O$1001,0),0), INDEX($V$1004:$AE$1004,1,MATCH(COLUMNS($V$1006:X1006),$V$1006:$AE$1006,0)))),"Fix")))</f>
        <v>0</v>
      </c>
      <c r="E307" s="3">
        <f>IF(OR(INDEX($P$2:$P$1001,MATCH(ROWS($O$2:O307),$O$2:$O$1001,0),1)&gt;=100000,INDEX($V$1005:$AE$1005,1,MATCH(COLUMNS($V$1006:Y1006),$V$1006:$AE$1006,0))&gt;=100000), " ",IF(INDEX($V$2:$AE$1001,MATCH(ROWS($O$2:O307),$O$2:$O$1001,0),MATCH(COLUMNS($V$1006:Y1006),$V$1006:$AE$1006,0)), HYPERLINK("#",""), HYPERLINK(CONCATENATE("#Metadata!", ADDRESS(INDEX($Q$2:$Q$1001,MATCH(ROWS($O$2:O307),$O$2:$O$1001,0),0), INDEX($V$1004:$AE$1004,1,MATCH(COLUMNS($V$1006:Y1006),$V$1006:$AE$1006,0)))),"Fix")))</f>
        <v>0</v>
      </c>
      <c r="F307" s="3">
        <f>IF(OR(INDEX($P$2:$P$1001,MATCH(ROWS($O$2:O307),$O$2:$O$1001,0),1)&gt;=100000,INDEX($V$1005:$AE$1005,1,MATCH(COLUMNS($V$1006:Z1006),$V$1006:$AE$1006,0))&gt;=100000), " ",IF(INDEX($V$2:$AE$1001,MATCH(ROWS($O$2:O307),$O$2:$O$1001,0),MATCH(COLUMNS($V$1006:Z1006),$V$1006:$AE$1006,0)), HYPERLINK("#",""), HYPERLINK(CONCATENATE("#Metadata!", ADDRESS(INDEX($Q$2:$Q$1001,MATCH(ROWS($O$2:O307),$O$2:$O$1001,0),0), INDEX($V$1004:$AE$1004,1,MATCH(COLUMNS($V$1006:Z1006),$V$1006:$AE$1006,0)))),"Fix")))</f>
        <v>0</v>
      </c>
      <c r="G307" s="3">
        <f>IF(OR(INDEX($P$2:$P$1001,MATCH(ROWS($O$2:O307),$O$2:$O$1001,0),1)&gt;=100000,INDEX($V$1005:$AE$1005,1,MATCH(COLUMNS($V$1006:AA1006),$V$1006:$AE$1006,0))&gt;=100000), " ",IF(INDEX($V$2:$AE$1001,MATCH(ROWS($O$2:O307),$O$2:$O$1001,0),MATCH(COLUMNS($V$1006:AA1006),$V$1006:$AE$1006,0)), HYPERLINK("#",""), HYPERLINK(CONCATENATE("#Metadata!", ADDRESS(INDEX($Q$2:$Q$1001,MATCH(ROWS($O$2:O307),$O$2:$O$1001,0),0), INDEX($V$1004:$AE$1004,1,MATCH(COLUMNS($V$1006:AA1006),$V$1006:$AE$1006,0)))),"Fix")))</f>
        <v>0</v>
      </c>
      <c r="H307" s="3">
        <f>IF(OR(INDEX($P$2:$P$1001,MATCH(ROWS($O$2:O307),$O$2:$O$1001,0),1)&gt;=100000,INDEX($V$1005:$AE$1005,1,MATCH(COLUMNS($V$1006:AB1006),$V$1006:$AE$1006,0))&gt;=100000), " ",IF(INDEX($V$2:$AE$1001,MATCH(ROWS($O$2:O307),$O$2:$O$1001,0),MATCH(COLUMNS($V$1006:AB1006),$V$1006:$AE$1006,0)), HYPERLINK("#",""), HYPERLINK(CONCATENATE("#Metadata!", ADDRESS(INDEX($Q$2:$Q$1001,MATCH(ROWS($O$2:O307),$O$2:$O$1001,0),0), INDEX($V$1004:$AE$1004,1,MATCH(COLUMNS($V$1006:AB1006),$V$1006:$AE$1006,0)))),"Fix")))</f>
        <v>0</v>
      </c>
      <c r="I307" s="3">
        <f>IF(OR(INDEX($P$2:$P$1001,MATCH(ROWS($O$2:O307),$O$2:$O$1001,0),1)&gt;=100000,INDEX($V$1005:$AE$1005,1,MATCH(COLUMNS($V$1006:AC1006),$V$1006:$AE$1006,0))&gt;=100000), " ",IF(INDEX($V$2:$AE$1001,MATCH(ROWS($O$2:O307),$O$2:$O$1001,0),MATCH(COLUMNS($V$1006:AC1006),$V$1006:$AE$1006,0)), HYPERLINK("#",""), HYPERLINK(CONCATENATE("#Metadata!", ADDRESS(INDEX($Q$2:$Q$1001,MATCH(ROWS($O$2:O307),$O$2:$O$1001,0),0), INDEX($V$1004:$AE$1004,1,MATCH(COLUMNS($V$1006:AC1006),$V$1006:$AE$1006,0)))),"Fix")))</f>
        <v>0</v>
      </c>
      <c r="J307" s="3">
        <f>IF(OR(INDEX($P$2:$P$1001,MATCH(ROWS($O$2:O307),$O$2:$O$1001,0),1)&gt;=100000,INDEX($V$1005:$AE$1005,1,MATCH(COLUMNS($V$1006:AD1006),$V$1006:$AE$1006,0))&gt;=100000), " ",IF(INDEX($V$2:$AE$1001,MATCH(ROWS($O$2:O307),$O$2:$O$1001,0),MATCH(COLUMNS($V$1006:AD1006),$V$1006:$AE$1006,0)), HYPERLINK("#",""), HYPERLINK(CONCATENATE("#Metadata!", ADDRESS(INDEX($Q$2:$Q$1001,MATCH(ROWS($O$2:O307),$O$2:$O$1001,0),0), INDEX($V$1004:$AE$1004,1,MATCH(COLUMNS($V$1006:AD1006),$V$1006:$AE$1006,0)))),"Fix")))</f>
        <v>0</v>
      </c>
      <c r="K307" s="3">
        <f>IF(OR(INDEX($P$2:$P$1001,MATCH(ROWS($O$2:O307),$O$2:$O$1001,0),1)&gt;=100000,INDEX($V$1005:$AE$1005,1,MATCH(COLUMNS($V$1006:AE1006),$V$1006:$AE$1006,0))&gt;=100000), " ",IF(INDEX($V$2:$AE$1001,MATCH(ROWS($O$2:O307),$O$2:$O$1001,0),MATCH(COLUMNS($V$1006:AE1006),$V$1006:$AE$1006,0)), HYPERLINK("#",""), HYPERLINK(CONCATENATE("#Metadata!", ADDRESS(INDEX($Q$2:$Q$1001,MATCH(ROWS($O$2:O307),$O$2:$O$1001,0),0), INDEX($V$1004:$AE$1004,1,MATCH(COLUMNS($V$1006:AE1006),$V$1006:$AE$1006,0)))),"Fix")))</f>
        <v>0</v>
      </c>
      <c r="O307">
        <v>0</v>
      </c>
      <c r="P307">
        <v>0</v>
      </c>
      <c r="Q307">
        <v>0</v>
      </c>
      <c r="R307">
        <f>IF(S307,TRUE,AND(V307:AE307))</f>
        <v>0</v>
      </c>
      <c r="S307">
        <f>COUNTBLANK(Metadata!B307:K307)=COLUMNS(Metadata!B307:K307)</f>
        <v>0</v>
      </c>
      <c r="T307">
        <v>0</v>
      </c>
      <c r="V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W307">
        <f>AND(IF(Metadata!C307="",FALSE,TRUE),exact(Metadata!C307,"animal secretion"))</f>
        <v>0</v>
      </c>
      <c r="X307">
        <f>AND(IF(Metadata!D307="",FALSE,TRUE),exact(Metadata!D307,"saliva"))</f>
        <v>0</v>
      </c>
      <c r="Y307">
        <f>AND(IF(Metadata!E307="",FALSE,TRUE),exact(Metadata!E307,"human-oral"))</f>
        <v>0</v>
      </c>
      <c r="Z307">
        <f>AND(IF(Metadata!F307="",FALSE,TRUE),exact(Metadata!F307,"UBERON:oral cavity"))</f>
        <v>0</v>
      </c>
      <c r="AA307">
        <f>AND(IF(Metadata!G307="",FALSE,TRUE),exact(Metadata!G307,"UBERON:saliva"))</f>
        <v>0</v>
      </c>
      <c r="AB307">
        <f>AND(IF(Metadata!H307="",FALSE,TRUE),exact(Metadata!H307,"UBERON:tongue"))</f>
        <v>0</v>
      </c>
      <c r="AC307">
        <f>AND(IF(Metadata!I307="",FALSE,TRUE),exact(Metadata!I307,"tongue"))</f>
        <v>0</v>
      </c>
      <c r="AD307">
        <f>AND(IF(Metadata!J307="",FALSE,TRUE),exact(Metadata!J307,"human oral metagenome"))</f>
        <v>0</v>
      </c>
      <c r="AE307">
        <f>AND(IF(Metadata!K307="",FALSE,TRUE),exact(Metadata!K307,"447426"))</f>
        <v>0</v>
      </c>
    </row>
    <row r="308" spans="1:31">
      <c r="A308" s="4">
        <f>IF(B308=" "," ",HYPERLINK(CONCATENATE("#metadata!",ADDRESS(INDEX($Q$2:$Q$1001,MATCH(ROWS($O$2:O308),$O$2:$O$1001,0),0),1)),INDEX($T$2:$T$1001,MATCH(ROWS($O$2:O308),$O$2:$O$1001,0),0)))</f>
        <v>0</v>
      </c>
      <c r="B308" s="3">
        <f>IF(OR(INDEX($P$2:$P$1001,MATCH(ROWS($O$2:O308),$O$2:$O$1001,0),1)&gt;=100000,INDEX($V$1005:$AE$1005,1,MATCH(COLUMNS($V$1006:V1006),$V$1006:$AE$1006,0))&gt;=100000), " ",IF(INDEX($V$2:$AE$1001,MATCH(ROWS($O$2:O308),$O$2:$O$1001,0),MATCH(COLUMNS($V$1006:V1006),$V$1006:$AE$1006,0)), HYPERLINK("#",""), HYPERLINK(CONCATENATE("#Metadata!", ADDRESS(INDEX($Q$2:$Q$1001,MATCH(ROWS($O$2:O308),$O$2:$O$1001,0),0), INDEX($V$1004:$AE$1004,1,MATCH(COLUMNS($V$1006:V1006),$V$1006:$AE$1006,0)))),"Fix")))</f>
        <v>0</v>
      </c>
      <c r="C308" s="3">
        <f>IF(OR(INDEX($P$2:$P$1001,MATCH(ROWS($O$2:O308),$O$2:$O$1001,0),1)&gt;=100000,INDEX($V$1005:$AE$1005,1,MATCH(COLUMNS($V$1006:W1006),$V$1006:$AE$1006,0))&gt;=100000), " ",IF(INDEX($V$2:$AE$1001,MATCH(ROWS($O$2:O308),$O$2:$O$1001,0),MATCH(COLUMNS($V$1006:W1006),$V$1006:$AE$1006,0)), HYPERLINK("#",""), HYPERLINK(CONCATENATE("#Metadata!", ADDRESS(INDEX($Q$2:$Q$1001,MATCH(ROWS($O$2:O308),$O$2:$O$1001,0),0), INDEX($V$1004:$AE$1004,1,MATCH(COLUMNS($V$1006:W1006),$V$1006:$AE$1006,0)))),"Fix")))</f>
        <v>0</v>
      </c>
      <c r="D308" s="3">
        <f>IF(OR(INDEX($P$2:$P$1001,MATCH(ROWS($O$2:O308),$O$2:$O$1001,0),1)&gt;=100000,INDEX($V$1005:$AE$1005,1,MATCH(COLUMNS($V$1006:X1006),$V$1006:$AE$1006,0))&gt;=100000), " ",IF(INDEX($V$2:$AE$1001,MATCH(ROWS($O$2:O308),$O$2:$O$1001,0),MATCH(COLUMNS($V$1006:X1006),$V$1006:$AE$1006,0)), HYPERLINK("#",""), HYPERLINK(CONCATENATE("#Metadata!", ADDRESS(INDEX($Q$2:$Q$1001,MATCH(ROWS($O$2:O308),$O$2:$O$1001,0),0), INDEX($V$1004:$AE$1004,1,MATCH(COLUMNS($V$1006:X1006),$V$1006:$AE$1006,0)))),"Fix")))</f>
        <v>0</v>
      </c>
      <c r="E308" s="3">
        <f>IF(OR(INDEX($P$2:$P$1001,MATCH(ROWS($O$2:O308),$O$2:$O$1001,0),1)&gt;=100000,INDEX($V$1005:$AE$1005,1,MATCH(COLUMNS($V$1006:Y1006),$V$1006:$AE$1006,0))&gt;=100000), " ",IF(INDEX($V$2:$AE$1001,MATCH(ROWS($O$2:O308),$O$2:$O$1001,0),MATCH(COLUMNS($V$1006:Y1006),$V$1006:$AE$1006,0)), HYPERLINK("#",""), HYPERLINK(CONCATENATE("#Metadata!", ADDRESS(INDEX($Q$2:$Q$1001,MATCH(ROWS($O$2:O308),$O$2:$O$1001,0),0), INDEX($V$1004:$AE$1004,1,MATCH(COLUMNS($V$1006:Y1006),$V$1006:$AE$1006,0)))),"Fix")))</f>
        <v>0</v>
      </c>
      <c r="F308" s="3">
        <f>IF(OR(INDEX($P$2:$P$1001,MATCH(ROWS($O$2:O308),$O$2:$O$1001,0),1)&gt;=100000,INDEX($V$1005:$AE$1005,1,MATCH(COLUMNS($V$1006:Z1006),$V$1006:$AE$1006,0))&gt;=100000), " ",IF(INDEX($V$2:$AE$1001,MATCH(ROWS($O$2:O308),$O$2:$O$1001,0),MATCH(COLUMNS($V$1006:Z1006),$V$1006:$AE$1006,0)), HYPERLINK("#",""), HYPERLINK(CONCATENATE("#Metadata!", ADDRESS(INDEX($Q$2:$Q$1001,MATCH(ROWS($O$2:O308),$O$2:$O$1001,0),0), INDEX($V$1004:$AE$1004,1,MATCH(COLUMNS($V$1006:Z1006),$V$1006:$AE$1006,0)))),"Fix")))</f>
        <v>0</v>
      </c>
      <c r="G308" s="3">
        <f>IF(OR(INDEX($P$2:$P$1001,MATCH(ROWS($O$2:O308),$O$2:$O$1001,0),1)&gt;=100000,INDEX($V$1005:$AE$1005,1,MATCH(COLUMNS($V$1006:AA1006),$V$1006:$AE$1006,0))&gt;=100000), " ",IF(INDEX($V$2:$AE$1001,MATCH(ROWS($O$2:O308),$O$2:$O$1001,0),MATCH(COLUMNS($V$1006:AA1006),$V$1006:$AE$1006,0)), HYPERLINK("#",""), HYPERLINK(CONCATENATE("#Metadata!", ADDRESS(INDEX($Q$2:$Q$1001,MATCH(ROWS($O$2:O308),$O$2:$O$1001,0),0), INDEX($V$1004:$AE$1004,1,MATCH(COLUMNS($V$1006:AA1006),$V$1006:$AE$1006,0)))),"Fix")))</f>
        <v>0</v>
      </c>
      <c r="H308" s="3">
        <f>IF(OR(INDEX($P$2:$P$1001,MATCH(ROWS($O$2:O308),$O$2:$O$1001,0),1)&gt;=100000,INDEX($V$1005:$AE$1005,1,MATCH(COLUMNS($V$1006:AB1006),$V$1006:$AE$1006,0))&gt;=100000), " ",IF(INDEX($V$2:$AE$1001,MATCH(ROWS($O$2:O308),$O$2:$O$1001,0),MATCH(COLUMNS($V$1006:AB1006),$V$1006:$AE$1006,0)), HYPERLINK("#",""), HYPERLINK(CONCATENATE("#Metadata!", ADDRESS(INDEX($Q$2:$Q$1001,MATCH(ROWS($O$2:O308),$O$2:$O$1001,0),0), INDEX($V$1004:$AE$1004,1,MATCH(COLUMNS($V$1006:AB1006),$V$1006:$AE$1006,0)))),"Fix")))</f>
        <v>0</v>
      </c>
      <c r="I308" s="3">
        <f>IF(OR(INDEX($P$2:$P$1001,MATCH(ROWS($O$2:O308),$O$2:$O$1001,0),1)&gt;=100000,INDEX($V$1005:$AE$1005,1,MATCH(COLUMNS($V$1006:AC1006),$V$1006:$AE$1006,0))&gt;=100000), " ",IF(INDEX($V$2:$AE$1001,MATCH(ROWS($O$2:O308),$O$2:$O$1001,0),MATCH(COLUMNS($V$1006:AC1006),$V$1006:$AE$1006,0)), HYPERLINK("#",""), HYPERLINK(CONCATENATE("#Metadata!", ADDRESS(INDEX($Q$2:$Q$1001,MATCH(ROWS($O$2:O308),$O$2:$O$1001,0),0), INDEX($V$1004:$AE$1004,1,MATCH(COLUMNS($V$1006:AC1006),$V$1006:$AE$1006,0)))),"Fix")))</f>
        <v>0</v>
      </c>
      <c r="J308" s="3">
        <f>IF(OR(INDEX($P$2:$P$1001,MATCH(ROWS($O$2:O308),$O$2:$O$1001,0),1)&gt;=100000,INDEX($V$1005:$AE$1005,1,MATCH(COLUMNS($V$1006:AD1006),$V$1006:$AE$1006,0))&gt;=100000), " ",IF(INDEX($V$2:$AE$1001,MATCH(ROWS($O$2:O308),$O$2:$O$1001,0),MATCH(COLUMNS($V$1006:AD1006),$V$1006:$AE$1006,0)), HYPERLINK("#",""), HYPERLINK(CONCATENATE("#Metadata!", ADDRESS(INDEX($Q$2:$Q$1001,MATCH(ROWS($O$2:O308),$O$2:$O$1001,0),0), INDEX($V$1004:$AE$1004,1,MATCH(COLUMNS($V$1006:AD1006),$V$1006:$AE$1006,0)))),"Fix")))</f>
        <v>0</v>
      </c>
      <c r="K308" s="3">
        <f>IF(OR(INDEX($P$2:$P$1001,MATCH(ROWS($O$2:O308),$O$2:$O$1001,0),1)&gt;=100000,INDEX($V$1005:$AE$1005,1,MATCH(COLUMNS($V$1006:AE1006),$V$1006:$AE$1006,0))&gt;=100000), " ",IF(INDEX($V$2:$AE$1001,MATCH(ROWS($O$2:O308),$O$2:$O$1001,0),MATCH(COLUMNS($V$1006:AE1006),$V$1006:$AE$1006,0)), HYPERLINK("#",""), HYPERLINK(CONCATENATE("#Metadata!", ADDRESS(INDEX($Q$2:$Q$1001,MATCH(ROWS($O$2:O308),$O$2:$O$1001,0),0), INDEX($V$1004:$AE$1004,1,MATCH(COLUMNS($V$1006:AE1006),$V$1006:$AE$1006,0)))),"Fix")))</f>
        <v>0</v>
      </c>
      <c r="O308">
        <v>0</v>
      </c>
      <c r="P308">
        <v>0</v>
      </c>
      <c r="Q308">
        <v>0</v>
      </c>
      <c r="R308">
        <f>IF(S308,TRUE,AND(V308:AE308))</f>
        <v>0</v>
      </c>
      <c r="S308">
        <f>COUNTBLANK(Metadata!B308:K308)=COLUMNS(Metadata!B308:K308)</f>
        <v>0</v>
      </c>
      <c r="T308">
        <v>0</v>
      </c>
      <c r="V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W308">
        <f>AND(IF(Metadata!C308="",FALSE,TRUE),exact(Metadata!C308,"animal secretion"))</f>
        <v>0</v>
      </c>
      <c r="X308">
        <f>AND(IF(Metadata!D308="",FALSE,TRUE),exact(Metadata!D308,"saliva"))</f>
        <v>0</v>
      </c>
      <c r="Y308">
        <f>AND(IF(Metadata!E308="",FALSE,TRUE),exact(Metadata!E308,"human-oral"))</f>
        <v>0</v>
      </c>
      <c r="Z308">
        <f>AND(IF(Metadata!F308="",FALSE,TRUE),exact(Metadata!F308,"UBERON:oral cavity"))</f>
        <v>0</v>
      </c>
      <c r="AA308">
        <f>AND(IF(Metadata!G308="",FALSE,TRUE),exact(Metadata!G308,"UBERON:saliva"))</f>
        <v>0</v>
      </c>
      <c r="AB308">
        <f>AND(IF(Metadata!H308="",FALSE,TRUE),exact(Metadata!H308,"UBERON:tongue"))</f>
        <v>0</v>
      </c>
      <c r="AC308">
        <f>AND(IF(Metadata!I308="",FALSE,TRUE),exact(Metadata!I308,"tongue"))</f>
        <v>0</v>
      </c>
      <c r="AD308">
        <f>AND(IF(Metadata!J308="",FALSE,TRUE),exact(Metadata!J308,"human oral metagenome"))</f>
        <v>0</v>
      </c>
      <c r="AE308">
        <f>AND(IF(Metadata!K308="",FALSE,TRUE),exact(Metadata!K308,"447426"))</f>
        <v>0</v>
      </c>
    </row>
    <row r="309" spans="1:31">
      <c r="A309" s="4">
        <f>IF(B309=" "," ",HYPERLINK(CONCATENATE("#metadata!",ADDRESS(INDEX($Q$2:$Q$1001,MATCH(ROWS($O$2:O309),$O$2:$O$1001,0),0),1)),INDEX($T$2:$T$1001,MATCH(ROWS($O$2:O309),$O$2:$O$1001,0),0)))</f>
        <v>0</v>
      </c>
      <c r="B309" s="3">
        <f>IF(OR(INDEX($P$2:$P$1001,MATCH(ROWS($O$2:O309),$O$2:$O$1001,0),1)&gt;=100000,INDEX($V$1005:$AE$1005,1,MATCH(COLUMNS($V$1006:V1006),$V$1006:$AE$1006,0))&gt;=100000), " ",IF(INDEX($V$2:$AE$1001,MATCH(ROWS($O$2:O309),$O$2:$O$1001,0),MATCH(COLUMNS($V$1006:V1006),$V$1006:$AE$1006,0)), HYPERLINK("#",""), HYPERLINK(CONCATENATE("#Metadata!", ADDRESS(INDEX($Q$2:$Q$1001,MATCH(ROWS($O$2:O309),$O$2:$O$1001,0),0), INDEX($V$1004:$AE$1004,1,MATCH(COLUMNS($V$1006:V1006),$V$1006:$AE$1006,0)))),"Fix")))</f>
        <v>0</v>
      </c>
      <c r="C309" s="3">
        <f>IF(OR(INDEX($P$2:$P$1001,MATCH(ROWS($O$2:O309),$O$2:$O$1001,0),1)&gt;=100000,INDEX($V$1005:$AE$1005,1,MATCH(COLUMNS($V$1006:W1006),$V$1006:$AE$1006,0))&gt;=100000), " ",IF(INDEX($V$2:$AE$1001,MATCH(ROWS($O$2:O309),$O$2:$O$1001,0),MATCH(COLUMNS($V$1006:W1006),$V$1006:$AE$1006,0)), HYPERLINK("#",""), HYPERLINK(CONCATENATE("#Metadata!", ADDRESS(INDEX($Q$2:$Q$1001,MATCH(ROWS($O$2:O309),$O$2:$O$1001,0),0), INDEX($V$1004:$AE$1004,1,MATCH(COLUMNS($V$1006:W1006),$V$1006:$AE$1006,0)))),"Fix")))</f>
        <v>0</v>
      </c>
      <c r="D309" s="3">
        <f>IF(OR(INDEX($P$2:$P$1001,MATCH(ROWS($O$2:O309),$O$2:$O$1001,0),1)&gt;=100000,INDEX($V$1005:$AE$1005,1,MATCH(COLUMNS($V$1006:X1006),$V$1006:$AE$1006,0))&gt;=100000), " ",IF(INDEX($V$2:$AE$1001,MATCH(ROWS($O$2:O309),$O$2:$O$1001,0),MATCH(COLUMNS($V$1006:X1006),$V$1006:$AE$1006,0)), HYPERLINK("#",""), HYPERLINK(CONCATENATE("#Metadata!", ADDRESS(INDEX($Q$2:$Q$1001,MATCH(ROWS($O$2:O309),$O$2:$O$1001,0),0), INDEX($V$1004:$AE$1004,1,MATCH(COLUMNS($V$1006:X1006),$V$1006:$AE$1006,0)))),"Fix")))</f>
        <v>0</v>
      </c>
      <c r="E309" s="3">
        <f>IF(OR(INDEX($P$2:$P$1001,MATCH(ROWS($O$2:O309),$O$2:$O$1001,0),1)&gt;=100000,INDEX($V$1005:$AE$1005,1,MATCH(COLUMNS($V$1006:Y1006),$V$1006:$AE$1006,0))&gt;=100000), " ",IF(INDEX($V$2:$AE$1001,MATCH(ROWS($O$2:O309),$O$2:$O$1001,0),MATCH(COLUMNS($V$1006:Y1006),$V$1006:$AE$1006,0)), HYPERLINK("#",""), HYPERLINK(CONCATENATE("#Metadata!", ADDRESS(INDEX($Q$2:$Q$1001,MATCH(ROWS($O$2:O309),$O$2:$O$1001,0),0), INDEX($V$1004:$AE$1004,1,MATCH(COLUMNS($V$1006:Y1006),$V$1006:$AE$1006,0)))),"Fix")))</f>
        <v>0</v>
      </c>
      <c r="F309" s="3">
        <f>IF(OR(INDEX($P$2:$P$1001,MATCH(ROWS($O$2:O309),$O$2:$O$1001,0),1)&gt;=100000,INDEX($V$1005:$AE$1005,1,MATCH(COLUMNS($V$1006:Z1006),$V$1006:$AE$1006,0))&gt;=100000), " ",IF(INDEX($V$2:$AE$1001,MATCH(ROWS($O$2:O309),$O$2:$O$1001,0),MATCH(COLUMNS($V$1006:Z1006),$V$1006:$AE$1006,0)), HYPERLINK("#",""), HYPERLINK(CONCATENATE("#Metadata!", ADDRESS(INDEX($Q$2:$Q$1001,MATCH(ROWS($O$2:O309),$O$2:$O$1001,0),0), INDEX($V$1004:$AE$1004,1,MATCH(COLUMNS($V$1006:Z1006),$V$1006:$AE$1006,0)))),"Fix")))</f>
        <v>0</v>
      </c>
      <c r="G309" s="3">
        <f>IF(OR(INDEX($P$2:$P$1001,MATCH(ROWS($O$2:O309),$O$2:$O$1001,0),1)&gt;=100000,INDEX($V$1005:$AE$1005,1,MATCH(COLUMNS($V$1006:AA1006),$V$1006:$AE$1006,0))&gt;=100000), " ",IF(INDEX($V$2:$AE$1001,MATCH(ROWS($O$2:O309),$O$2:$O$1001,0),MATCH(COLUMNS($V$1006:AA1006),$V$1006:$AE$1006,0)), HYPERLINK("#",""), HYPERLINK(CONCATENATE("#Metadata!", ADDRESS(INDEX($Q$2:$Q$1001,MATCH(ROWS($O$2:O309),$O$2:$O$1001,0),0), INDEX($V$1004:$AE$1004,1,MATCH(COLUMNS($V$1006:AA1006),$V$1006:$AE$1006,0)))),"Fix")))</f>
        <v>0</v>
      </c>
      <c r="H309" s="3">
        <f>IF(OR(INDEX($P$2:$P$1001,MATCH(ROWS($O$2:O309),$O$2:$O$1001,0),1)&gt;=100000,INDEX($V$1005:$AE$1005,1,MATCH(COLUMNS($V$1006:AB1006),$V$1006:$AE$1006,0))&gt;=100000), " ",IF(INDEX($V$2:$AE$1001,MATCH(ROWS($O$2:O309),$O$2:$O$1001,0),MATCH(COLUMNS($V$1006:AB1006),$V$1006:$AE$1006,0)), HYPERLINK("#",""), HYPERLINK(CONCATENATE("#Metadata!", ADDRESS(INDEX($Q$2:$Q$1001,MATCH(ROWS($O$2:O309),$O$2:$O$1001,0),0), INDEX($V$1004:$AE$1004,1,MATCH(COLUMNS($V$1006:AB1006),$V$1006:$AE$1006,0)))),"Fix")))</f>
        <v>0</v>
      </c>
      <c r="I309" s="3">
        <f>IF(OR(INDEX($P$2:$P$1001,MATCH(ROWS($O$2:O309),$O$2:$O$1001,0),1)&gt;=100000,INDEX($V$1005:$AE$1005,1,MATCH(COLUMNS($V$1006:AC1006),$V$1006:$AE$1006,0))&gt;=100000), " ",IF(INDEX($V$2:$AE$1001,MATCH(ROWS($O$2:O309),$O$2:$O$1001,0),MATCH(COLUMNS($V$1006:AC1006),$V$1006:$AE$1006,0)), HYPERLINK("#",""), HYPERLINK(CONCATENATE("#Metadata!", ADDRESS(INDEX($Q$2:$Q$1001,MATCH(ROWS($O$2:O309),$O$2:$O$1001,0),0), INDEX($V$1004:$AE$1004,1,MATCH(COLUMNS($V$1006:AC1006),$V$1006:$AE$1006,0)))),"Fix")))</f>
        <v>0</v>
      </c>
      <c r="J309" s="3">
        <f>IF(OR(INDEX($P$2:$P$1001,MATCH(ROWS($O$2:O309),$O$2:$O$1001,0),1)&gt;=100000,INDEX($V$1005:$AE$1005,1,MATCH(COLUMNS($V$1006:AD1006),$V$1006:$AE$1006,0))&gt;=100000), " ",IF(INDEX($V$2:$AE$1001,MATCH(ROWS($O$2:O309),$O$2:$O$1001,0),MATCH(COLUMNS($V$1006:AD1006),$V$1006:$AE$1006,0)), HYPERLINK("#",""), HYPERLINK(CONCATENATE("#Metadata!", ADDRESS(INDEX($Q$2:$Q$1001,MATCH(ROWS($O$2:O309),$O$2:$O$1001,0),0), INDEX($V$1004:$AE$1004,1,MATCH(COLUMNS($V$1006:AD1006),$V$1006:$AE$1006,0)))),"Fix")))</f>
        <v>0</v>
      </c>
      <c r="K309" s="3">
        <f>IF(OR(INDEX($P$2:$P$1001,MATCH(ROWS($O$2:O309),$O$2:$O$1001,0),1)&gt;=100000,INDEX($V$1005:$AE$1005,1,MATCH(COLUMNS($V$1006:AE1006),$V$1006:$AE$1006,0))&gt;=100000), " ",IF(INDEX($V$2:$AE$1001,MATCH(ROWS($O$2:O309),$O$2:$O$1001,0),MATCH(COLUMNS($V$1006:AE1006),$V$1006:$AE$1006,0)), HYPERLINK("#",""), HYPERLINK(CONCATENATE("#Metadata!", ADDRESS(INDEX($Q$2:$Q$1001,MATCH(ROWS($O$2:O309),$O$2:$O$1001,0),0), INDEX($V$1004:$AE$1004,1,MATCH(COLUMNS($V$1006:AE1006),$V$1006:$AE$1006,0)))),"Fix")))</f>
        <v>0</v>
      </c>
      <c r="O309">
        <v>0</v>
      </c>
      <c r="P309">
        <v>0</v>
      </c>
      <c r="Q309">
        <v>0</v>
      </c>
      <c r="R309">
        <f>IF(S309,TRUE,AND(V309:AE309))</f>
        <v>0</v>
      </c>
      <c r="S309">
        <f>COUNTBLANK(Metadata!B309:K309)=COLUMNS(Metadata!B309:K309)</f>
        <v>0</v>
      </c>
      <c r="T309">
        <v>0</v>
      </c>
      <c r="V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W309">
        <f>AND(IF(Metadata!C309="",FALSE,TRUE),exact(Metadata!C309,"animal secretion"))</f>
        <v>0</v>
      </c>
      <c r="X309">
        <f>AND(IF(Metadata!D309="",FALSE,TRUE),exact(Metadata!D309,"saliva"))</f>
        <v>0</v>
      </c>
      <c r="Y309">
        <f>AND(IF(Metadata!E309="",FALSE,TRUE),exact(Metadata!E309,"human-oral"))</f>
        <v>0</v>
      </c>
      <c r="Z309">
        <f>AND(IF(Metadata!F309="",FALSE,TRUE),exact(Metadata!F309,"UBERON:oral cavity"))</f>
        <v>0</v>
      </c>
      <c r="AA309">
        <f>AND(IF(Metadata!G309="",FALSE,TRUE),exact(Metadata!G309,"UBERON:saliva"))</f>
        <v>0</v>
      </c>
      <c r="AB309">
        <f>AND(IF(Metadata!H309="",FALSE,TRUE),exact(Metadata!H309,"UBERON:tongue"))</f>
        <v>0</v>
      </c>
      <c r="AC309">
        <f>AND(IF(Metadata!I309="",FALSE,TRUE),exact(Metadata!I309,"tongue"))</f>
        <v>0</v>
      </c>
      <c r="AD309">
        <f>AND(IF(Metadata!J309="",FALSE,TRUE),exact(Metadata!J309,"human oral metagenome"))</f>
        <v>0</v>
      </c>
      <c r="AE309">
        <f>AND(IF(Metadata!K309="",FALSE,TRUE),exact(Metadata!K309,"447426"))</f>
        <v>0</v>
      </c>
    </row>
    <row r="310" spans="1:31">
      <c r="A310" s="4">
        <f>IF(B310=" "," ",HYPERLINK(CONCATENATE("#metadata!",ADDRESS(INDEX($Q$2:$Q$1001,MATCH(ROWS($O$2:O310),$O$2:$O$1001,0),0),1)),INDEX($T$2:$T$1001,MATCH(ROWS($O$2:O310),$O$2:$O$1001,0),0)))</f>
        <v>0</v>
      </c>
      <c r="B310" s="3">
        <f>IF(OR(INDEX($P$2:$P$1001,MATCH(ROWS($O$2:O310),$O$2:$O$1001,0),1)&gt;=100000,INDEX($V$1005:$AE$1005,1,MATCH(COLUMNS($V$1006:V1006),$V$1006:$AE$1006,0))&gt;=100000), " ",IF(INDEX($V$2:$AE$1001,MATCH(ROWS($O$2:O310),$O$2:$O$1001,0),MATCH(COLUMNS($V$1006:V1006),$V$1006:$AE$1006,0)), HYPERLINK("#",""), HYPERLINK(CONCATENATE("#Metadata!", ADDRESS(INDEX($Q$2:$Q$1001,MATCH(ROWS($O$2:O310),$O$2:$O$1001,0),0), INDEX($V$1004:$AE$1004,1,MATCH(COLUMNS($V$1006:V1006),$V$1006:$AE$1006,0)))),"Fix")))</f>
        <v>0</v>
      </c>
      <c r="C310" s="3">
        <f>IF(OR(INDEX($P$2:$P$1001,MATCH(ROWS($O$2:O310),$O$2:$O$1001,0),1)&gt;=100000,INDEX($V$1005:$AE$1005,1,MATCH(COLUMNS($V$1006:W1006),$V$1006:$AE$1006,0))&gt;=100000), " ",IF(INDEX($V$2:$AE$1001,MATCH(ROWS($O$2:O310),$O$2:$O$1001,0),MATCH(COLUMNS($V$1006:W1006),$V$1006:$AE$1006,0)), HYPERLINK("#",""), HYPERLINK(CONCATENATE("#Metadata!", ADDRESS(INDEX($Q$2:$Q$1001,MATCH(ROWS($O$2:O310),$O$2:$O$1001,0),0), INDEX($V$1004:$AE$1004,1,MATCH(COLUMNS($V$1006:W1006),$V$1006:$AE$1006,0)))),"Fix")))</f>
        <v>0</v>
      </c>
      <c r="D310" s="3">
        <f>IF(OR(INDEX($P$2:$P$1001,MATCH(ROWS($O$2:O310),$O$2:$O$1001,0),1)&gt;=100000,INDEX($V$1005:$AE$1005,1,MATCH(COLUMNS($V$1006:X1006),$V$1006:$AE$1006,0))&gt;=100000), " ",IF(INDEX($V$2:$AE$1001,MATCH(ROWS($O$2:O310),$O$2:$O$1001,0),MATCH(COLUMNS($V$1006:X1006),$V$1006:$AE$1006,0)), HYPERLINK("#",""), HYPERLINK(CONCATENATE("#Metadata!", ADDRESS(INDEX($Q$2:$Q$1001,MATCH(ROWS($O$2:O310),$O$2:$O$1001,0),0), INDEX($V$1004:$AE$1004,1,MATCH(COLUMNS($V$1006:X1006),$V$1006:$AE$1006,0)))),"Fix")))</f>
        <v>0</v>
      </c>
      <c r="E310" s="3">
        <f>IF(OR(INDEX($P$2:$P$1001,MATCH(ROWS($O$2:O310),$O$2:$O$1001,0),1)&gt;=100000,INDEX($V$1005:$AE$1005,1,MATCH(COLUMNS($V$1006:Y1006),$V$1006:$AE$1006,0))&gt;=100000), " ",IF(INDEX($V$2:$AE$1001,MATCH(ROWS($O$2:O310),$O$2:$O$1001,0),MATCH(COLUMNS($V$1006:Y1006),$V$1006:$AE$1006,0)), HYPERLINK("#",""), HYPERLINK(CONCATENATE("#Metadata!", ADDRESS(INDEX($Q$2:$Q$1001,MATCH(ROWS($O$2:O310),$O$2:$O$1001,0),0), INDEX($V$1004:$AE$1004,1,MATCH(COLUMNS($V$1006:Y1006),$V$1006:$AE$1006,0)))),"Fix")))</f>
        <v>0</v>
      </c>
      <c r="F310" s="3">
        <f>IF(OR(INDEX($P$2:$P$1001,MATCH(ROWS($O$2:O310),$O$2:$O$1001,0),1)&gt;=100000,INDEX($V$1005:$AE$1005,1,MATCH(COLUMNS($V$1006:Z1006),$V$1006:$AE$1006,0))&gt;=100000), " ",IF(INDEX($V$2:$AE$1001,MATCH(ROWS($O$2:O310),$O$2:$O$1001,0),MATCH(COLUMNS($V$1006:Z1006),$V$1006:$AE$1006,0)), HYPERLINK("#",""), HYPERLINK(CONCATENATE("#Metadata!", ADDRESS(INDEX($Q$2:$Q$1001,MATCH(ROWS($O$2:O310),$O$2:$O$1001,0),0), INDEX($V$1004:$AE$1004,1,MATCH(COLUMNS($V$1006:Z1006),$V$1006:$AE$1006,0)))),"Fix")))</f>
        <v>0</v>
      </c>
      <c r="G310" s="3">
        <f>IF(OR(INDEX($P$2:$P$1001,MATCH(ROWS($O$2:O310),$O$2:$O$1001,0),1)&gt;=100000,INDEX($V$1005:$AE$1005,1,MATCH(COLUMNS($V$1006:AA1006),$V$1006:$AE$1006,0))&gt;=100000), " ",IF(INDEX($V$2:$AE$1001,MATCH(ROWS($O$2:O310),$O$2:$O$1001,0),MATCH(COLUMNS($V$1006:AA1006),$V$1006:$AE$1006,0)), HYPERLINK("#",""), HYPERLINK(CONCATENATE("#Metadata!", ADDRESS(INDEX($Q$2:$Q$1001,MATCH(ROWS($O$2:O310),$O$2:$O$1001,0),0), INDEX($V$1004:$AE$1004,1,MATCH(COLUMNS($V$1006:AA1006),$V$1006:$AE$1006,0)))),"Fix")))</f>
        <v>0</v>
      </c>
      <c r="H310" s="3">
        <f>IF(OR(INDEX($P$2:$P$1001,MATCH(ROWS($O$2:O310),$O$2:$O$1001,0),1)&gt;=100000,INDEX($V$1005:$AE$1005,1,MATCH(COLUMNS($V$1006:AB1006),$V$1006:$AE$1006,0))&gt;=100000), " ",IF(INDEX($V$2:$AE$1001,MATCH(ROWS($O$2:O310),$O$2:$O$1001,0),MATCH(COLUMNS($V$1006:AB1006),$V$1006:$AE$1006,0)), HYPERLINK("#",""), HYPERLINK(CONCATENATE("#Metadata!", ADDRESS(INDEX($Q$2:$Q$1001,MATCH(ROWS($O$2:O310),$O$2:$O$1001,0),0), INDEX($V$1004:$AE$1004,1,MATCH(COLUMNS($V$1006:AB1006),$V$1006:$AE$1006,0)))),"Fix")))</f>
        <v>0</v>
      </c>
      <c r="I310" s="3">
        <f>IF(OR(INDEX($P$2:$P$1001,MATCH(ROWS($O$2:O310),$O$2:$O$1001,0),1)&gt;=100000,INDEX($V$1005:$AE$1005,1,MATCH(COLUMNS($V$1006:AC1006),$V$1006:$AE$1006,0))&gt;=100000), " ",IF(INDEX($V$2:$AE$1001,MATCH(ROWS($O$2:O310),$O$2:$O$1001,0),MATCH(COLUMNS($V$1006:AC1006),$V$1006:$AE$1006,0)), HYPERLINK("#",""), HYPERLINK(CONCATENATE("#Metadata!", ADDRESS(INDEX($Q$2:$Q$1001,MATCH(ROWS($O$2:O310),$O$2:$O$1001,0),0), INDEX($V$1004:$AE$1004,1,MATCH(COLUMNS($V$1006:AC1006),$V$1006:$AE$1006,0)))),"Fix")))</f>
        <v>0</v>
      </c>
      <c r="J310" s="3">
        <f>IF(OR(INDEX($P$2:$P$1001,MATCH(ROWS($O$2:O310),$O$2:$O$1001,0),1)&gt;=100000,INDEX($V$1005:$AE$1005,1,MATCH(COLUMNS($V$1006:AD1006),$V$1006:$AE$1006,0))&gt;=100000), " ",IF(INDEX($V$2:$AE$1001,MATCH(ROWS($O$2:O310),$O$2:$O$1001,0),MATCH(COLUMNS($V$1006:AD1006),$V$1006:$AE$1006,0)), HYPERLINK("#",""), HYPERLINK(CONCATENATE("#Metadata!", ADDRESS(INDEX($Q$2:$Q$1001,MATCH(ROWS($O$2:O310),$O$2:$O$1001,0),0), INDEX($V$1004:$AE$1004,1,MATCH(COLUMNS($V$1006:AD1006),$V$1006:$AE$1006,0)))),"Fix")))</f>
        <v>0</v>
      </c>
      <c r="K310" s="3">
        <f>IF(OR(INDEX($P$2:$P$1001,MATCH(ROWS($O$2:O310),$O$2:$O$1001,0),1)&gt;=100000,INDEX($V$1005:$AE$1005,1,MATCH(COLUMNS($V$1006:AE1006),$V$1006:$AE$1006,0))&gt;=100000), " ",IF(INDEX($V$2:$AE$1001,MATCH(ROWS($O$2:O310),$O$2:$O$1001,0),MATCH(COLUMNS($V$1006:AE1006),$V$1006:$AE$1006,0)), HYPERLINK("#",""), HYPERLINK(CONCATENATE("#Metadata!", ADDRESS(INDEX($Q$2:$Q$1001,MATCH(ROWS($O$2:O310),$O$2:$O$1001,0),0), INDEX($V$1004:$AE$1004,1,MATCH(COLUMNS($V$1006:AE1006),$V$1006:$AE$1006,0)))),"Fix")))</f>
        <v>0</v>
      </c>
      <c r="O310">
        <v>0</v>
      </c>
      <c r="P310">
        <v>0</v>
      </c>
      <c r="Q310">
        <v>0</v>
      </c>
      <c r="R310">
        <f>IF(S310,TRUE,AND(V310:AE310))</f>
        <v>0</v>
      </c>
      <c r="S310">
        <f>COUNTBLANK(Metadata!B310:K310)=COLUMNS(Metadata!B310:K310)</f>
        <v>0</v>
      </c>
      <c r="T310">
        <v>0</v>
      </c>
      <c r="V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W310">
        <f>AND(IF(Metadata!C310="",FALSE,TRUE),exact(Metadata!C310,"animal secretion"))</f>
        <v>0</v>
      </c>
      <c r="X310">
        <f>AND(IF(Metadata!D310="",FALSE,TRUE),exact(Metadata!D310,"saliva"))</f>
        <v>0</v>
      </c>
      <c r="Y310">
        <f>AND(IF(Metadata!E310="",FALSE,TRUE),exact(Metadata!E310,"human-oral"))</f>
        <v>0</v>
      </c>
      <c r="Z310">
        <f>AND(IF(Metadata!F310="",FALSE,TRUE),exact(Metadata!F310,"UBERON:oral cavity"))</f>
        <v>0</v>
      </c>
      <c r="AA310">
        <f>AND(IF(Metadata!G310="",FALSE,TRUE),exact(Metadata!G310,"UBERON:saliva"))</f>
        <v>0</v>
      </c>
      <c r="AB310">
        <f>AND(IF(Metadata!H310="",FALSE,TRUE),exact(Metadata!H310,"UBERON:tongue"))</f>
        <v>0</v>
      </c>
      <c r="AC310">
        <f>AND(IF(Metadata!I310="",FALSE,TRUE),exact(Metadata!I310,"tongue"))</f>
        <v>0</v>
      </c>
      <c r="AD310">
        <f>AND(IF(Metadata!J310="",FALSE,TRUE),exact(Metadata!J310,"human oral metagenome"))</f>
        <v>0</v>
      </c>
      <c r="AE310">
        <f>AND(IF(Metadata!K310="",FALSE,TRUE),exact(Metadata!K310,"447426"))</f>
        <v>0</v>
      </c>
    </row>
    <row r="311" spans="1:31">
      <c r="A311" s="4">
        <f>IF(B311=" "," ",HYPERLINK(CONCATENATE("#metadata!",ADDRESS(INDEX($Q$2:$Q$1001,MATCH(ROWS($O$2:O311),$O$2:$O$1001,0),0),1)),INDEX($T$2:$T$1001,MATCH(ROWS($O$2:O311),$O$2:$O$1001,0),0)))</f>
        <v>0</v>
      </c>
      <c r="B311" s="3">
        <f>IF(OR(INDEX($P$2:$P$1001,MATCH(ROWS($O$2:O311),$O$2:$O$1001,0),1)&gt;=100000,INDEX($V$1005:$AE$1005,1,MATCH(COLUMNS($V$1006:V1006),$V$1006:$AE$1006,0))&gt;=100000), " ",IF(INDEX($V$2:$AE$1001,MATCH(ROWS($O$2:O311),$O$2:$O$1001,0),MATCH(COLUMNS($V$1006:V1006),$V$1006:$AE$1006,0)), HYPERLINK("#",""), HYPERLINK(CONCATENATE("#Metadata!", ADDRESS(INDEX($Q$2:$Q$1001,MATCH(ROWS($O$2:O311),$O$2:$O$1001,0),0), INDEX($V$1004:$AE$1004,1,MATCH(COLUMNS($V$1006:V1006),$V$1006:$AE$1006,0)))),"Fix")))</f>
        <v>0</v>
      </c>
      <c r="C311" s="3">
        <f>IF(OR(INDEX($P$2:$P$1001,MATCH(ROWS($O$2:O311),$O$2:$O$1001,0),1)&gt;=100000,INDEX($V$1005:$AE$1005,1,MATCH(COLUMNS($V$1006:W1006),$V$1006:$AE$1006,0))&gt;=100000), " ",IF(INDEX($V$2:$AE$1001,MATCH(ROWS($O$2:O311),$O$2:$O$1001,0),MATCH(COLUMNS($V$1006:W1006),$V$1006:$AE$1006,0)), HYPERLINK("#",""), HYPERLINK(CONCATENATE("#Metadata!", ADDRESS(INDEX($Q$2:$Q$1001,MATCH(ROWS($O$2:O311),$O$2:$O$1001,0),0), INDEX($V$1004:$AE$1004,1,MATCH(COLUMNS($V$1006:W1006),$V$1006:$AE$1006,0)))),"Fix")))</f>
        <v>0</v>
      </c>
      <c r="D311" s="3">
        <f>IF(OR(INDEX($P$2:$P$1001,MATCH(ROWS($O$2:O311),$O$2:$O$1001,0),1)&gt;=100000,INDEX($V$1005:$AE$1005,1,MATCH(COLUMNS($V$1006:X1006),$V$1006:$AE$1006,0))&gt;=100000), " ",IF(INDEX($V$2:$AE$1001,MATCH(ROWS($O$2:O311),$O$2:$O$1001,0),MATCH(COLUMNS($V$1006:X1006),$V$1006:$AE$1006,0)), HYPERLINK("#",""), HYPERLINK(CONCATENATE("#Metadata!", ADDRESS(INDEX($Q$2:$Q$1001,MATCH(ROWS($O$2:O311),$O$2:$O$1001,0),0), INDEX($V$1004:$AE$1004,1,MATCH(COLUMNS($V$1006:X1006),$V$1006:$AE$1006,0)))),"Fix")))</f>
        <v>0</v>
      </c>
      <c r="E311" s="3">
        <f>IF(OR(INDEX($P$2:$P$1001,MATCH(ROWS($O$2:O311),$O$2:$O$1001,0),1)&gt;=100000,INDEX($V$1005:$AE$1005,1,MATCH(COLUMNS($V$1006:Y1006),$V$1006:$AE$1006,0))&gt;=100000), " ",IF(INDEX($V$2:$AE$1001,MATCH(ROWS($O$2:O311),$O$2:$O$1001,0),MATCH(COLUMNS($V$1006:Y1006),$V$1006:$AE$1006,0)), HYPERLINK("#",""), HYPERLINK(CONCATENATE("#Metadata!", ADDRESS(INDEX($Q$2:$Q$1001,MATCH(ROWS($O$2:O311),$O$2:$O$1001,0),0), INDEX($V$1004:$AE$1004,1,MATCH(COLUMNS($V$1006:Y1006),$V$1006:$AE$1006,0)))),"Fix")))</f>
        <v>0</v>
      </c>
      <c r="F311" s="3">
        <f>IF(OR(INDEX($P$2:$P$1001,MATCH(ROWS($O$2:O311),$O$2:$O$1001,0),1)&gt;=100000,INDEX($V$1005:$AE$1005,1,MATCH(COLUMNS($V$1006:Z1006),$V$1006:$AE$1006,0))&gt;=100000), " ",IF(INDEX($V$2:$AE$1001,MATCH(ROWS($O$2:O311),$O$2:$O$1001,0),MATCH(COLUMNS($V$1006:Z1006),$V$1006:$AE$1006,0)), HYPERLINK("#",""), HYPERLINK(CONCATENATE("#Metadata!", ADDRESS(INDEX($Q$2:$Q$1001,MATCH(ROWS($O$2:O311),$O$2:$O$1001,0),0), INDEX($V$1004:$AE$1004,1,MATCH(COLUMNS($V$1006:Z1006),$V$1006:$AE$1006,0)))),"Fix")))</f>
        <v>0</v>
      </c>
      <c r="G311" s="3">
        <f>IF(OR(INDEX($P$2:$P$1001,MATCH(ROWS($O$2:O311),$O$2:$O$1001,0),1)&gt;=100000,INDEX($V$1005:$AE$1005,1,MATCH(COLUMNS($V$1006:AA1006),$V$1006:$AE$1006,0))&gt;=100000), " ",IF(INDEX($V$2:$AE$1001,MATCH(ROWS($O$2:O311),$O$2:$O$1001,0),MATCH(COLUMNS($V$1006:AA1006),$V$1006:$AE$1006,0)), HYPERLINK("#",""), HYPERLINK(CONCATENATE("#Metadata!", ADDRESS(INDEX($Q$2:$Q$1001,MATCH(ROWS($O$2:O311),$O$2:$O$1001,0),0), INDEX($V$1004:$AE$1004,1,MATCH(COLUMNS($V$1006:AA1006),$V$1006:$AE$1006,0)))),"Fix")))</f>
        <v>0</v>
      </c>
      <c r="H311" s="3">
        <f>IF(OR(INDEX($P$2:$P$1001,MATCH(ROWS($O$2:O311),$O$2:$O$1001,0),1)&gt;=100000,INDEX($V$1005:$AE$1005,1,MATCH(COLUMNS($V$1006:AB1006),$V$1006:$AE$1006,0))&gt;=100000), " ",IF(INDEX($V$2:$AE$1001,MATCH(ROWS($O$2:O311),$O$2:$O$1001,0),MATCH(COLUMNS($V$1006:AB1006),$V$1006:$AE$1006,0)), HYPERLINK("#",""), HYPERLINK(CONCATENATE("#Metadata!", ADDRESS(INDEX($Q$2:$Q$1001,MATCH(ROWS($O$2:O311),$O$2:$O$1001,0),0), INDEX($V$1004:$AE$1004,1,MATCH(COLUMNS($V$1006:AB1006),$V$1006:$AE$1006,0)))),"Fix")))</f>
        <v>0</v>
      </c>
      <c r="I311" s="3">
        <f>IF(OR(INDEX($P$2:$P$1001,MATCH(ROWS($O$2:O311),$O$2:$O$1001,0),1)&gt;=100000,INDEX($V$1005:$AE$1005,1,MATCH(COLUMNS($V$1006:AC1006),$V$1006:$AE$1006,0))&gt;=100000), " ",IF(INDEX($V$2:$AE$1001,MATCH(ROWS($O$2:O311),$O$2:$O$1001,0),MATCH(COLUMNS($V$1006:AC1006),$V$1006:$AE$1006,0)), HYPERLINK("#",""), HYPERLINK(CONCATENATE("#Metadata!", ADDRESS(INDEX($Q$2:$Q$1001,MATCH(ROWS($O$2:O311),$O$2:$O$1001,0),0), INDEX($V$1004:$AE$1004,1,MATCH(COLUMNS($V$1006:AC1006),$V$1006:$AE$1006,0)))),"Fix")))</f>
        <v>0</v>
      </c>
      <c r="J311" s="3">
        <f>IF(OR(INDEX($P$2:$P$1001,MATCH(ROWS($O$2:O311),$O$2:$O$1001,0),1)&gt;=100000,INDEX($V$1005:$AE$1005,1,MATCH(COLUMNS($V$1006:AD1006),$V$1006:$AE$1006,0))&gt;=100000), " ",IF(INDEX($V$2:$AE$1001,MATCH(ROWS($O$2:O311),$O$2:$O$1001,0),MATCH(COLUMNS($V$1006:AD1006),$V$1006:$AE$1006,0)), HYPERLINK("#",""), HYPERLINK(CONCATENATE("#Metadata!", ADDRESS(INDEX($Q$2:$Q$1001,MATCH(ROWS($O$2:O311),$O$2:$O$1001,0),0), INDEX($V$1004:$AE$1004,1,MATCH(COLUMNS($V$1006:AD1006),$V$1006:$AE$1006,0)))),"Fix")))</f>
        <v>0</v>
      </c>
      <c r="K311" s="3">
        <f>IF(OR(INDEX($P$2:$P$1001,MATCH(ROWS($O$2:O311),$O$2:$O$1001,0),1)&gt;=100000,INDEX($V$1005:$AE$1005,1,MATCH(COLUMNS($V$1006:AE1006),$V$1006:$AE$1006,0))&gt;=100000), " ",IF(INDEX($V$2:$AE$1001,MATCH(ROWS($O$2:O311),$O$2:$O$1001,0),MATCH(COLUMNS($V$1006:AE1006),$V$1006:$AE$1006,0)), HYPERLINK("#",""), HYPERLINK(CONCATENATE("#Metadata!", ADDRESS(INDEX($Q$2:$Q$1001,MATCH(ROWS($O$2:O311),$O$2:$O$1001,0),0), INDEX($V$1004:$AE$1004,1,MATCH(COLUMNS($V$1006:AE1006),$V$1006:$AE$1006,0)))),"Fix")))</f>
        <v>0</v>
      </c>
      <c r="O311">
        <v>0</v>
      </c>
      <c r="P311">
        <v>0</v>
      </c>
      <c r="Q311">
        <v>0</v>
      </c>
      <c r="R311">
        <f>IF(S311,TRUE,AND(V311:AE311))</f>
        <v>0</v>
      </c>
      <c r="S311">
        <f>COUNTBLANK(Metadata!B311:K311)=COLUMNS(Metadata!B311:K311)</f>
        <v>0</v>
      </c>
      <c r="T311">
        <v>0</v>
      </c>
      <c r="V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W311">
        <f>AND(IF(Metadata!C311="",FALSE,TRUE),exact(Metadata!C311,"animal secretion"))</f>
        <v>0</v>
      </c>
      <c r="X311">
        <f>AND(IF(Metadata!D311="",FALSE,TRUE),exact(Metadata!D311,"saliva"))</f>
        <v>0</v>
      </c>
      <c r="Y311">
        <f>AND(IF(Metadata!E311="",FALSE,TRUE),exact(Metadata!E311,"human-oral"))</f>
        <v>0</v>
      </c>
      <c r="Z311">
        <f>AND(IF(Metadata!F311="",FALSE,TRUE),exact(Metadata!F311,"UBERON:oral cavity"))</f>
        <v>0</v>
      </c>
      <c r="AA311">
        <f>AND(IF(Metadata!G311="",FALSE,TRUE),exact(Metadata!G311,"UBERON:saliva"))</f>
        <v>0</v>
      </c>
      <c r="AB311">
        <f>AND(IF(Metadata!H311="",FALSE,TRUE),exact(Metadata!H311,"UBERON:tongue"))</f>
        <v>0</v>
      </c>
      <c r="AC311">
        <f>AND(IF(Metadata!I311="",FALSE,TRUE),exact(Metadata!I311,"tongue"))</f>
        <v>0</v>
      </c>
      <c r="AD311">
        <f>AND(IF(Metadata!J311="",FALSE,TRUE),exact(Metadata!J311,"human oral metagenome"))</f>
        <v>0</v>
      </c>
      <c r="AE311">
        <f>AND(IF(Metadata!K311="",FALSE,TRUE),exact(Metadata!K311,"447426"))</f>
        <v>0</v>
      </c>
    </row>
    <row r="312" spans="1:31">
      <c r="A312" s="4">
        <f>IF(B312=" "," ",HYPERLINK(CONCATENATE("#metadata!",ADDRESS(INDEX($Q$2:$Q$1001,MATCH(ROWS($O$2:O312),$O$2:$O$1001,0),0),1)),INDEX($T$2:$T$1001,MATCH(ROWS($O$2:O312),$O$2:$O$1001,0),0)))</f>
        <v>0</v>
      </c>
      <c r="B312" s="3">
        <f>IF(OR(INDEX($P$2:$P$1001,MATCH(ROWS($O$2:O312),$O$2:$O$1001,0),1)&gt;=100000,INDEX($V$1005:$AE$1005,1,MATCH(COLUMNS($V$1006:V1006),$V$1006:$AE$1006,0))&gt;=100000), " ",IF(INDEX($V$2:$AE$1001,MATCH(ROWS($O$2:O312),$O$2:$O$1001,0),MATCH(COLUMNS($V$1006:V1006),$V$1006:$AE$1006,0)), HYPERLINK("#",""), HYPERLINK(CONCATENATE("#Metadata!", ADDRESS(INDEX($Q$2:$Q$1001,MATCH(ROWS($O$2:O312),$O$2:$O$1001,0),0), INDEX($V$1004:$AE$1004,1,MATCH(COLUMNS($V$1006:V1006),$V$1006:$AE$1006,0)))),"Fix")))</f>
        <v>0</v>
      </c>
      <c r="C312" s="3">
        <f>IF(OR(INDEX($P$2:$P$1001,MATCH(ROWS($O$2:O312),$O$2:$O$1001,0),1)&gt;=100000,INDEX($V$1005:$AE$1005,1,MATCH(COLUMNS($V$1006:W1006),$V$1006:$AE$1006,0))&gt;=100000), " ",IF(INDEX($V$2:$AE$1001,MATCH(ROWS($O$2:O312),$O$2:$O$1001,0),MATCH(COLUMNS($V$1006:W1006),$V$1006:$AE$1006,0)), HYPERLINK("#",""), HYPERLINK(CONCATENATE("#Metadata!", ADDRESS(INDEX($Q$2:$Q$1001,MATCH(ROWS($O$2:O312),$O$2:$O$1001,0),0), INDEX($V$1004:$AE$1004,1,MATCH(COLUMNS($V$1006:W1006),$V$1006:$AE$1006,0)))),"Fix")))</f>
        <v>0</v>
      </c>
      <c r="D312" s="3">
        <f>IF(OR(INDEX($P$2:$P$1001,MATCH(ROWS($O$2:O312),$O$2:$O$1001,0),1)&gt;=100000,INDEX($V$1005:$AE$1005,1,MATCH(COLUMNS($V$1006:X1006),$V$1006:$AE$1006,0))&gt;=100000), " ",IF(INDEX($V$2:$AE$1001,MATCH(ROWS($O$2:O312),$O$2:$O$1001,0),MATCH(COLUMNS($V$1006:X1006),$V$1006:$AE$1006,0)), HYPERLINK("#",""), HYPERLINK(CONCATENATE("#Metadata!", ADDRESS(INDEX($Q$2:$Q$1001,MATCH(ROWS($O$2:O312),$O$2:$O$1001,0),0), INDEX($V$1004:$AE$1004,1,MATCH(COLUMNS($V$1006:X1006),$V$1006:$AE$1006,0)))),"Fix")))</f>
        <v>0</v>
      </c>
      <c r="E312" s="3">
        <f>IF(OR(INDEX($P$2:$P$1001,MATCH(ROWS($O$2:O312),$O$2:$O$1001,0),1)&gt;=100000,INDEX($V$1005:$AE$1005,1,MATCH(COLUMNS($V$1006:Y1006),$V$1006:$AE$1006,0))&gt;=100000), " ",IF(INDEX($V$2:$AE$1001,MATCH(ROWS($O$2:O312),$O$2:$O$1001,0),MATCH(COLUMNS($V$1006:Y1006),$V$1006:$AE$1006,0)), HYPERLINK("#",""), HYPERLINK(CONCATENATE("#Metadata!", ADDRESS(INDEX($Q$2:$Q$1001,MATCH(ROWS($O$2:O312),$O$2:$O$1001,0),0), INDEX($V$1004:$AE$1004,1,MATCH(COLUMNS($V$1006:Y1006),$V$1006:$AE$1006,0)))),"Fix")))</f>
        <v>0</v>
      </c>
      <c r="F312" s="3">
        <f>IF(OR(INDEX($P$2:$P$1001,MATCH(ROWS($O$2:O312),$O$2:$O$1001,0),1)&gt;=100000,INDEX($V$1005:$AE$1005,1,MATCH(COLUMNS($V$1006:Z1006),$V$1006:$AE$1006,0))&gt;=100000), " ",IF(INDEX($V$2:$AE$1001,MATCH(ROWS($O$2:O312),$O$2:$O$1001,0),MATCH(COLUMNS($V$1006:Z1006),$V$1006:$AE$1006,0)), HYPERLINK("#",""), HYPERLINK(CONCATENATE("#Metadata!", ADDRESS(INDEX($Q$2:$Q$1001,MATCH(ROWS($O$2:O312),$O$2:$O$1001,0),0), INDEX($V$1004:$AE$1004,1,MATCH(COLUMNS($V$1006:Z1006),$V$1006:$AE$1006,0)))),"Fix")))</f>
        <v>0</v>
      </c>
      <c r="G312" s="3">
        <f>IF(OR(INDEX($P$2:$P$1001,MATCH(ROWS($O$2:O312),$O$2:$O$1001,0),1)&gt;=100000,INDEX($V$1005:$AE$1005,1,MATCH(COLUMNS($V$1006:AA1006),$V$1006:$AE$1006,0))&gt;=100000), " ",IF(INDEX($V$2:$AE$1001,MATCH(ROWS($O$2:O312),$O$2:$O$1001,0),MATCH(COLUMNS($V$1006:AA1006),$V$1006:$AE$1006,0)), HYPERLINK("#",""), HYPERLINK(CONCATENATE("#Metadata!", ADDRESS(INDEX($Q$2:$Q$1001,MATCH(ROWS($O$2:O312),$O$2:$O$1001,0),0), INDEX($V$1004:$AE$1004,1,MATCH(COLUMNS($V$1006:AA1006),$V$1006:$AE$1006,0)))),"Fix")))</f>
        <v>0</v>
      </c>
      <c r="H312" s="3">
        <f>IF(OR(INDEX($P$2:$P$1001,MATCH(ROWS($O$2:O312),$O$2:$O$1001,0),1)&gt;=100000,INDEX($V$1005:$AE$1005,1,MATCH(COLUMNS($V$1006:AB1006),$V$1006:$AE$1006,0))&gt;=100000), " ",IF(INDEX($V$2:$AE$1001,MATCH(ROWS($O$2:O312),$O$2:$O$1001,0),MATCH(COLUMNS($V$1006:AB1006),$V$1006:$AE$1006,0)), HYPERLINK("#",""), HYPERLINK(CONCATENATE("#Metadata!", ADDRESS(INDEX($Q$2:$Q$1001,MATCH(ROWS($O$2:O312),$O$2:$O$1001,0),0), INDEX($V$1004:$AE$1004,1,MATCH(COLUMNS($V$1006:AB1006),$V$1006:$AE$1006,0)))),"Fix")))</f>
        <v>0</v>
      </c>
      <c r="I312" s="3">
        <f>IF(OR(INDEX($P$2:$P$1001,MATCH(ROWS($O$2:O312),$O$2:$O$1001,0),1)&gt;=100000,INDEX($V$1005:$AE$1005,1,MATCH(COLUMNS($V$1006:AC1006),$V$1006:$AE$1006,0))&gt;=100000), " ",IF(INDEX($V$2:$AE$1001,MATCH(ROWS($O$2:O312),$O$2:$O$1001,0),MATCH(COLUMNS($V$1006:AC1006),$V$1006:$AE$1006,0)), HYPERLINK("#",""), HYPERLINK(CONCATENATE("#Metadata!", ADDRESS(INDEX($Q$2:$Q$1001,MATCH(ROWS($O$2:O312),$O$2:$O$1001,0),0), INDEX($V$1004:$AE$1004,1,MATCH(COLUMNS($V$1006:AC1006),$V$1006:$AE$1006,0)))),"Fix")))</f>
        <v>0</v>
      </c>
      <c r="J312" s="3">
        <f>IF(OR(INDEX($P$2:$P$1001,MATCH(ROWS($O$2:O312),$O$2:$O$1001,0),1)&gt;=100000,INDEX($V$1005:$AE$1005,1,MATCH(COLUMNS($V$1006:AD1006),$V$1006:$AE$1006,0))&gt;=100000), " ",IF(INDEX($V$2:$AE$1001,MATCH(ROWS($O$2:O312),$O$2:$O$1001,0),MATCH(COLUMNS($V$1006:AD1006),$V$1006:$AE$1006,0)), HYPERLINK("#",""), HYPERLINK(CONCATENATE("#Metadata!", ADDRESS(INDEX($Q$2:$Q$1001,MATCH(ROWS($O$2:O312),$O$2:$O$1001,0),0), INDEX($V$1004:$AE$1004,1,MATCH(COLUMNS($V$1006:AD1006),$V$1006:$AE$1006,0)))),"Fix")))</f>
        <v>0</v>
      </c>
      <c r="K312" s="3">
        <f>IF(OR(INDEX($P$2:$P$1001,MATCH(ROWS($O$2:O312),$O$2:$O$1001,0),1)&gt;=100000,INDEX($V$1005:$AE$1005,1,MATCH(COLUMNS($V$1006:AE1006),$V$1006:$AE$1006,0))&gt;=100000), " ",IF(INDEX($V$2:$AE$1001,MATCH(ROWS($O$2:O312),$O$2:$O$1001,0),MATCH(COLUMNS($V$1006:AE1006),$V$1006:$AE$1006,0)), HYPERLINK("#",""), HYPERLINK(CONCATENATE("#Metadata!", ADDRESS(INDEX($Q$2:$Q$1001,MATCH(ROWS($O$2:O312),$O$2:$O$1001,0),0), INDEX($V$1004:$AE$1004,1,MATCH(COLUMNS($V$1006:AE1006),$V$1006:$AE$1006,0)))),"Fix")))</f>
        <v>0</v>
      </c>
      <c r="O312">
        <v>0</v>
      </c>
      <c r="P312">
        <v>0</v>
      </c>
      <c r="Q312">
        <v>0</v>
      </c>
      <c r="R312">
        <f>IF(S312,TRUE,AND(V312:AE312))</f>
        <v>0</v>
      </c>
      <c r="S312">
        <f>COUNTBLANK(Metadata!B312:K312)=COLUMNS(Metadata!B312:K312)</f>
        <v>0</v>
      </c>
      <c r="T312">
        <v>0</v>
      </c>
      <c r="V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W312">
        <f>AND(IF(Metadata!C312="",FALSE,TRUE),exact(Metadata!C312,"animal secretion"))</f>
        <v>0</v>
      </c>
      <c r="X312">
        <f>AND(IF(Metadata!D312="",FALSE,TRUE),exact(Metadata!D312,"saliva"))</f>
        <v>0</v>
      </c>
      <c r="Y312">
        <f>AND(IF(Metadata!E312="",FALSE,TRUE),exact(Metadata!E312,"human-oral"))</f>
        <v>0</v>
      </c>
      <c r="Z312">
        <f>AND(IF(Metadata!F312="",FALSE,TRUE),exact(Metadata!F312,"UBERON:oral cavity"))</f>
        <v>0</v>
      </c>
      <c r="AA312">
        <f>AND(IF(Metadata!G312="",FALSE,TRUE),exact(Metadata!G312,"UBERON:saliva"))</f>
        <v>0</v>
      </c>
      <c r="AB312">
        <f>AND(IF(Metadata!H312="",FALSE,TRUE),exact(Metadata!H312,"UBERON:tongue"))</f>
        <v>0</v>
      </c>
      <c r="AC312">
        <f>AND(IF(Metadata!I312="",FALSE,TRUE),exact(Metadata!I312,"tongue"))</f>
        <v>0</v>
      </c>
      <c r="AD312">
        <f>AND(IF(Metadata!J312="",FALSE,TRUE),exact(Metadata!J312,"human oral metagenome"))</f>
        <v>0</v>
      </c>
      <c r="AE312">
        <f>AND(IF(Metadata!K312="",FALSE,TRUE),exact(Metadata!K312,"447426"))</f>
        <v>0</v>
      </c>
    </row>
    <row r="313" spans="1:31">
      <c r="A313" s="4">
        <f>IF(B313=" "," ",HYPERLINK(CONCATENATE("#metadata!",ADDRESS(INDEX($Q$2:$Q$1001,MATCH(ROWS($O$2:O313),$O$2:$O$1001,0),0),1)),INDEX($T$2:$T$1001,MATCH(ROWS($O$2:O313),$O$2:$O$1001,0),0)))</f>
        <v>0</v>
      </c>
      <c r="B313" s="3">
        <f>IF(OR(INDEX($P$2:$P$1001,MATCH(ROWS($O$2:O313),$O$2:$O$1001,0),1)&gt;=100000,INDEX($V$1005:$AE$1005,1,MATCH(COLUMNS($V$1006:V1006),$V$1006:$AE$1006,0))&gt;=100000), " ",IF(INDEX($V$2:$AE$1001,MATCH(ROWS($O$2:O313),$O$2:$O$1001,0),MATCH(COLUMNS($V$1006:V1006),$V$1006:$AE$1006,0)), HYPERLINK("#",""), HYPERLINK(CONCATENATE("#Metadata!", ADDRESS(INDEX($Q$2:$Q$1001,MATCH(ROWS($O$2:O313),$O$2:$O$1001,0),0), INDEX($V$1004:$AE$1004,1,MATCH(COLUMNS($V$1006:V1006),$V$1006:$AE$1006,0)))),"Fix")))</f>
        <v>0</v>
      </c>
      <c r="C313" s="3">
        <f>IF(OR(INDEX($P$2:$P$1001,MATCH(ROWS($O$2:O313),$O$2:$O$1001,0),1)&gt;=100000,INDEX($V$1005:$AE$1005,1,MATCH(COLUMNS($V$1006:W1006),$V$1006:$AE$1006,0))&gt;=100000), " ",IF(INDEX($V$2:$AE$1001,MATCH(ROWS($O$2:O313),$O$2:$O$1001,0),MATCH(COLUMNS($V$1006:W1006),$V$1006:$AE$1006,0)), HYPERLINK("#",""), HYPERLINK(CONCATENATE("#Metadata!", ADDRESS(INDEX($Q$2:$Q$1001,MATCH(ROWS($O$2:O313),$O$2:$O$1001,0),0), INDEX($V$1004:$AE$1004,1,MATCH(COLUMNS($V$1006:W1006),$V$1006:$AE$1006,0)))),"Fix")))</f>
        <v>0</v>
      </c>
      <c r="D313" s="3">
        <f>IF(OR(INDEX($P$2:$P$1001,MATCH(ROWS($O$2:O313),$O$2:$O$1001,0),1)&gt;=100000,INDEX($V$1005:$AE$1005,1,MATCH(COLUMNS($V$1006:X1006),$V$1006:$AE$1006,0))&gt;=100000), " ",IF(INDEX($V$2:$AE$1001,MATCH(ROWS($O$2:O313),$O$2:$O$1001,0),MATCH(COLUMNS($V$1006:X1006),$V$1006:$AE$1006,0)), HYPERLINK("#",""), HYPERLINK(CONCATENATE("#Metadata!", ADDRESS(INDEX($Q$2:$Q$1001,MATCH(ROWS($O$2:O313),$O$2:$O$1001,0),0), INDEX($V$1004:$AE$1004,1,MATCH(COLUMNS($V$1006:X1006),$V$1006:$AE$1006,0)))),"Fix")))</f>
        <v>0</v>
      </c>
      <c r="E313" s="3">
        <f>IF(OR(INDEX($P$2:$P$1001,MATCH(ROWS($O$2:O313),$O$2:$O$1001,0),1)&gt;=100000,INDEX($V$1005:$AE$1005,1,MATCH(COLUMNS($V$1006:Y1006),$V$1006:$AE$1006,0))&gt;=100000), " ",IF(INDEX($V$2:$AE$1001,MATCH(ROWS($O$2:O313),$O$2:$O$1001,0),MATCH(COLUMNS($V$1006:Y1006),$V$1006:$AE$1006,0)), HYPERLINK("#",""), HYPERLINK(CONCATENATE("#Metadata!", ADDRESS(INDEX($Q$2:$Q$1001,MATCH(ROWS($O$2:O313),$O$2:$O$1001,0),0), INDEX($V$1004:$AE$1004,1,MATCH(COLUMNS($V$1006:Y1006),$V$1006:$AE$1006,0)))),"Fix")))</f>
        <v>0</v>
      </c>
      <c r="F313" s="3">
        <f>IF(OR(INDEX($P$2:$P$1001,MATCH(ROWS($O$2:O313),$O$2:$O$1001,0),1)&gt;=100000,INDEX($V$1005:$AE$1005,1,MATCH(COLUMNS($V$1006:Z1006),$V$1006:$AE$1006,0))&gt;=100000), " ",IF(INDEX($V$2:$AE$1001,MATCH(ROWS($O$2:O313),$O$2:$O$1001,0),MATCH(COLUMNS($V$1006:Z1006),$V$1006:$AE$1006,0)), HYPERLINK("#",""), HYPERLINK(CONCATENATE("#Metadata!", ADDRESS(INDEX($Q$2:$Q$1001,MATCH(ROWS($O$2:O313),$O$2:$O$1001,0),0), INDEX($V$1004:$AE$1004,1,MATCH(COLUMNS($V$1006:Z1006),$V$1006:$AE$1006,0)))),"Fix")))</f>
        <v>0</v>
      </c>
      <c r="G313" s="3">
        <f>IF(OR(INDEX($P$2:$P$1001,MATCH(ROWS($O$2:O313),$O$2:$O$1001,0),1)&gt;=100000,INDEX($V$1005:$AE$1005,1,MATCH(COLUMNS($V$1006:AA1006),$V$1006:$AE$1006,0))&gt;=100000), " ",IF(INDEX($V$2:$AE$1001,MATCH(ROWS($O$2:O313),$O$2:$O$1001,0),MATCH(COLUMNS($V$1006:AA1006),$V$1006:$AE$1006,0)), HYPERLINK("#",""), HYPERLINK(CONCATENATE("#Metadata!", ADDRESS(INDEX($Q$2:$Q$1001,MATCH(ROWS($O$2:O313),$O$2:$O$1001,0),0), INDEX($V$1004:$AE$1004,1,MATCH(COLUMNS($V$1006:AA1006),$V$1006:$AE$1006,0)))),"Fix")))</f>
        <v>0</v>
      </c>
      <c r="H313" s="3">
        <f>IF(OR(INDEX($P$2:$P$1001,MATCH(ROWS($O$2:O313),$O$2:$O$1001,0),1)&gt;=100000,INDEX($V$1005:$AE$1005,1,MATCH(COLUMNS($V$1006:AB1006),$V$1006:$AE$1006,0))&gt;=100000), " ",IF(INDEX($V$2:$AE$1001,MATCH(ROWS($O$2:O313),$O$2:$O$1001,0),MATCH(COLUMNS($V$1006:AB1006),$V$1006:$AE$1006,0)), HYPERLINK("#",""), HYPERLINK(CONCATENATE("#Metadata!", ADDRESS(INDEX($Q$2:$Q$1001,MATCH(ROWS($O$2:O313),$O$2:$O$1001,0),0), INDEX($V$1004:$AE$1004,1,MATCH(COLUMNS($V$1006:AB1006),$V$1006:$AE$1006,0)))),"Fix")))</f>
        <v>0</v>
      </c>
      <c r="I313" s="3">
        <f>IF(OR(INDEX($P$2:$P$1001,MATCH(ROWS($O$2:O313),$O$2:$O$1001,0),1)&gt;=100000,INDEX($V$1005:$AE$1005,1,MATCH(COLUMNS($V$1006:AC1006),$V$1006:$AE$1006,0))&gt;=100000), " ",IF(INDEX($V$2:$AE$1001,MATCH(ROWS($O$2:O313),$O$2:$O$1001,0),MATCH(COLUMNS($V$1006:AC1006),$V$1006:$AE$1006,0)), HYPERLINK("#",""), HYPERLINK(CONCATENATE("#Metadata!", ADDRESS(INDEX($Q$2:$Q$1001,MATCH(ROWS($O$2:O313),$O$2:$O$1001,0),0), INDEX($V$1004:$AE$1004,1,MATCH(COLUMNS($V$1006:AC1006),$V$1006:$AE$1006,0)))),"Fix")))</f>
        <v>0</v>
      </c>
      <c r="J313" s="3">
        <f>IF(OR(INDEX($P$2:$P$1001,MATCH(ROWS($O$2:O313),$O$2:$O$1001,0),1)&gt;=100000,INDEX($V$1005:$AE$1005,1,MATCH(COLUMNS($V$1006:AD1006),$V$1006:$AE$1006,0))&gt;=100000), " ",IF(INDEX($V$2:$AE$1001,MATCH(ROWS($O$2:O313),$O$2:$O$1001,0),MATCH(COLUMNS($V$1006:AD1006),$V$1006:$AE$1006,0)), HYPERLINK("#",""), HYPERLINK(CONCATENATE("#Metadata!", ADDRESS(INDEX($Q$2:$Q$1001,MATCH(ROWS($O$2:O313),$O$2:$O$1001,0),0), INDEX($V$1004:$AE$1004,1,MATCH(COLUMNS($V$1006:AD1006),$V$1006:$AE$1006,0)))),"Fix")))</f>
        <v>0</v>
      </c>
      <c r="K313" s="3">
        <f>IF(OR(INDEX($P$2:$P$1001,MATCH(ROWS($O$2:O313),$O$2:$O$1001,0),1)&gt;=100000,INDEX($V$1005:$AE$1005,1,MATCH(COLUMNS($V$1006:AE1006),$V$1006:$AE$1006,0))&gt;=100000), " ",IF(INDEX($V$2:$AE$1001,MATCH(ROWS($O$2:O313),$O$2:$O$1001,0),MATCH(COLUMNS($V$1006:AE1006),$V$1006:$AE$1006,0)), HYPERLINK("#",""), HYPERLINK(CONCATENATE("#Metadata!", ADDRESS(INDEX($Q$2:$Q$1001,MATCH(ROWS($O$2:O313),$O$2:$O$1001,0),0), INDEX($V$1004:$AE$1004,1,MATCH(COLUMNS($V$1006:AE1006),$V$1006:$AE$1006,0)))),"Fix")))</f>
        <v>0</v>
      </c>
      <c r="O313">
        <v>0</v>
      </c>
      <c r="P313">
        <v>0</v>
      </c>
      <c r="Q313">
        <v>0</v>
      </c>
      <c r="R313">
        <f>IF(S313,TRUE,AND(V313:AE313))</f>
        <v>0</v>
      </c>
      <c r="S313">
        <f>COUNTBLANK(Metadata!B313:K313)=COLUMNS(Metadata!B313:K313)</f>
        <v>0</v>
      </c>
      <c r="T313">
        <v>0</v>
      </c>
      <c r="V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W313">
        <f>AND(IF(Metadata!C313="",FALSE,TRUE),exact(Metadata!C313,"animal secretion"))</f>
        <v>0</v>
      </c>
      <c r="X313">
        <f>AND(IF(Metadata!D313="",FALSE,TRUE),exact(Metadata!D313,"saliva"))</f>
        <v>0</v>
      </c>
      <c r="Y313">
        <f>AND(IF(Metadata!E313="",FALSE,TRUE),exact(Metadata!E313,"human-oral"))</f>
        <v>0</v>
      </c>
      <c r="Z313">
        <f>AND(IF(Metadata!F313="",FALSE,TRUE),exact(Metadata!F313,"UBERON:oral cavity"))</f>
        <v>0</v>
      </c>
      <c r="AA313">
        <f>AND(IF(Metadata!G313="",FALSE,TRUE),exact(Metadata!G313,"UBERON:saliva"))</f>
        <v>0</v>
      </c>
      <c r="AB313">
        <f>AND(IF(Metadata!H313="",FALSE,TRUE),exact(Metadata!H313,"UBERON:tongue"))</f>
        <v>0</v>
      </c>
      <c r="AC313">
        <f>AND(IF(Metadata!I313="",FALSE,TRUE),exact(Metadata!I313,"tongue"))</f>
        <v>0</v>
      </c>
      <c r="AD313">
        <f>AND(IF(Metadata!J313="",FALSE,TRUE),exact(Metadata!J313,"human oral metagenome"))</f>
        <v>0</v>
      </c>
      <c r="AE313">
        <f>AND(IF(Metadata!K313="",FALSE,TRUE),exact(Metadata!K313,"447426"))</f>
        <v>0</v>
      </c>
    </row>
    <row r="314" spans="1:31">
      <c r="A314" s="4">
        <f>IF(B314=" "," ",HYPERLINK(CONCATENATE("#metadata!",ADDRESS(INDEX($Q$2:$Q$1001,MATCH(ROWS($O$2:O314),$O$2:$O$1001,0),0),1)),INDEX($T$2:$T$1001,MATCH(ROWS($O$2:O314),$O$2:$O$1001,0),0)))</f>
        <v>0</v>
      </c>
      <c r="B314" s="3">
        <f>IF(OR(INDEX($P$2:$P$1001,MATCH(ROWS($O$2:O314),$O$2:$O$1001,0),1)&gt;=100000,INDEX($V$1005:$AE$1005,1,MATCH(COLUMNS($V$1006:V1006),$V$1006:$AE$1006,0))&gt;=100000), " ",IF(INDEX($V$2:$AE$1001,MATCH(ROWS($O$2:O314),$O$2:$O$1001,0),MATCH(COLUMNS($V$1006:V1006),$V$1006:$AE$1006,0)), HYPERLINK("#",""), HYPERLINK(CONCATENATE("#Metadata!", ADDRESS(INDEX($Q$2:$Q$1001,MATCH(ROWS($O$2:O314),$O$2:$O$1001,0),0), INDEX($V$1004:$AE$1004,1,MATCH(COLUMNS($V$1006:V1006),$V$1006:$AE$1006,0)))),"Fix")))</f>
        <v>0</v>
      </c>
      <c r="C314" s="3">
        <f>IF(OR(INDEX($P$2:$P$1001,MATCH(ROWS($O$2:O314),$O$2:$O$1001,0),1)&gt;=100000,INDEX($V$1005:$AE$1005,1,MATCH(COLUMNS($V$1006:W1006),$V$1006:$AE$1006,0))&gt;=100000), " ",IF(INDEX($V$2:$AE$1001,MATCH(ROWS($O$2:O314),$O$2:$O$1001,0),MATCH(COLUMNS($V$1006:W1006),$V$1006:$AE$1006,0)), HYPERLINK("#",""), HYPERLINK(CONCATENATE("#Metadata!", ADDRESS(INDEX($Q$2:$Q$1001,MATCH(ROWS($O$2:O314),$O$2:$O$1001,0),0), INDEX($V$1004:$AE$1004,1,MATCH(COLUMNS($V$1006:W1006),$V$1006:$AE$1006,0)))),"Fix")))</f>
        <v>0</v>
      </c>
      <c r="D314" s="3">
        <f>IF(OR(INDEX($P$2:$P$1001,MATCH(ROWS($O$2:O314),$O$2:$O$1001,0),1)&gt;=100000,INDEX($V$1005:$AE$1005,1,MATCH(COLUMNS($V$1006:X1006),$V$1006:$AE$1006,0))&gt;=100000), " ",IF(INDEX($V$2:$AE$1001,MATCH(ROWS($O$2:O314),$O$2:$O$1001,0),MATCH(COLUMNS($V$1006:X1006),$V$1006:$AE$1006,0)), HYPERLINK("#",""), HYPERLINK(CONCATENATE("#Metadata!", ADDRESS(INDEX($Q$2:$Q$1001,MATCH(ROWS($O$2:O314),$O$2:$O$1001,0),0), INDEX($V$1004:$AE$1004,1,MATCH(COLUMNS($V$1006:X1006),$V$1006:$AE$1006,0)))),"Fix")))</f>
        <v>0</v>
      </c>
      <c r="E314" s="3">
        <f>IF(OR(INDEX($P$2:$P$1001,MATCH(ROWS($O$2:O314),$O$2:$O$1001,0),1)&gt;=100000,INDEX($V$1005:$AE$1005,1,MATCH(COLUMNS($V$1006:Y1006),$V$1006:$AE$1006,0))&gt;=100000), " ",IF(INDEX($V$2:$AE$1001,MATCH(ROWS($O$2:O314),$O$2:$O$1001,0),MATCH(COLUMNS($V$1006:Y1006),$V$1006:$AE$1006,0)), HYPERLINK("#",""), HYPERLINK(CONCATENATE("#Metadata!", ADDRESS(INDEX($Q$2:$Q$1001,MATCH(ROWS($O$2:O314),$O$2:$O$1001,0),0), INDEX($V$1004:$AE$1004,1,MATCH(COLUMNS($V$1006:Y1006),$V$1006:$AE$1006,0)))),"Fix")))</f>
        <v>0</v>
      </c>
      <c r="F314" s="3">
        <f>IF(OR(INDEX($P$2:$P$1001,MATCH(ROWS($O$2:O314),$O$2:$O$1001,0),1)&gt;=100000,INDEX($V$1005:$AE$1005,1,MATCH(COLUMNS($V$1006:Z1006),$V$1006:$AE$1006,0))&gt;=100000), " ",IF(INDEX($V$2:$AE$1001,MATCH(ROWS($O$2:O314),$O$2:$O$1001,0),MATCH(COLUMNS($V$1006:Z1006),$V$1006:$AE$1006,0)), HYPERLINK("#",""), HYPERLINK(CONCATENATE("#Metadata!", ADDRESS(INDEX($Q$2:$Q$1001,MATCH(ROWS($O$2:O314),$O$2:$O$1001,0),0), INDEX($V$1004:$AE$1004,1,MATCH(COLUMNS($V$1006:Z1006),$V$1006:$AE$1006,0)))),"Fix")))</f>
        <v>0</v>
      </c>
      <c r="G314" s="3">
        <f>IF(OR(INDEX($P$2:$P$1001,MATCH(ROWS($O$2:O314),$O$2:$O$1001,0),1)&gt;=100000,INDEX($V$1005:$AE$1005,1,MATCH(COLUMNS($V$1006:AA1006),$V$1006:$AE$1006,0))&gt;=100000), " ",IF(INDEX($V$2:$AE$1001,MATCH(ROWS($O$2:O314),$O$2:$O$1001,0),MATCH(COLUMNS($V$1006:AA1006),$V$1006:$AE$1006,0)), HYPERLINK("#",""), HYPERLINK(CONCATENATE("#Metadata!", ADDRESS(INDEX($Q$2:$Q$1001,MATCH(ROWS($O$2:O314),$O$2:$O$1001,0),0), INDEX($V$1004:$AE$1004,1,MATCH(COLUMNS($V$1006:AA1006),$V$1006:$AE$1006,0)))),"Fix")))</f>
        <v>0</v>
      </c>
      <c r="H314" s="3">
        <f>IF(OR(INDEX($P$2:$P$1001,MATCH(ROWS($O$2:O314),$O$2:$O$1001,0),1)&gt;=100000,INDEX($V$1005:$AE$1005,1,MATCH(COLUMNS($V$1006:AB1006),$V$1006:$AE$1006,0))&gt;=100000), " ",IF(INDEX($V$2:$AE$1001,MATCH(ROWS($O$2:O314),$O$2:$O$1001,0),MATCH(COLUMNS($V$1006:AB1006),$V$1006:$AE$1006,0)), HYPERLINK("#",""), HYPERLINK(CONCATENATE("#Metadata!", ADDRESS(INDEX($Q$2:$Q$1001,MATCH(ROWS($O$2:O314),$O$2:$O$1001,0),0), INDEX($V$1004:$AE$1004,1,MATCH(COLUMNS($V$1006:AB1006),$V$1006:$AE$1006,0)))),"Fix")))</f>
        <v>0</v>
      </c>
      <c r="I314" s="3">
        <f>IF(OR(INDEX($P$2:$P$1001,MATCH(ROWS($O$2:O314),$O$2:$O$1001,0),1)&gt;=100000,INDEX($V$1005:$AE$1005,1,MATCH(COLUMNS($V$1006:AC1006),$V$1006:$AE$1006,0))&gt;=100000), " ",IF(INDEX($V$2:$AE$1001,MATCH(ROWS($O$2:O314),$O$2:$O$1001,0),MATCH(COLUMNS($V$1006:AC1006),$V$1006:$AE$1006,0)), HYPERLINK("#",""), HYPERLINK(CONCATENATE("#Metadata!", ADDRESS(INDEX($Q$2:$Q$1001,MATCH(ROWS($O$2:O314),$O$2:$O$1001,0),0), INDEX($V$1004:$AE$1004,1,MATCH(COLUMNS($V$1006:AC1006),$V$1006:$AE$1006,0)))),"Fix")))</f>
        <v>0</v>
      </c>
      <c r="J314" s="3">
        <f>IF(OR(INDEX($P$2:$P$1001,MATCH(ROWS($O$2:O314),$O$2:$O$1001,0),1)&gt;=100000,INDEX($V$1005:$AE$1005,1,MATCH(COLUMNS($V$1006:AD1006),$V$1006:$AE$1006,0))&gt;=100000), " ",IF(INDEX($V$2:$AE$1001,MATCH(ROWS($O$2:O314),$O$2:$O$1001,0),MATCH(COLUMNS($V$1006:AD1006),$V$1006:$AE$1006,0)), HYPERLINK("#",""), HYPERLINK(CONCATENATE("#Metadata!", ADDRESS(INDEX($Q$2:$Q$1001,MATCH(ROWS($O$2:O314),$O$2:$O$1001,0),0), INDEX($V$1004:$AE$1004,1,MATCH(COLUMNS($V$1006:AD1006),$V$1006:$AE$1006,0)))),"Fix")))</f>
        <v>0</v>
      </c>
      <c r="K314" s="3">
        <f>IF(OR(INDEX($P$2:$P$1001,MATCH(ROWS($O$2:O314),$O$2:$O$1001,0),1)&gt;=100000,INDEX($V$1005:$AE$1005,1,MATCH(COLUMNS($V$1006:AE1006),$V$1006:$AE$1006,0))&gt;=100000), " ",IF(INDEX($V$2:$AE$1001,MATCH(ROWS($O$2:O314),$O$2:$O$1001,0),MATCH(COLUMNS($V$1006:AE1006),$V$1006:$AE$1006,0)), HYPERLINK("#",""), HYPERLINK(CONCATENATE("#Metadata!", ADDRESS(INDEX($Q$2:$Q$1001,MATCH(ROWS($O$2:O314),$O$2:$O$1001,0),0), INDEX($V$1004:$AE$1004,1,MATCH(COLUMNS($V$1006:AE1006),$V$1006:$AE$1006,0)))),"Fix")))</f>
        <v>0</v>
      </c>
      <c r="O314">
        <v>0</v>
      </c>
      <c r="P314">
        <v>0</v>
      </c>
      <c r="Q314">
        <v>0</v>
      </c>
      <c r="R314">
        <f>IF(S314,TRUE,AND(V314:AE314))</f>
        <v>0</v>
      </c>
      <c r="S314">
        <f>COUNTBLANK(Metadata!B314:K314)=COLUMNS(Metadata!B314:K314)</f>
        <v>0</v>
      </c>
      <c r="T314">
        <v>0</v>
      </c>
      <c r="V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W314">
        <f>AND(IF(Metadata!C314="",FALSE,TRUE),exact(Metadata!C314,"animal secretion"))</f>
        <v>0</v>
      </c>
      <c r="X314">
        <f>AND(IF(Metadata!D314="",FALSE,TRUE),exact(Metadata!D314,"saliva"))</f>
        <v>0</v>
      </c>
      <c r="Y314">
        <f>AND(IF(Metadata!E314="",FALSE,TRUE),exact(Metadata!E314,"human-oral"))</f>
        <v>0</v>
      </c>
      <c r="Z314">
        <f>AND(IF(Metadata!F314="",FALSE,TRUE),exact(Metadata!F314,"UBERON:oral cavity"))</f>
        <v>0</v>
      </c>
      <c r="AA314">
        <f>AND(IF(Metadata!G314="",FALSE,TRUE),exact(Metadata!G314,"UBERON:saliva"))</f>
        <v>0</v>
      </c>
      <c r="AB314">
        <f>AND(IF(Metadata!H314="",FALSE,TRUE),exact(Metadata!H314,"UBERON:tongue"))</f>
        <v>0</v>
      </c>
      <c r="AC314">
        <f>AND(IF(Metadata!I314="",FALSE,TRUE),exact(Metadata!I314,"tongue"))</f>
        <v>0</v>
      </c>
      <c r="AD314">
        <f>AND(IF(Metadata!J314="",FALSE,TRUE),exact(Metadata!J314,"human oral metagenome"))</f>
        <v>0</v>
      </c>
      <c r="AE314">
        <f>AND(IF(Metadata!K314="",FALSE,TRUE),exact(Metadata!K314,"447426"))</f>
        <v>0</v>
      </c>
    </row>
    <row r="315" spans="1:31">
      <c r="A315" s="4">
        <f>IF(B315=" "," ",HYPERLINK(CONCATENATE("#metadata!",ADDRESS(INDEX($Q$2:$Q$1001,MATCH(ROWS($O$2:O315),$O$2:$O$1001,0),0),1)),INDEX($T$2:$T$1001,MATCH(ROWS($O$2:O315),$O$2:$O$1001,0),0)))</f>
        <v>0</v>
      </c>
      <c r="B315" s="3">
        <f>IF(OR(INDEX($P$2:$P$1001,MATCH(ROWS($O$2:O315),$O$2:$O$1001,0),1)&gt;=100000,INDEX($V$1005:$AE$1005,1,MATCH(COLUMNS($V$1006:V1006),$V$1006:$AE$1006,0))&gt;=100000), " ",IF(INDEX($V$2:$AE$1001,MATCH(ROWS($O$2:O315),$O$2:$O$1001,0),MATCH(COLUMNS($V$1006:V1006),$V$1006:$AE$1006,0)), HYPERLINK("#",""), HYPERLINK(CONCATENATE("#Metadata!", ADDRESS(INDEX($Q$2:$Q$1001,MATCH(ROWS($O$2:O315),$O$2:$O$1001,0),0), INDEX($V$1004:$AE$1004,1,MATCH(COLUMNS($V$1006:V1006),$V$1006:$AE$1006,0)))),"Fix")))</f>
        <v>0</v>
      </c>
      <c r="C315" s="3">
        <f>IF(OR(INDEX($P$2:$P$1001,MATCH(ROWS($O$2:O315),$O$2:$O$1001,0),1)&gt;=100000,INDEX($V$1005:$AE$1005,1,MATCH(COLUMNS($V$1006:W1006),$V$1006:$AE$1006,0))&gt;=100000), " ",IF(INDEX($V$2:$AE$1001,MATCH(ROWS($O$2:O315),$O$2:$O$1001,0),MATCH(COLUMNS($V$1006:W1006),$V$1006:$AE$1006,0)), HYPERLINK("#",""), HYPERLINK(CONCATENATE("#Metadata!", ADDRESS(INDEX($Q$2:$Q$1001,MATCH(ROWS($O$2:O315),$O$2:$O$1001,0),0), INDEX($V$1004:$AE$1004,1,MATCH(COLUMNS($V$1006:W1006),$V$1006:$AE$1006,0)))),"Fix")))</f>
        <v>0</v>
      </c>
      <c r="D315" s="3">
        <f>IF(OR(INDEX($P$2:$P$1001,MATCH(ROWS($O$2:O315),$O$2:$O$1001,0),1)&gt;=100000,INDEX($V$1005:$AE$1005,1,MATCH(COLUMNS($V$1006:X1006),$V$1006:$AE$1006,0))&gt;=100000), " ",IF(INDEX($V$2:$AE$1001,MATCH(ROWS($O$2:O315),$O$2:$O$1001,0),MATCH(COLUMNS($V$1006:X1006),$V$1006:$AE$1006,0)), HYPERLINK("#",""), HYPERLINK(CONCATENATE("#Metadata!", ADDRESS(INDEX($Q$2:$Q$1001,MATCH(ROWS($O$2:O315),$O$2:$O$1001,0),0), INDEX($V$1004:$AE$1004,1,MATCH(COLUMNS($V$1006:X1006),$V$1006:$AE$1006,0)))),"Fix")))</f>
        <v>0</v>
      </c>
      <c r="E315" s="3">
        <f>IF(OR(INDEX($P$2:$P$1001,MATCH(ROWS($O$2:O315),$O$2:$O$1001,0),1)&gt;=100000,INDEX($V$1005:$AE$1005,1,MATCH(COLUMNS($V$1006:Y1006),$V$1006:$AE$1006,0))&gt;=100000), " ",IF(INDEX($V$2:$AE$1001,MATCH(ROWS($O$2:O315),$O$2:$O$1001,0),MATCH(COLUMNS($V$1006:Y1006),$V$1006:$AE$1006,0)), HYPERLINK("#",""), HYPERLINK(CONCATENATE("#Metadata!", ADDRESS(INDEX($Q$2:$Q$1001,MATCH(ROWS($O$2:O315),$O$2:$O$1001,0),0), INDEX($V$1004:$AE$1004,1,MATCH(COLUMNS($V$1006:Y1006),$V$1006:$AE$1006,0)))),"Fix")))</f>
        <v>0</v>
      </c>
      <c r="F315" s="3">
        <f>IF(OR(INDEX($P$2:$P$1001,MATCH(ROWS($O$2:O315),$O$2:$O$1001,0),1)&gt;=100000,INDEX($V$1005:$AE$1005,1,MATCH(COLUMNS($V$1006:Z1006),$V$1006:$AE$1006,0))&gt;=100000), " ",IF(INDEX($V$2:$AE$1001,MATCH(ROWS($O$2:O315),$O$2:$O$1001,0),MATCH(COLUMNS($V$1006:Z1006),$V$1006:$AE$1006,0)), HYPERLINK("#",""), HYPERLINK(CONCATENATE("#Metadata!", ADDRESS(INDEX($Q$2:$Q$1001,MATCH(ROWS($O$2:O315),$O$2:$O$1001,0),0), INDEX($V$1004:$AE$1004,1,MATCH(COLUMNS($V$1006:Z1006),$V$1006:$AE$1006,0)))),"Fix")))</f>
        <v>0</v>
      </c>
      <c r="G315" s="3">
        <f>IF(OR(INDEX($P$2:$P$1001,MATCH(ROWS($O$2:O315),$O$2:$O$1001,0),1)&gt;=100000,INDEX($V$1005:$AE$1005,1,MATCH(COLUMNS($V$1006:AA1006),$V$1006:$AE$1006,0))&gt;=100000), " ",IF(INDEX($V$2:$AE$1001,MATCH(ROWS($O$2:O315),$O$2:$O$1001,0),MATCH(COLUMNS($V$1006:AA1006),$V$1006:$AE$1006,0)), HYPERLINK("#",""), HYPERLINK(CONCATENATE("#Metadata!", ADDRESS(INDEX($Q$2:$Q$1001,MATCH(ROWS($O$2:O315),$O$2:$O$1001,0),0), INDEX($V$1004:$AE$1004,1,MATCH(COLUMNS($V$1006:AA1006),$V$1006:$AE$1006,0)))),"Fix")))</f>
        <v>0</v>
      </c>
      <c r="H315" s="3">
        <f>IF(OR(INDEX($P$2:$P$1001,MATCH(ROWS($O$2:O315),$O$2:$O$1001,0),1)&gt;=100000,INDEX($V$1005:$AE$1005,1,MATCH(COLUMNS($V$1006:AB1006),$V$1006:$AE$1006,0))&gt;=100000), " ",IF(INDEX($V$2:$AE$1001,MATCH(ROWS($O$2:O315),$O$2:$O$1001,0),MATCH(COLUMNS($V$1006:AB1006),$V$1006:$AE$1006,0)), HYPERLINK("#",""), HYPERLINK(CONCATENATE("#Metadata!", ADDRESS(INDEX($Q$2:$Q$1001,MATCH(ROWS($O$2:O315),$O$2:$O$1001,0),0), INDEX($V$1004:$AE$1004,1,MATCH(COLUMNS($V$1006:AB1006),$V$1006:$AE$1006,0)))),"Fix")))</f>
        <v>0</v>
      </c>
      <c r="I315" s="3">
        <f>IF(OR(INDEX($P$2:$P$1001,MATCH(ROWS($O$2:O315),$O$2:$O$1001,0),1)&gt;=100000,INDEX($V$1005:$AE$1005,1,MATCH(COLUMNS($V$1006:AC1006),$V$1006:$AE$1006,0))&gt;=100000), " ",IF(INDEX($V$2:$AE$1001,MATCH(ROWS($O$2:O315),$O$2:$O$1001,0),MATCH(COLUMNS($V$1006:AC1006),$V$1006:$AE$1006,0)), HYPERLINK("#",""), HYPERLINK(CONCATENATE("#Metadata!", ADDRESS(INDEX($Q$2:$Q$1001,MATCH(ROWS($O$2:O315),$O$2:$O$1001,0),0), INDEX($V$1004:$AE$1004,1,MATCH(COLUMNS($V$1006:AC1006),$V$1006:$AE$1006,0)))),"Fix")))</f>
        <v>0</v>
      </c>
      <c r="J315" s="3">
        <f>IF(OR(INDEX($P$2:$P$1001,MATCH(ROWS($O$2:O315),$O$2:$O$1001,0),1)&gt;=100000,INDEX($V$1005:$AE$1005,1,MATCH(COLUMNS($V$1006:AD1006),$V$1006:$AE$1006,0))&gt;=100000), " ",IF(INDEX($V$2:$AE$1001,MATCH(ROWS($O$2:O315),$O$2:$O$1001,0),MATCH(COLUMNS($V$1006:AD1006),$V$1006:$AE$1006,0)), HYPERLINK("#",""), HYPERLINK(CONCATENATE("#Metadata!", ADDRESS(INDEX($Q$2:$Q$1001,MATCH(ROWS($O$2:O315),$O$2:$O$1001,0),0), INDEX($V$1004:$AE$1004,1,MATCH(COLUMNS($V$1006:AD1006),$V$1006:$AE$1006,0)))),"Fix")))</f>
        <v>0</v>
      </c>
      <c r="K315" s="3">
        <f>IF(OR(INDEX($P$2:$P$1001,MATCH(ROWS($O$2:O315),$O$2:$O$1001,0),1)&gt;=100000,INDEX($V$1005:$AE$1005,1,MATCH(COLUMNS($V$1006:AE1006),$V$1006:$AE$1006,0))&gt;=100000), " ",IF(INDEX($V$2:$AE$1001,MATCH(ROWS($O$2:O315),$O$2:$O$1001,0),MATCH(COLUMNS($V$1006:AE1006),$V$1006:$AE$1006,0)), HYPERLINK("#",""), HYPERLINK(CONCATENATE("#Metadata!", ADDRESS(INDEX($Q$2:$Q$1001,MATCH(ROWS($O$2:O315),$O$2:$O$1001,0),0), INDEX($V$1004:$AE$1004,1,MATCH(COLUMNS($V$1006:AE1006),$V$1006:$AE$1006,0)))),"Fix")))</f>
        <v>0</v>
      </c>
      <c r="O315">
        <v>0</v>
      </c>
      <c r="P315">
        <v>0</v>
      </c>
      <c r="Q315">
        <v>0</v>
      </c>
      <c r="R315">
        <f>IF(S315,TRUE,AND(V315:AE315))</f>
        <v>0</v>
      </c>
      <c r="S315">
        <f>COUNTBLANK(Metadata!B315:K315)=COLUMNS(Metadata!B315:K315)</f>
        <v>0</v>
      </c>
      <c r="T315">
        <v>0</v>
      </c>
      <c r="V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W315">
        <f>AND(IF(Metadata!C315="",FALSE,TRUE),exact(Metadata!C315,"animal secretion"))</f>
        <v>0</v>
      </c>
      <c r="X315">
        <f>AND(IF(Metadata!D315="",FALSE,TRUE),exact(Metadata!D315,"saliva"))</f>
        <v>0</v>
      </c>
      <c r="Y315">
        <f>AND(IF(Metadata!E315="",FALSE,TRUE),exact(Metadata!E315,"human-oral"))</f>
        <v>0</v>
      </c>
      <c r="Z315">
        <f>AND(IF(Metadata!F315="",FALSE,TRUE),exact(Metadata!F315,"UBERON:oral cavity"))</f>
        <v>0</v>
      </c>
      <c r="AA315">
        <f>AND(IF(Metadata!G315="",FALSE,TRUE),exact(Metadata!G315,"UBERON:saliva"))</f>
        <v>0</v>
      </c>
      <c r="AB315">
        <f>AND(IF(Metadata!H315="",FALSE,TRUE),exact(Metadata!H315,"UBERON:tongue"))</f>
        <v>0</v>
      </c>
      <c r="AC315">
        <f>AND(IF(Metadata!I315="",FALSE,TRUE),exact(Metadata!I315,"tongue"))</f>
        <v>0</v>
      </c>
      <c r="AD315">
        <f>AND(IF(Metadata!J315="",FALSE,TRUE),exact(Metadata!J315,"human oral metagenome"))</f>
        <v>0</v>
      </c>
      <c r="AE315">
        <f>AND(IF(Metadata!K315="",FALSE,TRUE),exact(Metadata!K315,"447426"))</f>
        <v>0</v>
      </c>
    </row>
    <row r="316" spans="1:31">
      <c r="A316" s="4">
        <f>IF(B316=" "," ",HYPERLINK(CONCATENATE("#metadata!",ADDRESS(INDEX($Q$2:$Q$1001,MATCH(ROWS($O$2:O316),$O$2:$O$1001,0),0),1)),INDEX($T$2:$T$1001,MATCH(ROWS($O$2:O316),$O$2:$O$1001,0),0)))</f>
        <v>0</v>
      </c>
      <c r="B316" s="3">
        <f>IF(OR(INDEX($P$2:$P$1001,MATCH(ROWS($O$2:O316),$O$2:$O$1001,0),1)&gt;=100000,INDEX($V$1005:$AE$1005,1,MATCH(COLUMNS($V$1006:V1006),$V$1006:$AE$1006,0))&gt;=100000), " ",IF(INDEX($V$2:$AE$1001,MATCH(ROWS($O$2:O316),$O$2:$O$1001,0),MATCH(COLUMNS($V$1006:V1006),$V$1006:$AE$1006,0)), HYPERLINK("#",""), HYPERLINK(CONCATENATE("#Metadata!", ADDRESS(INDEX($Q$2:$Q$1001,MATCH(ROWS($O$2:O316),$O$2:$O$1001,0),0), INDEX($V$1004:$AE$1004,1,MATCH(COLUMNS($V$1006:V1006),$V$1006:$AE$1006,0)))),"Fix")))</f>
        <v>0</v>
      </c>
      <c r="C316" s="3">
        <f>IF(OR(INDEX($P$2:$P$1001,MATCH(ROWS($O$2:O316),$O$2:$O$1001,0),1)&gt;=100000,INDEX($V$1005:$AE$1005,1,MATCH(COLUMNS($V$1006:W1006),$V$1006:$AE$1006,0))&gt;=100000), " ",IF(INDEX($V$2:$AE$1001,MATCH(ROWS($O$2:O316),$O$2:$O$1001,0),MATCH(COLUMNS($V$1006:W1006),$V$1006:$AE$1006,0)), HYPERLINK("#",""), HYPERLINK(CONCATENATE("#Metadata!", ADDRESS(INDEX($Q$2:$Q$1001,MATCH(ROWS($O$2:O316),$O$2:$O$1001,0),0), INDEX($V$1004:$AE$1004,1,MATCH(COLUMNS($V$1006:W1006),$V$1006:$AE$1006,0)))),"Fix")))</f>
        <v>0</v>
      </c>
      <c r="D316" s="3">
        <f>IF(OR(INDEX($P$2:$P$1001,MATCH(ROWS($O$2:O316),$O$2:$O$1001,0),1)&gt;=100000,INDEX($V$1005:$AE$1005,1,MATCH(COLUMNS($V$1006:X1006),$V$1006:$AE$1006,0))&gt;=100000), " ",IF(INDEX($V$2:$AE$1001,MATCH(ROWS($O$2:O316),$O$2:$O$1001,0),MATCH(COLUMNS($V$1006:X1006),$V$1006:$AE$1006,0)), HYPERLINK("#",""), HYPERLINK(CONCATENATE("#Metadata!", ADDRESS(INDEX($Q$2:$Q$1001,MATCH(ROWS($O$2:O316),$O$2:$O$1001,0),0), INDEX($V$1004:$AE$1004,1,MATCH(COLUMNS($V$1006:X1006),$V$1006:$AE$1006,0)))),"Fix")))</f>
        <v>0</v>
      </c>
      <c r="E316" s="3">
        <f>IF(OR(INDEX($P$2:$P$1001,MATCH(ROWS($O$2:O316),$O$2:$O$1001,0),1)&gt;=100000,INDEX($V$1005:$AE$1005,1,MATCH(COLUMNS($V$1006:Y1006),$V$1006:$AE$1006,0))&gt;=100000), " ",IF(INDEX($V$2:$AE$1001,MATCH(ROWS($O$2:O316),$O$2:$O$1001,0),MATCH(COLUMNS($V$1006:Y1006),$V$1006:$AE$1006,0)), HYPERLINK("#",""), HYPERLINK(CONCATENATE("#Metadata!", ADDRESS(INDEX($Q$2:$Q$1001,MATCH(ROWS($O$2:O316),$O$2:$O$1001,0),0), INDEX($V$1004:$AE$1004,1,MATCH(COLUMNS($V$1006:Y1006),$V$1006:$AE$1006,0)))),"Fix")))</f>
        <v>0</v>
      </c>
      <c r="F316" s="3">
        <f>IF(OR(INDEX($P$2:$P$1001,MATCH(ROWS($O$2:O316),$O$2:$O$1001,0),1)&gt;=100000,INDEX($V$1005:$AE$1005,1,MATCH(COLUMNS($V$1006:Z1006),$V$1006:$AE$1006,0))&gt;=100000), " ",IF(INDEX($V$2:$AE$1001,MATCH(ROWS($O$2:O316),$O$2:$O$1001,0),MATCH(COLUMNS($V$1006:Z1006),$V$1006:$AE$1006,0)), HYPERLINK("#",""), HYPERLINK(CONCATENATE("#Metadata!", ADDRESS(INDEX($Q$2:$Q$1001,MATCH(ROWS($O$2:O316),$O$2:$O$1001,0),0), INDEX($V$1004:$AE$1004,1,MATCH(COLUMNS($V$1006:Z1006),$V$1006:$AE$1006,0)))),"Fix")))</f>
        <v>0</v>
      </c>
      <c r="G316" s="3">
        <f>IF(OR(INDEX($P$2:$P$1001,MATCH(ROWS($O$2:O316),$O$2:$O$1001,0),1)&gt;=100000,INDEX($V$1005:$AE$1005,1,MATCH(COLUMNS($V$1006:AA1006),$V$1006:$AE$1006,0))&gt;=100000), " ",IF(INDEX($V$2:$AE$1001,MATCH(ROWS($O$2:O316),$O$2:$O$1001,0),MATCH(COLUMNS($V$1006:AA1006),$V$1006:$AE$1006,0)), HYPERLINK("#",""), HYPERLINK(CONCATENATE("#Metadata!", ADDRESS(INDEX($Q$2:$Q$1001,MATCH(ROWS($O$2:O316),$O$2:$O$1001,0),0), INDEX($V$1004:$AE$1004,1,MATCH(COLUMNS($V$1006:AA1006),$V$1006:$AE$1006,0)))),"Fix")))</f>
        <v>0</v>
      </c>
      <c r="H316" s="3">
        <f>IF(OR(INDEX($P$2:$P$1001,MATCH(ROWS($O$2:O316),$O$2:$O$1001,0),1)&gt;=100000,INDEX($V$1005:$AE$1005,1,MATCH(COLUMNS($V$1006:AB1006),$V$1006:$AE$1006,0))&gt;=100000), " ",IF(INDEX($V$2:$AE$1001,MATCH(ROWS($O$2:O316),$O$2:$O$1001,0),MATCH(COLUMNS($V$1006:AB1006),$V$1006:$AE$1006,0)), HYPERLINK("#",""), HYPERLINK(CONCATENATE("#Metadata!", ADDRESS(INDEX($Q$2:$Q$1001,MATCH(ROWS($O$2:O316),$O$2:$O$1001,0),0), INDEX($V$1004:$AE$1004,1,MATCH(COLUMNS($V$1006:AB1006),$V$1006:$AE$1006,0)))),"Fix")))</f>
        <v>0</v>
      </c>
      <c r="I316" s="3">
        <f>IF(OR(INDEX($P$2:$P$1001,MATCH(ROWS($O$2:O316),$O$2:$O$1001,0),1)&gt;=100000,INDEX($V$1005:$AE$1005,1,MATCH(COLUMNS($V$1006:AC1006),$V$1006:$AE$1006,0))&gt;=100000), " ",IF(INDEX($V$2:$AE$1001,MATCH(ROWS($O$2:O316),$O$2:$O$1001,0),MATCH(COLUMNS($V$1006:AC1006),$V$1006:$AE$1006,0)), HYPERLINK("#",""), HYPERLINK(CONCATENATE("#Metadata!", ADDRESS(INDEX($Q$2:$Q$1001,MATCH(ROWS($O$2:O316),$O$2:$O$1001,0),0), INDEX($V$1004:$AE$1004,1,MATCH(COLUMNS($V$1006:AC1006),$V$1006:$AE$1006,0)))),"Fix")))</f>
        <v>0</v>
      </c>
      <c r="J316" s="3">
        <f>IF(OR(INDEX($P$2:$P$1001,MATCH(ROWS($O$2:O316),$O$2:$O$1001,0),1)&gt;=100000,INDEX($V$1005:$AE$1005,1,MATCH(COLUMNS($V$1006:AD1006),$V$1006:$AE$1006,0))&gt;=100000), " ",IF(INDEX($V$2:$AE$1001,MATCH(ROWS($O$2:O316),$O$2:$O$1001,0),MATCH(COLUMNS($V$1006:AD1006),$V$1006:$AE$1006,0)), HYPERLINK("#",""), HYPERLINK(CONCATENATE("#Metadata!", ADDRESS(INDEX($Q$2:$Q$1001,MATCH(ROWS($O$2:O316),$O$2:$O$1001,0),0), INDEX($V$1004:$AE$1004,1,MATCH(COLUMNS($V$1006:AD1006),$V$1006:$AE$1006,0)))),"Fix")))</f>
        <v>0</v>
      </c>
      <c r="K316" s="3">
        <f>IF(OR(INDEX($P$2:$P$1001,MATCH(ROWS($O$2:O316),$O$2:$O$1001,0),1)&gt;=100000,INDEX($V$1005:$AE$1005,1,MATCH(COLUMNS($V$1006:AE1006),$V$1006:$AE$1006,0))&gt;=100000), " ",IF(INDEX($V$2:$AE$1001,MATCH(ROWS($O$2:O316),$O$2:$O$1001,0),MATCH(COLUMNS($V$1006:AE1006),$V$1006:$AE$1006,0)), HYPERLINK("#",""), HYPERLINK(CONCATENATE("#Metadata!", ADDRESS(INDEX($Q$2:$Q$1001,MATCH(ROWS($O$2:O316),$O$2:$O$1001,0),0), INDEX($V$1004:$AE$1004,1,MATCH(COLUMNS($V$1006:AE1006),$V$1006:$AE$1006,0)))),"Fix")))</f>
        <v>0</v>
      </c>
      <c r="O316">
        <v>0</v>
      </c>
      <c r="P316">
        <v>0</v>
      </c>
      <c r="Q316">
        <v>0</v>
      </c>
      <c r="R316">
        <f>IF(S316,TRUE,AND(V316:AE316))</f>
        <v>0</v>
      </c>
      <c r="S316">
        <f>COUNTBLANK(Metadata!B316:K316)=COLUMNS(Metadata!B316:K316)</f>
        <v>0</v>
      </c>
      <c r="T316">
        <v>0</v>
      </c>
      <c r="V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W316">
        <f>AND(IF(Metadata!C316="",FALSE,TRUE),exact(Metadata!C316,"animal secretion"))</f>
        <v>0</v>
      </c>
      <c r="X316">
        <f>AND(IF(Metadata!D316="",FALSE,TRUE),exact(Metadata!D316,"saliva"))</f>
        <v>0</v>
      </c>
      <c r="Y316">
        <f>AND(IF(Metadata!E316="",FALSE,TRUE),exact(Metadata!E316,"human-oral"))</f>
        <v>0</v>
      </c>
      <c r="Z316">
        <f>AND(IF(Metadata!F316="",FALSE,TRUE),exact(Metadata!F316,"UBERON:oral cavity"))</f>
        <v>0</v>
      </c>
      <c r="AA316">
        <f>AND(IF(Metadata!G316="",FALSE,TRUE),exact(Metadata!G316,"UBERON:saliva"))</f>
        <v>0</v>
      </c>
      <c r="AB316">
        <f>AND(IF(Metadata!H316="",FALSE,TRUE),exact(Metadata!H316,"UBERON:tongue"))</f>
        <v>0</v>
      </c>
      <c r="AC316">
        <f>AND(IF(Metadata!I316="",FALSE,TRUE),exact(Metadata!I316,"tongue"))</f>
        <v>0</v>
      </c>
      <c r="AD316">
        <f>AND(IF(Metadata!J316="",FALSE,TRUE),exact(Metadata!J316,"human oral metagenome"))</f>
        <v>0</v>
      </c>
      <c r="AE316">
        <f>AND(IF(Metadata!K316="",FALSE,TRUE),exact(Metadata!K316,"447426"))</f>
        <v>0</v>
      </c>
    </row>
    <row r="317" spans="1:31">
      <c r="A317" s="4">
        <f>IF(B317=" "," ",HYPERLINK(CONCATENATE("#metadata!",ADDRESS(INDEX($Q$2:$Q$1001,MATCH(ROWS($O$2:O317),$O$2:$O$1001,0),0),1)),INDEX($T$2:$T$1001,MATCH(ROWS($O$2:O317),$O$2:$O$1001,0),0)))</f>
        <v>0</v>
      </c>
      <c r="B317" s="3">
        <f>IF(OR(INDEX($P$2:$P$1001,MATCH(ROWS($O$2:O317),$O$2:$O$1001,0),1)&gt;=100000,INDEX($V$1005:$AE$1005,1,MATCH(COLUMNS($V$1006:V1006),$V$1006:$AE$1006,0))&gt;=100000), " ",IF(INDEX($V$2:$AE$1001,MATCH(ROWS($O$2:O317),$O$2:$O$1001,0),MATCH(COLUMNS($V$1006:V1006),$V$1006:$AE$1006,0)), HYPERLINK("#",""), HYPERLINK(CONCATENATE("#Metadata!", ADDRESS(INDEX($Q$2:$Q$1001,MATCH(ROWS($O$2:O317),$O$2:$O$1001,0),0), INDEX($V$1004:$AE$1004,1,MATCH(COLUMNS($V$1006:V1006),$V$1006:$AE$1006,0)))),"Fix")))</f>
        <v>0</v>
      </c>
      <c r="C317" s="3">
        <f>IF(OR(INDEX($P$2:$P$1001,MATCH(ROWS($O$2:O317),$O$2:$O$1001,0),1)&gt;=100000,INDEX($V$1005:$AE$1005,1,MATCH(COLUMNS($V$1006:W1006),$V$1006:$AE$1006,0))&gt;=100000), " ",IF(INDEX($V$2:$AE$1001,MATCH(ROWS($O$2:O317),$O$2:$O$1001,0),MATCH(COLUMNS($V$1006:W1006),$V$1006:$AE$1006,0)), HYPERLINK("#",""), HYPERLINK(CONCATENATE("#Metadata!", ADDRESS(INDEX($Q$2:$Q$1001,MATCH(ROWS($O$2:O317),$O$2:$O$1001,0),0), INDEX($V$1004:$AE$1004,1,MATCH(COLUMNS($V$1006:W1006),$V$1006:$AE$1006,0)))),"Fix")))</f>
        <v>0</v>
      </c>
      <c r="D317" s="3">
        <f>IF(OR(INDEX($P$2:$P$1001,MATCH(ROWS($O$2:O317),$O$2:$O$1001,0),1)&gt;=100000,INDEX($V$1005:$AE$1005,1,MATCH(COLUMNS($V$1006:X1006),$V$1006:$AE$1006,0))&gt;=100000), " ",IF(INDEX($V$2:$AE$1001,MATCH(ROWS($O$2:O317),$O$2:$O$1001,0),MATCH(COLUMNS($V$1006:X1006),$V$1006:$AE$1006,0)), HYPERLINK("#",""), HYPERLINK(CONCATENATE("#Metadata!", ADDRESS(INDEX($Q$2:$Q$1001,MATCH(ROWS($O$2:O317),$O$2:$O$1001,0),0), INDEX($V$1004:$AE$1004,1,MATCH(COLUMNS($V$1006:X1006),$V$1006:$AE$1006,0)))),"Fix")))</f>
        <v>0</v>
      </c>
      <c r="E317" s="3">
        <f>IF(OR(INDEX($P$2:$P$1001,MATCH(ROWS($O$2:O317),$O$2:$O$1001,0),1)&gt;=100000,INDEX($V$1005:$AE$1005,1,MATCH(COLUMNS($V$1006:Y1006),$V$1006:$AE$1006,0))&gt;=100000), " ",IF(INDEX($V$2:$AE$1001,MATCH(ROWS($O$2:O317),$O$2:$O$1001,0),MATCH(COLUMNS($V$1006:Y1006),$V$1006:$AE$1006,0)), HYPERLINK("#",""), HYPERLINK(CONCATENATE("#Metadata!", ADDRESS(INDEX($Q$2:$Q$1001,MATCH(ROWS($O$2:O317),$O$2:$O$1001,0),0), INDEX($V$1004:$AE$1004,1,MATCH(COLUMNS($V$1006:Y1006),$V$1006:$AE$1006,0)))),"Fix")))</f>
        <v>0</v>
      </c>
      <c r="F317" s="3">
        <f>IF(OR(INDEX($P$2:$P$1001,MATCH(ROWS($O$2:O317),$O$2:$O$1001,0),1)&gt;=100000,INDEX($V$1005:$AE$1005,1,MATCH(COLUMNS($V$1006:Z1006),$V$1006:$AE$1006,0))&gt;=100000), " ",IF(INDEX($V$2:$AE$1001,MATCH(ROWS($O$2:O317),$O$2:$O$1001,0),MATCH(COLUMNS($V$1006:Z1006),$V$1006:$AE$1006,0)), HYPERLINK("#",""), HYPERLINK(CONCATENATE("#Metadata!", ADDRESS(INDEX($Q$2:$Q$1001,MATCH(ROWS($O$2:O317),$O$2:$O$1001,0),0), INDEX($V$1004:$AE$1004,1,MATCH(COLUMNS($V$1006:Z1006),$V$1006:$AE$1006,0)))),"Fix")))</f>
        <v>0</v>
      </c>
      <c r="G317" s="3">
        <f>IF(OR(INDEX($P$2:$P$1001,MATCH(ROWS($O$2:O317),$O$2:$O$1001,0),1)&gt;=100000,INDEX($V$1005:$AE$1005,1,MATCH(COLUMNS($V$1006:AA1006),$V$1006:$AE$1006,0))&gt;=100000), " ",IF(INDEX($V$2:$AE$1001,MATCH(ROWS($O$2:O317),$O$2:$O$1001,0),MATCH(COLUMNS($V$1006:AA1006),$V$1006:$AE$1006,0)), HYPERLINK("#",""), HYPERLINK(CONCATENATE("#Metadata!", ADDRESS(INDEX($Q$2:$Q$1001,MATCH(ROWS($O$2:O317),$O$2:$O$1001,0),0), INDEX($V$1004:$AE$1004,1,MATCH(COLUMNS($V$1006:AA1006),$V$1006:$AE$1006,0)))),"Fix")))</f>
        <v>0</v>
      </c>
      <c r="H317" s="3">
        <f>IF(OR(INDEX($P$2:$P$1001,MATCH(ROWS($O$2:O317),$O$2:$O$1001,0),1)&gt;=100000,INDEX($V$1005:$AE$1005,1,MATCH(COLUMNS($V$1006:AB1006),$V$1006:$AE$1006,0))&gt;=100000), " ",IF(INDEX($V$2:$AE$1001,MATCH(ROWS($O$2:O317),$O$2:$O$1001,0),MATCH(COLUMNS($V$1006:AB1006),$V$1006:$AE$1006,0)), HYPERLINK("#",""), HYPERLINK(CONCATENATE("#Metadata!", ADDRESS(INDEX($Q$2:$Q$1001,MATCH(ROWS($O$2:O317),$O$2:$O$1001,0),0), INDEX($V$1004:$AE$1004,1,MATCH(COLUMNS($V$1006:AB1006),$V$1006:$AE$1006,0)))),"Fix")))</f>
        <v>0</v>
      </c>
      <c r="I317" s="3">
        <f>IF(OR(INDEX($P$2:$P$1001,MATCH(ROWS($O$2:O317),$O$2:$O$1001,0),1)&gt;=100000,INDEX($V$1005:$AE$1005,1,MATCH(COLUMNS($V$1006:AC1006),$V$1006:$AE$1006,0))&gt;=100000), " ",IF(INDEX($V$2:$AE$1001,MATCH(ROWS($O$2:O317),$O$2:$O$1001,0),MATCH(COLUMNS($V$1006:AC1006),$V$1006:$AE$1006,0)), HYPERLINK("#",""), HYPERLINK(CONCATENATE("#Metadata!", ADDRESS(INDEX($Q$2:$Q$1001,MATCH(ROWS($O$2:O317),$O$2:$O$1001,0),0), INDEX($V$1004:$AE$1004,1,MATCH(COLUMNS($V$1006:AC1006),$V$1006:$AE$1006,0)))),"Fix")))</f>
        <v>0</v>
      </c>
      <c r="J317" s="3">
        <f>IF(OR(INDEX($P$2:$P$1001,MATCH(ROWS($O$2:O317),$O$2:$O$1001,0),1)&gt;=100000,INDEX($V$1005:$AE$1005,1,MATCH(COLUMNS($V$1006:AD1006),$V$1006:$AE$1006,0))&gt;=100000), " ",IF(INDEX($V$2:$AE$1001,MATCH(ROWS($O$2:O317),$O$2:$O$1001,0),MATCH(COLUMNS($V$1006:AD1006),$V$1006:$AE$1006,0)), HYPERLINK("#",""), HYPERLINK(CONCATENATE("#Metadata!", ADDRESS(INDEX($Q$2:$Q$1001,MATCH(ROWS($O$2:O317),$O$2:$O$1001,0),0), INDEX($V$1004:$AE$1004,1,MATCH(COLUMNS($V$1006:AD1006),$V$1006:$AE$1006,0)))),"Fix")))</f>
        <v>0</v>
      </c>
      <c r="K317" s="3">
        <f>IF(OR(INDEX($P$2:$P$1001,MATCH(ROWS($O$2:O317),$O$2:$O$1001,0),1)&gt;=100000,INDEX($V$1005:$AE$1005,1,MATCH(COLUMNS($V$1006:AE1006),$V$1006:$AE$1006,0))&gt;=100000), " ",IF(INDEX($V$2:$AE$1001,MATCH(ROWS($O$2:O317),$O$2:$O$1001,0),MATCH(COLUMNS($V$1006:AE1006),$V$1006:$AE$1006,0)), HYPERLINK("#",""), HYPERLINK(CONCATENATE("#Metadata!", ADDRESS(INDEX($Q$2:$Q$1001,MATCH(ROWS($O$2:O317),$O$2:$O$1001,0),0), INDEX($V$1004:$AE$1004,1,MATCH(COLUMNS($V$1006:AE1006),$V$1006:$AE$1006,0)))),"Fix")))</f>
        <v>0</v>
      </c>
      <c r="O317">
        <v>0</v>
      </c>
      <c r="P317">
        <v>0</v>
      </c>
      <c r="Q317">
        <v>0</v>
      </c>
      <c r="R317">
        <f>IF(S317,TRUE,AND(V317:AE317))</f>
        <v>0</v>
      </c>
      <c r="S317">
        <f>COUNTBLANK(Metadata!B317:K317)=COLUMNS(Metadata!B317:K317)</f>
        <v>0</v>
      </c>
      <c r="T317">
        <v>0</v>
      </c>
      <c r="V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W317">
        <f>AND(IF(Metadata!C317="",FALSE,TRUE),exact(Metadata!C317,"animal secretion"))</f>
        <v>0</v>
      </c>
      <c r="X317">
        <f>AND(IF(Metadata!D317="",FALSE,TRUE),exact(Metadata!D317,"saliva"))</f>
        <v>0</v>
      </c>
      <c r="Y317">
        <f>AND(IF(Metadata!E317="",FALSE,TRUE),exact(Metadata!E317,"human-oral"))</f>
        <v>0</v>
      </c>
      <c r="Z317">
        <f>AND(IF(Metadata!F317="",FALSE,TRUE),exact(Metadata!F317,"UBERON:oral cavity"))</f>
        <v>0</v>
      </c>
      <c r="AA317">
        <f>AND(IF(Metadata!G317="",FALSE,TRUE),exact(Metadata!G317,"UBERON:saliva"))</f>
        <v>0</v>
      </c>
      <c r="AB317">
        <f>AND(IF(Metadata!H317="",FALSE,TRUE),exact(Metadata!H317,"UBERON:tongue"))</f>
        <v>0</v>
      </c>
      <c r="AC317">
        <f>AND(IF(Metadata!I317="",FALSE,TRUE),exact(Metadata!I317,"tongue"))</f>
        <v>0</v>
      </c>
      <c r="AD317">
        <f>AND(IF(Metadata!J317="",FALSE,TRUE),exact(Metadata!J317,"human oral metagenome"))</f>
        <v>0</v>
      </c>
      <c r="AE317">
        <f>AND(IF(Metadata!K317="",FALSE,TRUE),exact(Metadata!K317,"447426"))</f>
        <v>0</v>
      </c>
    </row>
    <row r="318" spans="1:31">
      <c r="A318" s="4">
        <f>IF(B318=" "," ",HYPERLINK(CONCATENATE("#metadata!",ADDRESS(INDEX($Q$2:$Q$1001,MATCH(ROWS($O$2:O318),$O$2:$O$1001,0),0),1)),INDEX($T$2:$T$1001,MATCH(ROWS($O$2:O318),$O$2:$O$1001,0),0)))</f>
        <v>0</v>
      </c>
      <c r="B318" s="3">
        <f>IF(OR(INDEX($P$2:$P$1001,MATCH(ROWS($O$2:O318),$O$2:$O$1001,0),1)&gt;=100000,INDEX($V$1005:$AE$1005,1,MATCH(COLUMNS($V$1006:V1006),$V$1006:$AE$1006,0))&gt;=100000), " ",IF(INDEX($V$2:$AE$1001,MATCH(ROWS($O$2:O318),$O$2:$O$1001,0),MATCH(COLUMNS($V$1006:V1006),$V$1006:$AE$1006,0)), HYPERLINK("#",""), HYPERLINK(CONCATENATE("#Metadata!", ADDRESS(INDEX($Q$2:$Q$1001,MATCH(ROWS($O$2:O318),$O$2:$O$1001,0),0), INDEX($V$1004:$AE$1004,1,MATCH(COLUMNS($V$1006:V1006),$V$1006:$AE$1006,0)))),"Fix")))</f>
        <v>0</v>
      </c>
      <c r="C318" s="3">
        <f>IF(OR(INDEX($P$2:$P$1001,MATCH(ROWS($O$2:O318),$O$2:$O$1001,0),1)&gt;=100000,INDEX($V$1005:$AE$1005,1,MATCH(COLUMNS($V$1006:W1006),$V$1006:$AE$1006,0))&gt;=100000), " ",IF(INDEX($V$2:$AE$1001,MATCH(ROWS($O$2:O318),$O$2:$O$1001,0),MATCH(COLUMNS($V$1006:W1006),$V$1006:$AE$1006,0)), HYPERLINK("#",""), HYPERLINK(CONCATENATE("#Metadata!", ADDRESS(INDEX($Q$2:$Q$1001,MATCH(ROWS($O$2:O318),$O$2:$O$1001,0),0), INDEX($V$1004:$AE$1004,1,MATCH(COLUMNS($V$1006:W1006),$V$1006:$AE$1006,0)))),"Fix")))</f>
        <v>0</v>
      </c>
      <c r="D318" s="3">
        <f>IF(OR(INDEX($P$2:$P$1001,MATCH(ROWS($O$2:O318),$O$2:$O$1001,0),1)&gt;=100000,INDEX($V$1005:$AE$1005,1,MATCH(COLUMNS($V$1006:X1006),$V$1006:$AE$1006,0))&gt;=100000), " ",IF(INDEX($V$2:$AE$1001,MATCH(ROWS($O$2:O318),$O$2:$O$1001,0),MATCH(COLUMNS($V$1006:X1006),$V$1006:$AE$1006,0)), HYPERLINK("#",""), HYPERLINK(CONCATENATE("#Metadata!", ADDRESS(INDEX($Q$2:$Q$1001,MATCH(ROWS($O$2:O318),$O$2:$O$1001,0),0), INDEX($V$1004:$AE$1004,1,MATCH(COLUMNS($V$1006:X1006),$V$1006:$AE$1006,0)))),"Fix")))</f>
        <v>0</v>
      </c>
      <c r="E318" s="3">
        <f>IF(OR(INDEX($P$2:$P$1001,MATCH(ROWS($O$2:O318),$O$2:$O$1001,0),1)&gt;=100000,INDEX($V$1005:$AE$1005,1,MATCH(COLUMNS($V$1006:Y1006),$V$1006:$AE$1006,0))&gt;=100000), " ",IF(INDEX($V$2:$AE$1001,MATCH(ROWS($O$2:O318),$O$2:$O$1001,0),MATCH(COLUMNS($V$1006:Y1006),$V$1006:$AE$1006,0)), HYPERLINK("#",""), HYPERLINK(CONCATENATE("#Metadata!", ADDRESS(INDEX($Q$2:$Q$1001,MATCH(ROWS($O$2:O318),$O$2:$O$1001,0),0), INDEX($V$1004:$AE$1004,1,MATCH(COLUMNS($V$1006:Y1006),$V$1006:$AE$1006,0)))),"Fix")))</f>
        <v>0</v>
      </c>
      <c r="F318" s="3">
        <f>IF(OR(INDEX($P$2:$P$1001,MATCH(ROWS($O$2:O318),$O$2:$O$1001,0),1)&gt;=100000,INDEX($V$1005:$AE$1005,1,MATCH(COLUMNS($V$1006:Z1006),$V$1006:$AE$1006,0))&gt;=100000), " ",IF(INDEX($V$2:$AE$1001,MATCH(ROWS($O$2:O318),$O$2:$O$1001,0),MATCH(COLUMNS($V$1006:Z1006),$V$1006:$AE$1006,0)), HYPERLINK("#",""), HYPERLINK(CONCATENATE("#Metadata!", ADDRESS(INDEX($Q$2:$Q$1001,MATCH(ROWS($O$2:O318),$O$2:$O$1001,0),0), INDEX($V$1004:$AE$1004,1,MATCH(COLUMNS($V$1006:Z1006),$V$1006:$AE$1006,0)))),"Fix")))</f>
        <v>0</v>
      </c>
      <c r="G318" s="3">
        <f>IF(OR(INDEX($P$2:$P$1001,MATCH(ROWS($O$2:O318),$O$2:$O$1001,0),1)&gt;=100000,INDEX($V$1005:$AE$1005,1,MATCH(COLUMNS($V$1006:AA1006),$V$1006:$AE$1006,0))&gt;=100000), " ",IF(INDEX($V$2:$AE$1001,MATCH(ROWS($O$2:O318),$O$2:$O$1001,0),MATCH(COLUMNS($V$1006:AA1006),$V$1006:$AE$1006,0)), HYPERLINK("#",""), HYPERLINK(CONCATENATE("#Metadata!", ADDRESS(INDEX($Q$2:$Q$1001,MATCH(ROWS($O$2:O318),$O$2:$O$1001,0),0), INDEX($V$1004:$AE$1004,1,MATCH(COLUMNS($V$1006:AA1006),$V$1006:$AE$1006,0)))),"Fix")))</f>
        <v>0</v>
      </c>
      <c r="H318" s="3">
        <f>IF(OR(INDEX($P$2:$P$1001,MATCH(ROWS($O$2:O318),$O$2:$O$1001,0),1)&gt;=100000,INDEX($V$1005:$AE$1005,1,MATCH(COLUMNS($V$1006:AB1006),$V$1006:$AE$1006,0))&gt;=100000), " ",IF(INDEX($V$2:$AE$1001,MATCH(ROWS($O$2:O318),$O$2:$O$1001,0),MATCH(COLUMNS($V$1006:AB1006),$V$1006:$AE$1006,0)), HYPERLINK("#",""), HYPERLINK(CONCATENATE("#Metadata!", ADDRESS(INDEX($Q$2:$Q$1001,MATCH(ROWS($O$2:O318),$O$2:$O$1001,0),0), INDEX($V$1004:$AE$1004,1,MATCH(COLUMNS($V$1006:AB1006),$V$1006:$AE$1006,0)))),"Fix")))</f>
        <v>0</v>
      </c>
      <c r="I318" s="3">
        <f>IF(OR(INDEX($P$2:$P$1001,MATCH(ROWS($O$2:O318),$O$2:$O$1001,0),1)&gt;=100000,INDEX($V$1005:$AE$1005,1,MATCH(COLUMNS($V$1006:AC1006),$V$1006:$AE$1006,0))&gt;=100000), " ",IF(INDEX($V$2:$AE$1001,MATCH(ROWS($O$2:O318),$O$2:$O$1001,0),MATCH(COLUMNS($V$1006:AC1006),$V$1006:$AE$1006,0)), HYPERLINK("#",""), HYPERLINK(CONCATENATE("#Metadata!", ADDRESS(INDEX($Q$2:$Q$1001,MATCH(ROWS($O$2:O318),$O$2:$O$1001,0),0), INDEX($V$1004:$AE$1004,1,MATCH(COLUMNS($V$1006:AC1006),$V$1006:$AE$1006,0)))),"Fix")))</f>
        <v>0</v>
      </c>
      <c r="J318" s="3">
        <f>IF(OR(INDEX($P$2:$P$1001,MATCH(ROWS($O$2:O318),$O$2:$O$1001,0),1)&gt;=100000,INDEX($V$1005:$AE$1005,1,MATCH(COLUMNS($V$1006:AD1006),$V$1006:$AE$1006,0))&gt;=100000), " ",IF(INDEX($V$2:$AE$1001,MATCH(ROWS($O$2:O318),$O$2:$O$1001,0),MATCH(COLUMNS($V$1006:AD1006),$V$1006:$AE$1006,0)), HYPERLINK("#",""), HYPERLINK(CONCATENATE("#Metadata!", ADDRESS(INDEX($Q$2:$Q$1001,MATCH(ROWS($O$2:O318),$O$2:$O$1001,0),0), INDEX($V$1004:$AE$1004,1,MATCH(COLUMNS($V$1006:AD1006),$V$1006:$AE$1006,0)))),"Fix")))</f>
        <v>0</v>
      </c>
      <c r="K318" s="3">
        <f>IF(OR(INDEX($P$2:$P$1001,MATCH(ROWS($O$2:O318),$O$2:$O$1001,0),1)&gt;=100000,INDEX($V$1005:$AE$1005,1,MATCH(COLUMNS($V$1006:AE1006),$V$1006:$AE$1006,0))&gt;=100000), " ",IF(INDEX($V$2:$AE$1001,MATCH(ROWS($O$2:O318),$O$2:$O$1001,0),MATCH(COLUMNS($V$1006:AE1006),$V$1006:$AE$1006,0)), HYPERLINK("#",""), HYPERLINK(CONCATENATE("#Metadata!", ADDRESS(INDEX($Q$2:$Q$1001,MATCH(ROWS($O$2:O318),$O$2:$O$1001,0),0), INDEX($V$1004:$AE$1004,1,MATCH(COLUMNS($V$1006:AE1006),$V$1006:$AE$1006,0)))),"Fix")))</f>
        <v>0</v>
      </c>
      <c r="O318">
        <v>0</v>
      </c>
      <c r="P318">
        <v>0</v>
      </c>
      <c r="Q318">
        <v>0</v>
      </c>
      <c r="R318">
        <f>IF(S318,TRUE,AND(V318:AE318))</f>
        <v>0</v>
      </c>
      <c r="S318">
        <f>COUNTBLANK(Metadata!B318:K318)=COLUMNS(Metadata!B318:K318)</f>
        <v>0</v>
      </c>
      <c r="T318">
        <v>0</v>
      </c>
      <c r="V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W318">
        <f>AND(IF(Metadata!C318="",FALSE,TRUE),exact(Metadata!C318,"animal secretion"))</f>
        <v>0</v>
      </c>
      <c r="X318">
        <f>AND(IF(Metadata!D318="",FALSE,TRUE),exact(Metadata!D318,"saliva"))</f>
        <v>0</v>
      </c>
      <c r="Y318">
        <f>AND(IF(Metadata!E318="",FALSE,TRUE),exact(Metadata!E318,"human-oral"))</f>
        <v>0</v>
      </c>
      <c r="Z318">
        <f>AND(IF(Metadata!F318="",FALSE,TRUE),exact(Metadata!F318,"UBERON:oral cavity"))</f>
        <v>0</v>
      </c>
      <c r="AA318">
        <f>AND(IF(Metadata!G318="",FALSE,TRUE),exact(Metadata!G318,"UBERON:saliva"))</f>
        <v>0</v>
      </c>
      <c r="AB318">
        <f>AND(IF(Metadata!H318="",FALSE,TRUE),exact(Metadata!H318,"UBERON:tongue"))</f>
        <v>0</v>
      </c>
      <c r="AC318">
        <f>AND(IF(Metadata!I318="",FALSE,TRUE),exact(Metadata!I318,"tongue"))</f>
        <v>0</v>
      </c>
      <c r="AD318">
        <f>AND(IF(Metadata!J318="",FALSE,TRUE),exact(Metadata!J318,"human oral metagenome"))</f>
        <v>0</v>
      </c>
      <c r="AE318">
        <f>AND(IF(Metadata!K318="",FALSE,TRUE),exact(Metadata!K318,"447426"))</f>
        <v>0</v>
      </c>
    </row>
    <row r="319" spans="1:31">
      <c r="A319" s="4">
        <f>IF(B319=" "," ",HYPERLINK(CONCATENATE("#metadata!",ADDRESS(INDEX($Q$2:$Q$1001,MATCH(ROWS($O$2:O319),$O$2:$O$1001,0),0),1)),INDEX($T$2:$T$1001,MATCH(ROWS($O$2:O319),$O$2:$O$1001,0),0)))</f>
        <v>0</v>
      </c>
      <c r="B319" s="3">
        <f>IF(OR(INDEX($P$2:$P$1001,MATCH(ROWS($O$2:O319),$O$2:$O$1001,0),1)&gt;=100000,INDEX($V$1005:$AE$1005,1,MATCH(COLUMNS($V$1006:V1006),$V$1006:$AE$1006,0))&gt;=100000), " ",IF(INDEX($V$2:$AE$1001,MATCH(ROWS($O$2:O319),$O$2:$O$1001,0),MATCH(COLUMNS($V$1006:V1006),$V$1006:$AE$1006,0)), HYPERLINK("#",""), HYPERLINK(CONCATENATE("#Metadata!", ADDRESS(INDEX($Q$2:$Q$1001,MATCH(ROWS($O$2:O319),$O$2:$O$1001,0),0), INDEX($V$1004:$AE$1004,1,MATCH(COLUMNS($V$1006:V1006),$V$1006:$AE$1006,0)))),"Fix")))</f>
        <v>0</v>
      </c>
      <c r="C319" s="3">
        <f>IF(OR(INDEX($P$2:$P$1001,MATCH(ROWS($O$2:O319),$O$2:$O$1001,0),1)&gt;=100000,INDEX($V$1005:$AE$1005,1,MATCH(COLUMNS($V$1006:W1006),$V$1006:$AE$1006,0))&gt;=100000), " ",IF(INDEX($V$2:$AE$1001,MATCH(ROWS($O$2:O319),$O$2:$O$1001,0),MATCH(COLUMNS($V$1006:W1006),$V$1006:$AE$1006,0)), HYPERLINK("#",""), HYPERLINK(CONCATENATE("#Metadata!", ADDRESS(INDEX($Q$2:$Q$1001,MATCH(ROWS($O$2:O319),$O$2:$O$1001,0),0), INDEX($V$1004:$AE$1004,1,MATCH(COLUMNS($V$1006:W1006),$V$1006:$AE$1006,0)))),"Fix")))</f>
        <v>0</v>
      </c>
      <c r="D319" s="3">
        <f>IF(OR(INDEX($P$2:$P$1001,MATCH(ROWS($O$2:O319),$O$2:$O$1001,0),1)&gt;=100000,INDEX($V$1005:$AE$1005,1,MATCH(COLUMNS($V$1006:X1006),$V$1006:$AE$1006,0))&gt;=100000), " ",IF(INDEX($V$2:$AE$1001,MATCH(ROWS($O$2:O319),$O$2:$O$1001,0),MATCH(COLUMNS($V$1006:X1006),$V$1006:$AE$1006,0)), HYPERLINK("#",""), HYPERLINK(CONCATENATE("#Metadata!", ADDRESS(INDEX($Q$2:$Q$1001,MATCH(ROWS($O$2:O319),$O$2:$O$1001,0),0), INDEX($V$1004:$AE$1004,1,MATCH(COLUMNS($V$1006:X1006),$V$1006:$AE$1006,0)))),"Fix")))</f>
        <v>0</v>
      </c>
      <c r="E319" s="3">
        <f>IF(OR(INDEX($P$2:$P$1001,MATCH(ROWS($O$2:O319),$O$2:$O$1001,0),1)&gt;=100000,INDEX($V$1005:$AE$1005,1,MATCH(COLUMNS($V$1006:Y1006),$V$1006:$AE$1006,0))&gt;=100000), " ",IF(INDEX($V$2:$AE$1001,MATCH(ROWS($O$2:O319),$O$2:$O$1001,0),MATCH(COLUMNS($V$1006:Y1006),$V$1006:$AE$1006,0)), HYPERLINK("#",""), HYPERLINK(CONCATENATE("#Metadata!", ADDRESS(INDEX($Q$2:$Q$1001,MATCH(ROWS($O$2:O319),$O$2:$O$1001,0),0), INDEX($V$1004:$AE$1004,1,MATCH(COLUMNS($V$1006:Y1006),$V$1006:$AE$1006,0)))),"Fix")))</f>
        <v>0</v>
      </c>
      <c r="F319" s="3">
        <f>IF(OR(INDEX($P$2:$P$1001,MATCH(ROWS($O$2:O319),$O$2:$O$1001,0),1)&gt;=100000,INDEX($V$1005:$AE$1005,1,MATCH(COLUMNS($V$1006:Z1006),$V$1006:$AE$1006,0))&gt;=100000), " ",IF(INDEX($V$2:$AE$1001,MATCH(ROWS($O$2:O319),$O$2:$O$1001,0),MATCH(COLUMNS($V$1006:Z1006),$V$1006:$AE$1006,0)), HYPERLINK("#",""), HYPERLINK(CONCATENATE("#Metadata!", ADDRESS(INDEX($Q$2:$Q$1001,MATCH(ROWS($O$2:O319),$O$2:$O$1001,0),0), INDEX($V$1004:$AE$1004,1,MATCH(COLUMNS($V$1006:Z1006),$V$1006:$AE$1006,0)))),"Fix")))</f>
        <v>0</v>
      </c>
      <c r="G319" s="3">
        <f>IF(OR(INDEX($P$2:$P$1001,MATCH(ROWS($O$2:O319),$O$2:$O$1001,0),1)&gt;=100000,INDEX($V$1005:$AE$1005,1,MATCH(COLUMNS($V$1006:AA1006),$V$1006:$AE$1006,0))&gt;=100000), " ",IF(INDEX($V$2:$AE$1001,MATCH(ROWS($O$2:O319),$O$2:$O$1001,0),MATCH(COLUMNS($V$1006:AA1006),$V$1006:$AE$1006,0)), HYPERLINK("#",""), HYPERLINK(CONCATENATE("#Metadata!", ADDRESS(INDEX($Q$2:$Q$1001,MATCH(ROWS($O$2:O319),$O$2:$O$1001,0),0), INDEX($V$1004:$AE$1004,1,MATCH(COLUMNS($V$1006:AA1006),$V$1006:$AE$1006,0)))),"Fix")))</f>
        <v>0</v>
      </c>
      <c r="H319" s="3">
        <f>IF(OR(INDEX($P$2:$P$1001,MATCH(ROWS($O$2:O319),$O$2:$O$1001,0),1)&gt;=100000,INDEX($V$1005:$AE$1005,1,MATCH(COLUMNS($V$1006:AB1006),$V$1006:$AE$1006,0))&gt;=100000), " ",IF(INDEX($V$2:$AE$1001,MATCH(ROWS($O$2:O319),$O$2:$O$1001,0),MATCH(COLUMNS($V$1006:AB1006),$V$1006:$AE$1006,0)), HYPERLINK("#",""), HYPERLINK(CONCATENATE("#Metadata!", ADDRESS(INDEX($Q$2:$Q$1001,MATCH(ROWS($O$2:O319),$O$2:$O$1001,0),0), INDEX($V$1004:$AE$1004,1,MATCH(COLUMNS($V$1006:AB1006),$V$1006:$AE$1006,0)))),"Fix")))</f>
        <v>0</v>
      </c>
      <c r="I319" s="3">
        <f>IF(OR(INDEX($P$2:$P$1001,MATCH(ROWS($O$2:O319),$O$2:$O$1001,0),1)&gt;=100000,INDEX($V$1005:$AE$1005,1,MATCH(COLUMNS($V$1006:AC1006),$V$1006:$AE$1006,0))&gt;=100000), " ",IF(INDEX($V$2:$AE$1001,MATCH(ROWS($O$2:O319),$O$2:$O$1001,0),MATCH(COLUMNS($V$1006:AC1006),$V$1006:$AE$1006,0)), HYPERLINK("#",""), HYPERLINK(CONCATENATE("#Metadata!", ADDRESS(INDEX($Q$2:$Q$1001,MATCH(ROWS($O$2:O319),$O$2:$O$1001,0),0), INDEX($V$1004:$AE$1004,1,MATCH(COLUMNS($V$1006:AC1006),$V$1006:$AE$1006,0)))),"Fix")))</f>
        <v>0</v>
      </c>
      <c r="J319" s="3">
        <f>IF(OR(INDEX($P$2:$P$1001,MATCH(ROWS($O$2:O319),$O$2:$O$1001,0),1)&gt;=100000,INDEX($V$1005:$AE$1005,1,MATCH(COLUMNS($V$1006:AD1006),$V$1006:$AE$1006,0))&gt;=100000), " ",IF(INDEX($V$2:$AE$1001,MATCH(ROWS($O$2:O319),$O$2:$O$1001,0),MATCH(COLUMNS($V$1006:AD1006),$V$1006:$AE$1006,0)), HYPERLINK("#",""), HYPERLINK(CONCATENATE("#Metadata!", ADDRESS(INDEX($Q$2:$Q$1001,MATCH(ROWS($O$2:O319),$O$2:$O$1001,0),0), INDEX($V$1004:$AE$1004,1,MATCH(COLUMNS($V$1006:AD1006),$V$1006:$AE$1006,0)))),"Fix")))</f>
        <v>0</v>
      </c>
      <c r="K319" s="3">
        <f>IF(OR(INDEX($P$2:$P$1001,MATCH(ROWS($O$2:O319),$O$2:$O$1001,0),1)&gt;=100000,INDEX($V$1005:$AE$1005,1,MATCH(COLUMNS($V$1006:AE1006),$V$1006:$AE$1006,0))&gt;=100000), " ",IF(INDEX($V$2:$AE$1001,MATCH(ROWS($O$2:O319),$O$2:$O$1001,0),MATCH(COLUMNS($V$1006:AE1006),$V$1006:$AE$1006,0)), HYPERLINK("#",""), HYPERLINK(CONCATENATE("#Metadata!", ADDRESS(INDEX($Q$2:$Q$1001,MATCH(ROWS($O$2:O319),$O$2:$O$1001,0),0), INDEX($V$1004:$AE$1004,1,MATCH(COLUMNS($V$1006:AE1006),$V$1006:$AE$1006,0)))),"Fix")))</f>
        <v>0</v>
      </c>
      <c r="O319">
        <v>0</v>
      </c>
      <c r="P319">
        <v>0</v>
      </c>
      <c r="Q319">
        <v>0</v>
      </c>
      <c r="R319">
        <f>IF(S319,TRUE,AND(V319:AE319))</f>
        <v>0</v>
      </c>
      <c r="S319">
        <f>COUNTBLANK(Metadata!B319:K319)=COLUMNS(Metadata!B319:K319)</f>
        <v>0</v>
      </c>
      <c r="T319">
        <v>0</v>
      </c>
      <c r="V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W319">
        <f>AND(IF(Metadata!C319="",FALSE,TRUE),exact(Metadata!C319,"animal secretion"))</f>
        <v>0</v>
      </c>
      <c r="X319">
        <f>AND(IF(Metadata!D319="",FALSE,TRUE),exact(Metadata!D319,"saliva"))</f>
        <v>0</v>
      </c>
      <c r="Y319">
        <f>AND(IF(Metadata!E319="",FALSE,TRUE),exact(Metadata!E319,"human-oral"))</f>
        <v>0</v>
      </c>
      <c r="Z319">
        <f>AND(IF(Metadata!F319="",FALSE,TRUE),exact(Metadata!F319,"UBERON:oral cavity"))</f>
        <v>0</v>
      </c>
      <c r="AA319">
        <f>AND(IF(Metadata!G319="",FALSE,TRUE),exact(Metadata!G319,"UBERON:saliva"))</f>
        <v>0</v>
      </c>
      <c r="AB319">
        <f>AND(IF(Metadata!H319="",FALSE,TRUE),exact(Metadata!H319,"UBERON:tongue"))</f>
        <v>0</v>
      </c>
      <c r="AC319">
        <f>AND(IF(Metadata!I319="",FALSE,TRUE),exact(Metadata!I319,"tongue"))</f>
        <v>0</v>
      </c>
      <c r="AD319">
        <f>AND(IF(Metadata!J319="",FALSE,TRUE),exact(Metadata!J319,"human oral metagenome"))</f>
        <v>0</v>
      </c>
      <c r="AE319">
        <f>AND(IF(Metadata!K319="",FALSE,TRUE),exact(Metadata!K319,"447426"))</f>
        <v>0</v>
      </c>
    </row>
    <row r="320" spans="1:31">
      <c r="A320" s="4">
        <f>IF(B320=" "," ",HYPERLINK(CONCATENATE("#metadata!",ADDRESS(INDEX($Q$2:$Q$1001,MATCH(ROWS($O$2:O320),$O$2:$O$1001,0),0),1)),INDEX($T$2:$T$1001,MATCH(ROWS($O$2:O320),$O$2:$O$1001,0),0)))</f>
        <v>0</v>
      </c>
      <c r="B320" s="3">
        <f>IF(OR(INDEX($P$2:$P$1001,MATCH(ROWS($O$2:O320),$O$2:$O$1001,0),1)&gt;=100000,INDEX($V$1005:$AE$1005,1,MATCH(COLUMNS($V$1006:V1006),$V$1006:$AE$1006,0))&gt;=100000), " ",IF(INDEX($V$2:$AE$1001,MATCH(ROWS($O$2:O320),$O$2:$O$1001,0),MATCH(COLUMNS($V$1006:V1006),$V$1006:$AE$1006,0)), HYPERLINK("#",""), HYPERLINK(CONCATENATE("#Metadata!", ADDRESS(INDEX($Q$2:$Q$1001,MATCH(ROWS($O$2:O320),$O$2:$O$1001,0),0), INDEX($V$1004:$AE$1004,1,MATCH(COLUMNS($V$1006:V1006),$V$1006:$AE$1006,0)))),"Fix")))</f>
        <v>0</v>
      </c>
      <c r="C320" s="3">
        <f>IF(OR(INDEX($P$2:$P$1001,MATCH(ROWS($O$2:O320),$O$2:$O$1001,0),1)&gt;=100000,INDEX($V$1005:$AE$1005,1,MATCH(COLUMNS($V$1006:W1006),$V$1006:$AE$1006,0))&gt;=100000), " ",IF(INDEX($V$2:$AE$1001,MATCH(ROWS($O$2:O320),$O$2:$O$1001,0),MATCH(COLUMNS($V$1006:W1006),$V$1006:$AE$1006,0)), HYPERLINK("#",""), HYPERLINK(CONCATENATE("#Metadata!", ADDRESS(INDEX($Q$2:$Q$1001,MATCH(ROWS($O$2:O320),$O$2:$O$1001,0),0), INDEX($V$1004:$AE$1004,1,MATCH(COLUMNS($V$1006:W1006),$V$1006:$AE$1006,0)))),"Fix")))</f>
        <v>0</v>
      </c>
      <c r="D320" s="3">
        <f>IF(OR(INDEX($P$2:$P$1001,MATCH(ROWS($O$2:O320),$O$2:$O$1001,0),1)&gt;=100000,INDEX($V$1005:$AE$1005,1,MATCH(COLUMNS($V$1006:X1006),$V$1006:$AE$1006,0))&gt;=100000), " ",IF(INDEX($V$2:$AE$1001,MATCH(ROWS($O$2:O320),$O$2:$O$1001,0),MATCH(COLUMNS($V$1006:X1006),$V$1006:$AE$1006,0)), HYPERLINK("#",""), HYPERLINK(CONCATENATE("#Metadata!", ADDRESS(INDEX($Q$2:$Q$1001,MATCH(ROWS($O$2:O320),$O$2:$O$1001,0),0), INDEX($V$1004:$AE$1004,1,MATCH(COLUMNS($V$1006:X1006),$V$1006:$AE$1006,0)))),"Fix")))</f>
        <v>0</v>
      </c>
      <c r="E320" s="3">
        <f>IF(OR(INDEX($P$2:$P$1001,MATCH(ROWS($O$2:O320),$O$2:$O$1001,0),1)&gt;=100000,INDEX($V$1005:$AE$1005,1,MATCH(COLUMNS($V$1006:Y1006),$V$1006:$AE$1006,0))&gt;=100000), " ",IF(INDEX($V$2:$AE$1001,MATCH(ROWS($O$2:O320),$O$2:$O$1001,0),MATCH(COLUMNS($V$1006:Y1006),$V$1006:$AE$1006,0)), HYPERLINK("#",""), HYPERLINK(CONCATENATE("#Metadata!", ADDRESS(INDEX($Q$2:$Q$1001,MATCH(ROWS($O$2:O320),$O$2:$O$1001,0),0), INDEX($V$1004:$AE$1004,1,MATCH(COLUMNS($V$1006:Y1006),$V$1006:$AE$1006,0)))),"Fix")))</f>
        <v>0</v>
      </c>
      <c r="F320" s="3">
        <f>IF(OR(INDEX($P$2:$P$1001,MATCH(ROWS($O$2:O320),$O$2:$O$1001,0),1)&gt;=100000,INDEX($V$1005:$AE$1005,1,MATCH(COLUMNS($V$1006:Z1006),$V$1006:$AE$1006,0))&gt;=100000), " ",IF(INDEX($V$2:$AE$1001,MATCH(ROWS($O$2:O320),$O$2:$O$1001,0),MATCH(COLUMNS($V$1006:Z1006),$V$1006:$AE$1006,0)), HYPERLINK("#",""), HYPERLINK(CONCATENATE("#Metadata!", ADDRESS(INDEX($Q$2:$Q$1001,MATCH(ROWS($O$2:O320),$O$2:$O$1001,0),0), INDEX($V$1004:$AE$1004,1,MATCH(COLUMNS($V$1006:Z1006),$V$1006:$AE$1006,0)))),"Fix")))</f>
        <v>0</v>
      </c>
      <c r="G320" s="3">
        <f>IF(OR(INDEX($P$2:$P$1001,MATCH(ROWS($O$2:O320),$O$2:$O$1001,0),1)&gt;=100000,INDEX($V$1005:$AE$1005,1,MATCH(COLUMNS($V$1006:AA1006),$V$1006:$AE$1006,0))&gt;=100000), " ",IF(INDEX($V$2:$AE$1001,MATCH(ROWS($O$2:O320),$O$2:$O$1001,0),MATCH(COLUMNS($V$1006:AA1006),$V$1006:$AE$1006,0)), HYPERLINK("#",""), HYPERLINK(CONCATENATE("#Metadata!", ADDRESS(INDEX($Q$2:$Q$1001,MATCH(ROWS($O$2:O320),$O$2:$O$1001,0),0), INDEX($V$1004:$AE$1004,1,MATCH(COLUMNS($V$1006:AA1006),$V$1006:$AE$1006,0)))),"Fix")))</f>
        <v>0</v>
      </c>
      <c r="H320" s="3">
        <f>IF(OR(INDEX($P$2:$P$1001,MATCH(ROWS($O$2:O320),$O$2:$O$1001,0),1)&gt;=100000,INDEX($V$1005:$AE$1005,1,MATCH(COLUMNS($V$1006:AB1006),$V$1006:$AE$1006,0))&gt;=100000), " ",IF(INDEX($V$2:$AE$1001,MATCH(ROWS($O$2:O320),$O$2:$O$1001,0),MATCH(COLUMNS($V$1006:AB1006),$V$1006:$AE$1006,0)), HYPERLINK("#",""), HYPERLINK(CONCATENATE("#Metadata!", ADDRESS(INDEX($Q$2:$Q$1001,MATCH(ROWS($O$2:O320),$O$2:$O$1001,0),0), INDEX($V$1004:$AE$1004,1,MATCH(COLUMNS($V$1006:AB1006),$V$1006:$AE$1006,0)))),"Fix")))</f>
        <v>0</v>
      </c>
      <c r="I320" s="3">
        <f>IF(OR(INDEX($P$2:$P$1001,MATCH(ROWS($O$2:O320),$O$2:$O$1001,0),1)&gt;=100000,INDEX($V$1005:$AE$1005,1,MATCH(COLUMNS($V$1006:AC1006),$V$1006:$AE$1006,0))&gt;=100000), " ",IF(INDEX($V$2:$AE$1001,MATCH(ROWS($O$2:O320),$O$2:$O$1001,0),MATCH(COLUMNS($V$1006:AC1006),$V$1006:$AE$1006,0)), HYPERLINK("#",""), HYPERLINK(CONCATENATE("#Metadata!", ADDRESS(INDEX($Q$2:$Q$1001,MATCH(ROWS($O$2:O320),$O$2:$O$1001,0),0), INDEX($V$1004:$AE$1004,1,MATCH(COLUMNS($V$1006:AC1006),$V$1006:$AE$1006,0)))),"Fix")))</f>
        <v>0</v>
      </c>
      <c r="J320" s="3">
        <f>IF(OR(INDEX($P$2:$P$1001,MATCH(ROWS($O$2:O320),$O$2:$O$1001,0),1)&gt;=100000,INDEX($V$1005:$AE$1005,1,MATCH(COLUMNS($V$1006:AD1006),$V$1006:$AE$1006,0))&gt;=100000), " ",IF(INDEX($V$2:$AE$1001,MATCH(ROWS($O$2:O320),$O$2:$O$1001,0),MATCH(COLUMNS($V$1006:AD1006),$V$1006:$AE$1006,0)), HYPERLINK("#",""), HYPERLINK(CONCATENATE("#Metadata!", ADDRESS(INDEX($Q$2:$Q$1001,MATCH(ROWS($O$2:O320),$O$2:$O$1001,0),0), INDEX($V$1004:$AE$1004,1,MATCH(COLUMNS($V$1006:AD1006),$V$1006:$AE$1006,0)))),"Fix")))</f>
        <v>0</v>
      </c>
      <c r="K320" s="3">
        <f>IF(OR(INDEX($P$2:$P$1001,MATCH(ROWS($O$2:O320),$O$2:$O$1001,0),1)&gt;=100000,INDEX($V$1005:$AE$1005,1,MATCH(COLUMNS($V$1006:AE1006),$V$1006:$AE$1006,0))&gt;=100000), " ",IF(INDEX($V$2:$AE$1001,MATCH(ROWS($O$2:O320),$O$2:$O$1001,0),MATCH(COLUMNS($V$1006:AE1006),$V$1006:$AE$1006,0)), HYPERLINK("#",""), HYPERLINK(CONCATENATE("#Metadata!", ADDRESS(INDEX($Q$2:$Q$1001,MATCH(ROWS($O$2:O320),$O$2:$O$1001,0),0), INDEX($V$1004:$AE$1004,1,MATCH(COLUMNS($V$1006:AE1006),$V$1006:$AE$1006,0)))),"Fix")))</f>
        <v>0</v>
      </c>
      <c r="O320">
        <v>0</v>
      </c>
      <c r="P320">
        <v>0</v>
      </c>
      <c r="Q320">
        <v>0</v>
      </c>
      <c r="R320">
        <f>IF(S320,TRUE,AND(V320:AE320))</f>
        <v>0</v>
      </c>
      <c r="S320">
        <f>COUNTBLANK(Metadata!B320:K320)=COLUMNS(Metadata!B320:K320)</f>
        <v>0</v>
      </c>
      <c r="T320">
        <v>0</v>
      </c>
      <c r="V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W320">
        <f>AND(IF(Metadata!C320="",FALSE,TRUE),exact(Metadata!C320,"animal secretion"))</f>
        <v>0</v>
      </c>
      <c r="X320">
        <f>AND(IF(Metadata!D320="",FALSE,TRUE),exact(Metadata!D320,"saliva"))</f>
        <v>0</v>
      </c>
      <c r="Y320">
        <f>AND(IF(Metadata!E320="",FALSE,TRUE),exact(Metadata!E320,"human-oral"))</f>
        <v>0</v>
      </c>
      <c r="Z320">
        <f>AND(IF(Metadata!F320="",FALSE,TRUE),exact(Metadata!F320,"UBERON:oral cavity"))</f>
        <v>0</v>
      </c>
      <c r="AA320">
        <f>AND(IF(Metadata!G320="",FALSE,TRUE),exact(Metadata!G320,"UBERON:saliva"))</f>
        <v>0</v>
      </c>
      <c r="AB320">
        <f>AND(IF(Metadata!H320="",FALSE,TRUE),exact(Metadata!H320,"UBERON:tongue"))</f>
        <v>0</v>
      </c>
      <c r="AC320">
        <f>AND(IF(Metadata!I320="",FALSE,TRUE),exact(Metadata!I320,"tongue"))</f>
        <v>0</v>
      </c>
      <c r="AD320">
        <f>AND(IF(Metadata!J320="",FALSE,TRUE),exact(Metadata!J320,"human oral metagenome"))</f>
        <v>0</v>
      </c>
      <c r="AE320">
        <f>AND(IF(Metadata!K320="",FALSE,TRUE),exact(Metadata!K320,"447426"))</f>
        <v>0</v>
      </c>
    </row>
    <row r="321" spans="1:31">
      <c r="A321" s="4">
        <f>IF(B321=" "," ",HYPERLINK(CONCATENATE("#metadata!",ADDRESS(INDEX($Q$2:$Q$1001,MATCH(ROWS($O$2:O321),$O$2:$O$1001,0),0),1)),INDEX($T$2:$T$1001,MATCH(ROWS($O$2:O321),$O$2:$O$1001,0),0)))</f>
        <v>0</v>
      </c>
      <c r="B321" s="3">
        <f>IF(OR(INDEX($P$2:$P$1001,MATCH(ROWS($O$2:O321),$O$2:$O$1001,0),1)&gt;=100000,INDEX($V$1005:$AE$1005,1,MATCH(COLUMNS($V$1006:V1006),$V$1006:$AE$1006,0))&gt;=100000), " ",IF(INDEX($V$2:$AE$1001,MATCH(ROWS($O$2:O321),$O$2:$O$1001,0),MATCH(COLUMNS($V$1006:V1006),$V$1006:$AE$1006,0)), HYPERLINK("#",""), HYPERLINK(CONCATENATE("#Metadata!", ADDRESS(INDEX($Q$2:$Q$1001,MATCH(ROWS($O$2:O321),$O$2:$O$1001,0),0), INDEX($V$1004:$AE$1004,1,MATCH(COLUMNS($V$1006:V1006),$V$1006:$AE$1006,0)))),"Fix")))</f>
        <v>0</v>
      </c>
      <c r="C321" s="3">
        <f>IF(OR(INDEX($P$2:$P$1001,MATCH(ROWS($O$2:O321),$O$2:$O$1001,0),1)&gt;=100000,INDEX($V$1005:$AE$1005,1,MATCH(COLUMNS($V$1006:W1006),$V$1006:$AE$1006,0))&gt;=100000), " ",IF(INDEX($V$2:$AE$1001,MATCH(ROWS($O$2:O321),$O$2:$O$1001,0),MATCH(COLUMNS($V$1006:W1006),$V$1006:$AE$1006,0)), HYPERLINK("#",""), HYPERLINK(CONCATENATE("#Metadata!", ADDRESS(INDEX($Q$2:$Q$1001,MATCH(ROWS($O$2:O321),$O$2:$O$1001,0),0), INDEX($V$1004:$AE$1004,1,MATCH(COLUMNS($V$1006:W1006),$V$1006:$AE$1006,0)))),"Fix")))</f>
        <v>0</v>
      </c>
      <c r="D321" s="3">
        <f>IF(OR(INDEX($P$2:$P$1001,MATCH(ROWS($O$2:O321),$O$2:$O$1001,0),1)&gt;=100000,INDEX($V$1005:$AE$1005,1,MATCH(COLUMNS($V$1006:X1006),$V$1006:$AE$1006,0))&gt;=100000), " ",IF(INDEX($V$2:$AE$1001,MATCH(ROWS($O$2:O321),$O$2:$O$1001,0),MATCH(COLUMNS($V$1006:X1006),$V$1006:$AE$1006,0)), HYPERLINK("#",""), HYPERLINK(CONCATENATE("#Metadata!", ADDRESS(INDEX($Q$2:$Q$1001,MATCH(ROWS($O$2:O321),$O$2:$O$1001,0),0), INDEX($V$1004:$AE$1004,1,MATCH(COLUMNS($V$1006:X1006),$V$1006:$AE$1006,0)))),"Fix")))</f>
        <v>0</v>
      </c>
      <c r="E321" s="3">
        <f>IF(OR(INDEX($P$2:$P$1001,MATCH(ROWS($O$2:O321),$O$2:$O$1001,0),1)&gt;=100000,INDEX($V$1005:$AE$1005,1,MATCH(COLUMNS($V$1006:Y1006),$V$1006:$AE$1006,0))&gt;=100000), " ",IF(INDEX($V$2:$AE$1001,MATCH(ROWS($O$2:O321),$O$2:$O$1001,0),MATCH(COLUMNS($V$1006:Y1006),$V$1006:$AE$1006,0)), HYPERLINK("#",""), HYPERLINK(CONCATENATE("#Metadata!", ADDRESS(INDEX($Q$2:$Q$1001,MATCH(ROWS($O$2:O321),$O$2:$O$1001,0),0), INDEX($V$1004:$AE$1004,1,MATCH(COLUMNS($V$1006:Y1006),$V$1006:$AE$1006,0)))),"Fix")))</f>
        <v>0</v>
      </c>
      <c r="F321" s="3">
        <f>IF(OR(INDEX($P$2:$P$1001,MATCH(ROWS($O$2:O321),$O$2:$O$1001,0),1)&gt;=100000,INDEX($V$1005:$AE$1005,1,MATCH(COLUMNS($V$1006:Z1006),$V$1006:$AE$1006,0))&gt;=100000), " ",IF(INDEX($V$2:$AE$1001,MATCH(ROWS($O$2:O321),$O$2:$O$1001,0),MATCH(COLUMNS($V$1006:Z1006),$V$1006:$AE$1006,0)), HYPERLINK("#",""), HYPERLINK(CONCATENATE("#Metadata!", ADDRESS(INDEX($Q$2:$Q$1001,MATCH(ROWS($O$2:O321),$O$2:$O$1001,0),0), INDEX($V$1004:$AE$1004,1,MATCH(COLUMNS($V$1006:Z1006),$V$1006:$AE$1006,0)))),"Fix")))</f>
        <v>0</v>
      </c>
      <c r="G321" s="3">
        <f>IF(OR(INDEX($P$2:$P$1001,MATCH(ROWS($O$2:O321),$O$2:$O$1001,0),1)&gt;=100000,INDEX($V$1005:$AE$1005,1,MATCH(COLUMNS($V$1006:AA1006),$V$1006:$AE$1006,0))&gt;=100000), " ",IF(INDEX($V$2:$AE$1001,MATCH(ROWS($O$2:O321),$O$2:$O$1001,0),MATCH(COLUMNS($V$1006:AA1006),$V$1006:$AE$1006,0)), HYPERLINK("#",""), HYPERLINK(CONCATENATE("#Metadata!", ADDRESS(INDEX($Q$2:$Q$1001,MATCH(ROWS($O$2:O321),$O$2:$O$1001,0),0), INDEX($V$1004:$AE$1004,1,MATCH(COLUMNS($V$1006:AA1006),$V$1006:$AE$1006,0)))),"Fix")))</f>
        <v>0</v>
      </c>
      <c r="H321" s="3">
        <f>IF(OR(INDEX($P$2:$P$1001,MATCH(ROWS($O$2:O321),$O$2:$O$1001,0),1)&gt;=100000,INDEX($V$1005:$AE$1005,1,MATCH(COLUMNS($V$1006:AB1006),$V$1006:$AE$1006,0))&gt;=100000), " ",IF(INDEX($V$2:$AE$1001,MATCH(ROWS($O$2:O321),$O$2:$O$1001,0),MATCH(COLUMNS($V$1006:AB1006),$V$1006:$AE$1006,0)), HYPERLINK("#",""), HYPERLINK(CONCATENATE("#Metadata!", ADDRESS(INDEX($Q$2:$Q$1001,MATCH(ROWS($O$2:O321),$O$2:$O$1001,0),0), INDEX($V$1004:$AE$1004,1,MATCH(COLUMNS($V$1006:AB1006),$V$1006:$AE$1006,0)))),"Fix")))</f>
        <v>0</v>
      </c>
      <c r="I321" s="3">
        <f>IF(OR(INDEX($P$2:$P$1001,MATCH(ROWS($O$2:O321),$O$2:$O$1001,0),1)&gt;=100000,INDEX($V$1005:$AE$1005,1,MATCH(COLUMNS($V$1006:AC1006),$V$1006:$AE$1006,0))&gt;=100000), " ",IF(INDEX($V$2:$AE$1001,MATCH(ROWS($O$2:O321),$O$2:$O$1001,0),MATCH(COLUMNS($V$1006:AC1006),$V$1006:$AE$1006,0)), HYPERLINK("#",""), HYPERLINK(CONCATENATE("#Metadata!", ADDRESS(INDEX($Q$2:$Q$1001,MATCH(ROWS($O$2:O321),$O$2:$O$1001,0),0), INDEX($V$1004:$AE$1004,1,MATCH(COLUMNS($V$1006:AC1006),$V$1006:$AE$1006,0)))),"Fix")))</f>
        <v>0</v>
      </c>
      <c r="J321" s="3">
        <f>IF(OR(INDEX($P$2:$P$1001,MATCH(ROWS($O$2:O321),$O$2:$O$1001,0),1)&gt;=100000,INDEX($V$1005:$AE$1005,1,MATCH(COLUMNS($V$1006:AD1006),$V$1006:$AE$1006,0))&gt;=100000), " ",IF(INDEX($V$2:$AE$1001,MATCH(ROWS($O$2:O321),$O$2:$O$1001,0),MATCH(COLUMNS($V$1006:AD1006),$V$1006:$AE$1006,0)), HYPERLINK("#",""), HYPERLINK(CONCATENATE("#Metadata!", ADDRESS(INDEX($Q$2:$Q$1001,MATCH(ROWS($O$2:O321),$O$2:$O$1001,0),0), INDEX($V$1004:$AE$1004,1,MATCH(COLUMNS($V$1006:AD1006),$V$1006:$AE$1006,0)))),"Fix")))</f>
        <v>0</v>
      </c>
      <c r="K321" s="3">
        <f>IF(OR(INDEX($P$2:$P$1001,MATCH(ROWS($O$2:O321),$O$2:$O$1001,0),1)&gt;=100000,INDEX($V$1005:$AE$1005,1,MATCH(COLUMNS($V$1006:AE1006),$V$1006:$AE$1006,0))&gt;=100000), " ",IF(INDEX($V$2:$AE$1001,MATCH(ROWS($O$2:O321),$O$2:$O$1001,0),MATCH(COLUMNS($V$1006:AE1006),$V$1006:$AE$1006,0)), HYPERLINK("#",""), HYPERLINK(CONCATENATE("#Metadata!", ADDRESS(INDEX($Q$2:$Q$1001,MATCH(ROWS($O$2:O321),$O$2:$O$1001,0),0), INDEX($V$1004:$AE$1004,1,MATCH(COLUMNS($V$1006:AE1006),$V$1006:$AE$1006,0)))),"Fix")))</f>
        <v>0</v>
      </c>
      <c r="O321">
        <v>0</v>
      </c>
      <c r="P321">
        <v>0</v>
      </c>
      <c r="Q321">
        <v>0</v>
      </c>
      <c r="R321">
        <f>IF(S321,TRUE,AND(V321:AE321))</f>
        <v>0</v>
      </c>
      <c r="S321">
        <f>COUNTBLANK(Metadata!B321:K321)=COLUMNS(Metadata!B321:K321)</f>
        <v>0</v>
      </c>
      <c r="T321">
        <v>0</v>
      </c>
      <c r="V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W321">
        <f>AND(IF(Metadata!C321="",FALSE,TRUE),exact(Metadata!C321,"animal secretion"))</f>
        <v>0</v>
      </c>
      <c r="X321">
        <f>AND(IF(Metadata!D321="",FALSE,TRUE),exact(Metadata!D321,"saliva"))</f>
        <v>0</v>
      </c>
      <c r="Y321">
        <f>AND(IF(Metadata!E321="",FALSE,TRUE),exact(Metadata!E321,"human-oral"))</f>
        <v>0</v>
      </c>
      <c r="Z321">
        <f>AND(IF(Metadata!F321="",FALSE,TRUE),exact(Metadata!F321,"UBERON:oral cavity"))</f>
        <v>0</v>
      </c>
      <c r="AA321">
        <f>AND(IF(Metadata!G321="",FALSE,TRUE),exact(Metadata!G321,"UBERON:saliva"))</f>
        <v>0</v>
      </c>
      <c r="AB321">
        <f>AND(IF(Metadata!H321="",FALSE,TRUE),exact(Metadata!H321,"UBERON:tongue"))</f>
        <v>0</v>
      </c>
      <c r="AC321">
        <f>AND(IF(Metadata!I321="",FALSE,TRUE),exact(Metadata!I321,"tongue"))</f>
        <v>0</v>
      </c>
      <c r="AD321">
        <f>AND(IF(Metadata!J321="",FALSE,TRUE),exact(Metadata!J321,"human oral metagenome"))</f>
        <v>0</v>
      </c>
      <c r="AE321">
        <f>AND(IF(Metadata!K321="",FALSE,TRUE),exact(Metadata!K321,"447426"))</f>
        <v>0</v>
      </c>
    </row>
    <row r="322" spans="1:31">
      <c r="A322" s="4">
        <f>IF(B322=" "," ",HYPERLINK(CONCATENATE("#metadata!",ADDRESS(INDEX($Q$2:$Q$1001,MATCH(ROWS($O$2:O322),$O$2:$O$1001,0),0),1)),INDEX($T$2:$T$1001,MATCH(ROWS($O$2:O322),$O$2:$O$1001,0),0)))</f>
        <v>0</v>
      </c>
      <c r="B322" s="3">
        <f>IF(OR(INDEX($P$2:$P$1001,MATCH(ROWS($O$2:O322),$O$2:$O$1001,0),1)&gt;=100000,INDEX($V$1005:$AE$1005,1,MATCH(COLUMNS($V$1006:V1006),$V$1006:$AE$1006,0))&gt;=100000), " ",IF(INDEX($V$2:$AE$1001,MATCH(ROWS($O$2:O322),$O$2:$O$1001,0),MATCH(COLUMNS($V$1006:V1006),$V$1006:$AE$1006,0)), HYPERLINK("#",""), HYPERLINK(CONCATENATE("#Metadata!", ADDRESS(INDEX($Q$2:$Q$1001,MATCH(ROWS($O$2:O322),$O$2:$O$1001,0),0), INDEX($V$1004:$AE$1004,1,MATCH(COLUMNS($V$1006:V1006),$V$1006:$AE$1006,0)))),"Fix")))</f>
        <v>0</v>
      </c>
      <c r="C322" s="3">
        <f>IF(OR(INDEX($P$2:$P$1001,MATCH(ROWS($O$2:O322),$O$2:$O$1001,0),1)&gt;=100000,INDEX($V$1005:$AE$1005,1,MATCH(COLUMNS($V$1006:W1006),$V$1006:$AE$1006,0))&gt;=100000), " ",IF(INDEX($V$2:$AE$1001,MATCH(ROWS($O$2:O322),$O$2:$O$1001,0),MATCH(COLUMNS($V$1006:W1006),$V$1006:$AE$1006,0)), HYPERLINK("#",""), HYPERLINK(CONCATENATE("#Metadata!", ADDRESS(INDEX($Q$2:$Q$1001,MATCH(ROWS($O$2:O322),$O$2:$O$1001,0),0), INDEX($V$1004:$AE$1004,1,MATCH(COLUMNS($V$1006:W1006),$V$1006:$AE$1006,0)))),"Fix")))</f>
        <v>0</v>
      </c>
      <c r="D322" s="3">
        <f>IF(OR(INDEX($P$2:$P$1001,MATCH(ROWS($O$2:O322),$O$2:$O$1001,0),1)&gt;=100000,INDEX($V$1005:$AE$1005,1,MATCH(COLUMNS($V$1006:X1006),$V$1006:$AE$1006,0))&gt;=100000), " ",IF(INDEX($V$2:$AE$1001,MATCH(ROWS($O$2:O322),$O$2:$O$1001,0),MATCH(COLUMNS($V$1006:X1006),$V$1006:$AE$1006,0)), HYPERLINK("#",""), HYPERLINK(CONCATENATE("#Metadata!", ADDRESS(INDEX($Q$2:$Q$1001,MATCH(ROWS($O$2:O322),$O$2:$O$1001,0),0), INDEX($V$1004:$AE$1004,1,MATCH(COLUMNS($V$1006:X1006),$V$1006:$AE$1006,0)))),"Fix")))</f>
        <v>0</v>
      </c>
      <c r="E322" s="3">
        <f>IF(OR(INDEX($P$2:$P$1001,MATCH(ROWS($O$2:O322),$O$2:$O$1001,0),1)&gt;=100000,INDEX($V$1005:$AE$1005,1,MATCH(COLUMNS($V$1006:Y1006),$V$1006:$AE$1006,0))&gt;=100000), " ",IF(INDEX($V$2:$AE$1001,MATCH(ROWS($O$2:O322),$O$2:$O$1001,0),MATCH(COLUMNS($V$1006:Y1006),$V$1006:$AE$1006,0)), HYPERLINK("#",""), HYPERLINK(CONCATENATE("#Metadata!", ADDRESS(INDEX($Q$2:$Q$1001,MATCH(ROWS($O$2:O322),$O$2:$O$1001,0),0), INDEX($V$1004:$AE$1004,1,MATCH(COLUMNS($V$1006:Y1006),$V$1006:$AE$1006,0)))),"Fix")))</f>
        <v>0</v>
      </c>
      <c r="F322" s="3">
        <f>IF(OR(INDEX($P$2:$P$1001,MATCH(ROWS($O$2:O322),$O$2:$O$1001,0),1)&gt;=100000,INDEX($V$1005:$AE$1005,1,MATCH(COLUMNS($V$1006:Z1006),$V$1006:$AE$1006,0))&gt;=100000), " ",IF(INDEX($V$2:$AE$1001,MATCH(ROWS($O$2:O322),$O$2:$O$1001,0),MATCH(COLUMNS($V$1006:Z1006),$V$1006:$AE$1006,0)), HYPERLINK("#",""), HYPERLINK(CONCATENATE("#Metadata!", ADDRESS(INDEX($Q$2:$Q$1001,MATCH(ROWS($O$2:O322),$O$2:$O$1001,0),0), INDEX($V$1004:$AE$1004,1,MATCH(COLUMNS($V$1006:Z1006),$V$1006:$AE$1006,0)))),"Fix")))</f>
        <v>0</v>
      </c>
      <c r="G322" s="3">
        <f>IF(OR(INDEX($P$2:$P$1001,MATCH(ROWS($O$2:O322),$O$2:$O$1001,0),1)&gt;=100000,INDEX($V$1005:$AE$1005,1,MATCH(COLUMNS($V$1006:AA1006),$V$1006:$AE$1006,0))&gt;=100000), " ",IF(INDEX($V$2:$AE$1001,MATCH(ROWS($O$2:O322),$O$2:$O$1001,0),MATCH(COLUMNS($V$1006:AA1006),$V$1006:$AE$1006,0)), HYPERLINK("#",""), HYPERLINK(CONCATENATE("#Metadata!", ADDRESS(INDEX($Q$2:$Q$1001,MATCH(ROWS($O$2:O322),$O$2:$O$1001,0),0), INDEX($V$1004:$AE$1004,1,MATCH(COLUMNS($V$1006:AA1006),$V$1006:$AE$1006,0)))),"Fix")))</f>
        <v>0</v>
      </c>
      <c r="H322" s="3">
        <f>IF(OR(INDEX($P$2:$P$1001,MATCH(ROWS($O$2:O322),$O$2:$O$1001,0),1)&gt;=100000,INDEX($V$1005:$AE$1005,1,MATCH(COLUMNS($V$1006:AB1006),$V$1006:$AE$1006,0))&gt;=100000), " ",IF(INDEX($V$2:$AE$1001,MATCH(ROWS($O$2:O322),$O$2:$O$1001,0),MATCH(COLUMNS($V$1006:AB1006),$V$1006:$AE$1006,0)), HYPERLINK("#",""), HYPERLINK(CONCATENATE("#Metadata!", ADDRESS(INDEX($Q$2:$Q$1001,MATCH(ROWS($O$2:O322),$O$2:$O$1001,0),0), INDEX($V$1004:$AE$1004,1,MATCH(COLUMNS($V$1006:AB1006),$V$1006:$AE$1006,0)))),"Fix")))</f>
        <v>0</v>
      </c>
      <c r="I322" s="3">
        <f>IF(OR(INDEX($P$2:$P$1001,MATCH(ROWS($O$2:O322),$O$2:$O$1001,0),1)&gt;=100000,INDEX($V$1005:$AE$1005,1,MATCH(COLUMNS($V$1006:AC1006),$V$1006:$AE$1006,0))&gt;=100000), " ",IF(INDEX($V$2:$AE$1001,MATCH(ROWS($O$2:O322),$O$2:$O$1001,0),MATCH(COLUMNS($V$1006:AC1006),$V$1006:$AE$1006,0)), HYPERLINK("#",""), HYPERLINK(CONCATENATE("#Metadata!", ADDRESS(INDEX($Q$2:$Q$1001,MATCH(ROWS($O$2:O322),$O$2:$O$1001,0),0), INDEX($V$1004:$AE$1004,1,MATCH(COLUMNS($V$1006:AC1006),$V$1006:$AE$1006,0)))),"Fix")))</f>
        <v>0</v>
      </c>
      <c r="J322" s="3">
        <f>IF(OR(INDEX($P$2:$P$1001,MATCH(ROWS($O$2:O322),$O$2:$O$1001,0),1)&gt;=100000,INDEX($V$1005:$AE$1005,1,MATCH(COLUMNS($V$1006:AD1006),$V$1006:$AE$1006,0))&gt;=100000), " ",IF(INDEX($V$2:$AE$1001,MATCH(ROWS($O$2:O322),$O$2:$O$1001,0),MATCH(COLUMNS($V$1006:AD1006),$V$1006:$AE$1006,0)), HYPERLINK("#",""), HYPERLINK(CONCATENATE("#Metadata!", ADDRESS(INDEX($Q$2:$Q$1001,MATCH(ROWS($O$2:O322),$O$2:$O$1001,0),0), INDEX($V$1004:$AE$1004,1,MATCH(COLUMNS($V$1006:AD1006),$V$1006:$AE$1006,0)))),"Fix")))</f>
        <v>0</v>
      </c>
      <c r="K322" s="3">
        <f>IF(OR(INDEX($P$2:$P$1001,MATCH(ROWS($O$2:O322),$O$2:$O$1001,0),1)&gt;=100000,INDEX($V$1005:$AE$1005,1,MATCH(COLUMNS($V$1006:AE1006),$V$1006:$AE$1006,0))&gt;=100000), " ",IF(INDEX($V$2:$AE$1001,MATCH(ROWS($O$2:O322),$O$2:$O$1001,0),MATCH(COLUMNS($V$1006:AE1006),$V$1006:$AE$1006,0)), HYPERLINK("#",""), HYPERLINK(CONCATENATE("#Metadata!", ADDRESS(INDEX($Q$2:$Q$1001,MATCH(ROWS($O$2:O322),$O$2:$O$1001,0),0), INDEX($V$1004:$AE$1004,1,MATCH(COLUMNS($V$1006:AE1006),$V$1006:$AE$1006,0)))),"Fix")))</f>
        <v>0</v>
      </c>
      <c r="O322">
        <v>0</v>
      </c>
      <c r="P322">
        <v>0</v>
      </c>
      <c r="Q322">
        <v>0</v>
      </c>
      <c r="R322">
        <f>IF(S322,TRUE,AND(V322:AE322))</f>
        <v>0</v>
      </c>
      <c r="S322">
        <f>COUNTBLANK(Metadata!B322:K322)=COLUMNS(Metadata!B322:K322)</f>
        <v>0</v>
      </c>
      <c r="T322">
        <v>0</v>
      </c>
      <c r="V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W322">
        <f>AND(IF(Metadata!C322="",FALSE,TRUE),exact(Metadata!C322,"animal secretion"))</f>
        <v>0</v>
      </c>
      <c r="X322">
        <f>AND(IF(Metadata!D322="",FALSE,TRUE),exact(Metadata!D322,"saliva"))</f>
        <v>0</v>
      </c>
      <c r="Y322">
        <f>AND(IF(Metadata!E322="",FALSE,TRUE),exact(Metadata!E322,"human-oral"))</f>
        <v>0</v>
      </c>
      <c r="Z322">
        <f>AND(IF(Metadata!F322="",FALSE,TRUE),exact(Metadata!F322,"UBERON:oral cavity"))</f>
        <v>0</v>
      </c>
      <c r="AA322">
        <f>AND(IF(Metadata!G322="",FALSE,TRUE),exact(Metadata!G322,"UBERON:saliva"))</f>
        <v>0</v>
      </c>
      <c r="AB322">
        <f>AND(IF(Metadata!H322="",FALSE,TRUE),exact(Metadata!H322,"UBERON:tongue"))</f>
        <v>0</v>
      </c>
      <c r="AC322">
        <f>AND(IF(Metadata!I322="",FALSE,TRUE),exact(Metadata!I322,"tongue"))</f>
        <v>0</v>
      </c>
      <c r="AD322">
        <f>AND(IF(Metadata!J322="",FALSE,TRUE),exact(Metadata!J322,"human oral metagenome"))</f>
        <v>0</v>
      </c>
      <c r="AE322">
        <f>AND(IF(Metadata!K322="",FALSE,TRUE),exact(Metadata!K322,"447426"))</f>
        <v>0</v>
      </c>
    </row>
    <row r="323" spans="1:31">
      <c r="A323" s="4">
        <f>IF(B323=" "," ",HYPERLINK(CONCATENATE("#metadata!",ADDRESS(INDEX($Q$2:$Q$1001,MATCH(ROWS($O$2:O323),$O$2:$O$1001,0),0),1)),INDEX($T$2:$T$1001,MATCH(ROWS($O$2:O323),$O$2:$O$1001,0),0)))</f>
        <v>0</v>
      </c>
      <c r="B323" s="3">
        <f>IF(OR(INDEX($P$2:$P$1001,MATCH(ROWS($O$2:O323),$O$2:$O$1001,0),1)&gt;=100000,INDEX($V$1005:$AE$1005,1,MATCH(COLUMNS($V$1006:V1006),$V$1006:$AE$1006,0))&gt;=100000), " ",IF(INDEX($V$2:$AE$1001,MATCH(ROWS($O$2:O323),$O$2:$O$1001,0),MATCH(COLUMNS($V$1006:V1006),$V$1006:$AE$1006,0)), HYPERLINK("#",""), HYPERLINK(CONCATENATE("#Metadata!", ADDRESS(INDEX($Q$2:$Q$1001,MATCH(ROWS($O$2:O323),$O$2:$O$1001,0),0), INDEX($V$1004:$AE$1004,1,MATCH(COLUMNS($V$1006:V1006),$V$1006:$AE$1006,0)))),"Fix")))</f>
        <v>0</v>
      </c>
      <c r="C323" s="3">
        <f>IF(OR(INDEX($P$2:$P$1001,MATCH(ROWS($O$2:O323),$O$2:$O$1001,0),1)&gt;=100000,INDEX($V$1005:$AE$1005,1,MATCH(COLUMNS($V$1006:W1006),$V$1006:$AE$1006,0))&gt;=100000), " ",IF(INDEX($V$2:$AE$1001,MATCH(ROWS($O$2:O323),$O$2:$O$1001,0),MATCH(COLUMNS($V$1006:W1006),$V$1006:$AE$1006,0)), HYPERLINK("#",""), HYPERLINK(CONCATENATE("#Metadata!", ADDRESS(INDEX($Q$2:$Q$1001,MATCH(ROWS($O$2:O323),$O$2:$O$1001,0),0), INDEX($V$1004:$AE$1004,1,MATCH(COLUMNS($V$1006:W1006),$V$1006:$AE$1006,0)))),"Fix")))</f>
        <v>0</v>
      </c>
      <c r="D323" s="3">
        <f>IF(OR(INDEX($P$2:$P$1001,MATCH(ROWS($O$2:O323),$O$2:$O$1001,0),1)&gt;=100000,INDEX($V$1005:$AE$1005,1,MATCH(COLUMNS($V$1006:X1006),$V$1006:$AE$1006,0))&gt;=100000), " ",IF(INDEX($V$2:$AE$1001,MATCH(ROWS($O$2:O323),$O$2:$O$1001,0),MATCH(COLUMNS($V$1006:X1006),$V$1006:$AE$1006,0)), HYPERLINK("#",""), HYPERLINK(CONCATENATE("#Metadata!", ADDRESS(INDEX($Q$2:$Q$1001,MATCH(ROWS($O$2:O323),$O$2:$O$1001,0),0), INDEX($V$1004:$AE$1004,1,MATCH(COLUMNS($V$1006:X1006),$V$1006:$AE$1006,0)))),"Fix")))</f>
        <v>0</v>
      </c>
      <c r="E323" s="3">
        <f>IF(OR(INDEX($P$2:$P$1001,MATCH(ROWS($O$2:O323),$O$2:$O$1001,0),1)&gt;=100000,INDEX($V$1005:$AE$1005,1,MATCH(COLUMNS($V$1006:Y1006),$V$1006:$AE$1006,0))&gt;=100000), " ",IF(INDEX($V$2:$AE$1001,MATCH(ROWS($O$2:O323),$O$2:$O$1001,0),MATCH(COLUMNS($V$1006:Y1006),$V$1006:$AE$1006,0)), HYPERLINK("#",""), HYPERLINK(CONCATENATE("#Metadata!", ADDRESS(INDEX($Q$2:$Q$1001,MATCH(ROWS($O$2:O323),$O$2:$O$1001,0),0), INDEX($V$1004:$AE$1004,1,MATCH(COLUMNS($V$1006:Y1006),$V$1006:$AE$1006,0)))),"Fix")))</f>
        <v>0</v>
      </c>
      <c r="F323" s="3">
        <f>IF(OR(INDEX($P$2:$P$1001,MATCH(ROWS($O$2:O323),$O$2:$O$1001,0),1)&gt;=100000,INDEX($V$1005:$AE$1005,1,MATCH(COLUMNS($V$1006:Z1006),$V$1006:$AE$1006,0))&gt;=100000), " ",IF(INDEX($V$2:$AE$1001,MATCH(ROWS($O$2:O323),$O$2:$O$1001,0),MATCH(COLUMNS($V$1006:Z1006),$V$1006:$AE$1006,0)), HYPERLINK("#",""), HYPERLINK(CONCATENATE("#Metadata!", ADDRESS(INDEX($Q$2:$Q$1001,MATCH(ROWS($O$2:O323),$O$2:$O$1001,0),0), INDEX($V$1004:$AE$1004,1,MATCH(COLUMNS($V$1006:Z1006),$V$1006:$AE$1006,0)))),"Fix")))</f>
        <v>0</v>
      </c>
      <c r="G323" s="3">
        <f>IF(OR(INDEX($P$2:$P$1001,MATCH(ROWS($O$2:O323),$O$2:$O$1001,0),1)&gt;=100000,INDEX($V$1005:$AE$1005,1,MATCH(COLUMNS($V$1006:AA1006),$V$1006:$AE$1006,0))&gt;=100000), " ",IF(INDEX($V$2:$AE$1001,MATCH(ROWS($O$2:O323),$O$2:$O$1001,0),MATCH(COLUMNS($V$1006:AA1006),$V$1006:$AE$1006,0)), HYPERLINK("#",""), HYPERLINK(CONCATENATE("#Metadata!", ADDRESS(INDEX($Q$2:$Q$1001,MATCH(ROWS($O$2:O323),$O$2:$O$1001,0),0), INDEX($V$1004:$AE$1004,1,MATCH(COLUMNS($V$1006:AA1006),$V$1006:$AE$1006,0)))),"Fix")))</f>
        <v>0</v>
      </c>
      <c r="H323" s="3">
        <f>IF(OR(INDEX($P$2:$P$1001,MATCH(ROWS($O$2:O323),$O$2:$O$1001,0),1)&gt;=100000,INDEX($V$1005:$AE$1005,1,MATCH(COLUMNS($V$1006:AB1006),$V$1006:$AE$1006,0))&gt;=100000), " ",IF(INDEX($V$2:$AE$1001,MATCH(ROWS($O$2:O323),$O$2:$O$1001,0),MATCH(COLUMNS($V$1006:AB1006),$V$1006:$AE$1006,0)), HYPERLINK("#",""), HYPERLINK(CONCATENATE("#Metadata!", ADDRESS(INDEX($Q$2:$Q$1001,MATCH(ROWS($O$2:O323),$O$2:$O$1001,0),0), INDEX($V$1004:$AE$1004,1,MATCH(COLUMNS($V$1006:AB1006),$V$1006:$AE$1006,0)))),"Fix")))</f>
        <v>0</v>
      </c>
      <c r="I323" s="3">
        <f>IF(OR(INDEX($P$2:$P$1001,MATCH(ROWS($O$2:O323),$O$2:$O$1001,0),1)&gt;=100000,INDEX($V$1005:$AE$1005,1,MATCH(COLUMNS($V$1006:AC1006),$V$1006:$AE$1006,0))&gt;=100000), " ",IF(INDEX($V$2:$AE$1001,MATCH(ROWS($O$2:O323),$O$2:$O$1001,0),MATCH(COLUMNS($V$1006:AC1006),$V$1006:$AE$1006,0)), HYPERLINK("#",""), HYPERLINK(CONCATENATE("#Metadata!", ADDRESS(INDEX($Q$2:$Q$1001,MATCH(ROWS($O$2:O323),$O$2:$O$1001,0),0), INDEX($V$1004:$AE$1004,1,MATCH(COLUMNS($V$1006:AC1006),$V$1006:$AE$1006,0)))),"Fix")))</f>
        <v>0</v>
      </c>
      <c r="J323" s="3">
        <f>IF(OR(INDEX($P$2:$P$1001,MATCH(ROWS($O$2:O323),$O$2:$O$1001,0),1)&gt;=100000,INDEX($V$1005:$AE$1005,1,MATCH(COLUMNS($V$1006:AD1006),$V$1006:$AE$1006,0))&gt;=100000), " ",IF(INDEX($V$2:$AE$1001,MATCH(ROWS($O$2:O323),$O$2:$O$1001,0),MATCH(COLUMNS($V$1006:AD1006),$V$1006:$AE$1006,0)), HYPERLINK("#",""), HYPERLINK(CONCATENATE("#Metadata!", ADDRESS(INDEX($Q$2:$Q$1001,MATCH(ROWS($O$2:O323),$O$2:$O$1001,0),0), INDEX($V$1004:$AE$1004,1,MATCH(COLUMNS($V$1006:AD1006),$V$1006:$AE$1006,0)))),"Fix")))</f>
        <v>0</v>
      </c>
      <c r="K323" s="3">
        <f>IF(OR(INDEX($P$2:$P$1001,MATCH(ROWS($O$2:O323),$O$2:$O$1001,0),1)&gt;=100000,INDEX($V$1005:$AE$1005,1,MATCH(COLUMNS($V$1006:AE1006),$V$1006:$AE$1006,0))&gt;=100000), " ",IF(INDEX($V$2:$AE$1001,MATCH(ROWS($O$2:O323),$O$2:$O$1001,0),MATCH(COLUMNS($V$1006:AE1006),$V$1006:$AE$1006,0)), HYPERLINK("#",""), HYPERLINK(CONCATENATE("#Metadata!", ADDRESS(INDEX($Q$2:$Q$1001,MATCH(ROWS($O$2:O323),$O$2:$O$1001,0),0), INDEX($V$1004:$AE$1004,1,MATCH(COLUMNS($V$1006:AE1006),$V$1006:$AE$1006,0)))),"Fix")))</f>
        <v>0</v>
      </c>
      <c r="O323">
        <v>0</v>
      </c>
      <c r="P323">
        <v>0</v>
      </c>
      <c r="Q323">
        <v>0</v>
      </c>
      <c r="R323">
        <f>IF(S323,TRUE,AND(V323:AE323))</f>
        <v>0</v>
      </c>
      <c r="S323">
        <f>COUNTBLANK(Metadata!B323:K323)=COLUMNS(Metadata!B323:K323)</f>
        <v>0</v>
      </c>
      <c r="T323">
        <v>0</v>
      </c>
      <c r="V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W323">
        <f>AND(IF(Metadata!C323="",FALSE,TRUE),exact(Metadata!C323,"animal secretion"))</f>
        <v>0</v>
      </c>
      <c r="X323">
        <f>AND(IF(Metadata!D323="",FALSE,TRUE),exact(Metadata!D323,"saliva"))</f>
        <v>0</v>
      </c>
      <c r="Y323">
        <f>AND(IF(Metadata!E323="",FALSE,TRUE),exact(Metadata!E323,"human-oral"))</f>
        <v>0</v>
      </c>
      <c r="Z323">
        <f>AND(IF(Metadata!F323="",FALSE,TRUE),exact(Metadata!F323,"UBERON:oral cavity"))</f>
        <v>0</v>
      </c>
      <c r="AA323">
        <f>AND(IF(Metadata!G323="",FALSE,TRUE),exact(Metadata!G323,"UBERON:saliva"))</f>
        <v>0</v>
      </c>
      <c r="AB323">
        <f>AND(IF(Metadata!H323="",FALSE,TRUE),exact(Metadata!H323,"UBERON:tongue"))</f>
        <v>0</v>
      </c>
      <c r="AC323">
        <f>AND(IF(Metadata!I323="",FALSE,TRUE),exact(Metadata!I323,"tongue"))</f>
        <v>0</v>
      </c>
      <c r="AD323">
        <f>AND(IF(Metadata!J323="",FALSE,TRUE),exact(Metadata!J323,"human oral metagenome"))</f>
        <v>0</v>
      </c>
      <c r="AE323">
        <f>AND(IF(Metadata!K323="",FALSE,TRUE),exact(Metadata!K323,"447426"))</f>
        <v>0</v>
      </c>
    </row>
    <row r="324" spans="1:31">
      <c r="A324" s="4">
        <f>IF(B324=" "," ",HYPERLINK(CONCATENATE("#metadata!",ADDRESS(INDEX($Q$2:$Q$1001,MATCH(ROWS($O$2:O324),$O$2:$O$1001,0),0),1)),INDEX($T$2:$T$1001,MATCH(ROWS($O$2:O324),$O$2:$O$1001,0),0)))</f>
        <v>0</v>
      </c>
      <c r="B324" s="3">
        <f>IF(OR(INDEX($P$2:$P$1001,MATCH(ROWS($O$2:O324),$O$2:$O$1001,0),1)&gt;=100000,INDEX($V$1005:$AE$1005,1,MATCH(COLUMNS($V$1006:V1006),$V$1006:$AE$1006,0))&gt;=100000), " ",IF(INDEX($V$2:$AE$1001,MATCH(ROWS($O$2:O324),$O$2:$O$1001,0),MATCH(COLUMNS($V$1006:V1006),$V$1006:$AE$1006,0)), HYPERLINK("#",""), HYPERLINK(CONCATENATE("#Metadata!", ADDRESS(INDEX($Q$2:$Q$1001,MATCH(ROWS($O$2:O324),$O$2:$O$1001,0),0), INDEX($V$1004:$AE$1004,1,MATCH(COLUMNS($V$1006:V1006),$V$1006:$AE$1006,0)))),"Fix")))</f>
        <v>0</v>
      </c>
      <c r="C324" s="3">
        <f>IF(OR(INDEX($P$2:$P$1001,MATCH(ROWS($O$2:O324),$O$2:$O$1001,0),1)&gt;=100000,INDEX($V$1005:$AE$1005,1,MATCH(COLUMNS($V$1006:W1006),$V$1006:$AE$1006,0))&gt;=100000), " ",IF(INDEX($V$2:$AE$1001,MATCH(ROWS($O$2:O324),$O$2:$O$1001,0),MATCH(COLUMNS($V$1006:W1006),$V$1006:$AE$1006,0)), HYPERLINK("#",""), HYPERLINK(CONCATENATE("#Metadata!", ADDRESS(INDEX($Q$2:$Q$1001,MATCH(ROWS($O$2:O324),$O$2:$O$1001,0),0), INDEX($V$1004:$AE$1004,1,MATCH(COLUMNS($V$1006:W1006),$V$1006:$AE$1006,0)))),"Fix")))</f>
        <v>0</v>
      </c>
      <c r="D324" s="3">
        <f>IF(OR(INDEX($P$2:$P$1001,MATCH(ROWS($O$2:O324),$O$2:$O$1001,0),1)&gt;=100000,INDEX($V$1005:$AE$1005,1,MATCH(COLUMNS($V$1006:X1006),$V$1006:$AE$1006,0))&gt;=100000), " ",IF(INDEX($V$2:$AE$1001,MATCH(ROWS($O$2:O324),$O$2:$O$1001,0),MATCH(COLUMNS($V$1006:X1006),$V$1006:$AE$1006,0)), HYPERLINK("#",""), HYPERLINK(CONCATENATE("#Metadata!", ADDRESS(INDEX($Q$2:$Q$1001,MATCH(ROWS($O$2:O324),$O$2:$O$1001,0),0), INDEX($V$1004:$AE$1004,1,MATCH(COLUMNS($V$1006:X1006),$V$1006:$AE$1006,0)))),"Fix")))</f>
        <v>0</v>
      </c>
      <c r="E324" s="3">
        <f>IF(OR(INDEX($P$2:$P$1001,MATCH(ROWS($O$2:O324),$O$2:$O$1001,0),1)&gt;=100000,INDEX($V$1005:$AE$1005,1,MATCH(COLUMNS($V$1006:Y1006),$V$1006:$AE$1006,0))&gt;=100000), " ",IF(INDEX($V$2:$AE$1001,MATCH(ROWS($O$2:O324),$O$2:$O$1001,0),MATCH(COLUMNS($V$1006:Y1006),$V$1006:$AE$1006,0)), HYPERLINK("#",""), HYPERLINK(CONCATENATE("#Metadata!", ADDRESS(INDEX($Q$2:$Q$1001,MATCH(ROWS($O$2:O324),$O$2:$O$1001,0),0), INDEX($V$1004:$AE$1004,1,MATCH(COLUMNS($V$1006:Y1006),$V$1006:$AE$1006,0)))),"Fix")))</f>
        <v>0</v>
      </c>
      <c r="F324" s="3">
        <f>IF(OR(INDEX($P$2:$P$1001,MATCH(ROWS($O$2:O324),$O$2:$O$1001,0),1)&gt;=100000,INDEX($V$1005:$AE$1005,1,MATCH(COLUMNS($V$1006:Z1006),$V$1006:$AE$1006,0))&gt;=100000), " ",IF(INDEX($V$2:$AE$1001,MATCH(ROWS($O$2:O324),$O$2:$O$1001,0),MATCH(COLUMNS($V$1006:Z1006),$V$1006:$AE$1006,0)), HYPERLINK("#",""), HYPERLINK(CONCATENATE("#Metadata!", ADDRESS(INDEX($Q$2:$Q$1001,MATCH(ROWS($O$2:O324),$O$2:$O$1001,0),0), INDEX($V$1004:$AE$1004,1,MATCH(COLUMNS($V$1006:Z1006),$V$1006:$AE$1006,0)))),"Fix")))</f>
        <v>0</v>
      </c>
      <c r="G324" s="3">
        <f>IF(OR(INDEX($P$2:$P$1001,MATCH(ROWS($O$2:O324),$O$2:$O$1001,0),1)&gt;=100000,INDEX($V$1005:$AE$1005,1,MATCH(COLUMNS($V$1006:AA1006),$V$1006:$AE$1006,0))&gt;=100000), " ",IF(INDEX($V$2:$AE$1001,MATCH(ROWS($O$2:O324),$O$2:$O$1001,0),MATCH(COLUMNS($V$1006:AA1006),$V$1006:$AE$1006,0)), HYPERLINK("#",""), HYPERLINK(CONCATENATE("#Metadata!", ADDRESS(INDEX($Q$2:$Q$1001,MATCH(ROWS($O$2:O324),$O$2:$O$1001,0),0), INDEX($V$1004:$AE$1004,1,MATCH(COLUMNS($V$1006:AA1006),$V$1006:$AE$1006,0)))),"Fix")))</f>
        <v>0</v>
      </c>
      <c r="H324" s="3">
        <f>IF(OR(INDEX($P$2:$P$1001,MATCH(ROWS($O$2:O324),$O$2:$O$1001,0),1)&gt;=100000,INDEX($V$1005:$AE$1005,1,MATCH(COLUMNS($V$1006:AB1006),$V$1006:$AE$1006,0))&gt;=100000), " ",IF(INDEX($V$2:$AE$1001,MATCH(ROWS($O$2:O324),$O$2:$O$1001,0),MATCH(COLUMNS($V$1006:AB1006),$V$1006:$AE$1006,0)), HYPERLINK("#",""), HYPERLINK(CONCATENATE("#Metadata!", ADDRESS(INDEX($Q$2:$Q$1001,MATCH(ROWS($O$2:O324),$O$2:$O$1001,0),0), INDEX($V$1004:$AE$1004,1,MATCH(COLUMNS($V$1006:AB1006),$V$1006:$AE$1006,0)))),"Fix")))</f>
        <v>0</v>
      </c>
      <c r="I324" s="3">
        <f>IF(OR(INDEX($P$2:$P$1001,MATCH(ROWS($O$2:O324),$O$2:$O$1001,0),1)&gt;=100000,INDEX($V$1005:$AE$1005,1,MATCH(COLUMNS($V$1006:AC1006),$V$1006:$AE$1006,0))&gt;=100000), " ",IF(INDEX($V$2:$AE$1001,MATCH(ROWS($O$2:O324),$O$2:$O$1001,0),MATCH(COLUMNS($V$1006:AC1006),$V$1006:$AE$1006,0)), HYPERLINK("#",""), HYPERLINK(CONCATENATE("#Metadata!", ADDRESS(INDEX($Q$2:$Q$1001,MATCH(ROWS($O$2:O324),$O$2:$O$1001,0),0), INDEX($V$1004:$AE$1004,1,MATCH(COLUMNS($V$1006:AC1006),$V$1006:$AE$1006,0)))),"Fix")))</f>
        <v>0</v>
      </c>
      <c r="J324" s="3">
        <f>IF(OR(INDEX($P$2:$P$1001,MATCH(ROWS($O$2:O324),$O$2:$O$1001,0),1)&gt;=100000,INDEX($V$1005:$AE$1005,1,MATCH(COLUMNS($V$1006:AD1006),$V$1006:$AE$1006,0))&gt;=100000), " ",IF(INDEX($V$2:$AE$1001,MATCH(ROWS($O$2:O324),$O$2:$O$1001,0),MATCH(COLUMNS($V$1006:AD1006),$V$1006:$AE$1006,0)), HYPERLINK("#",""), HYPERLINK(CONCATENATE("#Metadata!", ADDRESS(INDEX($Q$2:$Q$1001,MATCH(ROWS($O$2:O324),$O$2:$O$1001,0),0), INDEX($V$1004:$AE$1004,1,MATCH(COLUMNS($V$1006:AD1006),$V$1006:$AE$1006,0)))),"Fix")))</f>
        <v>0</v>
      </c>
      <c r="K324" s="3">
        <f>IF(OR(INDEX($P$2:$P$1001,MATCH(ROWS($O$2:O324),$O$2:$O$1001,0),1)&gt;=100000,INDEX($V$1005:$AE$1005,1,MATCH(COLUMNS($V$1006:AE1006),$V$1006:$AE$1006,0))&gt;=100000), " ",IF(INDEX($V$2:$AE$1001,MATCH(ROWS($O$2:O324),$O$2:$O$1001,0),MATCH(COLUMNS($V$1006:AE1006),$V$1006:$AE$1006,0)), HYPERLINK("#",""), HYPERLINK(CONCATENATE("#Metadata!", ADDRESS(INDEX($Q$2:$Q$1001,MATCH(ROWS($O$2:O324),$O$2:$O$1001,0),0), INDEX($V$1004:$AE$1004,1,MATCH(COLUMNS($V$1006:AE1006),$V$1006:$AE$1006,0)))),"Fix")))</f>
        <v>0</v>
      </c>
      <c r="O324">
        <v>0</v>
      </c>
      <c r="P324">
        <v>0</v>
      </c>
      <c r="Q324">
        <v>0</v>
      </c>
      <c r="R324">
        <f>IF(S324,TRUE,AND(V324:AE324))</f>
        <v>0</v>
      </c>
      <c r="S324">
        <f>COUNTBLANK(Metadata!B324:K324)=COLUMNS(Metadata!B324:K324)</f>
        <v>0</v>
      </c>
      <c r="T324">
        <v>0</v>
      </c>
      <c r="V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W324">
        <f>AND(IF(Metadata!C324="",FALSE,TRUE),exact(Metadata!C324,"animal secretion"))</f>
        <v>0</v>
      </c>
      <c r="X324">
        <f>AND(IF(Metadata!D324="",FALSE,TRUE),exact(Metadata!D324,"saliva"))</f>
        <v>0</v>
      </c>
      <c r="Y324">
        <f>AND(IF(Metadata!E324="",FALSE,TRUE),exact(Metadata!E324,"human-oral"))</f>
        <v>0</v>
      </c>
      <c r="Z324">
        <f>AND(IF(Metadata!F324="",FALSE,TRUE),exact(Metadata!F324,"UBERON:oral cavity"))</f>
        <v>0</v>
      </c>
      <c r="AA324">
        <f>AND(IF(Metadata!G324="",FALSE,TRUE),exact(Metadata!G324,"UBERON:saliva"))</f>
        <v>0</v>
      </c>
      <c r="AB324">
        <f>AND(IF(Metadata!H324="",FALSE,TRUE),exact(Metadata!H324,"UBERON:tongue"))</f>
        <v>0</v>
      </c>
      <c r="AC324">
        <f>AND(IF(Metadata!I324="",FALSE,TRUE),exact(Metadata!I324,"tongue"))</f>
        <v>0</v>
      </c>
      <c r="AD324">
        <f>AND(IF(Metadata!J324="",FALSE,TRUE),exact(Metadata!J324,"human oral metagenome"))</f>
        <v>0</v>
      </c>
      <c r="AE324">
        <f>AND(IF(Metadata!K324="",FALSE,TRUE),exact(Metadata!K324,"447426"))</f>
        <v>0</v>
      </c>
    </row>
    <row r="325" spans="1:31">
      <c r="A325" s="4">
        <f>IF(B325=" "," ",HYPERLINK(CONCATENATE("#metadata!",ADDRESS(INDEX($Q$2:$Q$1001,MATCH(ROWS($O$2:O325),$O$2:$O$1001,0),0),1)),INDEX($T$2:$T$1001,MATCH(ROWS($O$2:O325),$O$2:$O$1001,0),0)))</f>
        <v>0</v>
      </c>
      <c r="B325" s="3">
        <f>IF(OR(INDEX($P$2:$P$1001,MATCH(ROWS($O$2:O325),$O$2:$O$1001,0),1)&gt;=100000,INDEX($V$1005:$AE$1005,1,MATCH(COLUMNS($V$1006:V1006),$V$1006:$AE$1006,0))&gt;=100000), " ",IF(INDEX($V$2:$AE$1001,MATCH(ROWS($O$2:O325),$O$2:$O$1001,0),MATCH(COLUMNS($V$1006:V1006),$V$1006:$AE$1006,0)), HYPERLINK("#",""), HYPERLINK(CONCATENATE("#Metadata!", ADDRESS(INDEX($Q$2:$Q$1001,MATCH(ROWS($O$2:O325),$O$2:$O$1001,0),0), INDEX($V$1004:$AE$1004,1,MATCH(COLUMNS($V$1006:V1006),$V$1006:$AE$1006,0)))),"Fix")))</f>
        <v>0</v>
      </c>
      <c r="C325" s="3">
        <f>IF(OR(INDEX($P$2:$P$1001,MATCH(ROWS($O$2:O325),$O$2:$O$1001,0),1)&gt;=100000,INDEX($V$1005:$AE$1005,1,MATCH(COLUMNS($V$1006:W1006),$V$1006:$AE$1006,0))&gt;=100000), " ",IF(INDEX($V$2:$AE$1001,MATCH(ROWS($O$2:O325),$O$2:$O$1001,0),MATCH(COLUMNS($V$1006:W1006),$V$1006:$AE$1006,0)), HYPERLINK("#",""), HYPERLINK(CONCATENATE("#Metadata!", ADDRESS(INDEX($Q$2:$Q$1001,MATCH(ROWS($O$2:O325),$O$2:$O$1001,0),0), INDEX($V$1004:$AE$1004,1,MATCH(COLUMNS($V$1006:W1006),$V$1006:$AE$1006,0)))),"Fix")))</f>
        <v>0</v>
      </c>
      <c r="D325" s="3">
        <f>IF(OR(INDEX($P$2:$P$1001,MATCH(ROWS($O$2:O325),$O$2:$O$1001,0),1)&gt;=100000,INDEX($V$1005:$AE$1005,1,MATCH(COLUMNS($V$1006:X1006),$V$1006:$AE$1006,0))&gt;=100000), " ",IF(INDEX($V$2:$AE$1001,MATCH(ROWS($O$2:O325),$O$2:$O$1001,0),MATCH(COLUMNS($V$1006:X1006),$V$1006:$AE$1006,0)), HYPERLINK("#",""), HYPERLINK(CONCATENATE("#Metadata!", ADDRESS(INDEX($Q$2:$Q$1001,MATCH(ROWS($O$2:O325),$O$2:$O$1001,0),0), INDEX($V$1004:$AE$1004,1,MATCH(COLUMNS($V$1006:X1006),$V$1006:$AE$1006,0)))),"Fix")))</f>
        <v>0</v>
      </c>
      <c r="E325" s="3">
        <f>IF(OR(INDEX($P$2:$P$1001,MATCH(ROWS($O$2:O325),$O$2:$O$1001,0),1)&gt;=100000,INDEX($V$1005:$AE$1005,1,MATCH(COLUMNS($V$1006:Y1006),$V$1006:$AE$1006,0))&gt;=100000), " ",IF(INDEX($V$2:$AE$1001,MATCH(ROWS($O$2:O325),$O$2:$O$1001,0),MATCH(COLUMNS($V$1006:Y1006),$V$1006:$AE$1006,0)), HYPERLINK("#",""), HYPERLINK(CONCATENATE("#Metadata!", ADDRESS(INDEX($Q$2:$Q$1001,MATCH(ROWS($O$2:O325),$O$2:$O$1001,0),0), INDEX($V$1004:$AE$1004,1,MATCH(COLUMNS($V$1006:Y1006),$V$1006:$AE$1006,0)))),"Fix")))</f>
        <v>0</v>
      </c>
      <c r="F325" s="3">
        <f>IF(OR(INDEX($P$2:$P$1001,MATCH(ROWS($O$2:O325),$O$2:$O$1001,0),1)&gt;=100000,INDEX($V$1005:$AE$1005,1,MATCH(COLUMNS($V$1006:Z1006),$V$1006:$AE$1006,0))&gt;=100000), " ",IF(INDEX($V$2:$AE$1001,MATCH(ROWS($O$2:O325),$O$2:$O$1001,0),MATCH(COLUMNS($V$1006:Z1006),$V$1006:$AE$1006,0)), HYPERLINK("#",""), HYPERLINK(CONCATENATE("#Metadata!", ADDRESS(INDEX($Q$2:$Q$1001,MATCH(ROWS($O$2:O325),$O$2:$O$1001,0),0), INDEX($V$1004:$AE$1004,1,MATCH(COLUMNS($V$1006:Z1006),$V$1006:$AE$1006,0)))),"Fix")))</f>
        <v>0</v>
      </c>
      <c r="G325" s="3">
        <f>IF(OR(INDEX($P$2:$P$1001,MATCH(ROWS($O$2:O325),$O$2:$O$1001,0),1)&gt;=100000,INDEX($V$1005:$AE$1005,1,MATCH(COLUMNS($V$1006:AA1006),$V$1006:$AE$1006,0))&gt;=100000), " ",IF(INDEX($V$2:$AE$1001,MATCH(ROWS($O$2:O325),$O$2:$O$1001,0),MATCH(COLUMNS($V$1006:AA1006),$V$1006:$AE$1006,0)), HYPERLINK("#",""), HYPERLINK(CONCATENATE("#Metadata!", ADDRESS(INDEX($Q$2:$Q$1001,MATCH(ROWS($O$2:O325),$O$2:$O$1001,0),0), INDEX($V$1004:$AE$1004,1,MATCH(COLUMNS($V$1006:AA1006),$V$1006:$AE$1006,0)))),"Fix")))</f>
        <v>0</v>
      </c>
      <c r="H325" s="3">
        <f>IF(OR(INDEX($P$2:$P$1001,MATCH(ROWS($O$2:O325),$O$2:$O$1001,0),1)&gt;=100000,INDEX($V$1005:$AE$1005,1,MATCH(COLUMNS($V$1006:AB1006),$V$1006:$AE$1006,0))&gt;=100000), " ",IF(INDEX($V$2:$AE$1001,MATCH(ROWS($O$2:O325),$O$2:$O$1001,0),MATCH(COLUMNS($V$1006:AB1006),$V$1006:$AE$1006,0)), HYPERLINK("#",""), HYPERLINK(CONCATENATE("#Metadata!", ADDRESS(INDEX($Q$2:$Q$1001,MATCH(ROWS($O$2:O325),$O$2:$O$1001,0),0), INDEX($V$1004:$AE$1004,1,MATCH(COLUMNS($V$1006:AB1006),$V$1006:$AE$1006,0)))),"Fix")))</f>
        <v>0</v>
      </c>
      <c r="I325" s="3">
        <f>IF(OR(INDEX($P$2:$P$1001,MATCH(ROWS($O$2:O325),$O$2:$O$1001,0),1)&gt;=100000,INDEX($V$1005:$AE$1005,1,MATCH(COLUMNS($V$1006:AC1006),$V$1006:$AE$1006,0))&gt;=100000), " ",IF(INDEX($V$2:$AE$1001,MATCH(ROWS($O$2:O325),$O$2:$O$1001,0),MATCH(COLUMNS($V$1006:AC1006),$V$1006:$AE$1006,0)), HYPERLINK("#",""), HYPERLINK(CONCATENATE("#Metadata!", ADDRESS(INDEX($Q$2:$Q$1001,MATCH(ROWS($O$2:O325),$O$2:$O$1001,0),0), INDEX($V$1004:$AE$1004,1,MATCH(COLUMNS($V$1006:AC1006),$V$1006:$AE$1006,0)))),"Fix")))</f>
        <v>0</v>
      </c>
      <c r="J325" s="3">
        <f>IF(OR(INDEX($P$2:$P$1001,MATCH(ROWS($O$2:O325),$O$2:$O$1001,0),1)&gt;=100000,INDEX($V$1005:$AE$1005,1,MATCH(COLUMNS($V$1006:AD1006),$V$1006:$AE$1006,0))&gt;=100000), " ",IF(INDEX($V$2:$AE$1001,MATCH(ROWS($O$2:O325),$O$2:$O$1001,0),MATCH(COLUMNS($V$1006:AD1006),$V$1006:$AE$1006,0)), HYPERLINK("#",""), HYPERLINK(CONCATENATE("#Metadata!", ADDRESS(INDEX($Q$2:$Q$1001,MATCH(ROWS($O$2:O325),$O$2:$O$1001,0),0), INDEX($V$1004:$AE$1004,1,MATCH(COLUMNS($V$1006:AD1006),$V$1006:$AE$1006,0)))),"Fix")))</f>
        <v>0</v>
      </c>
      <c r="K325" s="3">
        <f>IF(OR(INDEX($P$2:$P$1001,MATCH(ROWS($O$2:O325),$O$2:$O$1001,0),1)&gt;=100000,INDEX($V$1005:$AE$1005,1,MATCH(COLUMNS($V$1006:AE1006),$V$1006:$AE$1006,0))&gt;=100000), " ",IF(INDEX($V$2:$AE$1001,MATCH(ROWS($O$2:O325),$O$2:$O$1001,0),MATCH(COLUMNS($V$1006:AE1006),$V$1006:$AE$1006,0)), HYPERLINK("#",""), HYPERLINK(CONCATENATE("#Metadata!", ADDRESS(INDEX($Q$2:$Q$1001,MATCH(ROWS($O$2:O325),$O$2:$O$1001,0),0), INDEX($V$1004:$AE$1004,1,MATCH(COLUMNS($V$1006:AE1006),$V$1006:$AE$1006,0)))),"Fix")))</f>
        <v>0</v>
      </c>
      <c r="O325">
        <v>0</v>
      </c>
      <c r="P325">
        <v>0</v>
      </c>
      <c r="Q325">
        <v>0</v>
      </c>
      <c r="R325">
        <f>IF(S325,TRUE,AND(V325:AE325))</f>
        <v>0</v>
      </c>
      <c r="S325">
        <f>COUNTBLANK(Metadata!B325:K325)=COLUMNS(Metadata!B325:K325)</f>
        <v>0</v>
      </c>
      <c r="T325">
        <v>0</v>
      </c>
      <c r="V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W325">
        <f>AND(IF(Metadata!C325="",FALSE,TRUE),exact(Metadata!C325,"animal secretion"))</f>
        <v>0</v>
      </c>
      <c r="X325">
        <f>AND(IF(Metadata!D325="",FALSE,TRUE),exact(Metadata!D325,"saliva"))</f>
        <v>0</v>
      </c>
      <c r="Y325">
        <f>AND(IF(Metadata!E325="",FALSE,TRUE),exact(Metadata!E325,"human-oral"))</f>
        <v>0</v>
      </c>
      <c r="Z325">
        <f>AND(IF(Metadata!F325="",FALSE,TRUE),exact(Metadata!F325,"UBERON:oral cavity"))</f>
        <v>0</v>
      </c>
      <c r="AA325">
        <f>AND(IF(Metadata!G325="",FALSE,TRUE),exact(Metadata!G325,"UBERON:saliva"))</f>
        <v>0</v>
      </c>
      <c r="AB325">
        <f>AND(IF(Metadata!H325="",FALSE,TRUE),exact(Metadata!H325,"UBERON:tongue"))</f>
        <v>0</v>
      </c>
      <c r="AC325">
        <f>AND(IF(Metadata!I325="",FALSE,TRUE),exact(Metadata!I325,"tongue"))</f>
        <v>0</v>
      </c>
      <c r="AD325">
        <f>AND(IF(Metadata!J325="",FALSE,TRUE),exact(Metadata!J325,"human oral metagenome"))</f>
        <v>0</v>
      </c>
      <c r="AE325">
        <f>AND(IF(Metadata!K325="",FALSE,TRUE),exact(Metadata!K325,"447426"))</f>
        <v>0</v>
      </c>
    </row>
    <row r="326" spans="1:31">
      <c r="A326" s="4">
        <f>IF(B326=" "," ",HYPERLINK(CONCATENATE("#metadata!",ADDRESS(INDEX($Q$2:$Q$1001,MATCH(ROWS($O$2:O326),$O$2:$O$1001,0),0),1)),INDEX($T$2:$T$1001,MATCH(ROWS($O$2:O326),$O$2:$O$1001,0),0)))</f>
        <v>0</v>
      </c>
      <c r="B326" s="3">
        <f>IF(OR(INDEX($P$2:$P$1001,MATCH(ROWS($O$2:O326),$O$2:$O$1001,0),1)&gt;=100000,INDEX($V$1005:$AE$1005,1,MATCH(COLUMNS($V$1006:V1006),$V$1006:$AE$1006,0))&gt;=100000), " ",IF(INDEX($V$2:$AE$1001,MATCH(ROWS($O$2:O326),$O$2:$O$1001,0),MATCH(COLUMNS($V$1006:V1006),$V$1006:$AE$1006,0)), HYPERLINK("#",""), HYPERLINK(CONCATENATE("#Metadata!", ADDRESS(INDEX($Q$2:$Q$1001,MATCH(ROWS($O$2:O326),$O$2:$O$1001,0),0), INDEX($V$1004:$AE$1004,1,MATCH(COLUMNS($V$1006:V1006),$V$1006:$AE$1006,0)))),"Fix")))</f>
        <v>0</v>
      </c>
      <c r="C326" s="3">
        <f>IF(OR(INDEX($P$2:$P$1001,MATCH(ROWS($O$2:O326),$O$2:$O$1001,0),1)&gt;=100000,INDEX($V$1005:$AE$1005,1,MATCH(COLUMNS($V$1006:W1006),$V$1006:$AE$1006,0))&gt;=100000), " ",IF(INDEX($V$2:$AE$1001,MATCH(ROWS($O$2:O326),$O$2:$O$1001,0),MATCH(COLUMNS($V$1006:W1006),$V$1006:$AE$1006,0)), HYPERLINK("#",""), HYPERLINK(CONCATENATE("#Metadata!", ADDRESS(INDEX($Q$2:$Q$1001,MATCH(ROWS($O$2:O326),$O$2:$O$1001,0),0), INDEX($V$1004:$AE$1004,1,MATCH(COLUMNS($V$1006:W1006),$V$1006:$AE$1006,0)))),"Fix")))</f>
        <v>0</v>
      </c>
      <c r="D326" s="3">
        <f>IF(OR(INDEX($P$2:$P$1001,MATCH(ROWS($O$2:O326),$O$2:$O$1001,0),1)&gt;=100000,INDEX($V$1005:$AE$1005,1,MATCH(COLUMNS($V$1006:X1006),$V$1006:$AE$1006,0))&gt;=100000), " ",IF(INDEX($V$2:$AE$1001,MATCH(ROWS($O$2:O326),$O$2:$O$1001,0),MATCH(COLUMNS($V$1006:X1006),$V$1006:$AE$1006,0)), HYPERLINK("#",""), HYPERLINK(CONCATENATE("#Metadata!", ADDRESS(INDEX($Q$2:$Q$1001,MATCH(ROWS($O$2:O326),$O$2:$O$1001,0),0), INDEX($V$1004:$AE$1004,1,MATCH(COLUMNS($V$1006:X1006),$V$1006:$AE$1006,0)))),"Fix")))</f>
        <v>0</v>
      </c>
      <c r="E326" s="3">
        <f>IF(OR(INDEX($P$2:$P$1001,MATCH(ROWS($O$2:O326),$O$2:$O$1001,0),1)&gt;=100000,INDEX($V$1005:$AE$1005,1,MATCH(COLUMNS($V$1006:Y1006),$V$1006:$AE$1006,0))&gt;=100000), " ",IF(INDEX($V$2:$AE$1001,MATCH(ROWS($O$2:O326),$O$2:$O$1001,0),MATCH(COLUMNS($V$1006:Y1006),$V$1006:$AE$1006,0)), HYPERLINK("#",""), HYPERLINK(CONCATENATE("#Metadata!", ADDRESS(INDEX($Q$2:$Q$1001,MATCH(ROWS($O$2:O326),$O$2:$O$1001,0),0), INDEX($V$1004:$AE$1004,1,MATCH(COLUMNS($V$1006:Y1006),$V$1006:$AE$1006,0)))),"Fix")))</f>
        <v>0</v>
      </c>
      <c r="F326" s="3">
        <f>IF(OR(INDEX($P$2:$P$1001,MATCH(ROWS($O$2:O326),$O$2:$O$1001,0),1)&gt;=100000,INDEX($V$1005:$AE$1005,1,MATCH(COLUMNS($V$1006:Z1006),$V$1006:$AE$1006,0))&gt;=100000), " ",IF(INDEX($V$2:$AE$1001,MATCH(ROWS($O$2:O326),$O$2:$O$1001,0),MATCH(COLUMNS($V$1006:Z1006),$V$1006:$AE$1006,0)), HYPERLINK("#",""), HYPERLINK(CONCATENATE("#Metadata!", ADDRESS(INDEX($Q$2:$Q$1001,MATCH(ROWS($O$2:O326),$O$2:$O$1001,0),0), INDEX($V$1004:$AE$1004,1,MATCH(COLUMNS($V$1006:Z1006),$V$1006:$AE$1006,0)))),"Fix")))</f>
        <v>0</v>
      </c>
      <c r="G326" s="3">
        <f>IF(OR(INDEX($P$2:$P$1001,MATCH(ROWS($O$2:O326),$O$2:$O$1001,0),1)&gt;=100000,INDEX($V$1005:$AE$1005,1,MATCH(COLUMNS($V$1006:AA1006),$V$1006:$AE$1006,0))&gt;=100000), " ",IF(INDEX($V$2:$AE$1001,MATCH(ROWS($O$2:O326),$O$2:$O$1001,0),MATCH(COLUMNS($V$1006:AA1006),$V$1006:$AE$1006,0)), HYPERLINK("#",""), HYPERLINK(CONCATENATE("#Metadata!", ADDRESS(INDEX($Q$2:$Q$1001,MATCH(ROWS($O$2:O326),$O$2:$O$1001,0),0), INDEX($V$1004:$AE$1004,1,MATCH(COLUMNS($V$1006:AA1006),$V$1006:$AE$1006,0)))),"Fix")))</f>
        <v>0</v>
      </c>
      <c r="H326" s="3">
        <f>IF(OR(INDEX($P$2:$P$1001,MATCH(ROWS($O$2:O326),$O$2:$O$1001,0),1)&gt;=100000,INDEX($V$1005:$AE$1005,1,MATCH(COLUMNS($V$1006:AB1006),$V$1006:$AE$1006,0))&gt;=100000), " ",IF(INDEX($V$2:$AE$1001,MATCH(ROWS($O$2:O326),$O$2:$O$1001,0),MATCH(COLUMNS($V$1006:AB1006),$V$1006:$AE$1006,0)), HYPERLINK("#",""), HYPERLINK(CONCATENATE("#Metadata!", ADDRESS(INDEX($Q$2:$Q$1001,MATCH(ROWS($O$2:O326),$O$2:$O$1001,0),0), INDEX($V$1004:$AE$1004,1,MATCH(COLUMNS($V$1006:AB1006),$V$1006:$AE$1006,0)))),"Fix")))</f>
        <v>0</v>
      </c>
      <c r="I326" s="3">
        <f>IF(OR(INDEX($P$2:$P$1001,MATCH(ROWS($O$2:O326),$O$2:$O$1001,0),1)&gt;=100000,INDEX($V$1005:$AE$1005,1,MATCH(COLUMNS($V$1006:AC1006),$V$1006:$AE$1006,0))&gt;=100000), " ",IF(INDEX($V$2:$AE$1001,MATCH(ROWS($O$2:O326),$O$2:$O$1001,0),MATCH(COLUMNS($V$1006:AC1006),$V$1006:$AE$1006,0)), HYPERLINK("#",""), HYPERLINK(CONCATENATE("#Metadata!", ADDRESS(INDEX($Q$2:$Q$1001,MATCH(ROWS($O$2:O326),$O$2:$O$1001,0),0), INDEX($V$1004:$AE$1004,1,MATCH(COLUMNS($V$1006:AC1006),$V$1006:$AE$1006,0)))),"Fix")))</f>
        <v>0</v>
      </c>
      <c r="J326" s="3">
        <f>IF(OR(INDEX($P$2:$P$1001,MATCH(ROWS($O$2:O326),$O$2:$O$1001,0),1)&gt;=100000,INDEX($V$1005:$AE$1005,1,MATCH(COLUMNS($V$1006:AD1006),$V$1006:$AE$1006,0))&gt;=100000), " ",IF(INDEX($V$2:$AE$1001,MATCH(ROWS($O$2:O326),$O$2:$O$1001,0),MATCH(COLUMNS($V$1006:AD1006),$V$1006:$AE$1006,0)), HYPERLINK("#",""), HYPERLINK(CONCATENATE("#Metadata!", ADDRESS(INDEX($Q$2:$Q$1001,MATCH(ROWS($O$2:O326),$O$2:$O$1001,0),0), INDEX($V$1004:$AE$1004,1,MATCH(COLUMNS($V$1006:AD1006),$V$1006:$AE$1006,0)))),"Fix")))</f>
        <v>0</v>
      </c>
      <c r="K326" s="3">
        <f>IF(OR(INDEX($P$2:$P$1001,MATCH(ROWS($O$2:O326),$O$2:$O$1001,0),1)&gt;=100000,INDEX($V$1005:$AE$1005,1,MATCH(COLUMNS($V$1006:AE1006),$V$1006:$AE$1006,0))&gt;=100000), " ",IF(INDEX($V$2:$AE$1001,MATCH(ROWS($O$2:O326),$O$2:$O$1001,0),MATCH(COLUMNS($V$1006:AE1006),$V$1006:$AE$1006,0)), HYPERLINK("#",""), HYPERLINK(CONCATENATE("#Metadata!", ADDRESS(INDEX($Q$2:$Q$1001,MATCH(ROWS($O$2:O326),$O$2:$O$1001,0),0), INDEX($V$1004:$AE$1004,1,MATCH(COLUMNS($V$1006:AE1006),$V$1006:$AE$1006,0)))),"Fix")))</f>
        <v>0</v>
      </c>
      <c r="O326">
        <v>0</v>
      </c>
      <c r="P326">
        <v>0</v>
      </c>
      <c r="Q326">
        <v>0</v>
      </c>
      <c r="R326">
        <f>IF(S326,TRUE,AND(V326:AE326))</f>
        <v>0</v>
      </c>
      <c r="S326">
        <f>COUNTBLANK(Metadata!B326:K326)=COLUMNS(Metadata!B326:K326)</f>
        <v>0</v>
      </c>
      <c r="T326">
        <v>0</v>
      </c>
      <c r="V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W326">
        <f>AND(IF(Metadata!C326="",FALSE,TRUE),exact(Metadata!C326,"animal secretion"))</f>
        <v>0</v>
      </c>
      <c r="X326">
        <f>AND(IF(Metadata!D326="",FALSE,TRUE),exact(Metadata!D326,"saliva"))</f>
        <v>0</v>
      </c>
      <c r="Y326">
        <f>AND(IF(Metadata!E326="",FALSE,TRUE),exact(Metadata!E326,"human-oral"))</f>
        <v>0</v>
      </c>
      <c r="Z326">
        <f>AND(IF(Metadata!F326="",FALSE,TRUE),exact(Metadata!F326,"UBERON:oral cavity"))</f>
        <v>0</v>
      </c>
      <c r="AA326">
        <f>AND(IF(Metadata!G326="",FALSE,TRUE),exact(Metadata!G326,"UBERON:saliva"))</f>
        <v>0</v>
      </c>
      <c r="AB326">
        <f>AND(IF(Metadata!H326="",FALSE,TRUE),exact(Metadata!H326,"UBERON:tongue"))</f>
        <v>0</v>
      </c>
      <c r="AC326">
        <f>AND(IF(Metadata!I326="",FALSE,TRUE),exact(Metadata!I326,"tongue"))</f>
        <v>0</v>
      </c>
      <c r="AD326">
        <f>AND(IF(Metadata!J326="",FALSE,TRUE),exact(Metadata!J326,"human oral metagenome"))</f>
        <v>0</v>
      </c>
      <c r="AE326">
        <f>AND(IF(Metadata!K326="",FALSE,TRUE),exact(Metadata!K326,"447426"))</f>
        <v>0</v>
      </c>
    </row>
    <row r="327" spans="1:31">
      <c r="A327" s="4">
        <f>IF(B327=" "," ",HYPERLINK(CONCATENATE("#metadata!",ADDRESS(INDEX($Q$2:$Q$1001,MATCH(ROWS($O$2:O327),$O$2:$O$1001,0),0),1)),INDEX($T$2:$T$1001,MATCH(ROWS($O$2:O327),$O$2:$O$1001,0),0)))</f>
        <v>0</v>
      </c>
      <c r="B327" s="3">
        <f>IF(OR(INDEX($P$2:$P$1001,MATCH(ROWS($O$2:O327),$O$2:$O$1001,0),1)&gt;=100000,INDEX($V$1005:$AE$1005,1,MATCH(COLUMNS($V$1006:V1006),$V$1006:$AE$1006,0))&gt;=100000), " ",IF(INDEX($V$2:$AE$1001,MATCH(ROWS($O$2:O327),$O$2:$O$1001,0),MATCH(COLUMNS($V$1006:V1006),$V$1006:$AE$1006,0)), HYPERLINK("#",""), HYPERLINK(CONCATENATE("#Metadata!", ADDRESS(INDEX($Q$2:$Q$1001,MATCH(ROWS($O$2:O327),$O$2:$O$1001,0),0), INDEX($V$1004:$AE$1004,1,MATCH(COLUMNS($V$1006:V1006),$V$1006:$AE$1006,0)))),"Fix")))</f>
        <v>0</v>
      </c>
      <c r="C327" s="3">
        <f>IF(OR(INDEX($P$2:$P$1001,MATCH(ROWS($O$2:O327),$O$2:$O$1001,0),1)&gt;=100000,INDEX($V$1005:$AE$1005,1,MATCH(COLUMNS($V$1006:W1006),$V$1006:$AE$1006,0))&gt;=100000), " ",IF(INDEX($V$2:$AE$1001,MATCH(ROWS($O$2:O327),$O$2:$O$1001,0),MATCH(COLUMNS($V$1006:W1006),$V$1006:$AE$1006,0)), HYPERLINK("#",""), HYPERLINK(CONCATENATE("#Metadata!", ADDRESS(INDEX($Q$2:$Q$1001,MATCH(ROWS($O$2:O327),$O$2:$O$1001,0),0), INDEX($V$1004:$AE$1004,1,MATCH(COLUMNS($V$1006:W1006),$V$1006:$AE$1006,0)))),"Fix")))</f>
        <v>0</v>
      </c>
      <c r="D327" s="3">
        <f>IF(OR(INDEX($P$2:$P$1001,MATCH(ROWS($O$2:O327),$O$2:$O$1001,0),1)&gt;=100000,INDEX($V$1005:$AE$1005,1,MATCH(COLUMNS($V$1006:X1006),$V$1006:$AE$1006,0))&gt;=100000), " ",IF(INDEX($V$2:$AE$1001,MATCH(ROWS($O$2:O327),$O$2:$O$1001,0),MATCH(COLUMNS($V$1006:X1006),$V$1006:$AE$1006,0)), HYPERLINK("#",""), HYPERLINK(CONCATENATE("#Metadata!", ADDRESS(INDEX($Q$2:$Q$1001,MATCH(ROWS($O$2:O327),$O$2:$O$1001,0),0), INDEX($V$1004:$AE$1004,1,MATCH(COLUMNS($V$1006:X1006),$V$1006:$AE$1006,0)))),"Fix")))</f>
        <v>0</v>
      </c>
      <c r="E327" s="3">
        <f>IF(OR(INDEX($P$2:$P$1001,MATCH(ROWS($O$2:O327),$O$2:$O$1001,0),1)&gt;=100000,INDEX($V$1005:$AE$1005,1,MATCH(COLUMNS($V$1006:Y1006),$V$1006:$AE$1006,0))&gt;=100000), " ",IF(INDEX($V$2:$AE$1001,MATCH(ROWS($O$2:O327),$O$2:$O$1001,0),MATCH(COLUMNS($V$1006:Y1006),$V$1006:$AE$1006,0)), HYPERLINK("#",""), HYPERLINK(CONCATENATE("#Metadata!", ADDRESS(INDEX($Q$2:$Q$1001,MATCH(ROWS($O$2:O327),$O$2:$O$1001,0),0), INDEX($V$1004:$AE$1004,1,MATCH(COLUMNS($V$1006:Y1006),$V$1006:$AE$1006,0)))),"Fix")))</f>
        <v>0</v>
      </c>
      <c r="F327" s="3">
        <f>IF(OR(INDEX($P$2:$P$1001,MATCH(ROWS($O$2:O327),$O$2:$O$1001,0),1)&gt;=100000,INDEX($V$1005:$AE$1005,1,MATCH(COLUMNS($V$1006:Z1006),$V$1006:$AE$1006,0))&gt;=100000), " ",IF(INDEX($V$2:$AE$1001,MATCH(ROWS($O$2:O327),$O$2:$O$1001,0),MATCH(COLUMNS($V$1006:Z1006),$V$1006:$AE$1006,0)), HYPERLINK("#",""), HYPERLINK(CONCATENATE("#Metadata!", ADDRESS(INDEX($Q$2:$Q$1001,MATCH(ROWS($O$2:O327),$O$2:$O$1001,0),0), INDEX($V$1004:$AE$1004,1,MATCH(COLUMNS($V$1006:Z1006),$V$1006:$AE$1006,0)))),"Fix")))</f>
        <v>0</v>
      </c>
      <c r="G327" s="3">
        <f>IF(OR(INDEX($P$2:$P$1001,MATCH(ROWS($O$2:O327),$O$2:$O$1001,0),1)&gt;=100000,INDEX($V$1005:$AE$1005,1,MATCH(COLUMNS($V$1006:AA1006),$V$1006:$AE$1006,0))&gt;=100000), " ",IF(INDEX($V$2:$AE$1001,MATCH(ROWS($O$2:O327),$O$2:$O$1001,0),MATCH(COLUMNS($V$1006:AA1006),$V$1006:$AE$1006,0)), HYPERLINK("#",""), HYPERLINK(CONCATENATE("#Metadata!", ADDRESS(INDEX($Q$2:$Q$1001,MATCH(ROWS($O$2:O327),$O$2:$O$1001,0),0), INDEX($V$1004:$AE$1004,1,MATCH(COLUMNS($V$1006:AA1006),$V$1006:$AE$1006,0)))),"Fix")))</f>
        <v>0</v>
      </c>
      <c r="H327" s="3">
        <f>IF(OR(INDEX($P$2:$P$1001,MATCH(ROWS($O$2:O327),$O$2:$O$1001,0),1)&gt;=100000,INDEX($V$1005:$AE$1005,1,MATCH(COLUMNS($V$1006:AB1006),$V$1006:$AE$1006,0))&gt;=100000), " ",IF(INDEX($V$2:$AE$1001,MATCH(ROWS($O$2:O327),$O$2:$O$1001,0),MATCH(COLUMNS($V$1006:AB1006),$V$1006:$AE$1006,0)), HYPERLINK("#",""), HYPERLINK(CONCATENATE("#Metadata!", ADDRESS(INDEX($Q$2:$Q$1001,MATCH(ROWS($O$2:O327),$O$2:$O$1001,0),0), INDEX($V$1004:$AE$1004,1,MATCH(COLUMNS($V$1006:AB1006),$V$1006:$AE$1006,0)))),"Fix")))</f>
        <v>0</v>
      </c>
      <c r="I327" s="3">
        <f>IF(OR(INDEX($P$2:$P$1001,MATCH(ROWS($O$2:O327),$O$2:$O$1001,0),1)&gt;=100000,INDEX($V$1005:$AE$1005,1,MATCH(COLUMNS($V$1006:AC1006),$V$1006:$AE$1006,0))&gt;=100000), " ",IF(INDEX($V$2:$AE$1001,MATCH(ROWS($O$2:O327),$O$2:$O$1001,0),MATCH(COLUMNS($V$1006:AC1006),$V$1006:$AE$1006,0)), HYPERLINK("#",""), HYPERLINK(CONCATENATE("#Metadata!", ADDRESS(INDEX($Q$2:$Q$1001,MATCH(ROWS($O$2:O327),$O$2:$O$1001,0),0), INDEX($V$1004:$AE$1004,1,MATCH(COLUMNS($V$1006:AC1006),$V$1006:$AE$1006,0)))),"Fix")))</f>
        <v>0</v>
      </c>
      <c r="J327" s="3">
        <f>IF(OR(INDEX($P$2:$P$1001,MATCH(ROWS($O$2:O327),$O$2:$O$1001,0),1)&gt;=100000,INDEX($V$1005:$AE$1005,1,MATCH(COLUMNS($V$1006:AD1006),$V$1006:$AE$1006,0))&gt;=100000), " ",IF(INDEX($V$2:$AE$1001,MATCH(ROWS($O$2:O327),$O$2:$O$1001,0),MATCH(COLUMNS($V$1006:AD1006),$V$1006:$AE$1006,0)), HYPERLINK("#",""), HYPERLINK(CONCATENATE("#Metadata!", ADDRESS(INDEX($Q$2:$Q$1001,MATCH(ROWS($O$2:O327),$O$2:$O$1001,0),0), INDEX($V$1004:$AE$1004,1,MATCH(COLUMNS($V$1006:AD1006),$V$1006:$AE$1006,0)))),"Fix")))</f>
        <v>0</v>
      </c>
      <c r="K327" s="3">
        <f>IF(OR(INDEX($P$2:$P$1001,MATCH(ROWS($O$2:O327),$O$2:$O$1001,0),1)&gt;=100000,INDEX($V$1005:$AE$1005,1,MATCH(COLUMNS($V$1006:AE1006),$V$1006:$AE$1006,0))&gt;=100000), " ",IF(INDEX($V$2:$AE$1001,MATCH(ROWS($O$2:O327),$O$2:$O$1001,0),MATCH(COLUMNS($V$1006:AE1006),$V$1006:$AE$1006,0)), HYPERLINK("#",""), HYPERLINK(CONCATENATE("#Metadata!", ADDRESS(INDEX($Q$2:$Q$1001,MATCH(ROWS($O$2:O327),$O$2:$O$1001,0),0), INDEX($V$1004:$AE$1004,1,MATCH(COLUMNS($V$1006:AE1006),$V$1006:$AE$1006,0)))),"Fix")))</f>
        <v>0</v>
      </c>
      <c r="O327">
        <v>0</v>
      </c>
      <c r="P327">
        <v>0</v>
      </c>
      <c r="Q327">
        <v>0</v>
      </c>
      <c r="R327">
        <f>IF(S327,TRUE,AND(V327:AE327))</f>
        <v>0</v>
      </c>
      <c r="S327">
        <f>COUNTBLANK(Metadata!B327:K327)=COLUMNS(Metadata!B327:K327)</f>
        <v>0</v>
      </c>
      <c r="T327">
        <v>0</v>
      </c>
      <c r="V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W327">
        <f>AND(IF(Metadata!C327="",FALSE,TRUE),exact(Metadata!C327,"animal secretion"))</f>
        <v>0</v>
      </c>
      <c r="X327">
        <f>AND(IF(Metadata!D327="",FALSE,TRUE),exact(Metadata!D327,"saliva"))</f>
        <v>0</v>
      </c>
      <c r="Y327">
        <f>AND(IF(Metadata!E327="",FALSE,TRUE),exact(Metadata!E327,"human-oral"))</f>
        <v>0</v>
      </c>
      <c r="Z327">
        <f>AND(IF(Metadata!F327="",FALSE,TRUE),exact(Metadata!F327,"UBERON:oral cavity"))</f>
        <v>0</v>
      </c>
      <c r="AA327">
        <f>AND(IF(Metadata!G327="",FALSE,TRUE),exact(Metadata!G327,"UBERON:saliva"))</f>
        <v>0</v>
      </c>
      <c r="AB327">
        <f>AND(IF(Metadata!H327="",FALSE,TRUE),exact(Metadata!H327,"UBERON:tongue"))</f>
        <v>0</v>
      </c>
      <c r="AC327">
        <f>AND(IF(Metadata!I327="",FALSE,TRUE),exact(Metadata!I327,"tongue"))</f>
        <v>0</v>
      </c>
      <c r="AD327">
        <f>AND(IF(Metadata!J327="",FALSE,TRUE),exact(Metadata!J327,"human oral metagenome"))</f>
        <v>0</v>
      </c>
      <c r="AE327">
        <f>AND(IF(Metadata!K327="",FALSE,TRUE),exact(Metadata!K327,"447426"))</f>
        <v>0</v>
      </c>
    </row>
    <row r="328" spans="1:31">
      <c r="A328" s="4">
        <f>IF(B328=" "," ",HYPERLINK(CONCATENATE("#metadata!",ADDRESS(INDEX($Q$2:$Q$1001,MATCH(ROWS($O$2:O328),$O$2:$O$1001,0),0),1)),INDEX($T$2:$T$1001,MATCH(ROWS($O$2:O328),$O$2:$O$1001,0),0)))</f>
        <v>0</v>
      </c>
      <c r="B328" s="3">
        <f>IF(OR(INDEX($P$2:$P$1001,MATCH(ROWS($O$2:O328),$O$2:$O$1001,0),1)&gt;=100000,INDEX($V$1005:$AE$1005,1,MATCH(COLUMNS($V$1006:V1006),$V$1006:$AE$1006,0))&gt;=100000), " ",IF(INDEX($V$2:$AE$1001,MATCH(ROWS($O$2:O328),$O$2:$O$1001,0),MATCH(COLUMNS($V$1006:V1006),$V$1006:$AE$1006,0)), HYPERLINK("#",""), HYPERLINK(CONCATENATE("#Metadata!", ADDRESS(INDEX($Q$2:$Q$1001,MATCH(ROWS($O$2:O328),$O$2:$O$1001,0),0), INDEX($V$1004:$AE$1004,1,MATCH(COLUMNS($V$1006:V1006),$V$1006:$AE$1006,0)))),"Fix")))</f>
        <v>0</v>
      </c>
      <c r="C328" s="3">
        <f>IF(OR(INDEX($P$2:$P$1001,MATCH(ROWS($O$2:O328),$O$2:$O$1001,0),1)&gt;=100000,INDEX($V$1005:$AE$1005,1,MATCH(COLUMNS($V$1006:W1006),$V$1006:$AE$1006,0))&gt;=100000), " ",IF(INDEX($V$2:$AE$1001,MATCH(ROWS($O$2:O328),$O$2:$O$1001,0),MATCH(COLUMNS($V$1006:W1006),$V$1006:$AE$1006,0)), HYPERLINK("#",""), HYPERLINK(CONCATENATE("#Metadata!", ADDRESS(INDEX($Q$2:$Q$1001,MATCH(ROWS($O$2:O328),$O$2:$O$1001,0),0), INDEX($V$1004:$AE$1004,1,MATCH(COLUMNS($V$1006:W1006),$V$1006:$AE$1006,0)))),"Fix")))</f>
        <v>0</v>
      </c>
      <c r="D328" s="3">
        <f>IF(OR(INDEX($P$2:$P$1001,MATCH(ROWS($O$2:O328),$O$2:$O$1001,0),1)&gt;=100000,INDEX($V$1005:$AE$1005,1,MATCH(COLUMNS($V$1006:X1006),$V$1006:$AE$1006,0))&gt;=100000), " ",IF(INDEX($V$2:$AE$1001,MATCH(ROWS($O$2:O328),$O$2:$O$1001,0),MATCH(COLUMNS($V$1006:X1006),$V$1006:$AE$1006,0)), HYPERLINK("#",""), HYPERLINK(CONCATENATE("#Metadata!", ADDRESS(INDEX($Q$2:$Q$1001,MATCH(ROWS($O$2:O328),$O$2:$O$1001,0),0), INDEX($V$1004:$AE$1004,1,MATCH(COLUMNS($V$1006:X1006),$V$1006:$AE$1006,0)))),"Fix")))</f>
        <v>0</v>
      </c>
      <c r="E328" s="3">
        <f>IF(OR(INDEX($P$2:$P$1001,MATCH(ROWS($O$2:O328),$O$2:$O$1001,0),1)&gt;=100000,INDEX($V$1005:$AE$1005,1,MATCH(COLUMNS($V$1006:Y1006),$V$1006:$AE$1006,0))&gt;=100000), " ",IF(INDEX($V$2:$AE$1001,MATCH(ROWS($O$2:O328),$O$2:$O$1001,0),MATCH(COLUMNS($V$1006:Y1006),$V$1006:$AE$1006,0)), HYPERLINK("#",""), HYPERLINK(CONCATENATE("#Metadata!", ADDRESS(INDEX($Q$2:$Q$1001,MATCH(ROWS($O$2:O328),$O$2:$O$1001,0),0), INDEX($V$1004:$AE$1004,1,MATCH(COLUMNS($V$1006:Y1006),$V$1006:$AE$1006,0)))),"Fix")))</f>
        <v>0</v>
      </c>
      <c r="F328" s="3">
        <f>IF(OR(INDEX($P$2:$P$1001,MATCH(ROWS($O$2:O328),$O$2:$O$1001,0),1)&gt;=100000,INDEX($V$1005:$AE$1005,1,MATCH(COLUMNS($V$1006:Z1006),$V$1006:$AE$1006,0))&gt;=100000), " ",IF(INDEX($V$2:$AE$1001,MATCH(ROWS($O$2:O328),$O$2:$O$1001,0),MATCH(COLUMNS($V$1006:Z1006),$V$1006:$AE$1006,0)), HYPERLINK("#",""), HYPERLINK(CONCATENATE("#Metadata!", ADDRESS(INDEX($Q$2:$Q$1001,MATCH(ROWS($O$2:O328),$O$2:$O$1001,0),0), INDEX($V$1004:$AE$1004,1,MATCH(COLUMNS($V$1006:Z1006),$V$1006:$AE$1006,0)))),"Fix")))</f>
        <v>0</v>
      </c>
      <c r="G328" s="3">
        <f>IF(OR(INDEX($P$2:$P$1001,MATCH(ROWS($O$2:O328),$O$2:$O$1001,0),1)&gt;=100000,INDEX($V$1005:$AE$1005,1,MATCH(COLUMNS($V$1006:AA1006),$V$1006:$AE$1006,0))&gt;=100000), " ",IF(INDEX($V$2:$AE$1001,MATCH(ROWS($O$2:O328),$O$2:$O$1001,0),MATCH(COLUMNS($V$1006:AA1006),$V$1006:$AE$1006,0)), HYPERLINK("#",""), HYPERLINK(CONCATENATE("#Metadata!", ADDRESS(INDEX($Q$2:$Q$1001,MATCH(ROWS($O$2:O328),$O$2:$O$1001,0),0), INDEX($V$1004:$AE$1004,1,MATCH(COLUMNS($V$1006:AA1006),$V$1006:$AE$1006,0)))),"Fix")))</f>
        <v>0</v>
      </c>
      <c r="H328" s="3">
        <f>IF(OR(INDEX($P$2:$P$1001,MATCH(ROWS($O$2:O328),$O$2:$O$1001,0),1)&gt;=100000,INDEX($V$1005:$AE$1005,1,MATCH(COLUMNS($V$1006:AB1006),$V$1006:$AE$1006,0))&gt;=100000), " ",IF(INDEX($V$2:$AE$1001,MATCH(ROWS($O$2:O328),$O$2:$O$1001,0),MATCH(COLUMNS($V$1006:AB1006),$V$1006:$AE$1006,0)), HYPERLINK("#",""), HYPERLINK(CONCATENATE("#Metadata!", ADDRESS(INDEX($Q$2:$Q$1001,MATCH(ROWS($O$2:O328),$O$2:$O$1001,0),0), INDEX($V$1004:$AE$1004,1,MATCH(COLUMNS($V$1006:AB1006),$V$1006:$AE$1006,0)))),"Fix")))</f>
        <v>0</v>
      </c>
      <c r="I328" s="3">
        <f>IF(OR(INDEX($P$2:$P$1001,MATCH(ROWS($O$2:O328),$O$2:$O$1001,0),1)&gt;=100000,INDEX($V$1005:$AE$1005,1,MATCH(COLUMNS($V$1006:AC1006),$V$1006:$AE$1006,0))&gt;=100000), " ",IF(INDEX($V$2:$AE$1001,MATCH(ROWS($O$2:O328),$O$2:$O$1001,0),MATCH(COLUMNS($V$1006:AC1006),$V$1006:$AE$1006,0)), HYPERLINK("#",""), HYPERLINK(CONCATENATE("#Metadata!", ADDRESS(INDEX($Q$2:$Q$1001,MATCH(ROWS($O$2:O328),$O$2:$O$1001,0),0), INDEX($V$1004:$AE$1004,1,MATCH(COLUMNS($V$1006:AC1006),$V$1006:$AE$1006,0)))),"Fix")))</f>
        <v>0</v>
      </c>
      <c r="J328" s="3">
        <f>IF(OR(INDEX($P$2:$P$1001,MATCH(ROWS($O$2:O328),$O$2:$O$1001,0),1)&gt;=100000,INDEX($V$1005:$AE$1005,1,MATCH(COLUMNS($V$1006:AD1006),$V$1006:$AE$1006,0))&gt;=100000), " ",IF(INDEX($V$2:$AE$1001,MATCH(ROWS($O$2:O328),$O$2:$O$1001,0),MATCH(COLUMNS($V$1006:AD1006),$V$1006:$AE$1006,0)), HYPERLINK("#",""), HYPERLINK(CONCATENATE("#Metadata!", ADDRESS(INDEX($Q$2:$Q$1001,MATCH(ROWS($O$2:O328),$O$2:$O$1001,0),0), INDEX($V$1004:$AE$1004,1,MATCH(COLUMNS($V$1006:AD1006),$V$1006:$AE$1006,0)))),"Fix")))</f>
        <v>0</v>
      </c>
      <c r="K328" s="3">
        <f>IF(OR(INDEX($P$2:$P$1001,MATCH(ROWS($O$2:O328),$O$2:$O$1001,0),1)&gt;=100000,INDEX($V$1005:$AE$1005,1,MATCH(COLUMNS($V$1006:AE1006),$V$1006:$AE$1006,0))&gt;=100000), " ",IF(INDEX($V$2:$AE$1001,MATCH(ROWS($O$2:O328),$O$2:$O$1001,0),MATCH(COLUMNS($V$1006:AE1006),$V$1006:$AE$1006,0)), HYPERLINK("#",""), HYPERLINK(CONCATENATE("#Metadata!", ADDRESS(INDEX($Q$2:$Q$1001,MATCH(ROWS($O$2:O328),$O$2:$O$1001,0),0), INDEX($V$1004:$AE$1004,1,MATCH(COLUMNS($V$1006:AE1006),$V$1006:$AE$1006,0)))),"Fix")))</f>
        <v>0</v>
      </c>
      <c r="O328">
        <v>0</v>
      </c>
      <c r="P328">
        <v>0</v>
      </c>
      <c r="Q328">
        <v>0</v>
      </c>
      <c r="R328">
        <f>IF(S328,TRUE,AND(V328:AE328))</f>
        <v>0</v>
      </c>
      <c r="S328">
        <f>COUNTBLANK(Metadata!B328:K328)=COLUMNS(Metadata!B328:K328)</f>
        <v>0</v>
      </c>
      <c r="T328">
        <v>0</v>
      </c>
      <c r="V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W328">
        <f>AND(IF(Metadata!C328="",FALSE,TRUE),exact(Metadata!C328,"animal secretion"))</f>
        <v>0</v>
      </c>
      <c r="X328">
        <f>AND(IF(Metadata!D328="",FALSE,TRUE),exact(Metadata!D328,"saliva"))</f>
        <v>0</v>
      </c>
      <c r="Y328">
        <f>AND(IF(Metadata!E328="",FALSE,TRUE),exact(Metadata!E328,"human-oral"))</f>
        <v>0</v>
      </c>
      <c r="Z328">
        <f>AND(IF(Metadata!F328="",FALSE,TRUE),exact(Metadata!F328,"UBERON:oral cavity"))</f>
        <v>0</v>
      </c>
      <c r="AA328">
        <f>AND(IF(Metadata!G328="",FALSE,TRUE),exact(Metadata!G328,"UBERON:saliva"))</f>
        <v>0</v>
      </c>
      <c r="AB328">
        <f>AND(IF(Metadata!H328="",FALSE,TRUE),exact(Metadata!H328,"UBERON:tongue"))</f>
        <v>0</v>
      </c>
      <c r="AC328">
        <f>AND(IF(Metadata!I328="",FALSE,TRUE),exact(Metadata!I328,"tongue"))</f>
        <v>0</v>
      </c>
      <c r="AD328">
        <f>AND(IF(Metadata!J328="",FALSE,TRUE),exact(Metadata!J328,"human oral metagenome"))</f>
        <v>0</v>
      </c>
      <c r="AE328">
        <f>AND(IF(Metadata!K328="",FALSE,TRUE),exact(Metadata!K328,"447426"))</f>
        <v>0</v>
      </c>
    </row>
    <row r="329" spans="1:31">
      <c r="A329" s="4">
        <f>IF(B329=" "," ",HYPERLINK(CONCATENATE("#metadata!",ADDRESS(INDEX($Q$2:$Q$1001,MATCH(ROWS($O$2:O329),$O$2:$O$1001,0),0),1)),INDEX($T$2:$T$1001,MATCH(ROWS($O$2:O329),$O$2:$O$1001,0),0)))</f>
        <v>0</v>
      </c>
      <c r="B329" s="3">
        <f>IF(OR(INDEX($P$2:$P$1001,MATCH(ROWS($O$2:O329),$O$2:$O$1001,0),1)&gt;=100000,INDEX($V$1005:$AE$1005,1,MATCH(COLUMNS($V$1006:V1006),$V$1006:$AE$1006,0))&gt;=100000), " ",IF(INDEX($V$2:$AE$1001,MATCH(ROWS($O$2:O329),$O$2:$O$1001,0),MATCH(COLUMNS($V$1006:V1006),$V$1006:$AE$1006,0)), HYPERLINK("#",""), HYPERLINK(CONCATENATE("#Metadata!", ADDRESS(INDEX($Q$2:$Q$1001,MATCH(ROWS($O$2:O329),$O$2:$O$1001,0),0), INDEX($V$1004:$AE$1004,1,MATCH(COLUMNS($V$1006:V1006),$V$1006:$AE$1006,0)))),"Fix")))</f>
        <v>0</v>
      </c>
      <c r="C329" s="3">
        <f>IF(OR(INDEX($P$2:$P$1001,MATCH(ROWS($O$2:O329),$O$2:$O$1001,0),1)&gt;=100000,INDEX($V$1005:$AE$1005,1,MATCH(COLUMNS($V$1006:W1006),$V$1006:$AE$1006,0))&gt;=100000), " ",IF(INDEX($V$2:$AE$1001,MATCH(ROWS($O$2:O329),$O$2:$O$1001,0),MATCH(COLUMNS($V$1006:W1006),$V$1006:$AE$1006,0)), HYPERLINK("#",""), HYPERLINK(CONCATENATE("#Metadata!", ADDRESS(INDEX($Q$2:$Q$1001,MATCH(ROWS($O$2:O329),$O$2:$O$1001,0),0), INDEX($V$1004:$AE$1004,1,MATCH(COLUMNS($V$1006:W1006),$V$1006:$AE$1006,0)))),"Fix")))</f>
        <v>0</v>
      </c>
      <c r="D329" s="3">
        <f>IF(OR(INDEX($P$2:$P$1001,MATCH(ROWS($O$2:O329),$O$2:$O$1001,0),1)&gt;=100000,INDEX($V$1005:$AE$1005,1,MATCH(COLUMNS($V$1006:X1006),$V$1006:$AE$1006,0))&gt;=100000), " ",IF(INDEX($V$2:$AE$1001,MATCH(ROWS($O$2:O329),$O$2:$O$1001,0),MATCH(COLUMNS($V$1006:X1006),$V$1006:$AE$1006,0)), HYPERLINK("#",""), HYPERLINK(CONCATENATE("#Metadata!", ADDRESS(INDEX($Q$2:$Q$1001,MATCH(ROWS($O$2:O329),$O$2:$O$1001,0),0), INDEX($V$1004:$AE$1004,1,MATCH(COLUMNS($V$1006:X1006),$V$1006:$AE$1006,0)))),"Fix")))</f>
        <v>0</v>
      </c>
      <c r="E329" s="3">
        <f>IF(OR(INDEX($P$2:$P$1001,MATCH(ROWS($O$2:O329),$O$2:$O$1001,0),1)&gt;=100000,INDEX($V$1005:$AE$1005,1,MATCH(COLUMNS($V$1006:Y1006),$V$1006:$AE$1006,0))&gt;=100000), " ",IF(INDEX($V$2:$AE$1001,MATCH(ROWS($O$2:O329),$O$2:$O$1001,0),MATCH(COLUMNS($V$1006:Y1006),$V$1006:$AE$1006,0)), HYPERLINK("#",""), HYPERLINK(CONCATENATE("#Metadata!", ADDRESS(INDEX($Q$2:$Q$1001,MATCH(ROWS($O$2:O329),$O$2:$O$1001,0),0), INDEX($V$1004:$AE$1004,1,MATCH(COLUMNS($V$1006:Y1006),$V$1006:$AE$1006,0)))),"Fix")))</f>
        <v>0</v>
      </c>
      <c r="F329" s="3">
        <f>IF(OR(INDEX($P$2:$P$1001,MATCH(ROWS($O$2:O329),$O$2:$O$1001,0),1)&gt;=100000,INDEX($V$1005:$AE$1005,1,MATCH(COLUMNS($V$1006:Z1006),$V$1006:$AE$1006,0))&gt;=100000), " ",IF(INDEX($V$2:$AE$1001,MATCH(ROWS($O$2:O329),$O$2:$O$1001,0),MATCH(COLUMNS($V$1006:Z1006),$V$1006:$AE$1006,0)), HYPERLINK("#",""), HYPERLINK(CONCATENATE("#Metadata!", ADDRESS(INDEX($Q$2:$Q$1001,MATCH(ROWS($O$2:O329),$O$2:$O$1001,0),0), INDEX($V$1004:$AE$1004,1,MATCH(COLUMNS($V$1006:Z1006),$V$1006:$AE$1006,0)))),"Fix")))</f>
        <v>0</v>
      </c>
      <c r="G329" s="3">
        <f>IF(OR(INDEX($P$2:$P$1001,MATCH(ROWS($O$2:O329),$O$2:$O$1001,0),1)&gt;=100000,INDEX($V$1005:$AE$1005,1,MATCH(COLUMNS($V$1006:AA1006),$V$1006:$AE$1006,0))&gt;=100000), " ",IF(INDEX($V$2:$AE$1001,MATCH(ROWS($O$2:O329),$O$2:$O$1001,0),MATCH(COLUMNS($V$1006:AA1006),$V$1006:$AE$1006,0)), HYPERLINK("#",""), HYPERLINK(CONCATENATE("#Metadata!", ADDRESS(INDEX($Q$2:$Q$1001,MATCH(ROWS($O$2:O329),$O$2:$O$1001,0),0), INDEX($V$1004:$AE$1004,1,MATCH(COLUMNS($V$1006:AA1006),$V$1006:$AE$1006,0)))),"Fix")))</f>
        <v>0</v>
      </c>
      <c r="H329" s="3">
        <f>IF(OR(INDEX($P$2:$P$1001,MATCH(ROWS($O$2:O329),$O$2:$O$1001,0),1)&gt;=100000,INDEX($V$1005:$AE$1005,1,MATCH(COLUMNS($V$1006:AB1006),$V$1006:$AE$1006,0))&gt;=100000), " ",IF(INDEX($V$2:$AE$1001,MATCH(ROWS($O$2:O329),$O$2:$O$1001,0),MATCH(COLUMNS($V$1006:AB1006),$V$1006:$AE$1006,0)), HYPERLINK("#",""), HYPERLINK(CONCATENATE("#Metadata!", ADDRESS(INDEX($Q$2:$Q$1001,MATCH(ROWS($O$2:O329),$O$2:$O$1001,0),0), INDEX($V$1004:$AE$1004,1,MATCH(COLUMNS($V$1006:AB1006),$V$1006:$AE$1006,0)))),"Fix")))</f>
        <v>0</v>
      </c>
      <c r="I329" s="3">
        <f>IF(OR(INDEX($P$2:$P$1001,MATCH(ROWS($O$2:O329),$O$2:$O$1001,0),1)&gt;=100000,INDEX($V$1005:$AE$1005,1,MATCH(COLUMNS($V$1006:AC1006),$V$1006:$AE$1006,0))&gt;=100000), " ",IF(INDEX($V$2:$AE$1001,MATCH(ROWS($O$2:O329),$O$2:$O$1001,0),MATCH(COLUMNS($V$1006:AC1006),$V$1006:$AE$1006,0)), HYPERLINK("#",""), HYPERLINK(CONCATENATE("#Metadata!", ADDRESS(INDEX($Q$2:$Q$1001,MATCH(ROWS($O$2:O329),$O$2:$O$1001,0),0), INDEX($V$1004:$AE$1004,1,MATCH(COLUMNS($V$1006:AC1006),$V$1006:$AE$1006,0)))),"Fix")))</f>
        <v>0</v>
      </c>
      <c r="J329" s="3">
        <f>IF(OR(INDEX($P$2:$P$1001,MATCH(ROWS($O$2:O329),$O$2:$O$1001,0),1)&gt;=100000,INDEX($V$1005:$AE$1005,1,MATCH(COLUMNS($V$1006:AD1006),$V$1006:$AE$1006,0))&gt;=100000), " ",IF(INDEX($V$2:$AE$1001,MATCH(ROWS($O$2:O329),$O$2:$O$1001,0),MATCH(COLUMNS($V$1006:AD1006),$V$1006:$AE$1006,0)), HYPERLINK("#",""), HYPERLINK(CONCATENATE("#Metadata!", ADDRESS(INDEX($Q$2:$Q$1001,MATCH(ROWS($O$2:O329),$O$2:$O$1001,0),0), INDEX($V$1004:$AE$1004,1,MATCH(COLUMNS($V$1006:AD1006),$V$1006:$AE$1006,0)))),"Fix")))</f>
        <v>0</v>
      </c>
      <c r="K329" s="3">
        <f>IF(OR(INDEX($P$2:$P$1001,MATCH(ROWS($O$2:O329),$O$2:$O$1001,0),1)&gt;=100000,INDEX($V$1005:$AE$1005,1,MATCH(COLUMNS($V$1006:AE1006),$V$1006:$AE$1006,0))&gt;=100000), " ",IF(INDEX($V$2:$AE$1001,MATCH(ROWS($O$2:O329),$O$2:$O$1001,0),MATCH(COLUMNS($V$1006:AE1006),$V$1006:$AE$1006,0)), HYPERLINK("#",""), HYPERLINK(CONCATENATE("#Metadata!", ADDRESS(INDEX($Q$2:$Q$1001,MATCH(ROWS($O$2:O329),$O$2:$O$1001,0),0), INDEX($V$1004:$AE$1004,1,MATCH(COLUMNS($V$1006:AE1006),$V$1006:$AE$1006,0)))),"Fix")))</f>
        <v>0</v>
      </c>
      <c r="O329">
        <v>0</v>
      </c>
      <c r="P329">
        <v>0</v>
      </c>
      <c r="Q329">
        <v>0</v>
      </c>
      <c r="R329">
        <f>IF(S329,TRUE,AND(V329:AE329))</f>
        <v>0</v>
      </c>
      <c r="S329">
        <f>COUNTBLANK(Metadata!B329:K329)=COLUMNS(Metadata!B329:K329)</f>
        <v>0</v>
      </c>
      <c r="T329">
        <v>0</v>
      </c>
      <c r="V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W329">
        <f>AND(IF(Metadata!C329="",FALSE,TRUE),exact(Metadata!C329,"animal secretion"))</f>
        <v>0</v>
      </c>
      <c r="X329">
        <f>AND(IF(Metadata!D329="",FALSE,TRUE),exact(Metadata!D329,"saliva"))</f>
        <v>0</v>
      </c>
      <c r="Y329">
        <f>AND(IF(Metadata!E329="",FALSE,TRUE),exact(Metadata!E329,"human-oral"))</f>
        <v>0</v>
      </c>
      <c r="Z329">
        <f>AND(IF(Metadata!F329="",FALSE,TRUE),exact(Metadata!F329,"UBERON:oral cavity"))</f>
        <v>0</v>
      </c>
      <c r="AA329">
        <f>AND(IF(Metadata!G329="",FALSE,TRUE),exact(Metadata!G329,"UBERON:saliva"))</f>
        <v>0</v>
      </c>
      <c r="AB329">
        <f>AND(IF(Metadata!H329="",FALSE,TRUE),exact(Metadata!H329,"UBERON:tongue"))</f>
        <v>0</v>
      </c>
      <c r="AC329">
        <f>AND(IF(Metadata!I329="",FALSE,TRUE),exact(Metadata!I329,"tongue"))</f>
        <v>0</v>
      </c>
      <c r="AD329">
        <f>AND(IF(Metadata!J329="",FALSE,TRUE),exact(Metadata!J329,"human oral metagenome"))</f>
        <v>0</v>
      </c>
      <c r="AE329">
        <f>AND(IF(Metadata!K329="",FALSE,TRUE),exact(Metadata!K329,"447426"))</f>
        <v>0</v>
      </c>
    </row>
    <row r="330" spans="1:31">
      <c r="A330" s="4">
        <f>IF(B330=" "," ",HYPERLINK(CONCATENATE("#metadata!",ADDRESS(INDEX($Q$2:$Q$1001,MATCH(ROWS($O$2:O330),$O$2:$O$1001,0),0),1)),INDEX($T$2:$T$1001,MATCH(ROWS($O$2:O330),$O$2:$O$1001,0),0)))</f>
        <v>0</v>
      </c>
      <c r="B330" s="3">
        <f>IF(OR(INDEX($P$2:$P$1001,MATCH(ROWS($O$2:O330),$O$2:$O$1001,0),1)&gt;=100000,INDEX($V$1005:$AE$1005,1,MATCH(COLUMNS($V$1006:V1006),$V$1006:$AE$1006,0))&gt;=100000), " ",IF(INDEX($V$2:$AE$1001,MATCH(ROWS($O$2:O330),$O$2:$O$1001,0),MATCH(COLUMNS($V$1006:V1006),$V$1006:$AE$1006,0)), HYPERLINK("#",""), HYPERLINK(CONCATENATE("#Metadata!", ADDRESS(INDEX($Q$2:$Q$1001,MATCH(ROWS($O$2:O330),$O$2:$O$1001,0),0), INDEX($V$1004:$AE$1004,1,MATCH(COLUMNS($V$1006:V1006),$V$1006:$AE$1006,0)))),"Fix")))</f>
        <v>0</v>
      </c>
      <c r="C330" s="3">
        <f>IF(OR(INDEX($P$2:$P$1001,MATCH(ROWS($O$2:O330),$O$2:$O$1001,0),1)&gt;=100000,INDEX($V$1005:$AE$1005,1,MATCH(COLUMNS($V$1006:W1006),$V$1006:$AE$1006,0))&gt;=100000), " ",IF(INDEX($V$2:$AE$1001,MATCH(ROWS($O$2:O330),$O$2:$O$1001,0),MATCH(COLUMNS($V$1006:W1006),$V$1006:$AE$1006,0)), HYPERLINK("#",""), HYPERLINK(CONCATENATE("#Metadata!", ADDRESS(INDEX($Q$2:$Q$1001,MATCH(ROWS($O$2:O330),$O$2:$O$1001,0),0), INDEX($V$1004:$AE$1004,1,MATCH(COLUMNS($V$1006:W1006),$V$1006:$AE$1006,0)))),"Fix")))</f>
        <v>0</v>
      </c>
      <c r="D330" s="3">
        <f>IF(OR(INDEX($P$2:$P$1001,MATCH(ROWS($O$2:O330),$O$2:$O$1001,0),1)&gt;=100000,INDEX($V$1005:$AE$1005,1,MATCH(COLUMNS($V$1006:X1006),$V$1006:$AE$1006,0))&gt;=100000), " ",IF(INDEX($V$2:$AE$1001,MATCH(ROWS($O$2:O330),$O$2:$O$1001,0),MATCH(COLUMNS($V$1006:X1006),$V$1006:$AE$1006,0)), HYPERLINK("#",""), HYPERLINK(CONCATENATE("#Metadata!", ADDRESS(INDEX($Q$2:$Q$1001,MATCH(ROWS($O$2:O330),$O$2:$O$1001,0),0), INDEX($V$1004:$AE$1004,1,MATCH(COLUMNS($V$1006:X1006),$V$1006:$AE$1006,0)))),"Fix")))</f>
        <v>0</v>
      </c>
      <c r="E330" s="3">
        <f>IF(OR(INDEX($P$2:$P$1001,MATCH(ROWS($O$2:O330),$O$2:$O$1001,0),1)&gt;=100000,INDEX($V$1005:$AE$1005,1,MATCH(COLUMNS($V$1006:Y1006),$V$1006:$AE$1006,0))&gt;=100000), " ",IF(INDEX($V$2:$AE$1001,MATCH(ROWS($O$2:O330),$O$2:$O$1001,0),MATCH(COLUMNS($V$1006:Y1006),$V$1006:$AE$1006,0)), HYPERLINK("#",""), HYPERLINK(CONCATENATE("#Metadata!", ADDRESS(INDEX($Q$2:$Q$1001,MATCH(ROWS($O$2:O330),$O$2:$O$1001,0),0), INDEX($V$1004:$AE$1004,1,MATCH(COLUMNS($V$1006:Y1006),$V$1006:$AE$1006,0)))),"Fix")))</f>
        <v>0</v>
      </c>
      <c r="F330" s="3">
        <f>IF(OR(INDEX($P$2:$P$1001,MATCH(ROWS($O$2:O330),$O$2:$O$1001,0),1)&gt;=100000,INDEX($V$1005:$AE$1005,1,MATCH(COLUMNS($V$1006:Z1006),$V$1006:$AE$1006,0))&gt;=100000), " ",IF(INDEX($V$2:$AE$1001,MATCH(ROWS($O$2:O330),$O$2:$O$1001,0),MATCH(COLUMNS($V$1006:Z1006),$V$1006:$AE$1006,0)), HYPERLINK("#",""), HYPERLINK(CONCATENATE("#Metadata!", ADDRESS(INDEX($Q$2:$Q$1001,MATCH(ROWS($O$2:O330),$O$2:$O$1001,0),0), INDEX($V$1004:$AE$1004,1,MATCH(COLUMNS($V$1006:Z1006),$V$1006:$AE$1006,0)))),"Fix")))</f>
        <v>0</v>
      </c>
      <c r="G330" s="3">
        <f>IF(OR(INDEX($P$2:$P$1001,MATCH(ROWS($O$2:O330),$O$2:$O$1001,0),1)&gt;=100000,INDEX($V$1005:$AE$1005,1,MATCH(COLUMNS($V$1006:AA1006),$V$1006:$AE$1006,0))&gt;=100000), " ",IF(INDEX($V$2:$AE$1001,MATCH(ROWS($O$2:O330),$O$2:$O$1001,0),MATCH(COLUMNS($V$1006:AA1006),$V$1006:$AE$1006,0)), HYPERLINK("#",""), HYPERLINK(CONCATENATE("#Metadata!", ADDRESS(INDEX($Q$2:$Q$1001,MATCH(ROWS($O$2:O330),$O$2:$O$1001,0),0), INDEX($V$1004:$AE$1004,1,MATCH(COLUMNS($V$1006:AA1006),$V$1006:$AE$1006,0)))),"Fix")))</f>
        <v>0</v>
      </c>
      <c r="H330" s="3">
        <f>IF(OR(INDEX($P$2:$P$1001,MATCH(ROWS($O$2:O330),$O$2:$O$1001,0),1)&gt;=100000,INDEX($V$1005:$AE$1005,1,MATCH(COLUMNS($V$1006:AB1006),$V$1006:$AE$1006,0))&gt;=100000), " ",IF(INDEX($V$2:$AE$1001,MATCH(ROWS($O$2:O330),$O$2:$O$1001,0),MATCH(COLUMNS($V$1006:AB1006),$V$1006:$AE$1006,0)), HYPERLINK("#",""), HYPERLINK(CONCATENATE("#Metadata!", ADDRESS(INDEX($Q$2:$Q$1001,MATCH(ROWS($O$2:O330),$O$2:$O$1001,0),0), INDEX($V$1004:$AE$1004,1,MATCH(COLUMNS($V$1006:AB1006),$V$1006:$AE$1006,0)))),"Fix")))</f>
        <v>0</v>
      </c>
      <c r="I330" s="3">
        <f>IF(OR(INDEX($P$2:$P$1001,MATCH(ROWS($O$2:O330),$O$2:$O$1001,0),1)&gt;=100000,INDEX($V$1005:$AE$1005,1,MATCH(COLUMNS($V$1006:AC1006),$V$1006:$AE$1006,0))&gt;=100000), " ",IF(INDEX($V$2:$AE$1001,MATCH(ROWS($O$2:O330),$O$2:$O$1001,0),MATCH(COLUMNS($V$1006:AC1006),$V$1006:$AE$1006,0)), HYPERLINK("#",""), HYPERLINK(CONCATENATE("#Metadata!", ADDRESS(INDEX($Q$2:$Q$1001,MATCH(ROWS($O$2:O330),$O$2:$O$1001,0),0), INDEX($V$1004:$AE$1004,1,MATCH(COLUMNS($V$1006:AC1006),$V$1006:$AE$1006,0)))),"Fix")))</f>
        <v>0</v>
      </c>
      <c r="J330" s="3">
        <f>IF(OR(INDEX($P$2:$P$1001,MATCH(ROWS($O$2:O330),$O$2:$O$1001,0),1)&gt;=100000,INDEX($V$1005:$AE$1005,1,MATCH(COLUMNS($V$1006:AD1006),$V$1006:$AE$1006,0))&gt;=100000), " ",IF(INDEX($V$2:$AE$1001,MATCH(ROWS($O$2:O330),$O$2:$O$1001,0),MATCH(COLUMNS($V$1006:AD1006),$V$1006:$AE$1006,0)), HYPERLINK("#",""), HYPERLINK(CONCATENATE("#Metadata!", ADDRESS(INDEX($Q$2:$Q$1001,MATCH(ROWS($O$2:O330),$O$2:$O$1001,0),0), INDEX($V$1004:$AE$1004,1,MATCH(COLUMNS($V$1006:AD1006),$V$1006:$AE$1006,0)))),"Fix")))</f>
        <v>0</v>
      </c>
      <c r="K330" s="3">
        <f>IF(OR(INDEX($P$2:$P$1001,MATCH(ROWS($O$2:O330),$O$2:$O$1001,0),1)&gt;=100000,INDEX($V$1005:$AE$1005,1,MATCH(COLUMNS($V$1006:AE1006),$V$1006:$AE$1006,0))&gt;=100000), " ",IF(INDEX($V$2:$AE$1001,MATCH(ROWS($O$2:O330),$O$2:$O$1001,0),MATCH(COLUMNS($V$1006:AE1006),$V$1006:$AE$1006,0)), HYPERLINK("#",""), HYPERLINK(CONCATENATE("#Metadata!", ADDRESS(INDEX($Q$2:$Q$1001,MATCH(ROWS($O$2:O330),$O$2:$O$1001,0),0), INDEX($V$1004:$AE$1004,1,MATCH(COLUMNS($V$1006:AE1006),$V$1006:$AE$1006,0)))),"Fix")))</f>
        <v>0</v>
      </c>
      <c r="O330">
        <v>0</v>
      </c>
      <c r="P330">
        <v>0</v>
      </c>
      <c r="Q330">
        <v>0</v>
      </c>
      <c r="R330">
        <f>IF(S330,TRUE,AND(V330:AE330))</f>
        <v>0</v>
      </c>
      <c r="S330">
        <f>COUNTBLANK(Metadata!B330:K330)=COLUMNS(Metadata!B330:K330)</f>
        <v>0</v>
      </c>
      <c r="T330">
        <v>0</v>
      </c>
      <c r="V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W330">
        <f>AND(IF(Metadata!C330="",FALSE,TRUE),exact(Metadata!C330,"animal secretion"))</f>
        <v>0</v>
      </c>
      <c r="X330">
        <f>AND(IF(Metadata!D330="",FALSE,TRUE),exact(Metadata!D330,"saliva"))</f>
        <v>0</v>
      </c>
      <c r="Y330">
        <f>AND(IF(Metadata!E330="",FALSE,TRUE),exact(Metadata!E330,"human-oral"))</f>
        <v>0</v>
      </c>
      <c r="Z330">
        <f>AND(IF(Metadata!F330="",FALSE,TRUE),exact(Metadata!F330,"UBERON:oral cavity"))</f>
        <v>0</v>
      </c>
      <c r="AA330">
        <f>AND(IF(Metadata!G330="",FALSE,TRUE),exact(Metadata!G330,"UBERON:saliva"))</f>
        <v>0</v>
      </c>
      <c r="AB330">
        <f>AND(IF(Metadata!H330="",FALSE,TRUE),exact(Metadata!H330,"UBERON:tongue"))</f>
        <v>0</v>
      </c>
      <c r="AC330">
        <f>AND(IF(Metadata!I330="",FALSE,TRUE),exact(Metadata!I330,"tongue"))</f>
        <v>0</v>
      </c>
      <c r="AD330">
        <f>AND(IF(Metadata!J330="",FALSE,TRUE),exact(Metadata!J330,"human oral metagenome"))</f>
        <v>0</v>
      </c>
      <c r="AE330">
        <f>AND(IF(Metadata!K330="",FALSE,TRUE),exact(Metadata!K330,"447426"))</f>
        <v>0</v>
      </c>
    </row>
    <row r="331" spans="1:31">
      <c r="A331" s="4">
        <f>IF(B331=" "," ",HYPERLINK(CONCATENATE("#metadata!",ADDRESS(INDEX($Q$2:$Q$1001,MATCH(ROWS($O$2:O331),$O$2:$O$1001,0),0),1)),INDEX($T$2:$T$1001,MATCH(ROWS($O$2:O331),$O$2:$O$1001,0),0)))</f>
        <v>0</v>
      </c>
      <c r="B331" s="3">
        <f>IF(OR(INDEX($P$2:$P$1001,MATCH(ROWS($O$2:O331),$O$2:$O$1001,0),1)&gt;=100000,INDEX($V$1005:$AE$1005,1,MATCH(COLUMNS($V$1006:V1006),$V$1006:$AE$1006,0))&gt;=100000), " ",IF(INDEX($V$2:$AE$1001,MATCH(ROWS($O$2:O331),$O$2:$O$1001,0),MATCH(COLUMNS($V$1006:V1006),$V$1006:$AE$1006,0)), HYPERLINK("#",""), HYPERLINK(CONCATENATE("#Metadata!", ADDRESS(INDEX($Q$2:$Q$1001,MATCH(ROWS($O$2:O331),$O$2:$O$1001,0),0), INDEX($V$1004:$AE$1004,1,MATCH(COLUMNS($V$1006:V1006),$V$1006:$AE$1006,0)))),"Fix")))</f>
        <v>0</v>
      </c>
      <c r="C331" s="3">
        <f>IF(OR(INDEX($P$2:$P$1001,MATCH(ROWS($O$2:O331),$O$2:$O$1001,0),1)&gt;=100000,INDEX($V$1005:$AE$1005,1,MATCH(COLUMNS($V$1006:W1006),$V$1006:$AE$1006,0))&gt;=100000), " ",IF(INDEX($V$2:$AE$1001,MATCH(ROWS($O$2:O331),$O$2:$O$1001,0),MATCH(COLUMNS($V$1006:W1006),$V$1006:$AE$1006,0)), HYPERLINK("#",""), HYPERLINK(CONCATENATE("#Metadata!", ADDRESS(INDEX($Q$2:$Q$1001,MATCH(ROWS($O$2:O331),$O$2:$O$1001,0),0), INDEX($V$1004:$AE$1004,1,MATCH(COLUMNS($V$1006:W1006),$V$1006:$AE$1006,0)))),"Fix")))</f>
        <v>0</v>
      </c>
      <c r="D331" s="3">
        <f>IF(OR(INDEX($P$2:$P$1001,MATCH(ROWS($O$2:O331),$O$2:$O$1001,0),1)&gt;=100000,INDEX($V$1005:$AE$1005,1,MATCH(COLUMNS($V$1006:X1006),$V$1006:$AE$1006,0))&gt;=100000), " ",IF(INDEX($V$2:$AE$1001,MATCH(ROWS($O$2:O331),$O$2:$O$1001,0),MATCH(COLUMNS($V$1006:X1006),$V$1006:$AE$1006,0)), HYPERLINK("#",""), HYPERLINK(CONCATENATE("#Metadata!", ADDRESS(INDEX($Q$2:$Q$1001,MATCH(ROWS($O$2:O331),$O$2:$O$1001,0),0), INDEX($V$1004:$AE$1004,1,MATCH(COLUMNS($V$1006:X1006),$V$1006:$AE$1006,0)))),"Fix")))</f>
        <v>0</v>
      </c>
      <c r="E331" s="3">
        <f>IF(OR(INDEX($P$2:$P$1001,MATCH(ROWS($O$2:O331),$O$2:$O$1001,0),1)&gt;=100000,INDEX($V$1005:$AE$1005,1,MATCH(COLUMNS($V$1006:Y1006),$V$1006:$AE$1006,0))&gt;=100000), " ",IF(INDEX($V$2:$AE$1001,MATCH(ROWS($O$2:O331),$O$2:$O$1001,0),MATCH(COLUMNS($V$1006:Y1006),$V$1006:$AE$1006,0)), HYPERLINK("#",""), HYPERLINK(CONCATENATE("#Metadata!", ADDRESS(INDEX($Q$2:$Q$1001,MATCH(ROWS($O$2:O331),$O$2:$O$1001,0),0), INDEX($V$1004:$AE$1004,1,MATCH(COLUMNS($V$1006:Y1006),$V$1006:$AE$1006,0)))),"Fix")))</f>
        <v>0</v>
      </c>
      <c r="F331" s="3">
        <f>IF(OR(INDEX($P$2:$P$1001,MATCH(ROWS($O$2:O331),$O$2:$O$1001,0),1)&gt;=100000,INDEX($V$1005:$AE$1005,1,MATCH(COLUMNS($V$1006:Z1006),$V$1006:$AE$1006,0))&gt;=100000), " ",IF(INDEX($V$2:$AE$1001,MATCH(ROWS($O$2:O331),$O$2:$O$1001,0),MATCH(COLUMNS($V$1006:Z1006),$V$1006:$AE$1006,0)), HYPERLINK("#",""), HYPERLINK(CONCATENATE("#Metadata!", ADDRESS(INDEX($Q$2:$Q$1001,MATCH(ROWS($O$2:O331),$O$2:$O$1001,0),0), INDEX($V$1004:$AE$1004,1,MATCH(COLUMNS($V$1006:Z1006),$V$1006:$AE$1006,0)))),"Fix")))</f>
        <v>0</v>
      </c>
      <c r="G331" s="3">
        <f>IF(OR(INDEX($P$2:$P$1001,MATCH(ROWS($O$2:O331),$O$2:$O$1001,0),1)&gt;=100000,INDEX($V$1005:$AE$1005,1,MATCH(COLUMNS($V$1006:AA1006),$V$1006:$AE$1006,0))&gt;=100000), " ",IF(INDEX($V$2:$AE$1001,MATCH(ROWS($O$2:O331),$O$2:$O$1001,0),MATCH(COLUMNS($V$1006:AA1006),$V$1006:$AE$1006,0)), HYPERLINK("#",""), HYPERLINK(CONCATENATE("#Metadata!", ADDRESS(INDEX($Q$2:$Q$1001,MATCH(ROWS($O$2:O331),$O$2:$O$1001,0),0), INDEX($V$1004:$AE$1004,1,MATCH(COLUMNS($V$1006:AA1006),$V$1006:$AE$1006,0)))),"Fix")))</f>
        <v>0</v>
      </c>
      <c r="H331" s="3">
        <f>IF(OR(INDEX($P$2:$P$1001,MATCH(ROWS($O$2:O331),$O$2:$O$1001,0),1)&gt;=100000,INDEX($V$1005:$AE$1005,1,MATCH(COLUMNS($V$1006:AB1006),$V$1006:$AE$1006,0))&gt;=100000), " ",IF(INDEX($V$2:$AE$1001,MATCH(ROWS($O$2:O331),$O$2:$O$1001,0),MATCH(COLUMNS($V$1006:AB1006),$V$1006:$AE$1006,0)), HYPERLINK("#",""), HYPERLINK(CONCATENATE("#Metadata!", ADDRESS(INDEX($Q$2:$Q$1001,MATCH(ROWS($O$2:O331),$O$2:$O$1001,0),0), INDEX($V$1004:$AE$1004,1,MATCH(COLUMNS($V$1006:AB1006),$V$1006:$AE$1006,0)))),"Fix")))</f>
        <v>0</v>
      </c>
      <c r="I331" s="3">
        <f>IF(OR(INDEX($P$2:$P$1001,MATCH(ROWS($O$2:O331),$O$2:$O$1001,0),1)&gt;=100000,INDEX($V$1005:$AE$1005,1,MATCH(COLUMNS($V$1006:AC1006),$V$1006:$AE$1006,0))&gt;=100000), " ",IF(INDEX($V$2:$AE$1001,MATCH(ROWS($O$2:O331),$O$2:$O$1001,0),MATCH(COLUMNS($V$1006:AC1006),$V$1006:$AE$1006,0)), HYPERLINK("#",""), HYPERLINK(CONCATENATE("#Metadata!", ADDRESS(INDEX($Q$2:$Q$1001,MATCH(ROWS($O$2:O331),$O$2:$O$1001,0),0), INDEX($V$1004:$AE$1004,1,MATCH(COLUMNS($V$1006:AC1006),$V$1006:$AE$1006,0)))),"Fix")))</f>
        <v>0</v>
      </c>
      <c r="J331" s="3">
        <f>IF(OR(INDEX($P$2:$P$1001,MATCH(ROWS($O$2:O331),$O$2:$O$1001,0),1)&gt;=100000,INDEX($V$1005:$AE$1005,1,MATCH(COLUMNS($V$1006:AD1006),$V$1006:$AE$1006,0))&gt;=100000), " ",IF(INDEX($V$2:$AE$1001,MATCH(ROWS($O$2:O331),$O$2:$O$1001,0),MATCH(COLUMNS($V$1006:AD1006),$V$1006:$AE$1006,0)), HYPERLINK("#",""), HYPERLINK(CONCATENATE("#Metadata!", ADDRESS(INDEX($Q$2:$Q$1001,MATCH(ROWS($O$2:O331),$O$2:$O$1001,0),0), INDEX($V$1004:$AE$1004,1,MATCH(COLUMNS($V$1006:AD1006),$V$1006:$AE$1006,0)))),"Fix")))</f>
        <v>0</v>
      </c>
      <c r="K331" s="3">
        <f>IF(OR(INDEX($P$2:$P$1001,MATCH(ROWS($O$2:O331),$O$2:$O$1001,0),1)&gt;=100000,INDEX($V$1005:$AE$1005,1,MATCH(COLUMNS($V$1006:AE1006),$V$1006:$AE$1006,0))&gt;=100000), " ",IF(INDEX($V$2:$AE$1001,MATCH(ROWS($O$2:O331),$O$2:$O$1001,0),MATCH(COLUMNS($V$1006:AE1006),$V$1006:$AE$1006,0)), HYPERLINK("#",""), HYPERLINK(CONCATENATE("#Metadata!", ADDRESS(INDEX($Q$2:$Q$1001,MATCH(ROWS($O$2:O331),$O$2:$O$1001,0),0), INDEX($V$1004:$AE$1004,1,MATCH(COLUMNS($V$1006:AE1006),$V$1006:$AE$1006,0)))),"Fix")))</f>
        <v>0</v>
      </c>
      <c r="O331">
        <v>0</v>
      </c>
      <c r="P331">
        <v>0</v>
      </c>
      <c r="Q331">
        <v>0</v>
      </c>
      <c r="R331">
        <f>IF(S331,TRUE,AND(V331:AE331))</f>
        <v>0</v>
      </c>
      <c r="S331">
        <f>COUNTBLANK(Metadata!B331:K331)=COLUMNS(Metadata!B331:K331)</f>
        <v>0</v>
      </c>
      <c r="T331">
        <v>0</v>
      </c>
      <c r="V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W331">
        <f>AND(IF(Metadata!C331="",FALSE,TRUE),exact(Metadata!C331,"animal secretion"))</f>
        <v>0</v>
      </c>
      <c r="X331">
        <f>AND(IF(Metadata!D331="",FALSE,TRUE),exact(Metadata!D331,"saliva"))</f>
        <v>0</v>
      </c>
      <c r="Y331">
        <f>AND(IF(Metadata!E331="",FALSE,TRUE),exact(Metadata!E331,"human-oral"))</f>
        <v>0</v>
      </c>
      <c r="Z331">
        <f>AND(IF(Metadata!F331="",FALSE,TRUE),exact(Metadata!F331,"UBERON:oral cavity"))</f>
        <v>0</v>
      </c>
      <c r="AA331">
        <f>AND(IF(Metadata!G331="",FALSE,TRUE),exact(Metadata!G331,"UBERON:saliva"))</f>
        <v>0</v>
      </c>
      <c r="AB331">
        <f>AND(IF(Metadata!H331="",FALSE,TRUE),exact(Metadata!H331,"UBERON:tongue"))</f>
        <v>0</v>
      </c>
      <c r="AC331">
        <f>AND(IF(Metadata!I331="",FALSE,TRUE),exact(Metadata!I331,"tongue"))</f>
        <v>0</v>
      </c>
      <c r="AD331">
        <f>AND(IF(Metadata!J331="",FALSE,TRUE),exact(Metadata!J331,"human oral metagenome"))</f>
        <v>0</v>
      </c>
      <c r="AE331">
        <f>AND(IF(Metadata!K331="",FALSE,TRUE),exact(Metadata!K331,"447426"))</f>
        <v>0</v>
      </c>
    </row>
    <row r="332" spans="1:31">
      <c r="A332" s="4">
        <f>IF(B332=" "," ",HYPERLINK(CONCATENATE("#metadata!",ADDRESS(INDEX($Q$2:$Q$1001,MATCH(ROWS($O$2:O332),$O$2:$O$1001,0),0),1)),INDEX($T$2:$T$1001,MATCH(ROWS($O$2:O332),$O$2:$O$1001,0),0)))</f>
        <v>0</v>
      </c>
      <c r="B332" s="3">
        <f>IF(OR(INDEX($P$2:$P$1001,MATCH(ROWS($O$2:O332),$O$2:$O$1001,0),1)&gt;=100000,INDEX($V$1005:$AE$1005,1,MATCH(COLUMNS($V$1006:V1006),$V$1006:$AE$1006,0))&gt;=100000), " ",IF(INDEX($V$2:$AE$1001,MATCH(ROWS($O$2:O332),$O$2:$O$1001,0),MATCH(COLUMNS($V$1006:V1006),$V$1006:$AE$1006,0)), HYPERLINK("#",""), HYPERLINK(CONCATENATE("#Metadata!", ADDRESS(INDEX($Q$2:$Q$1001,MATCH(ROWS($O$2:O332),$O$2:$O$1001,0),0), INDEX($V$1004:$AE$1004,1,MATCH(COLUMNS($V$1006:V1006),$V$1006:$AE$1006,0)))),"Fix")))</f>
        <v>0</v>
      </c>
      <c r="C332" s="3">
        <f>IF(OR(INDEX($P$2:$P$1001,MATCH(ROWS($O$2:O332),$O$2:$O$1001,0),1)&gt;=100000,INDEX($V$1005:$AE$1005,1,MATCH(COLUMNS($V$1006:W1006),$V$1006:$AE$1006,0))&gt;=100000), " ",IF(INDEX($V$2:$AE$1001,MATCH(ROWS($O$2:O332),$O$2:$O$1001,0),MATCH(COLUMNS($V$1006:W1006),$V$1006:$AE$1006,0)), HYPERLINK("#",""), HYPERLINK(CONCATENATE("#Metadata!", ADDRESS(INDEX($Q$2:$Q$1001,MATCH(ROWS($O$2:O332),$O$2:$O$1001,0),0), INDEX($V$1004:$AE$1004,1,MATCH(COLUMNS($V$1006:W1006),$V$1006:$AE$1006,0)))),"Fix")))</f>
        <v>0</v>
      </c>
      <c r="D332" s="3">
        <f>IF(OR(INDEX($P$2:$P$1001,MATCH(ROWS($O$2:O332),$O$2:$O$1001,0),1)&gt;=100000,INDEX($V$1005:$AE$1005,1,MATCH(COLUMNS($V$1006:X1006),$V$1006:$AE$1006,0))&gt;=100000), " ",IF(INDEX($V$2:$AE$1001,MATCH(ROWS($O$2:O332),$O$2:$O$1001,0),MATCH(COLUMNS($V$1006:X1006),$V$1006:$AE$1006,0)), HYPERLINK("#",""), HYPERLINK(CONCATENATE("#Metadata!", ADDRESS(INDEX($Q$2:$Q$1001,MATCH(ROWS($O$2:O332),$O$2:$O$1001,0),0), INDEX($V$1004:$AE$1004,1,MATCH(COLUMNS($V$1006:X1006),$V$1006:$AE$1006,0)))),"Fix")))</f>
        <v>0</v>
      </c>
      <c r="E332" s="3">
        <f>IF(OR(INDEX($P$2:$P$1001,MATCH(ROWS($O$2:O332),$O$2:$O$1001,0),1)&gt;=100000,INDEX($V$1005:$AE$1005,1,MATCH(COLUMNS($V$1006:Y1006),$V$1006:$AE$1006,0))&gt;=100000), " ",IF(INDEX($V$2:$AE$1001,MATCH(ROWS($O$2:O332),$O$2:$O$1001,0),MATCH(COLUMNS($V$1006:Y1006),$V$1006:$AE$1006,0)), HYPERLINK("#",""), HYPERLINK(CONCATENATE("#Metadata!", ADDRESS(INDEX($Q$2:$Q$1001,MATCH(ROWS($O$2:O332),$O$2:$O$1001,0),0), INDEX($V$1004:$AE$1004,1,MATCH(COLUMNS($V$1006:Y1006),$V$1006:$AE$1006,0)))),"Fix")))</f>
        <v>0</v>
      </c>
      <c r="F332" s="3">
        <f>IF(OR(INDEX($P$2:$P$1001,MATCH(ROWS($O$2:O332),$O$2:$O$1001,0),1)&gt;=100000,INDEX($V$1005:$AE$1005,1,MATCH(COLUMNS($V$1006:Z1006),$V$1006:$AE$1006,0))&gt;=100000), " ",IF(INDEX($V$2:$AE$1001,MATCH(ROWS($O$2:O332),$O$2:$O$1001,0),MATCH(COLUMNS($V$1006:Z1006),$V$1006:$AE$1006,0)), HYPERLINK("#",""), HYPERLINK(CONCATENATE("#Metadata!", ADDRESS(INDEX($Q$2:$Q$1001,MATCH(ROWS($O$2:O332),$O$2:$O$1001,0),0), INDEX($V$1004:$AE$1004,1,MATCH(COLUMNS($V$1006:Z1006),$V$1006:$AE$1006,0)))),"Fix")))</f>
        <v>0</v>
      </c>
      <c r="G332" s="3">
        <f>IF(OR(INDEX($P$2:$P$1001,MATCH(ROWS($O$2:O332),$O$2:$O$1001,0),1)&gt;=100000,INDEX($V$1005:$AE$1005,1,MATCH(COLUMNS($V$1006:AA1006),$V$1006:$AE$1006,0))&gt;=100000), " ",IF(INDEX($V$2:$AE$1001,MATCH(ROWS($O$2:O332),$O$2:$O$1001,0),MATCH(COLUMNS($V$1006:AA1006),$V$1006:$AE$1006,0)), HYPERLINK("#",""), HYPERLINK(CONCATENATE("#Metadata!", ADDRESS(INDEX($Q$2:$Q$1001,MATCH(ROWS($O$2:O332),$O$2:$O$1001,0),0), INDEX($V$1004:$AE$1004,1,MATCH(COLUMNS($V$1006:AA1006),$V$1006:$AE$1006,0)))),"Fix")))</f>
        <v>0</v>
      </c>
      <c r="H332" s="3">
        <f>IF(OR(INDEX($P$2:$P$1001,MATCH(ROWS($O$2:O332),$O$2:$O$1001,0),1)&gt;=100000,INDEX($V$1005:$AE$1005,1,MATCH(COLUMNS($V$1006:AB1006),$V$1006:$AE$1006,0))&gt;=100000), " ",IF(INDEX($V$2:$AE$1001,MATCH(ROWS($O$2:O332),$O$2:$O$1001,0),MATCH(COLUMNS($V$1006:AB1006),$V$1006:$AE$1006,0)), HYPERLINK("#",""), HYPERLINK(CONCATENATE("#Metadata!", ADDRESS(INDEX($Q$2:$Q$1001,MATCH(ROWS($O$2:O332),$O$2:$O$1001,0),0), INDEX($V$1004:$AE$1004,1,MATCH(COLUMNS($V$1006:AB1006),$V$1006:$AE$1006,0)))),"Fix")))</f>
        <v>0</v>
      </c>
      <c r="I332" s="3">
        <f>IF(OR(INDEX($P$2:$P$1001,MATCH(ROWS($O$2:O332),$O$2:$O$1001,0),1)&gt;=100000,INDEX($V$1005:$AE$1005,1,MATCH(COLUMNS($V$1006:AC1006),$V$1006:$AE$1006,0))&gt;=100000), " ",IF(INDEX($V$2:$AE$1001,MATCH(ROWS($O$2:O332),$O$2:$O$1001,0),MATCH(COLUMNS($V$1006:AC1006),$V$1006:$AE$1006,0)), HYPERLINK("#",""), HYPERLINK(CONCATENATE("#Metadata!", ADDRESS(INDEX($Q$2:$Q$1001,MATCH(ROWS($O$2:O332),$O$2:$O$1001,0),0), INDEX($V$1004:$AE$1004,1,MATCH(COLUMNS($V$1006:AC1006),$V$1006:$AE$1006,0)))),"Fix")))</f>
        <v>0</v>
      </c>
      <c r="J332" s="3">
        <f>IF(OR(INDEX($P$2:$P$1001,MATCH(ROWS($O$2:O332),$O$2:$O$1001,0),1)&gt;=100000,INDEX($V$1005:$AE$1005,1,MATCH(COLUMNS($V$1006:AD1006),$V$1006:$AE$1006,0))&gt;=100000), " ",IF(INDEX($V$2:$AE$1001,MATCH(ROWS($O$2:O332),$O$2:$O$1001,0),MATCH(COLUMNS($V$1006:AD1006),$V$1006:$AE$1006,0)), HYPERLINK("#",""), HYPERLINK(CONCATENATE("#Metadata!", ADDRESS(INDEX($Q$2:$Q$1001,MATCH(ROWS($O$2:O332),$O$2:$O$1001,0),0), INDEX($V$1004:$AE$1004,1,MATCH(COLUMNS($V$1006:AD1006),$V$1006:$AE$1006,0)))),"Fix")))</f>
        <v>0</v>
      </c>
      <c r="K332" s="3">
        <f>IF(OR(INDEX($P$2:$P$1001,MATCH(ROWS($O$2:O332),$O$2:$O$1001,0),1)&gt;=100000,INDEX($V$1005:$AE$1005,1,MATCH(COLUMNS($V$1006:AE1006),$V$1006:$AE$1006,0))&gt;=100000), " ",IF(INDEX($V$2:$AE$1001,MATCH(ROWS($O$2:O332),$O$2:$O$1001,0),MATCH(COLUMNS($V$1006:AE1006),$V$1006:$AE$1006,0)), HYPERLINK("#",""), HYPERLINK(CONCATENATE("#Metadata!", ADDRESS(INDEX($Q$2:$Q$1001,MATCH(ROWS($O$2:O332),$O$2:$O$1001,0),0), INDEX($V$1004:$AE$1004,1,MATCH(COLUMNS($V$1006:AE1006),$V$1006:$AE$1006,0)))),"Fix")))</f>
        <v>0</v>
      </c>
      <c r="O332">
        <v>0</v>
      </c>
      <c r="P332">
        <v>0</v>
      </c>
      <c r="Q332">
        <v>0</v>
      </c>
      <c r="R332">
        <f>IF(S332,TRUE,AND(V332:AE332))</f>
        <v>0</v>
      </c>
      <c r="S332">
        <f>COUNTBLANK(Metadata!B332:K332)=COLUMNS(Metadata!B332:K332)</f>
        <v>0</v>
      </c>
      <c r="T332">
        <v>0</v>
      </c>
      <c r="V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W332">
        <f>AND(IF(Metadata!C332="",FALSE,TRUE),exact(Metadata!C332,"animal secretion"))</f>
        <v>0</v>
      </c>
      <c r="X332">
        <f>AND(IF(Metadata!D332="",FALSE,TRUE),exact(Metadata!D332,"saliva"))</f>
        <v>0</v>
      </c>
      <c r="Y332">
        <f>AND(IF(Metadata!E332="",FALSE,TRUE),exact(Metadata!E332,"human-oral"))</f>
        <v>0</v>
      </c>
      <c r="Z332">
        <f>AND(IF(Metadata!F332="",FALSE,TRUE),exact(Metadata!F332,"UBERON:oral cavity"))</f>
        <v>0</v>
      </c>
      <c r="AA332">
        <f>AND(IF(Metadata!G332="",FALSE,TRUE),exact(Metadata!G332,"UBERON:saliva"))</f>
        <v>0</v>
      </c>
      <c r="AB332">
        <f>AND(IF(Metadata!H332="",FALSE,TRUE),exact(Metadata!H332,"UBERON:tongue"))</f>
        <v>0</v>
      </c>
      <c r="AC332">
        <f>AND(IF(Metadata!I332="",FALSE,TRUE),exact(Metadata!I332,"tongue"))</f>
        <v>0</v>
      </c>
      <c r="AD332">
        <f>AND(IF(Metadata!J332="",FALSE,TRUE),exact(Metadata!J332,"human oral metagenome"))</f>
        <v>0</v>
      </c>
      <c r="AE332">
        <f>AND(IF(Metadata!K332="",FALSE,TRUE),exact(Metadata!K332,"447426"))</f>
        <v>0</v>
      </c>
    </row>
    <row r="333" spans="1:31">
      <c r="A333" s="4">
        <f>IF(B333=" "," ",HYPERLINK(CONCATENATE("#metadata!",ADDRESS(INDEX($Q$2:$Q$1001,MATCH(ROWS($O$2:O333),$O$2:$O$1001,0),0),1)),INDEX($T$2:$T$1001,MATCH(ROWS($O$2:O333),$O$2:$O$1001,0),0)))</f>
        <v>0</v>
      </c>
      <c r="B333" s="3">
        <f>IF(OR(INDEX($P$2:$P$1001,MATCH(ROWS($O$2:O333),$O$2:$O$1001,0),1)&gt;=100000,INDEX($V$1005:$AE$1005,1,MATCH(COLUMNS($V$1006:V1006),$V$1006:$AE$1006,0))&gt;=100000), " ",IF(INDEX($V$2:$AE$1001,MATCH(ROWS($O$2:O333),$O$2:$O$1001,0),MATCH(COLUMNS($V$1006:V1006),$V$1006:$AE$1006,0)), HYPERLINK("#",""), HYPERLINK(CONCATENATE("#Metadata!", ADDRESS(INDEX($Q$2:$Q$1001,MATCH(ROWS($O$2:O333),$O$2:$O$1001,0),0), INDEX($V$1004:$AE$1004,1,MATCH(COLUMNS($V$1006:V1006),$V$1006:$AE$1006,0)))),"Fix")))</f>
        <v>0</v>
      </c>
      <c r="C333" s="3">
        <f>IF(OR(INDEX($P$2:$P$1001,MATCH(ROWS($O$2:O333),$O$2:$O$1001,0),1)&gt;=100000,INDEX($V$1005:$AE$1005,1,MATCH(COLUMNS($V$1006:W1006),$V$1006:$AE$1006,0))&gt;=100000), " ",IF(INDEX($V$2:$AE$1001,MATCH(ROWS($O$2:O333),$O$2:$O$1001,0),MATCH(COLUMNS($V$1006:W1006),$V$1006:$AE$1006,0)), HYPERLINK("#",""), HYPERLINK(CONCATENATE("#Metadata!", ADDRESS(INDEX($Q$2:$Q$1001,MATCH(ROWS($O$2:O333),$O$2:$O$1001,0),0), INDEX($V$1004:$AE$1004,1,MATCH(COLUMNS($V$1006:W1006),$V$1006:$AE$1006,0)))),"Fix")))</f>
        <v>0</v>
      </c>
      <c r="D333" s="3">
        <f>IF(OR(INDEX($P$2:$P$1001,MATCH(ROWS($O$2:O333),$O$2:$O$1001,0),1)&gt;=100000,INDEX($V$1005:$AE$1005,1,MATCH(COLUMNS($V$1006:X1006),$V$1006:$AE$1006,0))&gt;=100000), " ",IF(INDEX($V$2:$AE$1001,MATCH(ROWS($O$2:O333),$O$2:$O$1001,0),MATCH(COLUMNS($V$1006:X1006),$V$1006:$AE$1006,0)), HYPERLINK("#",""), HYPERLINK(CONCATENATE("#Metadata!", ADDRESS(INDEX($Q$2:$Q$1001,MATCH(ROWS($O$2:O333),$O$2:$O$1001,0),0), INDEX($V$1004:$AE$1004,1,MATCH(COLUMNS($V$1006:X1006),$V$1006:$AE$1006,0)))),"Fix")))</f>
        <v>0</v>
      </c>
      <c r="E333" s="3">
        <f>IF(OR(INDEX($P$2:$P$1001,MATCH(ROWS($O$2:O333),$O$2:$O$1001,0),1)&gt;=100000,INDEX($V$1005:$AE$1005,1,MATCH(COLUMNS($V$1006:Y1006),$V$1006:$AE$1006,0))&gt;=100000), " ",IF(INDEX($V$2:$AE$1001,MATCH(ROWS($O$2:O333),$O$2:$O$1001,0),MATCH(COLUMNS($V$1006:Y1006),$V$1006:$AE$1006,0)), HYPERLINK("#",""), HYPERLINK(CONCATENATE("#Metadata!", ADDRESS(INDEX($Q$2:$Q$1001,MATCH(ROWS($O$2:O333),$O$2:$O$1001,0),0), INDEX($V$1004:$AE$1004,1,MATCH(COLUMNS($V$1006:Y1006),$V$1006:$AE$1006,0)))),"Fix")))</f>
        <v>0</v>
      </c>
      <c r="F333" s="3">
        <f>IF(OR(INDEX($P$2:$P$1001,MATCH(ROWS($O$2:O333),$O$2:$O$1001,0),1)&gt;=100000,INDEX($V$1005:$AE$1005,1,MATCH(COLUMNS($V$1006:Z1006),$V$1006:$AE$1006,0))&gt;=100000), " ",IF(INDEX($V$2:$AE$1001,MATCH(ROWS($O$2:O333),$O$2:$O$1001,0),MATCH(COLUMNS($V$1006:Z1006),$V$1006:$AE$1006,0)), HYPERLINK("#",""), HYPERLINK(CONCATENATE("#Metadata!", ADDRESS(INDEX($Q$2:$Q$1001,MATCH(ROWS($O$2:O333),$O$2:$O$1001,0),0), INDEX($V$1004:$AE$1004,1,MATCH(COLUMNS($V$1006:Z1006),$V$1006:$AE$1006,0)))),"Fix")))</f>
        <v>0</v>
      </c>
      <c r="G333" s="3">
        <f>IF(OR(INDEX($P$2:$P$1001,MATCH(ROWS($O$2:O333),$O$2:$O$1001,0),1)&gt;=100000,INDEX($V$1005:$AE$1005,1,MATCH(COLUMNS($V$1006:AA1006),$V$1006:$AE$1006,0))&gt;=100000), " ",IF(INDEX($V$2:$AE$1001,MATCH(ROWS($O$2:O333),$O$2:$O$1001,0),MATCH(COLUMNS($V$1006:AA1006),$V$1006:$AE$1006,0)), HYPERLINK("#",""), HYPERLINK(CONCATENATE("#Metadata!", ADDRESS(INDEX($Q$2:$Q$1001,MATCH(ROWS($O$2:O333),$O$2:$O$1001,0),0), INDEX($V$1004:$AE$1004,1,MATCH(COLUMNS($V$1006:AA1006),$V$1006:$AE$1006,0)))),"Fix")))</f>
        <v>0</v>
      </c>
      <c r="H333" s="3">
        <f>IF(OR(INDEX($P$2:$P$1001,MATCH(ROWS($O$2:O333),$O$2:$O$1001,0),1)&gt;=100000,INDEX($V$1005:$AE$1005,1,MATCH(COLUMNS($V$1006:AB1006),$V$1006:$AE$1006,0))&gt;=100000), " ",IF(INDEX($V$2:$AE$1001,MATCH(ROWS($O$2:O333),$O$2:$O$1001,0),MATCH(COLUMNS($V$1006:AB1006),$V$1006:$AE$1006,0)), HYPERLINK("#",""), HYPERLINK(CONCATENATE("#Metadata!", ADDRESS(INDEX($Q$2:$Q$1001,MATCH(ROWS($O$2:O333),$O$2:$O$1001,0),0), INDEX($V$1004:$AE$1004,1,MATCH(COLUMNS($V$1006:AB1006),$V$1006:$AE$1006,0)))),"Fix")))</f>
        <v>0</v>
      </c>
      <c r="I333" s="3">
        <f>IF(OR(INDEX($P$2:$P$1001,MATCH(ROWS($O$2:O333),$O$2:$O$1001,0),1)&gt;=100000,INDEX($V$1005:$AE$1005,1,MATCH(COLUMNS($V$1006:AC1006),$V$1006:$AE$1006,0))&gt;=100000), " ",IF(INDEX($V$2:$AE$1001,MATCH(ROWS($O$2:O333),$O$2:$O$1001,0),MATCH(COLUMNS($V$1006:AC1006),$V$1006:$AE$1006,0)), HYPERLINK("#",""), HYPERLINK(CONCATENATE("#Metadata!", ADDRESS(INDEX($Q$2:$Q$1001,MATCH(ROWS($O$2:O333),$O$2:$O$1001,0),0), INDEX($V$1004:$AE$1004,1,MATCH(COLUMNS($V$1006:AC1006),$V$1006:$AE$1006,0)))),"Fix")))</f>
        <v>0</v>
      </c>
      <c r="J333" s="3">
        <f>IF(OR(INDEX($P$2:$P$1001,MATCH(ROWS($O$2:O333),$O$2:$O$1001,0),1)&gt;=100000,INDEX($V$1005:$AE$1005,1,MATCH(COLUMNS($V$1006:AD1006),$V$1006:$AE$1006,0))&gt;=100000), " ",IF(INDEX($V$2:$AE$1001,MATCH(ROWS($O$2:O333),$O$2:$O$1001,0),MATCH(COLUMNS($V$1006:AD1006),$V$1006:$AE$1006,0)), HYPERLINK("#",""), HYPERLINK(CONCATENATE("#Metadata!", ADDRESS(INDEX($Q$2:$Q$1001,MATCH(ROWS($O$2:O333),$O$2:$O$1001,0),0), INDEX($V$1004:$AE$1004,1,MATCH(COLUMNS($V$1006:AD1006),$V$1006:$AE$1006,0)))),"Fix")))</f>
        <v>0</v>
      </c>
      <c r="K333" s="3">
        <f>IF(OR(INDEX($P$2:$P$1001,MATCH(ROWS($O$2:O333),$O$2:$O$1001,0),1)&gt;=100000,INDEX($V$1005:$AE$1005,1,MATCH(COLUMNS($V$1006:AE1006),$V$1006:$AE$1006,0))&gt;=100000), " ",IF(INDEX($V$2:$AE$1001,MATCH(ROWS($O$2:O333),$O$2:$O$1001,0),MATCH(COLUMNS($V$1006:AE1006),$V$1006:$AE$1006,0)), HYPERLINK("#",""), HYPERLINK(CONCATENATE("#Metadata!", ADDRESS(INDEX($Q$2:$Q$1001,MATCH(ROWS($O$2:O333),$O$2:$O$1001,0),0), INDEX($V$1004:$AE$1004,1,MATCH(COLUMNS($V$1006:AE1006),$V$1006:$AE$1006,0)))),"Fix")))</f>
        <v>0</v>
      </c>
      <c r="O333">
        <v>0</v>
      </c>
      <c r="P333">
        <v>0</v>
      </c>
      <c r="Q333">
        <v>0</v>
      </c>
      <c r="R333">
        <f>IF(S333,TRUE,AND(V333:AE333))</f>
        <v>0</v>
      </c>
      <c r="S333">
        <f>COUNTBLANK(Metadata!B333:K333)=COLUMNS(Metadata!B333:K333)</f>
        <v>0</v>
      </c>
      <c r="T333">
        <v>0</v>
      </c>
      <c r="V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W333">
        <f>AND(IF(Metadata!C333="",FALSE,TRUE),exact(Metadata!C333,"animal secretion"))</f>
        <v>0</v>
      </c>
      <c r="X333">
        <f>AND(IF(Metadata!D333="",FALSE,TRUE),exact(Metadata!D333,"saliva"))</f>
        <v>0</v>
      </c>
      <c r="Y333">
        <f>AND(IF(Metadata!E333="",FALSE,TRUE),exact(Metadata!E333,"human-oral"))</f>
        <v>0</v>
      </c>
      <c r="Z333">
        <f>AND(IF(Metadata!F333="",FALSE,TRUE),exact(Metadata!F333,"UBERON:oral cavity"))</f>
        <v>0</v>
      </c>
      <c r="AA333">
        <f>AND(IF(Metadata!G333="",FALSE,TRUE),exact(Metadata!G333,"UBERON:saliva"))</f>
        <v>0</v>
      </c>
      <c r="AB333">
        <f>AND(IF(Metadata!H333="",FALSE,TRUE),exact(Metadata!H333,"UBERON:tongue"))</f>
        <v>0</v>
      </c>
      <c r="AC333">
        <f>AND(IF(Metadata!I333="",FALSE,TRUE),exact(Metadata!I333,"tongue"))</f>
        <v>0</v>
      </c>
      <c r="AD333">
        <f>AND(IF(Metadata!J333="",FALSE,TRUE),exact(Metadata!J333,"human oral metagenome"))</f>
        <v>0</v>
      </c>
      <c r="AE333">
        <f>AND(IF(Metadata!K333="",FALSE,TRUE),exact(Metadata!K333,"447426"))</f>
        <v>0</v>
      </c>
    </row>
    <row r="334" spans="1:31">
      <c r="A334" s="4">
        <f>IF(B334=" "," ",HYPERLINK(CONCATENATE("#metadata!",ADDRESS(INDEX($Q$2:$Q$1001,MATCH(ROWS($O$2:O334),$O$2:$O$1001,0),0),1)),INDEX($T$2:$T$1001,MATCH(ROWS($O$2:O334),$O$2:$O$1001,0),0)))</f>
        <v>0</v>
      </c>
      <c r="B334" s="3">
        <f>IF(OR(INDEX($P$2:$P$1001,MATCH(ROWS($O$2:O334),$O$2:$O$1001,0),1)&gt;=100000,INDEX($V$1005:$AE$1005,1,MATCH(COLUMNS($V$1006:V1006),$V$1006:$AE$1006,0))&gt;=100000), " ",IF(INDEX($V$2:$AE$1001,MATCH(ROWS($O$2:O334),$O$2:$O$1001,0),MATCH(COLUMNS($V$1006:V1006),$V$1006:$AE$1006,0)), HYPERLINK("#",""), HYPERLINK(CONCATENATE("#Metadata!", ADDRESS(INDEX($Q$2:$Q$1001,MATCH(ROWS($O$2:O334),$O$2:$O$1001,0),0), INDEX($V$1004:$AE$1004,1,MATCH(COLUMNS($V$1006:V1006),$V$1006:$AE$1006,0)))),"Fix")))</f>
        <v>0</v>
      </c>
      <c r="C334" s="3">
        <f>IF(OR(INDEX($P$2:$P$1001,MATCH(ROWS($O$2:O334),$O$2:$O$1001,0),1)&gt;=100000,INDEX($V$1005:$AE$1005,1,MATCH(COLUMNS($V$1006:W1006),$V$1006:$AE$1006,0))&gt;=100000), " ",IF(INDEX($V$2:$AE$1001,MATCH(ROWS($O$2:O334),$O$2:$O$1001,0),MATCH(COLUMNS($V$1006:W1006),$V$1006:$AE$1006,0)), HYPERLINK("#",""), HYPERLINK(CONCATENATE("#Metadata!", ADDRESS(INDEX($Q$2:$Q$1001,MATCH(ROWS($O$2:O334),$O$2:$O$1001,0),0), INDEX($V$1004:$AE$1004,1,MATCH(COLUMNS($V$1006:W1006),$V$1006:$AE$1006,0)))),"Fix")))</f>
        <v>0</v>
      </c>
      <c r="D334" s="3">
        <f>IF(OR(INDEX($P$2:$P$1001,MATCH(ROWS($O$2:O334),$O$2:$O$1001,0),1)&gt;=100000,INDEX($V$1005:$AE$1005,1,MATCH(COLUMNS($V$1006:X1006),$V$1006:$AE$1006,0))&gt;=100000), " ",IF(INDEX($V$2:$AE$1001,MATCH(ROWS($O$2:O334),$O$2:$O$1001,0),MATCH(COLUMNS($V$1006:X1006),$V$1006:$AE$1006,0)), HYPERLINK("#",""), HYPERLINK(CONCATENATE("#Metadata!", ADDRESS(INDEX($Q$2:$Q$1001,MATCH(ROWS($O$2:O334),$O$2:$O$1001,0),0), INDEX($V$1004:$AE$1004,1,MATCH(COLUMNS($V$1006:X1006),$V$1006:$AE$1006,0)))),"Fix")))</f>
        <v>0</v>
      </c>
      <c r="E334" s="3">
        <f>IF(OR(INDEX($P$2:$P$1001,MATCH(ROWS($O$2:O334),$O$2:$O$1001,0),1)&gt;=100000,INDEX($V$1005:$AE$1005,1,MATCH(COLUMNS($V$1006:Y1006),$V$1006:$AE$1006,0))&gt;=100000), " ",IF(INDEX($V$2:$AE$1001,MATCH(ROWS($O$2:O334),$O$2:$O$1001,0),MATCH(COLUMNS($V$1006:Y1006),$V$1006:$AE$1006,0)), HYPERLINK("#",""), HYPERLINK(CONCATENATE("#Metadata!", ADDRESS(INDEX($Q$2:$Q$1001,MATCH(ROWS($O$2:O334),$O$2:$O$1001,0),0), INDEX($V$1004:$AE$1004,1,MATCH(COLUMNS($V$1006:Y1006),$V$1006:$AE$1006,0)))),"Fix")))</f>
        <v>0</v>
      </c>
      <c r="F334" s="3">
        <f>IF(OR(INDEX($P$2:$P$1001,MATCH(ROWS($O$2:O334),$O$2:$O$1001,0),1)&gt;=100000,INDEX($V$1005:$AE$1005,1,MATCH(COLUMNS($V$1006:Z1006),$V$1006:$AE$1006,0))&gt;=100000), " ",IF(INDEX($V$2:$AE$1001,MATCH(ROWS($O$2:O334),$O$2:$O$1001,0),MATCH(COLUMNS($V$1006:Z1006),$V$1006:$AE$1006,0)), HYPERLINK("#",""), HYPERLINK(CONCATENATE("#Metadata!", ADDRESS(INDEX($Q$2:$Q$1001,MATCH(ROWS($O$2:O334),$O$2:$O$1001,0),0), INDEX($V$1004:$AE$1004,1,MATCH(COLUMNS($V$1006:Z1006),$V$1006:$AE$1006,0)))),"Fix")))</f>
        <v>0</v>
      </c>
      <c r="G334" s="3">
        <f>IF(OR(INDEX($P$2:$P$1001,MATCH(ROWS($O$2:O334),$O$2:$O$1001,0),1)&gt;=100000,INDEX($V$1005:$AE$1005,1,MATCH(COLUMNS($V$1006:AA1006),$V$1006:$AE$1006,0))&gt;=100000), " ",IF(INDEX($V$2:$AE$1001,MATCH(ROWS($O$2:O334),$O$2:$O$1001,0),MATCH(COLUMNS($V$1006:AA1006),$V$1006:$AE$1006,0)), HYPERLINK("#",""), HYPERLINK(CONCATENATE("#Metadata!", ADDRESS(INDEX($Q$2:$Q$1001,MATCH(ROWS($O$2:O334),$O$2:$O$1001,0),0), INDEX($V$1004:$AE$1004,1,MATCH(COLUMNS($V$1006:AA1006),$V$1006:$AE$1006,0)))),"Fix")))</f>
        <v>0</v>
      </c>
      <c r="H334" s="3">
        <f>IF(OR(INDEX($P$2:$P$1001,MATCH(ROWS($O$2:O334),$O$2:$O$1001,0),1)&gt;=100000,INDEX($V$1005:$AE$1005,1,MATCH(COLUMNS($V$1006:AB1006),$V$1006:$AE$1006,0))&gt;=100000), " ",IF(INDEX($V$2:$AE$1001,MATCH(ROWS($O$2:O334),$O$2:$O$1001,0),MATCH(COLUMNS($V$1006:AB1006),$V$1006:$AE$1006,0)), HYPERLINK("#",""), HYPERLINK(CONCATENATE("#Metadata!", ADDRESS(INDEX($Q$2:$Q$1001,MATCH(ROWS($O$2:O334),$O$2:$O$1001,0),0), INDEX($V$1004:$AE$1004,1,MATCH(COLUMNS($V$1006:AB1006),$V$1006:$AE$1006,0)))),"Fix")))</f>
        <v>0</v>
      </c>
      <c r="I334" s="3">
        <f>IF(OR(INDEX($P$2:$P$1001,MATCH(ROWS($O$2:O334),$O$2:$O$1001,0),1)&gt;=100000,INDEX($V$1005:$AE$1005,1,MATCH(COLUMNS($V$1006:AC1006),$V$1006:$AE$1006,0))&gt;=100000), " ",IF(INDEX($V$2:$AE$1001,MATCH(ROWS($O$2:O334),$O$2:$O$1001,0),MATCH(COLUMNS($V$1006:AC1006),$V$1006:$AE$1006,0)), HYPERLINK("#",""), HYPERLINK(CONCATENATE("#Metadata!", ADDRESS(INDEX($Q$2:$Q$1001,MATCH(ROWS($O$2:O334),$O$2:$O$1001,0),0), INDEX($V$1004:$AE$1004,1,MATCH(COLUMNS($V$1006:AC1006),$V$1006:$AE$1006,0)))),"Fix")))</f>
        <v>0</v>
      </c>
      <c r="J334" s="3">
        <f>IF(OR(INDEX($P$2:$P$1001,MATCH(ROWS($O$2:O334),$O$2:$O$1001,0),1)&gt;=100000,INDEX($V$1005:$AE$1005,1,MATCH(COLUMNS($V$1006:AD1006),$V$1006:$AE$1006,0))&gt;=100000), " ",IF(INDEX($V$2:$AE$1001,MATCH(ROWS($O$2:O334),$O$2:$O$1001,0),MATCH(COLUMNS($V$1006:AD1006),$V$1006:$AE$1006,0)), HYPERLINK("#",""), HYPERLINK(CONCATENATE("#Metadata!", ADDRESS(INDEX($Q$2:$Q$1001,MATCH(ROWS($O$2:O334),$O$2:$O$1001,0),0), INDEX($V$1004:$AE$1004,1,MATCH(COLUMNS($V$1006:AD1006),$V$1006:$AE$1006,0)))),"Fix")))</f>
        <v>0</v>
      </c>
      <c r="K334" s="3">
        <f>IF(OR(INDEX($P$2:$P$1001,MATCH(ROWS($O$2:O334),$O$2:$O$1001,0),1)&gt;=100000,INDEX($V$1005:$AE$1005,1,MATCH(COLUMNS($V$1006:AE1006),$V$1006:$AE$1006,0))&gt;=100000), " ",IF(INDEX($V$2:$AE$1001,MATCH(ROWS($O$2:O334),$O$2:$O$1001,0),MATCH(COLUMNS($V$1006:AE1006),$V$1006:$AE$1006,0)), HYPERLINK("#",""), HYPERLINK(CONCATENATE("#Metadata!", ADDRESS(INDEX($Q$2:$Q$1001,MATCH(ROWS($O$2:O334),$O$2:$O$1001,0),0), INDEX($V$1004:$AE$1004,1,MATCH(COLUMNS($V$1006:AE1006),$V$1006:$AE$1006,0)))),"Fix")))</f>
        <v>0</v>
      </c>
      <c r="O334">
        <v>0</v>
      </c>
      <c r="P334">
        <v>0</v>
      </c>
      <c r="Q334">
        <v>0</v>
      </c>
      <c r="R334">
        <f>IF(S334,TRUE,AND(V334:AE334))</f>
        <v>0</v>
      </c>
      <c r="S334">
        <f>COUNTBLANK(Metadata!B334:K334)=COLUMNS(Metadata!B334:K334)</f>
        <v>0</v>
      </c>
      <c r="T334">
        <v>0</v>
      </c>
      <c r="V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W334">
        <f>AND(IF(Metadata!C334="",FALSE,TRUE),exact(Metadata!C334,"animal secretion"))</f>
        <v>0</v>
      </c>
      <c r="X334">
        <f>AND(IF(Metadata!D334="",FALSE,TRUE),exact(Metadata!D334,"saliva"))</f>
        <v>0</v>
      </c>
      <c r="Y334">
        <f>AND(IF(Metadata!E334="",FALSE,TRUE),exact(Metadata!E334,"human-oral"))</f>
        <v>0</v>
      </c>
      <c r="Z334">
        <f>AND(IF(Metadata!F334="",FALSE,TRUE),exact(Metadata!F334,"UBERON:oral cavity"))</f>
        <v>0</v>
      </c>
      <c r="AA334">
        <f>AND(IF(Metadata!G334="",FALSE,TRUE),exact(Metadata!G334,"UBERON:saliva"))</f>
        <v>0</v>
      </c>
      <c r="AB334">
        <f>AND(IF(Metadata!H334="",FALSE,TRUE),exact(Metadata!H334,"UBERON:tongue"))</f>
        <v>0</v>
      </c>
      <c r="AC334">
        <f>AND(IF(Metadata!I334="",FALSE,TRUE),exact(Metadata!I334,"tongue"))</f>
        <v>0</v>
      </c>
      <c r="AD334">
        <f>AND(IF(Metadata!J334="",FALSE,TRUE),exact(Metadata!J334,"human oral metagenome"))</f>
        <v>0</v>
      </c>
      <c r="AE334">
        <f>AND(IF(Metadata!K334="",FALSE,TRUE),exact(Metadata!K334,"447426"))</f>
        <v>0</v>
      </c>
    </row>
    <row r="335" spans="1:31">
      <c r="A335" s="4">
        <f>IF(B335=" "," ",HYPERLINK(CONCATENATE("#metadata!",ADDRESS(INDEX($Q$2:$Q$1001,MATCH(ROWS($O$2:O335),$O$2:$O$1001,0),0),1)),INDEX($T$2:$T$1001,MATCH(ROWS($O$2:O335),$O$2:$O$1001,0),0)))</f>
        <v>0</v>
      </c>
      <c r="B335" s="3">
        <f>IF(OR(INDEX($P$2:$P$1001,MATCH(ROWS($O$2:O335),$O$2:$O$1001,0),1)&gt;=100000,INDEX($V$1005:$AE$1005,1,MATCH(COLUMNS($V$1006:V1006),$V$1006:$AE$1006,0))&gt;=100000), " ",IF(INDEX($V$2:$AE$1001,MATCH(ROWS($O$2:O335),$O$2:$O$1001,0),MATCH(COLUMNS($V$1006:V1006),$V$1006:$AE$1006,0)), HYPERLINK("#",""), HYPERLINK(CONCATENATE("#Metadata!", ADDRESS(INDEX($Q$2:$Q$1001,MATCH(ROWS($O$2:O335),$O$2:$O$1001,0),0), INDEX($V$1004:$AE$1004,1,MATCH(COLUMNS($V$1006:V1006),$V$1006:$AE$1006,0)))),"Fix")))</f>
        <v>0</v>
      </c>
      <c r="C335" s="3">
        <f>IF(OR(INDEX($P$2:$P$1001,MATCH(ROWS($O$2:O335),$O$2:$O$1001,0),1)&gt;=100000,INDEX($V$1005:$AE$1005,1,MATCH(COLUMNS($V$1006:W1006),$V$1006:$AE$1006,0))&gt;=100000), " ",IF(INDEX($V$2:$AE$1001,MATCH(ROWS($O$2:O335),$O$2:$O$1001,0),MATCH(COLUMNS($V$1006:W1006),$V$1006:$AE$1006,0)), HYPERLINK("#",""), HYPERLINK(CONCATENATE("#Metadata!", ADDRESS(INDEX($Q$2:$Q$1001,MATCH(ROWS($O$2:O335),$O$2:$O$1001,0),0), INDEX($V$1004:$AE$1004,1,MATCH(COLUMNS($V$1006:W1006),$V$1006:$AE$1006,0)))),"Fix")))</f>
        <v>0</v>
      </c>
      <c r="D335" s="3">
        <f>IF(OR(INDEX($P$2:$P$1001,MATCH(ROWS($O$2:O335),$O$2:$O$1001,0),1)&gt;=100000,INDEX($V$1005:$AE$1005,1,MATCH(COLUMNS($V$1006:X1006),$V$1006:$AE$1006,0))&gt;=100000), " ",IF(INDEX($V$2:$AE$1001,MATCH(ROWS($O$2:O335),$O$2:$O$1001,0),MATCH(COLUMNS($V$1006:X1006),$V$1006:$AE$1006,0)), HYPERLINK("#",""), HYPERLINK(CONCATENATE("#Metadata!", ADDRESS(INDEX($Q$2:$Q$1001,MATCH(ROWS($O$2:O335),$O$2:$O$1001,0),0), INDEX($V$1004:$AE$1004,1,MATCH(COLUMNS($V$1006:X1006),$V$1006:$AE$1006,0)))),"Fix")))</f>
        <v>0</v>
      </c>
      <c r="E335" s="3">
        <f>IF(OR(INDEX($P$2:$P$1001,MATCH(ROWS($O$2:O335),$O$2:$O$1001,0),1)&gt;=100000,INDEX($V$1005:$AE$1005,1,MATCH(COLUMNS($V$1006:Y1006),$V$1006:$AE$1006,0))&gt;=100000), " ",IF(INDEX($V$2:$AE$1001,MATCH(ROWS($O$2:O335),$O$2:$O$1001,0),MATCH(COLUMNS($V$1006:Y1006),$V$1006:$AE$1006,0)), HYPERLINK("#",""), HYPERLINK(CONCATENATE("#Metadata!", ADDRESS(INDEX($Q$2:$Q$1001,MATCH(ROWS($O$2:O335),$O$2:$O$1001,0),0), INDEX($V$1004:$AE$1004,1,MATCH(COLUMNS($V$1006:Y1006),$V$1006:$AE$1006,0)))),"Fix")))</f>
        <v>0</v>
      </c>
      <c r="F335" s="3">
        <f>IF(OR(INDEX($P$2:$P$1001,MATCH(ROWS($O$2:O335),$O$2:$O$1001,0),1)&gt;=100000,INDEX($V$1005:$AE$1005,1,MATCH(COLUMNS($V$1006:Z1006),$V$1006:$AE$1006,0))&gt;=100000), " ",IF(INDEX($V$2:$AE$1001,MATCH(ROWS($O$2:O335),$O$2:$O$1001,0),MATCH(COLUMNS($V$1006:Z1006),$V$1006:$AE$1006,0)), HYPERLINK("#",""), HYPERLINK(CONCATENATE("#Metadata!", ADDRESS(INDEX($Q$2:$Q$1001,MATCH(ROWS($O$2:O335),$O$2:$O$1001,0),0), INDEX($V$1004:$AE$1004,1,MATCH(COLUMNS($V$1006:Z1006),$V$1006:$AE$1006,0)))),"Fix")))</f>
        <v>0</v>
      </c>
      <c r="G335" s="3">
        <f>IF(OR(INDEX($P$2:$P$1001,MATCH(ROWS($O$2:O335),$O$2:$O$1001,0),1)&gt;=100000,INDEX($V$1005:$AE$1005,1,MATCH(COLUMNS($V$1006:AA1006),$V$1006:$AE$1006,0))&gt;=100000), " ",IF(INDEX($V$2:$AE$1001,MATCH(ROWS($O$2:O335),$O$2:$O$1001,0),MATCH(COLUMNS($V$1006:AA1006),$V$1006:$AE$1006,0)), HYPERLINK("#",""), HYPERLINK(CONCATENATE("#Metadata!", ADDRESS(INDEX($Q$2:$Q$1001,MATCH(ROWS($O$2:O335),$O$2:$O$1001,0),0), INDEX($V$1004:$AE$1004,1,MATCH(COLUMNS($V$1006:AA1006),$V$1006:$AE$1006,0)))),"Fix")))</f>
        <v>0</v>
      </c>
      <c r="H335" s="3">
        <f>IF(OR(INDEX($P$2:$P$1001,MATCH(ROWS($O$2:O335),$O$2:$O$1001,0),1)&gt;=100000,INDEX($V$1005:$AE$1005,1,MATCH(COLUMNS($V$1006:AB1006),$V$1006:$AE$1006,0))&gt;=100000), " ",IF(INDEX($V$2:$AE$1001,MATCH(ROWS($O$2:O335),$O$2:$O$1001,0),MATCH(COLUMNS($V$1006:AB1006),$V$1006:$AE$1006,0)), HYPERLINK("#",""), HYPERLINK(CONCATENATE("#Metadata!", ADDRESS(INDEX($Q$2:$Q$1001,MATCH(ROWS($O$2:O335),$O$2:$O$1001,0),0), INDEX($V$1004:$AE$1004,1,MATCH(COLUMNS($V$1006:AB1006),$V$1006:$AE$1006,0)))),"Fix")))</f>
        <v>0</v>
      </c>
      <c r="I335" s="3">
        <f>IF(OR(INDEX($P$2:$P$1001,MATCH(ROWS($O$2:O335),$O$2:$O$1001,0),1)&gt;=100000,INDEX($V$1005:$AE$1005,1,MATCH(COLUMNS($V$1006:AC1006),$V$1006:$AE$1006,0))&gt;=100000), " ",IF(INDEX($V$2:$AE$1001,MATCH(ROWS($O$2:O335),$O$2:$O$1001,0),MATCH(COLUMNS($V$1006:AC1006),$V$1006:$AE$1006,0)), HYPERLINK("#",""), HYPERLINK(CONCATENATE("#Metadata!", ADDRESS(INDEX($Q$2:$Q$1001,MATCH(ROWS($O$2:O335),$O$2:$O$1001,0),0), INDEX($V$1004:$AE$1004,1,MATCH(COLUMNS($V$1006:AC1006),$V$1006:$AE$1006,0)))),"Fix")))</f>
        <v>0</v>
      </c>
      <c r="J335" s="3">
        <f>IF(OR(INDEX($P$2:$P$1001,MATCH(ROWS($O$2:O335),$O$2:$O$1001,0),1)&gt;=100000,INDEX($V$1005:$AE$1005,1,MATCH(COLUMNS($V$1006:AD1006),$V$1006:$AE$1006,0))&gt;=100000), " ",IF(INDEX($V$2:$AE$1001,MATCH(ROWS($O$2:O335),$O$2:$O$1001,0),MATCH(COLUMNS($V$1006:AD1006),$V$1006:$AE$1006,0)), HYPERLINK("#",""), HYPERLINK(CONCATENATE("#Metadata!", ADDRESS(INDEX($Q$2:$Q$1001,MATCH(ROWS($O$2:O335),$O$2:$O$1001,0),0), INDEX($V$1004:$AE$1004,1,MATCH(COLUMNS($V$1006:AD1006),$V$1006:$AE$1006,0)))),"Fix")))</f>
        <v>0</v>
      </c>
      <c r="K335" s="3">
        <f>IF(OR(INDEX($P$2:$P$1001,MATCH(ROWS($O$2:O335),$O$2:$O$1001,0),1)&gt;=100000,INDEX($V$1005:$AE$1005,1,MATCH(COLUMNS($V$1006:AE1006),$V$1006:$AE$1006,0))&gt;=100000), " ",IF(INDEX($V$2:$AE$1001,MATCH(ROWS($O$2:O335),$O$2:$O$1001,0),MATCH(COLUMNS($V$1006:AE1006),$V$1006:$AE$1006,0)), HYPERLINK("#",""), HYPERLINK(CONCATENATE("#Metadata!", ADDRESS(INDEX($Q$2:$Q$1001,MATCH(ROWS($O$2:O335),$O$2:$O$1001,0),0), INDEX($V$1004:$AE$1004,1,MATCH(COLUMNS($V$1006:AE1006),$V$1006:$AE$1006,0)))),"Fix")))</f>
        <v>0</v>
      </c>
      <c r="O335">
        <v>0</v>
      </c>
      <c r="P335">
        <v>0</v>
      </c>
      <c r="Q335">
        <v>0</v>
      </c>
      <c r="R335">
        <f>IF(S335,TRUE,AND(V335:AE335))</f>
        <v>0</v>
      </c>
      <c r="S335">
        <f>COUNTBLANK(Metadata!B335:K335)=COLUMNS(Metadata!B335:K335)</f>
        <v>0</v>
      </c>
      <c r="T335">
        <v>0</v>
      </c>
      <c r="V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W335">
        <f>AND(IF(Metadata!C335="",FALSE,TRUE),exact(Metadata!C335,"animal secretion"))</f>
        <v>0</v>
      </c>
      <c r="X335">
        <f>AND(IF(Metadata!D335="",FALSE,TRUE),exact(Metadata!D335,"saliva"))</f>
        <v>0</v>
      </c>
      <c r="Y335">
        <f>AND(IF(Metadata!E335="",FALSE,TRUE),exact(Metadata!E335,"human-oral"))</f>
        <v>0</v>
      </c>
      <c r="Z335">
        <f>AND(IF(Metadata!F335="",FALSE,TRUE),exact(Metadata!F335,"UBERON:oral cavity"))</f>
        <v>0</v>
      </c>
      <c r="AA335">
        <f>AND(IF(Metadata!G335="",FALSE,TRUE),exact(Metadata!G335,"UBERON:saliva"))</f>
        <v>0</v>
      </c>
      <c r="AB335">
        <f>AND(IF(Metadata!H335="",FALSE,TRUE),exact(Metadata!H335,"UBERON:tongue"))</f>
        <v>0</v>
      </c>
      <c r="AC335">
        <f>AND(IF(Metadata!I335="",FALSE,TRUE),exact(Metadata!I335,"tongue"))</f>
        <v>0</v>
      </c>
      <c r="AD335">
        <f>AND(IF(Metadata!J335="",FALSE,TRUE),exact(Metadata!J335,"human oral metagenome"))</f>
        <v>0</v>
      </c>
      <c r="AE335">
        <f>AND(IF(Metadata!K335="",FALSE,TRUE),exact(Metadata!K335,"447426"))</f>
        <v>0</v>
      </c>
    </row>
    <row r="336" spans="1:31">
      <c r="A336" s="4">
        <f>IF(B336=" "," ",HYPERLINK(CONCATENATE("#metadata!",ADDRESS(INDEX($Q$2:$Q$1001,MATCH(ROWS($O$2:O336),$O$2:$O$1001,0),0),1)),INDEX($T$2:$T$1001,MATCH(ROWS($O$2:O336),$O$2:$O$1001,0),0)))</f>
        <v>0</v>
      </c>
      <c r="B336" s="3">
        <f>IF(OR(INDEX($P$2:$P$1001,MATCH(ROWS($O$2:O336),$O$2:$O$1001,0),1)&gt;=100000,INDEX($V$1005:$AE$1005,1,MATCH(COLUMNS($V$1006:V1006),$V$1006:$AE$1006,0))&gt;=100000), " ",IF(INDEX($V$2:$AE$1001,MATCH(ROWS($O$2:O336),$O$2:$O$1001,0),MATCH(COLUMNS($V$1006:V1006),$V$1006:$AE$1006,0)), HYPERLINK("#",""), HYPERLINK(CONCATENATE("#Metadata!", ADDRESS(INDEX($Q$2:$Q$1001,MATCH(ROWS($O$2:O336),$O$2:$O$1001,0),0), INDEX($V$1004:$AE$1004,1,MATCH(COLUMNS($V$1006:V1006),$V$1006:$AE$1006,0)))),"Fix")))</f>
        <v>0</v>
      </c>
      <c r="C336" s="3">
        <f>IF(OR(INDEX($P$2:$P$1001,MATCH(ROWS($O$2:O336),$O$2:$O$1001,0),1)&gt;=100000,INDEX($V$1005:$AE$1005,1,MATCH(COLUMNS($V$1006:W1006),$V$1006:$AE$1006,0))&gt;=100000), " ",IF(INDEX($V$2:$AE$1001,MATCH(ROWS($O$2:O336),$O$2:$O$1001,0),MATCH(COLUMNS($V$1006:W1006),$V$1006:$AE$1006,0)), HYPERLINK("#",""), HYPERLINK(CONCATENATE("#Metadata!", ADDRESS(INDEX($Q$2:$Q$1001,MATCH(ROWS($O$2:O336),$O$2:$O$1001,0),0), INDEX($V$1004:$AE$1004,1,MATCH(COLUMNS($V$1006:W1006),$V$1006:$AE$1006,0)))),"Fix")))</f>
        <v>0</v>
      </c>
      <c r="D336" s="3">
        <f>IF(OR(INDEX($P$2:$P$1001,MATCH(ROWS($O$2:O336),$O$2:$O$1001,0),1)&gt;=100000,INDEX($V$1005:$AE$1005,1,MATCH(COLUMNS($V$1006:X1006),$V$1006:$AE$1006,0))&gt;=100000), " ",IF(INDEX($V$2:$AE$1001,MATCH(ROWS($O$2:O336),$O$2:$O$1001,0),MATCH(COLUMNS($V$1006:X1006),$V$1006:$AE$1006,0)), HYPERLINK("#",""), HYPERLINK(CONCATENATE("#Metadata!", ADDRESS(INDEX($Q$2:$Q$1001,MATCH(ROWS($O$2:O336),$O$2:$O$1001,0),0), INDEX($V$1004:$AE$1004,1,MATCH(COLUMNS($V$1006:X1006),$V$1006:$AE$1006,0)))),"Fix")))</f>
        <v>0</v>
      </c>
      <c r="E336" s="3">
        <f>IF(OR(INDEX($P$2:$P$1001,MATCH(ROWS($O$2:O336),$O$2:$O$1001,0),1)&gt;=100000,INDEX($V$1005:$AE$1005,1,MATCH(COLUMNS($V$1006:Y1006),$V$1006:$AE$1006,0))&gt;=100000), " ",IF(INDEX($V$2:$AE$1001,MATCH(ROWS($O$2:O336),$O$2:$O$1001,0),MATCH(COLUMNS($V$1006:Y1006),$V$1006:$AE$1006,0)), HYPERLINK("#",""), HYPERLINK(CONCATENATE("#Metadata!", ADDRESS(INDEX($Q$2:$Q$1001,MATCH(ROWS($O$2:O336),$O$2:$O$1001,0),0), INDEX($V$1004:$AE$1004,1,MATCH(COLUMNS($V$1006:Y1006),$V$1006:$AE$1006,0)))),"Fix")))</f>
        <v>0</v>
      </c>
      <c r="F336" s="3">
        <f>IF(OR(INDEX($P$2:$P$1001,MATCH(ROWS($O$2:O336),$O$2:$O$1001,0),1)&gt;=100000,INDEX($V$1005:$AE$1005,1,MATCH(COLUMNS($V$1006:Z1006),$V$1006:$AE$1006,0))&gt;=100000), " ",IF(INDEX($V$2:$AE$1001,MATCH(ROWS($O$2:O336),$O$2:$O$1001,0),MATCH(COLUMNS($V$1006:Z1006),$V$1006:$AE$1006,0)), HYPERLINK("#",""), HYPERLINK(CONCATENATE("#Metadata!", ADDRESS(INDEX($Q$2:$Q$1001,MATCH(ROWS($O$2:O336),$O$2:$O$1001,0),0), INDEX($V$1004:$AE$1004,1,MATCH(COLUMNS($V$1006:Z1006),$V$1006:$AE$1006,0)))),"Fix")))</f>
        <v>0</v>
      </c>
      <c r="G336" s="3">
        <f>IF(OR(INDEX($P$2:$P$1001,MATCH(ROWS($O$2:O336),$O$2:$O$1001,0),1)&gt;=100000,INDEX($V$1005:$AE$1005,1,MATCH(COLUMNS($V$1006:AA1006),$V$1006:$AE$1006,0))&gt;=100000), " ",IF(INDEX($V$2:$AE$1001,MATCH(ROWS($O$2:O336),$O$2:$O$1001,0),MATCH(COLUMNS($V$1006:AA1006),$V$1006:$AE$1006,0)), HYPERLINK("#",""), HYPERLINK(CONCATENATE("#Metadata!", ADDRESS(INDEX($Q$2:$Q$1001,MATCH(ROWS($O$2:O336),$O$2:$O$1001,0),0), INDEX($V$1004:$AE$1004,1,MATCH(COLUMNS($V$1006:AA1006),$V$1006:$AE$1006,0)))),"Fix")))</f>
        <v>0</v>
      </c>
      <c r="H336" s="3">
        <f>IF(OR(INDEX($P$2:$P$1001,MATCH(ROWS($O$2:O336),$O$2:$O$1001,0),1)&gt;=100000,INDEX($V$1005:$AE$1005,1,MATCH(COLUMNS($V$1006:AB1006),$V$1006:$AE$1006,0))&gt;=100000), " ",IF(INDEX($V$2:$AE$1001,MATCH(ROWS($O$2:O336),$O$2:$O$1001,0),MATCH(COLUMNS($V$1006:AB1006),$V$1006:$AE$1006,0)), HYPERLINK("#",""), HYPERLINK(CONCATENATE("#Metadata!", ADDRESS(INDEX($Q$2:$Q$1001,MATCH(ROWS($O$2:O336),$O$2:$O$1001,0),0), INDEX($V$1004:$AE$1004,1,MATCH(COLUMNS($V$1006:AB1006),$V$1006:$AE$1006,0)))),"Fix")))</f>
        <v>0</v>
      </c>
      <c r="I336" s="3">
        <f>IF(OR(INDEX($P$2:$P$1001,MATCH(ROWS($O$2:O336),$O$2:$O$1001,0),1)&gt;=100000,INDEX($V$1005:$AE$1005,1,MATCH(COLUMNS($V$1006:AC1006),$V$1006:$AE$1006,0))&gt;=100000), " ",IF(INDEX($V$2:$AE$1001,MATCH(ROWS($O$2:O336),$O$2:$O$1001,0),MATCH(COLUMNS($V$1006:AC1006),$V$1006:$AE$1006,0)), HYPERLINK("#",""), HYPERLINK(CONCATENATE("#Metadata!", ADDRESS(INDEX($Q$2:$Q$1001,MATCH(ROWS($O$2:O336),$O$2:$O$1001,0),0), INDEX($V$1004:$AE$1004,1,MATCH(COLUMNS($V$1006:AC1006),$V$1006:$AE$1006,0)))),"Fix")))</f>
        <v>0</v>
      </c>
      <c r="J336" s="3">
        <f>IF(OR(INDEX($P$2:$P$1001,MATCH(ROWS($O$2:O336),$O$2:$O$1001,0),1)&gt;=100000,INDEX($V$1005:$AE$1005,1,MATCH(COLUMNS($V$1006:AD1006),$V$1006:$AE$1006,0))&gt;=100000), " ",IF(INDEX($V$2:$AE$1001,MATCH(ROWS($O$2:O336),$O$2:$O$1001,0),MATCH(COLUMNS($V$1006:AD1006),$V$1006:$AE$1006,0)), HYPERLINK("#",""), HYPERLINK(CONCATENATE("#Metadata!", ADDRESS(INDEX($Q$2:$Q$1001,MATCH(ROWS($O$2:O336),$O$2:$O$1001,0),0), INDEX($V$1004:$AE$1004,1,MATCH(COLUMNS($V$1006:AD1006),$V$1006:$AE$1006,0)))),"Fix")))</f>
        <v>0</v>
      </c>
      <c r="K336" s="3">
        <f>IF(OR(INDEX($P$2:$P$1001,MATCH(ROWS($O$2:O336),$O$2:$O$1001,0),1)&gt;=100000,INDEX($V$1005:$AE$1005,1,MATCH(COLUMNS($V$1006:AE1006),$V$1006:$AE$1006,0))&gt;=100000), " ",IF(INDEX($V$2:$AE$1001,MATCH(ROWS($O$2:O336),$O$2:$O$1001,0),MATCH(COLUMNS($V$1006:AE1006),$V$1006:$AE$1006,0)), HYPERLINK("#",""), HYPERLINK(CONCATENATE("#Metadata!", ADDRESS(INDEX($Q$2:$Q$1001,MATCH(ROWS($O$2:O336),$O$2:$O$1001,0),0), INDEX($V$1004:$AE$1004,1,MATCH(COLUMNS($V$1006:AE1006),$V$1006:$AE$1006,0)))),"Fix")))</f>
        <v>0</v>
      </c>
      <c r="O336">
        <v>0</v>
      </c>
      <c r="P336">
        <v>0</v>
      </c>
      <c r="Q336">
        <v>0</v>
      </c>
      <c r="R336">
        <f>IF(S336,TRUE,AND(V336:AE336))</f>
        <v>0</v>
      </c>
      <c r="S336">
        <f>COUNTBLANK(Metadata!B336:K336)=COLUMNS(Metadata!B336:K336)</f>
        <v>0</v>
      </c>
      <c r="T336">
        <v>0</v>
      </c>
      <c r="V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W336">
        <f>AND(IF(Metadata!C336="",FALSE,TRUE),exact(Metadata!C336,"animal secretion"))</f>
        <v>0</v>
      </c>
      <c r="X336">
        <f>AND(IF(Metadata!D336="",FALSE,TRUE),exact(Metadata!D336,"saliva"))</f>
        <v>0</v>
      </c>
      <c r="Y336">
        <f>AND(IF(Metadata!E336="",FALSE,TRUE),exact(Metadata!E336,"human-oral"))</f>
        <v>0</v>
      </c>
      <c r="Z336">
        <f>AND(IF(Metadata!F336="",FALSE,TRUE),exact(Metadata!F336,"UBERON:oral cavity"))</f>
        <v>0</v>
      </c>
      <c r="AA336">
        <f>AND(IF(Metadata!G336="",FALSE,TRUE),exact(Metadata!G336,"UBERON:saliva"))</f>
        <v>0</v>
      </c>
      <c r="AB336">
        <f>AND(IF(Metadata!H336="",FALSE,TRUE),exact(Metadata!H336,"UBERON:tongue"))</f>
        <v>0</v>
      </c>
      <c r="AC336">
        <f>AND(IF(Metadata!I336="",FALSE,TRUE),exact(Metadata!I336,"tongue"))</f>
        <v>0</v>
      </c>
      <c r="AD336">
        <f>AND(IF(Metadata!J336="",FALSE,TRUE),exact(Metadata!J336,"human oral metagenome"))</f>
        <v>0</v>
      </c>
      <c r="AE336">
        <f>AND(IF(Metadata!K336="",FALSE,TRUE),exact(Metadata!K336,"447426"))</f>
        <v>0</v>
      </c>
    </row>
    <row r="337" spans="1:31">
      <c r="A337" s="4">
        <f>IF(B337=" "," ",HYPERLINK(CONCATENATE("#metadata!",ADDRESS(INDEX($Q$2:$Q$1001,MATCH(ROWS($O$2:O337),$O$2:$O$1001,0),0),1)),INDEX($T$2:$T$1001,MATCH(ROWS($O$2:O337),$O$2:$O$1001,0),0)))</f>
        <v>0</v>
      </c>
      <c r="B337" s="3">
        <f>IF(OR(INDEX($P$2:$P$1001,MATCH(ROWS($O$2:O337),$O$2:$O$1001,0),1)&gt;=100000,INDEX($V$1005:$AE$1005,1,MATCH(COLUMNS($V$1006:V1006),$V$1006:$AE$1006,0))&gt;=100000), " ",IF(INDEX($V$2:$AE$1001,MATCH(ROWS($O$2:O337),$O$2:$O$1001,0),MATCH(COLUMNS($V$1006:V1006),$V$1006:$AE$1006,0)), HYPERLINK("#",""), HYPERLINK(CONCATENATE("#Metadata!", ADDRESS(INDEX($Q$2:$Q$1001,MATCH(ROWS($O$2:O337),$O$2:$O$1001,0),0), INDEX($V$1004:$AE$1004,1,MATCH(COLUMNS($V$1006:V1006),$V$1006:$AE$1006,0)))),"Fix")))</f>
        <v>0</v>
      </c>
      <c r="C337" s="3">
        <f>IF(OR(INDEX($P$2:$P$1001,MATCH(ROWS($O$2:O337),$O$2:$O$1001,0),1)&gt;=100000,INDEX($V$1005:$AE$1005,1,MATCH(COLUMNS($V$1006:W1006),$V$1006:$AE$1006,0))&gt;=100000), " ",IF(INDEX($V$2:$AE$1001,MATCH(ROWS($O$2:O337),$O$2:$O$1001,0),MATCH(COLUMNS($V$1006:W1006),$V$1006:$AE$1006,0)), HYPERLINK("#",""), HYPERLINK(CONCATENATE("#Metadata!", ADDRESS(INDEX($Q$2:$Q$1001,MATCH(ROWS($O$2:O337),$O$2:$O$1001,0),0), INDEX($V$1004:$AE$1004,1,MATCH(COLUMNS($V$1006:W1006),$V$1006:$AE$1006,0)))),"Fix")))</f>
        <v>0</v>
      </c>
      <c r="D337" s="3">
        <f>IF(OR(INDEX($P$2:$P$1001,MATCH(ROWS($O$2:O337),$O$2:$O$1001,0),1)&gt;=100000,INDEX($V$1005:$AE$1005,1,MATCH(COLUMNS($V$1006:X1006),$V$1006:$AE$1006,0))&gt;=100000), " ",IF(INDEX($V$2:$AE$1001,MATCH(ROWS($O$2:O337),$O$2:$O$1001,0),MATCH(COLUMNS($V$1006:X1006),$V$1006:$AE$1006,0)), HYPERLINK("#",""), HYPERLINK(CONCATENATE("#Metadata!", ADDRESS(INDEX($Q$2:$Q$1001,MATCH(ROWS($O$2:O337),$O$2:$O$1001,0),0), INDEX($V$1004:$AE$1004,1,MATCH(COLUMNS($V$1006:X1006),$V$1006:$AE$1006,0)))),"Fix")))</f>
        <v>0</v>
      </c>
      <c r="E337" s="3">
        <f>IF(OR(INDEX($P$2:$P$1001,MATCH(ROWS($O$2:O337),$O$2:$O$1001,0),1)&gt;=100000,INDEX($V$1005:$AE$1005,1,MATCH(COLUMNS($V$1006:Y1006),$V$1006:$AE$1006,0))&gt;=100000), " ",IF(INDEX($V$2:$AE$1001,MATCH(ROWS($O$2:O337),$O$2:$O$1001,0),MATCH(COLUMNS($V$1006:Y1006),$V$1006:$AE$1006,0)), HYPERLINK("#",""), HYPERLINK(CONCATENATE("#Metadata!", ADDRESS(INDEX($Q$2:$Q$1001,MATCH(ROWS($O$2:O337),$O$2:$O$1001,0),0), INDEX($V$1004:$AE$1004,1,MATCH(COLUMNS($V$1006:Y1006),$V$1006:$AE$1006,0)))),"Fix")))</f>
        <v>0</v>
      </c>
      <c r="F337" s="3">
        <f>IF(OR(INDEX($P$2:$P$1001,MATCH(ROWS($O$2:O337),$O$2:$O$1001,0),1)&gt;=100000,INDEX($V$1005:$AE$1005,1,MATCH(COLUMNS($V$1006:Z1006),$V$1006:$AE$1006,0))&gt;=100000), " ",IF(INDEX($V$2:$AE$1001,MATCH(ROWS($O$2:O337),$O$2:$O$1001,0),MATCH(COLUMNS($V$1006:Z1006),$V$1006:$AE$1006,0)), HYPERLINK("#",""), HYPERLINK(CONCATENATE("#Metadata!", ADDRESS(INDEX($Q$2:$Q$1001,MATCH(ROWS($O$2:O337),$O$2:$O$1001,0),0), INDEX($V$1004:$AE$1004,1,MATCH(COLUMNS($V$1006:Z1006),$V$1006:$AE$1006,0)))),"Fix")))</f>
        <v>0</v>
      </c>
      <c r="G337" s="3">
        <f>IF(OR(INDEX($P$2:$P$1001,MATCH(ROWS($O$2:O337),$O$2:$O$1001,0),1)&gt;=100000,INDEX($V$1005:$AE$1005,1,MATCH(COLUMNS($V$1006:AA1006),$V$1006:$AE$1006,0))&gt;=100000), " ",IF(INDEX($V$2:$AE$1001,MATCH(ROWS($O$2:O337),$O$2:$O$1001,0),MATCH(COLUMNS($V$1006:AA1006),$V$1006:$AE$1006,0)), HYPERLINK("#",""), HYPERLINK(CONCATENATE("#Metadata!", ADDRESS(INDEX($Q$2:$Q$1001,MATCH(ROWS($O$2:O337),$O$2:$O$1001,0),0), INDEX($V$1004:$AE$1004,1,MATCH(COLUMNS($V$1006:AA1006),$V$1006:$AE$1006,0)))),"Fix")))</f>
        <v>0</v>
      </c>
      <c r="H337" s="3">
        <f>IF(OR(INDEX($P$2:$P$1001,MATCH(ROWS($O$2:O337),$O$2:$O$1001,0),1)&gt;=100000,INDEX($V$1005:$AE$1005,1,MATCH(COLUMNS($V$1006:AB1006),$V$1006:$AE$1006,0))&gt;=100000), " ",IF(INDEX($V$2:$AE$1001,MATCH(ROWS($O$2:O337),$O$2:$O$1001,0),MATCH(COLUMNS($V$1006:AB1006),$V$1006:$AE$1006,0)), HYPERLINK("#",""), HYPERLINK(CONCATENATE("#Metadata!", ADDRESS(INDEX($Q$2:$Q$1001,MATCH(ROWS($O$2:O337),$O$2:$O$1001,0),0), INDEX($V$1004:$AE$1004,1,MATCH(COLUMNS($V$1006:AB1006),$V$1006:$AE$1006,0)))),"Fix")))</f>
        <v>0</v>
      </c>
      <c r="I337" s="3">
        <f>IF(OR(INDEX($P$2:$P$1001,MATCH(ROWS($O$2:O337),$O$2:$O$1001,0),1)&gt;=100000,INDEX($V$1005:$AE$1005,1,MATCH(COLUMNS($V$1006:AC1006),$V$1006:$AE$1006,0))&gt;=100000), " ",IF(INDEX($V$2:$AE$1001,MATCH(ROWS($O$2:O337),$O$2:$O$1001,0),MATCH(COLUMNS($V$1006:AC1006),$V$1006:$AE$1006,0)), HYPERLINK("#",""), HYPERLINK(CONCATENATE("#Metadata!", ADDRESS(INDEX($Q$2:$Q$1001,MATCH(ROWS($O$2:O337),$O$2:$O$1001,0),0), INDEX($V$1004:$AE$1004,1,MATCH(COLUMNS($V$1006:AC1006),$V$1006:$AE$1006,0)))),"Fix")))</f>
        <v>0</v>
      </c>
      <c r="J337" s="3">
        <f>IF(OR(INDEX($P$2:$P$1001,MATCH(ROWS($O$2:O337),$O$2:$O$1001,0),1)&gt;=100000,INDEX($V$1005:$AE$1005,1,MATCH(COLUMNS($V$1006:AD1006),$V$1006:$AE$1006,0))&gt;=100000), " ",IF(INDEX($V$2:$AE$1001,MATCH(ROWS($O$2:O337),$O$2:$O$1001,0),MATCH(COLUMNS($V$1006:AD1006),$V$1006:$AE$1006,0)), HYPERLINK("#",""), HYPERLINK(CONCATENATE("#Metadata!", ADDRESS(INDEX($Q$2:$Q$1001,MATCH(ROWS($O$2:O337),$O$2:$O$1001,0),0), INDEX($V$1004:$AE$1004,1,MATCH(COLUMNS($V$1006:AD1006),$V$1006:$AE$1006,0)))),"Fix")))</f>
        <v>0</v>
      </c>
      <c r="K337" s="3">
        <f>IF(OR(INDEX($P$2:$P$1001,MATCH(ROWS($O$2:O337),$O$2:$O$1001,0),1)&gt;=100000,INDEX($V$1005:$AE$1005,1,MATCH(COLUMNS($V$1006:AE1006),$V$1006:$AE$1006,0))&gt;=100000), " ",IF(INDEX($V$2:$AE$1001,MATCH(ROWS($O$2:O337),$O$2:$O$1001,0),MATCH(COLUMNS($V$1006:AE1006),$V$1006:$AE$1006,0)), HYPERLINK("#",""), HYPERLINK(CONCATENATE("#Metadata!", ADDRESS(INDEX($Q$2:$Q$1001,MATCH(ROWS($O$2:O337),$O$2:$O$1001,0),0), INDEX($V$1004:$AE$1004,1,MATCH(COLUMNS($V$1006:AE1006),$V$1006:$AE$1006,0)))),"Fix")))</f>
        <v>0</v>
      </c>
      <c r="O337">
        <v>0</v>
      </c>
      <c r="P337">
        <v>0</v>
      </c>
      <c r="Q337">
        <v>0</v>
      </c>
      <c r="R337">
        <f>IF(S337,TRUE,AND(V337:AE337))</f>
        <v>0</v>
      </c>
      <c r="S337">
        <f>COUNTBLANK(Metadata!B337:K337)=COLUMNS(Metadata!B337:K337)</f>
        <v>0</v>
      </c>
      <c r="T337">
        <v>0</v>
      </c>
      <c r="V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W337">
        <f>AND(IF(Metadata!C337="",FALSE,TRUE),exact(Metadata!C337,"animal secretion"))</f>
        <v>0</v>
      </c>
      <c r="X337">
        <f>AND(IF(Metadata!D337="",FALSE,TRUE),exact(Metadata!D337,"saliva"))</f>
        <v>0</v>
      </c>
      <c r="Y337">
        <f>AND(IF(Metadata!E337="",FALSE,TRUE),exact(Metadata!E337,"human-oral"))</f>
        <v>0</v>
      </c>
      <c r="Z337">
        <f>AND(IF(Metadata!F337="",FALSE,TRUE),exact(Metadata!F337,"UBERON:oral cavity"))</f>
        <v>0</v>
      </c>
      <c r="AA337">
        <f>AND(IF(Metadata!G337="",FALSE,TRUE),exact(Metadata!G337,"UBERON:saliva"))</f>
        <v>0</v>
      </c>
      <c r="AB337">
        <f>AND(IF(Metadata!H337="",FALSE,TRUE),exact(Metadata!H337,"UBERON:tongue"))</f>
        <v>0</v>
      </c>
      <c r="AC337">
        <f>AND(IF(Metadata!I337="",FALSE,TRUE),exact(Metadata!I337,"tongue"))</f>
        <v>0</v>
      </c>
      <c r="AD337">
        <f>AND(IF(Metadata!J337="",FALSE,TRUE),exact(Metadata!J337,"human oral metagenome"))</f>
        <v>0</v>
      </c>
      <c r="AE337">
        <f>AND(IF(Metadata!K337="",FALSE,TRUE),exact(Metadata!K337,"447426"))</f>
        <v>0</v>
      </c>
    </row>
    <row r="338" spans="1:31">
      <c r="A338" s="4">
        <f>IF(B338=" "," ",HYPERLINK(CONCATENATE("#metadata!",ADDRESS(INDEX($Q$2:$Q$1001,MATCH(ROWS($O$2:O338),$O$2:$O$1001,0),0),1)),INDEX($T$2:$T$1001,MATCH(ROWS($O$2:O338),$O$2:$O$1001,0),0)))</f>
        <v>0</v>
      </c>
      <c r="B338" s="3">
        <f>IF(OR(INDEX($P$2:$P$1001,MATCH(ROWS($O$2:O338),$O$2:$O$1001,0),1)&gt;=100000,INDEX($V$1005:$AE$1005,1,MATCH(COLUMNS($V$1006:V1006),$V$1006:$AE$1006,0))&gt;=100000), " ",IF(INDEX($V$2:$AE$1001,MATCH(ROWS($O$2:O338),$O$2:$O$1001,0),MATCH(COLUMNS($V$1006:V1006),$V$1006:$AE$1006,0)), HYPERLINK("#",""), HYPERLINK(CONCATENATE("#Metadata!", ADDRESS(INDEX($Q$2:$Q$1001,MATCH(ROWS($O$2:O338),$O$2:$O$1001,0),0), INDEX($V$1004:$AE$1004,1,MATCH(COLUMNS($V$1006:V1006),$V$1006:$AE$1006,0)))),"Fix")))</f>
        <v>0</v>
      </c>
      <c r="C338" s="3">
        <f>IF(OR(INDEX($P$2:$P$1001,MATCH(ROWS($O$2:O338),$O$2:$O$1001,0),1)&gt;=100000,INDEX($V$1005:$AE$1005,1,MATCH(COLUMNS($V$1006:W1006),$V$1006:$AE$1006,0))&gt;=100000), " ",IF(INDEX($V$2:$AE$1001,MATCH(ROWS($O$2:O338),$O$2:$O$1001,0),MATCH(COLUMNS($V$1006:W1006),$V$1006:$AE$1006,0)), HYPERLINK("#",""), HYPERLINK(CONCATENATE("#Metadata!", ADDRESS(INDEX($Q$2:$Q$1001,MATCH(ROWS($O$2:O338),$O$2:$O$1001,0),0), INDEX($V$1004:$AE$1004,1,MATCH(COLUMNS($V$1006:W1006),$V$1006:$AE$1006,0)))),"Fix")))</f>
        <v>0</v>
      </c>
      <c r="D338" s="3">
        <f>IF(OR(INDEX($P$2:$P$1001,MATCH(ROWS($O$2:O338),$O$2:$O$1001,0),1)&gt;=100000,INDEX($V$1005:$AE$1005,1,MATCH(COLUMNS($V$1006:X1006),$V$1006:$AE$1006,0))&gt;=100000), " ",IF(INDEX($V$2:$AE$1001,MATCH(ROWS($O$2:O338),$O$2:$O$1001,0),MATCH(COLUMNS($V$1006:X1006),$V$1006:$AE$1006,0)), HYPERLINK("#",""), HYPERLINK(CONCATENATE("#Metadata!", ADDRESS(INDEX($Q$2:$Q$1001,MATCH(ROWS($O$2:O338),$O$2:$O$1001,0),0), INDEX($V$1004:$AE$1004,1,MATCH(COLUMNS($V$1006:X1006),$V$1006:$AE$1006,0)))),"Fix")))</f>
        <v>0</v>
      </c>
      <c r="E338" s="3">
        <f>IF(OR(INDEX($P$2:$P$1001,MATCH(ROWS($O$2:O338),$O$2:$O$1001,0),1)&gt;=100000,INDEX($V$1005:$AE$1005,1,MATCH(COLUMNS($V$1006:Y1006),$V$1006:$AE$1006,0))&gt;=100000), " ",IF(INDEX($V$2:$AE$1001,MATCH(ROWS($O$2:O338),$O$2:$O$1001,0),MATCH(COLUMNS($V$1006:Y1006),$V$1006:$AE$1006,0)), HYPERLINK("#",""), HYPERLINK(CONCATENATE("#Metadata!", ADDRESS(INDEX($Q$2:$Q$1001,MATCH(ROWS($O$2:O338),$O$2:$O$1001,0),0), INDEX($V$1004:$AE$1004,1,MATCH(COLUMNS($V$1006:Y1006),$V$1006:$AE$1006,0)))),"Fix")))</f>
        <v>0</v>
      </c>
      <c r="F338" s="3">
        <f>IF(OR(INDEX($P$2:$P$1001,MATCH(ROWS($O$2:O338),$O$2:$O$1001,0),1)&gt;=100000,INDEX($V$1005:$AE$1005,1,MATCH(COLUMNS($V$1006:Z1006),$V$1006:$AE$1006,0))&gt;=100000), " ",IF(INDEX($V$2:$AE$1001,MATCH(ROWS($O$2:O338),$O$2:$O$1001,0),MATCH(COLUMNS($V$1006:Z1006),$V$1006:$AE$1006,0)), HYPERLINK("#",""), HYPERLINK(CONCATENATE("#Metadata!", ADDRESS(INDEX($Q$2:$Q$1001,MATCH(ROWS($O$2:O338),$O$2:$O$1001,0),0), INDEX($V$1004:$AE$1004,1,MATCH(COLUMNS($V$1006:Z1006),$V$1006:$AE$1006,0)))),"Fix")))</f>
        <v>0</v>
      </c>
      <c r="G338" s="3">
        <f>IF(OR(INDEX($P$2:$P$1001,MATCH(ROWS($O$2:O338),$O$2:$O$1001,0),1)&gt;=100000,INDEX($V$1005:$AE$1005,1,MATCH(COLUMNS($V$1006:AA1006),$V$1006:$AE$1006,0))&gt;=100000), " ",IF(INDEX($V$2:$AE$1001,MATCH(ROWS($O$2:O338),$O$2:$O$1001,0),MATCH(COLUMNS($V$1006:AA1006),$V$1006:$AE$1006,0)), HYPERLINK("#",""), HYPERLINK(CONCATENATE("#Metadata!", ADDRESS(INDEX($Q$2:$Q$1001,MATCH(ROWS($O$2:O338),$O$2:$O$1001,0),0), INDEX($V$1004:$AE$1004,1,MATCH(COLUMNS($V$1006:AA1006),$V$1006:$AE$1006,0)))),"Fix")))</f>
        <v>0</v>
      </c>
      <c r="H338" s="3">
        <f>IF(OR(INDEX($P$2:$P$1001,MATCH(ROWS($O$2:O338),$O$2:$O$1001,0),1)&gt;=100000,INDEX($V$1005:$AE$1005,1,MATCH(COLUMNS($V$1006:AB1006),$V$1006:$AE$1006,0))&gt;=100000), " ",IF(INDEX($V$2:$AE$1001,MATCH(ROWS($O$2:O338),$O$2:$O$1001,0),MATCH(COLUMNS($V$1006:AB1006),$V$1006:$AE$1006,0)), HYPERLINK("#",""), HYPERLINK(CONCATENATE("#Metadata!", ADDRESS(INDEX($Q$2:$Q$1001,MATCH(ROWS($O$2:O338),$O$2:$O$1001,0),0), INDEX($V$1004:$AE$1004,1,MATCH(COLUMNS($V$1006:AB1006),$V$1006:$AE$1006,0)))),"Fix")))</f>
        <v>0</v>
      </c>
      <c r="I338" s="3">
        <f>IF(OR(INDEX($P$2:$P$1001,MATCH(ROWS($O$2:O338),$O$2:$O$1001,0),1)&gt;=100000,INDEX($V$1005:$AE$1005,1,MATCH(COLUMNS($V$1006:AC1006),$V$1006:$AE$1006,0))&gt;=100000), " ",IF(INDEX($V$2:$AE$1001,MATCH(ROWS($O$2:O338),$O$2:$O$1001,0),MATCH(COLUMNS($V$1006:AC1006),$V$1006:$AE$1006,0)), HYPERLINK("#",""), HYPERLINK(CONCATENATE("#Metadata!", ADDRESS(INDEX($Q$2:$Q$1001,MATCH(ROWS($O$2:O338),$O$2:$O$1001,0),0), INDEX($V$1004:$AE$1004,1,MATCH(COLUMNS($V$1006:AC1006),$V$1006:$AE$1006,0)))),"Fix")))</f>
        <v>0</v>
      </c>
      <c r="J338" s="3">
        <f>IF(OR(INDEX($P$2:$P$1001,MATCH(ROWS($O$2:O338),$O$2:$O$1001,0),1)&gt;=100000,INDEX($V$1005:$AE$1005,1,MATCH(COLUMNS($V$1006:AD1006),$V$1006:$AE$1006,0))&gt;=100000), " ",IF(INDEX($V$2:$AE$1001,MATCH(ROWS($O$2:O338),$O$2:$O$1001,0),MATCH(COLUMNS($V$1006:AD1006),$V$1006:$AE$1006,0)), HYPERLINK("#",""), HYPERLINK(CONCATENATE("#Metadata!", ADDRESS(INDEX($Q$2:$Q$1001,MATCH(ROWS($O$2:O338),$O$2:$O$1001,0),0), INDEX($V$1004:$AE$1004,1,MATCH(COLUMNS($V$1006:AD1006),$V$1006:$AE$1006,0)))),"Fix")))</f>
        <v>0</v>
      </c>
      <c r="K338" s="3">
        <f>IF(OR(INDEX($P$2:$P$1001,MATCH(ROWS($O$2:O338),$O$2:$O$1001,0),1)&gt;=100000,INDEX($V$1005:$AE$1005,1,MATCH(COLUMNS($V$1006:AE1006),$V$1006:$AE$1006,0))&gt;=100000), " ",IF(INDEX($V$2:$AE$1001,MATCH(ROWS($O$2:O338),$O$2:$O$1001,0),MATCH(COLUMNS($V$1006:AE1006),$V$1006:$AE$1006,0)), HYPERLINK("#",""), HYPERLINK(CONCATENATE("#Metadata!", ADDRESS(INDEX($Q$2:$Q$1001,MATCH(ROWS($O$2:O338),$O$2:$O$1001,0),0), INDEX($V$1004:$AE$1004,1,MATCH(COLUMNS($V$1006:AE1006),$V$1006:$AE$1006,0)))),"Fix")))</f>
        <v>0</v>
      </c>
      <c r="O338">
        <v>0</v>
      </c>
      <c r="P338">
        <v>0</v>
      </c>
      <c r="Q338">
        <v>0</v>
      </c>
      <c r="R338">
        <f>IF(S338,TRUE,AND(V338:AE338))</f>
        <v>0</v>
      </c>
      <c r="S338">
        <f>COUNTBLANK(Metadata!B338:K338)=COLUMNS(Metadata!B338:K338)</f>
        <v>0</v>
      </c>
      <c r="T338">
        <v>0</v>
      </c>
      <c r="V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W338">
        <f>AND(IF(Metadata!C338="",FALSE,TRUE),exact(Metadata!C338,"animal secretion"))</f>
        <v>0</v>
      </c>
      <c r="X338">
        <f>AND(IF(Metadata!D338="",FALSE,TRUE),exact(Metadata!D338,"saliva"))</f>
        <v>0</v>
      </c>
      <c r="Y338">
        <f>AND(IF(Metadata!E338="",FALSE,TRUE),exact(Metadata!E338,"human-oral"))</f>
        <v>0</v>
      </c>
      <c r="Z338">
        <f>AND(IF(Metadata!F338="",FALSE,TRUE),exact(Metadata!F338,"UBERON:oral cavity"))</f>
        <v>0</v>
      </c>
      <c r="AA338">
        <f>AND(IF(Metadata!G338="",FALSE,TRUE),exact(Metadata!G338,"UBERON:saliva"))</f>
        <v>0</v>
      </c>
      <c r="AB338">
        <f>AND(IF(Metadata!H338="",FALSE,TRUE),exact(Metadata!H338,"UBERON:tongue"))</f>
        <v>0</v>
      </c>
      <c r="AC338">
        <f>AND(IF(Metadata!I338="",FALSE,TRUE),exact(Metadata!I338,"tongue"))</f>
        <v>0</v>
      </c>
      <c r="AD338">
        <f>AND(IF(Metadata!J338="",FALSE,TRUE),exact(Metadata!J338,"human oral metagenome"))</f>
        <v>0</v>
      </c>
      <c r="AE338">
        <f>AND(IF(Metadata!K338="",FALSE,TRUE),exact(Metadata!K338,"447426"))</f>
        <v>0</v>
      </c>
    </row>
    <row r="339" spans="1:31">
      <c r="A339" s="4">
        <f>IF(B339=" "," ",HYPERLINK(CONCATENATE("#metadata!",ADDRESS(INDEX($Q$2:$Q$1001,MATCH(ROWS($O$2:O339),$O$2:$O$1001,0),0),1)),INDEX($T$2:$T$1001,MATCH(ROWS($O$2:O339),$O$2:$O$1001,0),0)))</f>
        <v>0</v>
      </c>
      <c r="B339" s="3">
        <f>IF(OR(INDEX($P$2:$P$1001,MATCH(ROWS($O$2:O339),$O$2:$O$1001,0),1)&gt;=100000,INDEX($V$1005:$AE$1005,1,MATCH(COLUMNS($V$1006:V1006),$V$1006:$AE$1006,0))&gt;=100000), " ",IF(INDEX($V$2:$AE$1001,MATCH(ROWS($O$2:O339),$O$2:$O$1001,0),MATCH(COLUMNS($V$1006:V1006),$V$1006:$AE$1006,0)), HYPERLINK("#",""), HYPERLINK(CONCATENATE("#Metadata!", ADDRESS(INDEX($Q$2:$Q$1001,MATCH(ROWS($O$2:O339),$O$2:$O$1001,0),0), INDEX($V$1004:$AE$1004,1,MATCH(COLUMNS($V$1006:V1006),$V$1006:$AE$1006,0)))),"Fix")))</f>
        <v>0</v>
      </c>
      <c r="C339" s="3">
        <f>IF(OR(INDEX($P$2:$P$1001,MATCH(ROWS($O$2:O339),$O$2:$O$1001,0),1)&gt;=100000,INDEX($V$1005:$AE$1005,1,MATCH(COLUMNS($V$1006:W1006),$V$1006:$AE$1006,0))&gt;=100000), " ",IF(INDEX($V$2:$AE$1001,MATCH(ROWS($O$2:O339),$O$2:$O$1001,0),MATCH(COLUMNS($V$1006:W1006),$V$1006:$AE$1006,0)), HYPERLINK("#",""), HYPERLINK(CONCATENATE("#Metadata!", ADDRESS(INDEX($Q$2:$Q$1001,MATCH(ROWS($O$2:O339),$O$2:$O$1001,0),0), INDEX($V$1004:$AE$1004,1,MATCH(COLUMNS($V$1006:W1006),$V$1006:$AE$1006,0)))),"Fix")))</f>
        <v>0</v>
      </c>
      <c r="D339" s="3">
        <f>IF(OR(INDEX($P$2:$P$1001,MATCH(ROWS($O$2:O339),$O$2:$O$1001,0),1)&gt;=100000,INDEX($V$1005:$AE$1005,1,MATCH(COLUMNS($V$1006:X1006),$V$1006:$AE$1006,0))&gt;=100000), " ",IF(INDEX($V$2:$AE$1001,MATCH(ROWS($O$2:O339),$O$2:$O$1001,0),MATCH(COLUMNS($V$1006:X1006),$V$1006:$AE$1006,0)), HYPERLINK("#",""), HYPERLINK(CONCATENATE("#Metadata!", ADDRESS(INDEX($Q$2:$Q$1001,MATCH(ROWS($O$2:O339),$O$2:$O$1001,0),0), INDEX($V$1004:$AE$1004,1,MATCH(COLUMNS($V$1006:X1006),$V$1006:$AE$1006,0)))),"Fix")))</f>
        <v>0</v>
      </c>
      <c r="E339" s="3">
        <f>IF(OR(INDEX($P$2:$P$1001,MATCH(ROWS($O$2:O339),$O$2:$O$1001,0),1)&gt;=100000,INDEX($V$1005:$AE$1005,1,MATCH(COLUMNS($V$1006:Y1006),$V$1006:$AE$1006,0))&gt;=100000), " ",IF(INDEX($V$2:$AE$1001,MATCH(ROWS($O$2:O339),$O$2:$O$1001,0),MATCH(COLUMNS($V$1006:Y1006),$V$1006:$AE$1006,0)), HYPERLINK("#",""), HYPERLINK(CONCATENATE("#Metadata!", ADDRESS(INDEX($Q$2:$Q$1001,MATCH(ROWS($O$2:O339),$O$2:$O$1001,0),0), INDEX($V$1004:$AE$1004,1,MATCH(COLUMNS($V$1006:Y1006),$V$1006:$AE$1006,0)))),"Fix")))</f>
        <v>0</v>
      </c>
      <c r="F339" s="3">
        <f>IF(OR(INDEX($P$2:$P$1001,MATCH(ROWS($O$2:O339),$O$2:$O$1001,0),1)&gt;=100000,INDEX($V$1005:$AE$1005,1,MATCH(COLUMNS($V$1006:Z1006),$V$1006:$AE$1006,0))&gt;=100000), " ",IF(INDEX($V$2:$AE$1001,MATCH(ROWS($O$2:O339),$O$2:$O$1001,0),MATCH(COLUMNS($V$1006:Z1006),$V$1006:$AE$1006,0)), HYPERLINK("#",""), HYPERLINK(CONCATENATE("#Metadata!", ADDRESS(INDEX($Q$2:$Q$1001,MATCH(ROWS($O$2:O339),$O$2:$O$1001,0),0), INDEX($V$1004:$AE$1004,1,MATCH(COLUMNS($V$1006:Z1006),$V$1006:$AE$1006,0)))),"Fix")))</f>
        <v>0</v>
      </c>
      <c r="G339" s="3">
        <f>IF(OR(INDEX($P$2:$P$1001,MATCH(ROWS($O$2:O339),$O$2:$O$1001,0),1)&gt;=100000,INDEX($V$1005:$AE$1005,1,MATCH(COLUMNS($V$1006:AA1006),$V$1006:$AE$1006,0))&gt;=100000), " ",IF(INDEX($V$2:$AE$1001,MATCH(ROWS($O$2:O339),$O$2:$O$1001,0),MATCH(COLUMNS($V$1006:AA1006),$V$1006:$AE$1006,0)), HYPERLINK("#",""), HYPERLINK(CONCATENATE("#Metadata!", ADDRESS(INDEX($Q$2:$Q$1001,MATCH(ROWS($O$2:O339),$O$2:$O$1001,0),0), INDEX($V$1004:$AE$1004,1,MATCH(COLUMNS($V$1006:AA1006),$V$1006:$AE$1006,0)))),"Fix")))</f>
        <v>0</v>
      </c>
      <c r="H339" s="3">
        <f>IF(OR(INDEX($P$2:$P$1001,MATCH(ROWS($O$2:O339),$O$2:$O$1001,0),1)&gt;=100000,INDEX($V$1005:$AE$1005,1,MATCH(COLUMNS($V$1006:AB1006),$V$1006:$AE$1006,0))&gt;=100000), " ",IF(INDEX($V$2:$AE$1001,MATCH(ROWS($O$2:O339),$O$2:$O$1001,0),MATCH(COLUMNS($V$1006:AB1006),$V$1006:$AE$1006,0)), HYPERLINK("#",""), HYPERLINK(CONCATENATE("#Metadata!", ADDRESS(INDEX($Q$2:$Q$1001,MATCH(ROWS($O$2:O339),$O$2:$O$1001,0),0), INDEX($V$1004:$AE$1004,1,MATCH(COLUMNS($V$1006:AB1006),$V$1006:$AE$1006,0)))),"Fix")))</f>
        <v>0</v>
      </c>
      <c r="I339" s="3">
        <f>IF(OR(INDEX($P$2:$P$1001,MATCH(ROWS($O$2:O339),$O$2:$O$1001,0),1)&gt;=100000,INDEX($V$1005:$AE$1005,1,MATCH(COLUMNS($V$1006:AC1006),$V$1006:$AE$1006,0))&gt;=100000), " ",IF(INDEX($V$2:$AE$1001,MATCH(ROWS($O$2:O339),$O$2:$O$1001,0),MATCH(COLUMNS($V$1006:AC1006),$V$1006:$AE$1006,0)), HYPERLINK("#",""), HYPERLINK(CONCATENATE("#Metadata!", ADDRESS(INDEX($Q$2:$Q$1001,MATCH(ROWS($O$2:O339),$O$2:$O$1001,0),0), INDEX($V$1004:$AE$1004,1,MATCH(COLUMNS($V$1006:AC1006),$V$1006:$AE$1006,0)))),"Fix")))</f>
        <v>0</v>
      </c>
      <c r="J339" s="3">
        <f>IF(OR(INDEX($P$2:$P$1001,MATCH(ROWS($O$2:O339),$O$2:$O$1001,0),1)&gt;=100000,INDEX($V$1005:$AE$1005,1,MATCH(COLUMNS($V$1006:AD1006),$V$1006:$AE$1006,0))&gt;=100000), " ",IF(INDEX($V$2:$AE$1001,MATCH(ROWS($O$2:O339),$O$2:$O$1001,0),MATCH(COLUMNS($V$1006:AD1006),$V$1006:$AE$1006,0)), HYPERLINK("#",""), HYPERLINK(CONCATENATE("#Metadata!", ADDRESS(INDEX($Q$2:$Q$1001,MATCH(ROWS($O$2:O339),$O$2:$O$1001,0),0), INDEX($V$1004:$AE$1004,1,MATCH(COLUMNS($V$1006:AD1006),$V$1006:$AE$1006,0)))),"Fix")))</f>
        <v>0</v>
      </c>
      <c r="K339" s="3">
        <f>IF(OR(INDEX($P$2:$P$1001,MATCH(ROWS($O$2:O339),$O$2:$O$1001,0),1)&gt;=100000,INDEX($V$1005:$AE$1005,1,MATCH(COLUMNS($V$1006:AE1006),$V$1006:$AE$1006,0))&gt;=100000), " ",IF(INDEX($V$2:$AE$1001,MATCH(ROWS($O$2:O339),$O$2:$O$1001,0),MATCH(COLUMNS($V$1006:AE1006),$V$1006:$AE$1006,0)), HYPERLINK("#",""), HYPERLINK(CONCATENATE("#Metadata!", ADDRESS(INDEX($Q$2:$Q$1001,MATCH(ROWS($O$2:O339),$O$2:$O$1001,0),0), INDEX($V$1004:$AE$1004,1,MATCH(COLUMNS($V$1006:AE1006),$V$1006:$AE$1006,0)))),"Fix")))</f>
        <v>0</v>
      </c>
      <c r="O339">
        <v>0</v>
      </c>
      <c r="P339">
        <v>0</v>
      </c>
      <c r="Q339">
        <v>0</v>
      </c>
      <c r="R339">
        <f>IF(S339,TRUE,AND(V339:AE339))</f>
        <v>0</v>
      </c>
      <c r="S339">
        <f>COUNTBLANK(Metadata!B339:K339)=COLUMNS(Metadata!B339:K339)</f>
        <v>0</v>
      </c>
      <c r="T339">
        <v>0</v>
      </c>
      <c r="V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W339">
        <f>AND(IF(Metadata!C339="",FALSE,TRUE),exact(Metadata!C339,"animal secretion"))</f>
        <v>0</v>
      </c>
      <c r="X339">
        <f>AND(IF(Metadata!D339="",FALSE,TRUE),exact(Metadata!D339,"saliva"))</f>
        <v>0</v>
      </c>
      <c r="Y339">
        <f>AND(IF(Metadata!E339="",FALSE,TRUE),exact(Metadata!E339,"human-oral"))</f>
        <v>0</v>
      </c>
      <c r="Z339">
        <f>AND(IF(Metadata!F339="",FALSE,TRUE),exact(Metadata!F339,"UBERON:oral cavity"))</f>
        <v>0</v>
      </c>
      <c r="AA339">
        <f>AND(IF(Metadata!G339="",FALSE,TRUE),exact(Metadata!G339,"UBERON:saliva"))</f>
        <v>0</v>
      </c>
      <c r="AB339">
        <f>AND(IF(Metadata!H339="",FALSE,TRUE),exact(Metadata!H339,"UBERON:tongue"))</f>
        <v>0</v>
      </c>
      <c r="AC339">
        <f>AND(IF(Metadata!I339="",FALSE,TRUE),exact(Metadata!I339,"tongue"))</f>
        <v>0</v>
      </c>
      <c r="AD339">
        <f>AND(IF(Metadata!J339="",FALSE,TRUE),exact(Metadata!J339,"human oral metagenome"))</f>
        <v>0</v>
      </c>
      <c r="AE339">
        <f>AND(IF(Metadata!K339="",FALSE,TRUE),exact(Metadata!K339,"447426"))</f>
        <v>0</v>
      </c>
    </row>
    <row r="340" spans="1:31">
      <c r="A340" s="4">
        <f>IF(B340=" "," ",HYPERLINK(CONCATENATE("#metadata!",ADDRESS(INDEX($Q$2:$Q$1001,MATCH(ROWS($O$2:O340),$O$2:$O$1001,0),0),1)),INDEX($T$2:$T$1001,MATCH(ROWS($O$2:O340),$O$2:$O$1001,0),0)))</f>
        <v>0</v>
      </c>
      <c r="B340" s="3">
        <f>IF(OR(INDEX($P$2:$P$1001,MATCH(ROWS($O$2:O340),$O$2:$O$1001,0),1)&gt;=100000,INDEX($V$1005:$AE$1005,1,MATCH(COLUMNS($V$1006:V1006),$V$1006:$AE$1006,0))&gt;=100000), " ",IF(INDEX($V$2:$AE$1001,MATCH(ROWS($O$2:O340),$O$2:$O$1001,0),MATCH(COLUMNS($V$1006:V1006),$V$1006:$AE$1006,0)), HYPERLINK("#",""), HYPERLINK(CONCATENATE("#Metadata!", ADDRESS(INDEX($Q$2:$Q$1001,MATCH(ROWS($O$2:O340),$O$2:$O$1001,0),0), INDEX($V$1004:$AE$1004,1,MATCH(COLUMNS($V$1006:V1006),$V$1006:$AE$1006,0)))),"Fix")))</f>
        <v>0</v>
      </c>
      <c r="C340" s="3">
        <f>IF(OR(INDEX($P$2:$P$1001,MATCH(ROWS($O$2:O340),$O$2:$O$1001,0),1)&gt;=100000,INDEX($V$1005:$AE$1005,1,MATCH(COLUMNS($V$1006:W1006),$V$1006:$AE$1006,0))&gt;=100000), " ",IF(INDEX($V$2:$AE$1001,MATCH(ROWS($O$2:O340),$O$2:$O$1001,0),MATCH(COLUMNS($V$1006:W1006),$V$1006:$AE$1006,0)), HYPERLINK("#",""), HYPERLINK(CONCATENATE("#Metadata!", ADDRESS(INDEX($Q$2:$Q$1001,MATCH(ROWS($O$2:O340),$O$2:$O$1001,0),0), INDEX($V$1004:$AE$1004,1,MATCH(COLUMNS($V$1006:W1006),$V$1006:$AE$1006,0)))),"Fix")))</f>
        <v>0</v>
      </c>
      <c r="D340" s="3">
        <f>IF(OR(INDEX($P$2:$P$1001,MATCH(ROWS($O$2:O340),$O$2:$O$1001,0),1)&gt;=100000,INDEX($V$1005:$AE$1005,1,MATCH(COLUMNS($V$1006:X1006),$V$1006:$AE$1006,0))&gt;=100000), " ",IF(INDEX($V$2:$AE$1001,MATCH(ROWS($O$2:O340),$O$2:$O$1001,0),MATCH(COLUMNS($V$1006:X1006),$V$1006:$AE$1006,0)), HYPERLINK("#",""), HYPERLINK(CONCATENATE("#Metadata!", ADDRESS(INDEX($Q$2:$Q$1001,MATCH(ROWS($O$2:O340),$O$2:$O$1001,0),0), INDEX($V$1004:$AE$1004,1,MATCH(COLUMNS($V$1006:X1006),$V$1006:$AE$1006,0)))),"Fix")))</f>
        <v>0</v>
      </c>
      <c r="E340" s="3">
        <f>IF(OR(INDEX($P$2:$P$1001,MATCH(ROWS($O$2:O340),$O$2:$O$1001,0),1)&gt;=100000,INDEX($V$1005:$AE$1005,1,MATCH(COLUMNS($V$1006:Y1006),$V$1006:$AE$1006,0))&gt;=100000), " ",IF(INDEX($V$2:$AE$1001,MATCH(ROWS($O$2:O340),$O$2:$O$1001,0),MATCH(COLUMNS($V$1006:Y1006),$V$1006:$AE$1006,0)), HYPERLINK("#",""), HYPERLINK(CONCATENATE("#Metadata!", ADDRESS(INDEX($Q$2:$Q$1001,MATCH(ROWS($O$2:O340),$O$2:$O$1001,0),0), INDEX($V$1004:$AE$1004,1,MATCH(COLUMNS($V$1006:Y1006),$V$1006:$AE$1006,0)))),"Fix")))</f>
        <v>0</v>
      </c>
      <c r="F340" s="3">
        <f>IF(OR(INDEX($P$2:$P$1001,MATCH(ROWS($O$2:O340),$O$2:$O$1001,0),1)&gt;=100000,INDEX($V$1005:$AE$1005,1,MATCH(COLUMNS($V$1006:Z1006),$V$1006:$AE$1006,0))&gt;=100000), " ",IF(INDEX($V$2:$AE$1001,MATCH(ROWS($O$2:O340),$O$2:$O$1001,0),MATCH(COLUMNS($V$1006:Z1006),$V$1006:$AE$1006,0)), HYPERLINK("#",""), HYPERLINK(CONCATENATE("#Metadata!", ADDRESS(INDEX($Q$2:$Q$1001,MATCH(ROWS($O$2:O340),$O$2:$O$1001,0),0), INDEX($V$1004:$AE$1004,1,MATCH(COLUMNS($V$1006:Z1006),$V$1006:$AE$1006,0)))),"Fix")))</f>
        <v>0</v>
      </c>
      <c r="G340" s="3">
        <f>IF(OR(INDEX($P$2:$P$1001,MATCH(ROWS($O$2:O340),$O$2:$O$1001,0),1)&gt;=100000,INDEX($V$1005:$AE$1005,1,MATCH(COLUMNS($V$1006:AA1006),$V$1006:$AE$1006,0))&gt;=100000), " ",IF(INDEX($V$2:$AE$1001,MATCH(ROWS($O$2:O340),$O$2:$O$1001,0),MATCH(COLUMNS($V$1006:AA1006),$V$1006:$AE$1006,0)), HYPERLINK("#",""), HYPERLINK(CONCATENATE("#Metadata!", ADDRESS(INDEX($Q$2:$Q$1001,MATCH(ROWS($O$2:O340),$O$2:$O$1001,0),0), INDEX($V$1004:$AE$1004,1,MATCH(COLUMNS($V$1006:AA1006),$V$1006:$AE$1006,0)))),"Fix")))</f>
        <v>0</v>
      </c>
      <c r="H340" s="3">
        <f>IF(OR(INDEX($P$2:$P$1001,MATCH(ROWS($O$2:O340),$O$2:$O$1001,0),1)&gt;=100000,INDEX($V$1005:$AE$1005,1,MATCH(COLUMNS($V$1006:AB1006),$V$1006:$AE$1006,0))&gt;=100000), " ",IF(INDEX($V$2:$AE$1001,MATCH(ROWS($O$2:O340),$O$2:$O$1001,0),MATCH(COLUMNS($V$1006:AB1006),$V$1006:$AE$1006,0)), HYPERLINK("#",""), HYPERLINK(CONCATENATE("#Metadata!", ADDRESS(INDEX($Q$2:$Q$1001,MATCH(ROWS($O$2:O340),$O$2:$O$1001,0),0), INDEX($V$1004:$AE$1004,1,MATCH(COLUMNS($V$1006:AB1006),$V$1006:$AE$1006,0)))),"Fix")))</f>
        <v>0</v>
      </c>
      <c r="I340" s="3">
        <f>IF(OR(INDEX($P$2:$P$1001,MATCH(ROWS($O$2:O340),$O$2:$O$1001,0),1)&gt;=100000,INDEX($V$1005:$AE$1005,1,MATCH(COLUMNS($V$1006:AC1006),$V$1006:$AE$1006,0))&gt;=100000), " ",IF(INDEX($V$2:$AE$1001,MATCH(ROWS($O$2:O340),$O$2:$O$1001,0),MATCH(COLUMNS($V$1006:AC1006),$V$1006:$AE$1006,0)), HYPERLINK("#",""), HYPERLINK(CONCATENATE("#Metadata!", ADDRESS(INDEX($Q$2:$Q$1001,MATCH(ROWS($O$2:O340),$O$2:$O$1001,0),0), INDEX($V$1004:$AE$1004,1,MATCH(COLUMNS($V$1006:AC1006),$V$1006:$AE$1006,0)))),"Fix")))</f>
        <v>0</v>
      </c>
      <c r="J340" s="3">
        <f>IF(OR(INDEX($P$2:$P$1001,MATCH(ROWS($O$2:O340),$O$2:$O$1001,0),1)&gt;=100000,INDEX($V$1005:$AE$1005,1,MATCH(COLUMNS($V$1006:AD1006),$V$1006:$AE$1006,0))&gt;=100000), " ",IF(INDEX($V$2:$AE$1001,MATCH(ROWS($O$2:O340),$O$2:$O$1001,0),MATCH(COLUMNS($V$1006:AD1006),$V$1006:$AE$1006,0)), HYPERLINK("#",""), HYPERLINK(CONCATENATE("#Metadata!", ADDRESS(INDEX($Q$2:$Q$1001,MATCH(ROWS($O$2:O340),$O$2:$O$1001,0),0), INDEX($V$1004:$AE$1004,1,MATCH(COLUMNS($V$1006:AD1006),$V$1006:$AE$1006,0)))),"Fix")))</f>
        <v>0</v>
      </c>
      <c r="K340" s="3">
        <f>IF(OR(INDEX($P$2:$P$1001,MATCH(ROWS($O$2:O340),$O$2:$O$1001,0),1)&gt;=100000,INDEX($V$1005:$AE$1005,1,MATCH(COLUMNS($V$1006:AE1006),$V$1006:$AE$1006,0))&gt;=100000), " ",IF(INDEX($V$2:$AE$1001,MATCH(ROWS($O$2:O340),$O$2:$O$1001,0),MATCH(COLUMNS($V$1006:AE1006),$V$1006:$AE$1006,0)), HYPERLINK("#",""), HYPERLINK(CONCATENATE("#Metadata!", ADDRESS(INDEX($Q$2:$Q$1001,MATCH(ROWS($O$2:O340),$O$2:$O$1001,0),0), INDEX($V$1004:$AE$1004,1,MATCH(COLUMNS($V$1006:AE1006),$V$1006:$AE$1006,0)))),"Fix")))</f>
        <v>0</v>
      </c>
      <c r="O340">
        <v>0</v>
      </c>
      <c r="P340">
        <v>0</v>
      </c>
      <c r="Q340">
        <v>0</v>
      </c>
      <c r="R340">
        <f>IF(S340,TRUE,AND(V340:AE340))</f>
        <v>0</v>
      </c>
      <c r="S340">
        <f>COUNTBLANK(Metadata!B340:K340)=COLUMNS(Metadata!B340:K340)</f>
        <v>0</v>
      </c>
      <c r="T340">
        <v>0</v>
      </c>
      <c r="V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W340">
        <f>AND(IF(Metadata!C340="",FALSE,TRUE),exact(Metadata!C340,"animal secretion"))</f>
        <v>0</v>
      </c>
      <c r="X340">
        <f>AND(IF(Metadata!D340="",FALSE,TRUE),exact(Metadata!D340,"saliva"))</f>
        <v>0</v>
      </c>
      <c r="Y340">
        <f>AND(IF(Metadata!E340="",FALSE,TRUE),exact(Metadata!E340,"human-oral"))</f>
        <v>0</v>
      </c>
      <c r="Z340">
        <f>AND(IF(Metadata!F340="",FALSE,TRUE),exact(Metadata!F340,"UBERON:oral cavity"))</f>
        <v>0</v>
      </c>
      <c r="AA340">
        <f>AND(IF(Metadata!G340="",FALSE,TRUE),exact(Metadata!G340,"UBERON:saliva"))</f>
        <v>0</v>
      </c>
      <c r="AB340">
        <f>AND(IF(Metadata!H340="",FALSE,TRUE),exact(Metadata!H340,"UBERON:tongue"))</f>
        <v>0</v>
      </c>
      <c r="AC340">
        <f>AND(IF(Metadata!I340="",FALSE,TRUE),exact(Metadata!I340,"tongue"))</f>
        <v>0</v>
      </c>
      <c r="AD340">
        <f>AND(IF(Metadata!J340="",FALSE,TRUE),exact(Metadata!J340,"human oral metagenome"))</f>
        <v>0</v>
      </c>
      <c r="AE340">
        <f>AND(IF(Metadata!K340="",FALSE,TRUE),exact(Metadata!K340,"447426"))</f>
        <v>0</v>
      </c>
    </row>
    <row r="341" spans="1:31">
      <c r="A341" s="4">
        <f>IF(B341=" "," ",HYPERLINK(CONCATENATE("#metadata!",ADDRESS(INDEX($Q$2:$Q$1001,MATCH(ROWS($O$2:O341),$O$2:$O$1001,0),0),1)),INDEX($T$2:$T$1001,MATCH(ROWS($O$2:O341),$O$2:$O$1001,0),0)))</f>
        <v>0</v>
      </c>
      <c r="B341" s="3">
        <f>IF(OR(INDEX($P$2:$P$1001,MATCH(ROWS($O$2:O341),$O$2:$O$1001,0),1)&gt;=100000,INDEX($V$1005:$AE$1005,1,MATCH(COLUMNS($V$1006:V1006),$V$1006:$AE$1006,0))&gt;=100000), " ",IF(INDEX($V$2:$AE$1001,MATCH(ROWS($O$2:O341),$O$2:$O$1001,0),MATCH(COLUMNS($V$1006:V1006),$V$1006:$AE$1006,0)), HYPERLINK("#",""), HYPERLINK(CONCATENATE("#Metadata!", ADDRESS(INDEX($Q$2:$Q$1001,MATCH(ROWS($O$2:O341),$O$2:$O$1001,0),0), INDEX($V$1004:$AE$1004,1,MATCH(COLUMNS($V$1006:V1006),$V$1006:$AE$1006,0)))),"Fix")))</f>
        <v>0</v>
      </c>
      <c r="C341" s="3">
        <f>IF(OR(INDEX($P$2:$P$1001,MATCH(ROWS($O$2:O341),$O$2:$O$1001,0),1)&gt;=100000,INDEX($V$1005:$AE$1005,1,MATCH(COLUMNS($V$1006:W1006),$V$1006:$AE$1006,0))&gt;=100000), " ",IF(INDEX($V$2:$AE$1001,MATCH(ROWS($O$2:O341),$O$2:$O$1001,0),MATCH(COLUMNS($V$1006:W1006),$V$1006:$AE$1006,0)), HYPERLINK("#",""), HYPERLINK(CONCATENATE("#Metadata!", ADDRESS(INDEX($Q$2:$Q$1001,MATCH(ROWS($O$2:O341),$O$2:$O$1001,0),0), INDEX($V$1004:$AE$1004,1,MATCH(COLUMNS($V$1006:W1006),$V$1006:$AE$1006,0)))),"Fix")))</f>
        <v>0</v>
      </c>
      <c r="D341" s="3">
        <f>IF(OR(INDEX($P$2:$P$1001,MATCH(ROWS($O$2:O341),$O$2:$O$1001,0),1)&gt;=100000,INDEX($V$1005:$AE$1005,1,MATCH(COLUMNS($V$1006:X1006),$V$1006:$AE$1006,0))&gt;=100000), " ",IF(INDEX($V$2:$AE$1001,MATCH(ROWS($O$2:O341),$O$2:$O$1001,0),MATCH(COLUMNS($V$1006:X1006),$V$1006:$AE$1006,0)), HYPERLINK("#",""), HYPERLINK(CONCATENATE("#Metadata!", ADDRESS(INDEX($Q$2:$Q$1001,MATCH(ROWS($O$2:O341),$O$2:$O$1001,0),0), INDEX($V$1004:$AE$1004,1,MATCH(COLUMNS($V$1006:X1006),$V$1006:$AE$1006,0)))),"Fix")))</f>
        <v>0</v>
      </c>
      <c r="E341" s="3">
        <f>IF(OR(INDEX($P$2:$P$1001,MATCH(ROWS($O$2:O341),$O$2:$O$1001,0),1)&gt;=100000,INDEX($V$1005:$AE$1005,1,MATCH(COLUMNS($V$1006:Y1006),$V$1006:$AE$1006,0))&gt;=100000), " ",IF(INDEX($V$2:$AE$1001,MATCH(ROWS($O$2:O341),$O$2:$O$1001,0),MATCH(COLUMNS($V$1006:Y1006),$V$1006:$AE$1006,0)), HYPERLINK("#",""), HYPERLINK(CONCATENATE("#Metadata!", ADDRESS(INDEX($Q$2:$Q$1001,MATCH(ROWS($O$2:O341),$O$2:$O$1001,0),0), INDEX($V$1004:$AE$1004,1,MATCH(COLUMNS($V$1006:Y1006),$V$1006:$AE$1006,0)))),"Fix")))</f>
        <v>0</v>
      </c>
      <c r="F341" s="3">
        <f>IF(OR(INDEX($P$2:$P$1001,MATCH(ROWS($O$2:O341),$O$2:$O$1001,0),1)&gt;=100000,INDEX($V$1005:$AE$1005,1,MATCH(COLUMNS($V$1006:Z1006),$V$1006:$AE$1006,0))&gt;=100000), " ",IF(INDEX($V$2:$AE$1001,MATCH(ROWS($O$2:O341),$O$2:$O$1001,0),MATCH(COLUMNS($V$1006:Z1006),$V$1006:$AE$1006,0)), HYPERLINK("#",""), HYPERLINK(CONCATENATE("#Metadata!", ADDRESS(INDEX($Q$2:$Q$1001,MATCH(ROWS($O$2:O341),$O$2:$O$1001,0),0), INDEX($V$1004:$AE$1004,1,MATCH(COLUMNS($V$1006:Z1006),$V$1006:$AE$1006,0)))),"Fix")))</f>
        <v>0</v>
      </c>
      <c r="G341" s="3">
        <f>IF(OR(INDEX($P$2:$P$1001,MATCH(ROWS($O$2:O341),$O$2:$O$1001,0),1)&gt;=100000,INDEX($V$1005:$AE$1005,1,MATCH(COLUMNS($V$1006:AA1006),$V$1006:$AE$1006,0))&gt;=100000), " ",IF(INDEX($V$2:$AE$1001,MATCH(ROWS($O$2:O341),$O$2:$O$1001,0),MATCH(COLUMNS($V$1006:AA1006),$V$1006:$AE$1006,0)), HYPERLINK("#",""), HYPERLINK(CONCATENATE("#Metadata!", ADDRESS(INDEX($Q$2:$Q$1001,MATCH(ROWS($O$2:O341),$O$2:$O$1001,0),0), INDEX($V$1004:$AE$1004,1,MATCH(COLUMNS($V$1006:AA1006),$V$1006:$AE$1006,0)))),"Fix")))</f>
        <v>0</v>
      </c>
      <c r="H341" s="3">
        <f>IF(OR(INDEX($P$2:$P$1001,MATCH(ROWS($O$2:O341),$O$2:$O$1001,0),1)&gt;=100000,INDEX($V$1005:$AE$1005,1,MATCH(COLUMNS($V$1006:AB1006),$V$1006:$AE$1006,0))&gt;=100000), " ",IF(INDEX($V$2:$AE$1001,MATCH(ROWS($O$2:O341),$O$2:$O$1001,0),MATCH(COLUMNS($V$1006:AB1006),$V$1006:$AE$1006,0)), HYPERLINK("#",""), HYPERLINK(CONCATENATE("#Metadata!", ADDRESS(INDEX($Q$2:$Q$1001,MATCH(ROWS($O$2:O341),$O$2:$O$1001,0),0), INDEX($V$1004:$AE$1004,1,MATCH(COLUMNS($V$1006:AB1006),$V$1006:$AE$1006,0)))),"Fix")))</f>
        <v>0</v>
      </c>
      <c r="I341" s="3">
        <f>IF(OR(INDEX($P$2:$P$1001,MATCH(ROWS($O$2:O341),$O$2:$O$1001,0),1)&gt;=100000,INDEX($V$1005:$AE$1005,1,MATCH(COLUMNS($V$1006:AC1006),$V$1006:$AE$1006,0))&gt;=100000), " ",IF(INDEX($V$2:$AE$1001,MATCH(ROWS($O$2:O341),$O$2:$O$1001,0),MATCH(COLUMNS($V$1006:AC1006),$V$1006:$AE$1006,0)), HYPERLINK("#",""), HYPERLINK(CONCATENATE("#Metadata!", ADDRESS(INDEX($Q$2:$Q$1001,MATCH(ROWS($O$2:O341),$O$2:$O$1001,0),0), INDEX($V$1004:$AE$1004,1,MATCH(COLUMNS($V$1006:AC1006),$V$1006:$AE$1006,0)))),"Fix")))</f>
        <v>0</v>
      </c>
      <c r="J341" s="3">
        <f>IF(OR(INDEX($P$2:$P$1001,MATCH(ROWS($O$2:O341),$O$2:$O$1001,0),1)&gt;=100000,INDEX($V$1005:$AE$1005,1,MATCH(COLUMNS($V$1006:AD1006),$V$1006:$AE$1006,0))&gt;=100000), " ",IF(INDEX($V$2:$AE$1001,MATCH(ROWS($O$2:O341),$O$2:$O$1001,0),MATCH(COLUMNS($V$1006:AD1006),$V$1006:$AE$1006,0)), HYPERLINK("#",""), HYPERLINK(CONCATENATE("#Metadata!", ADDRESS(INDEX($Q$2:$Q$1001,MATCH(ROWS($O$2:O341),$O$2:$O$1001,0),0), INDEX($V$1004:$AE$1004,1,MATCH(COLUMNS($V$1006:AD1006),$V$1006:$AE$1006,0)))),"Fix")))</f>
        <v>0</v>
      </c>
      <c r="K341" s="3">
        <f>IF(OR(INDEX($P$2:$P$1001,MATCH(ROWS($O$2:O341),$O$2:$O$1001,0),1)&gt;=100000,INDEX($V$1005:$AE$1005,1,MATCH(COLUMNS($V$1006:AE1006),$V$1006:$AE$1006,0))&gt;=100000), " ",IF(INDEX($V$2:$AE$1001,MATCH(ROWS($O$2:O341),$O$2:$O$1001,0),MATCH(COLUMNS($V$1006:AE1006),$V$1006:$AE$1006,0)), HYPERLINK("#",""), HYPERLINK(CONCATENATE("#Metadata!", ADDRESS(INDEX($Q$2:$Q$1001,MATCH(ROWS($O$2:O341),$O$2:$O$1001,0),0), INDEX($V$1004:$AE$1004,1,MATCH(COLUMNS($V$1006:AE1006),$V$1006:$AE$1006,0)))),"Fix")))</f>
        <v>0</v>
      </c>
      <c r="O341">
        <v>0</v>
      </c>
      <c r="P341">
        <v>0</v>
      </c>
      <c r="Q341">
        <v>0</v>
      </c>
      <c r="R341">
        <f>IF(S341,TRUE,AND(V341:AE341))</f>
        <v>0</v>
      </c>
      <c r="S341">
        <f>COUNTBLANK(Metadata!B341:K341)=COLUMNS(Metadata!B341:K341)</f>
        <v>0</v>
      </c>
      <c r="T341">
        <v>0</v>
      </c>
      <c r="V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W341">
        <f>AND(IF(Metadata!C341="",FALSE,TRUE),exact(Metadata!C341,"animal secretion"))</f>
        <v>0</v>
      </c>
      <c r="X341">
        <f>AND(IF(Metadata!D341="",FALSE,TRUE),exact(Metadata!D341,"saliva"))</f>
        <v>0</v>
      </c>
      <c r="Y341">
        <f>AND(IF(Metadata!E341="",FALSE,TRUE),exact(Metadata!E341,"human-oral"))</f>
        <v>0</v>
      </c>
      <c r="Z341">
        <f>AND(IF(Metadata!F341="",FALSE,TRUE),exact(Metadata!F341,"UBERON:oral cavity"))</f>
        <v>0</v>
      </c>
      <c r="AA341">
        <f>AND(IF(Metadata!G341="",FALSE,TRUE),exact(Metadata!G341,"UBERON:saliva"))</f>
        <v>0</v>
      </c>
      <c r="AB341">
        <f>AND(IF(Metadata!H341="",FALSE,TRUE),exact(Metadata!H341,"UBERON:tongue"))</f>
        <v>0</v>
      </c>
      <c r="AC341">
        <f>AND(IF(Metadata!I341="",FALSE,TRUE),exact(Metadata!I341,"tongue"))</f>
        <v>0</v>
      </c>
      <c r="AD341">
        <f>AND(IF(Metadata!J341="",FALSE,TRUE),exact(Metadata!J341,"human oral metagenome"))</f>
        <v>0</v>
      </c>
      <c r="AE341">
        <f>AND(IF(Metadata!K341="",FALSE,TRUE),exact(Metadata!K341,"447426"))</f>
        <v>0</v>
      </c>
    </row>
    <row r="342" spans="1:31">
      <c r="A342" s="4">
        <f>IF(B342=" "," ",HYPERLINK(CONCATENATE("#metadata!",ADDRESS(INDEX($Q$2:$Q$1001,MATCH(ROWS($O$2:O342),$O$2:$O$1001,0),0),1)),INDEX($T$2:$T$1001,MATCH(ROWS($O$2:O342),$O$2:$O$1001,0),0)))</f>
        <v>0</v>
      </c>
      <c r="B342" s="3">
        <f>IF(OR(INDEX($P$2:$P$1001,MATCH(ROWS($O$2:O342),$O$2:$O$1001,0),1)&gt;=100000,INDEX($V$1005:$AE$1005,1,MATCH(COLUMNS($V$1006:V1006),$V$1006:$AE$1006,0))&gt;=100000), " ",IF(INDEX($V$2:$AE$1001,MATCH(ROWS($O$2:O342),$O$2:$O$1001,0),MATCH(COLUMNS($V$1006:V1006),$V$1006:$AE$1006,0)), HYPERLINK("#",""), HYPERLINK(CONCATENATE("#Metadata!", ADDRESS(INDEX($Q$2:$Q$1001,MATCH(ROWS($O$2:O342),$O$2:$O$1001,0),0), INDEX($V$1004:$AE$1004,1,MATCH(COLUMNS($V$1006:V1006),$V$1006:$AE$1006,0)))),"Fix")))</f>
        <v>0</v>
      </c>
      <c r="C342" s="3">
        <f>IF(OR(INDEX($P$2:$P$1001,MATCH(ROWS($O$2:O342),$O$2:$O$1001,0),1)&gt;=100000,INDEX($V$1005:$AE$1005,1,MATCH(COLUMNS($V$1006:W1006),$V$1006:$AE$1006,0))&gt;=100000), " ",IF(INDEX($V$2:$AE$1001,MATCH(ROWS($O$2:O342),$O$2:$O$1001,0),MATCH(COLUMNS($V$1006:W1006),$V$1006:$AE$1006,0)), HYPERLINK("#",""), HYPERLINK(CONCATENATE("#Metadata!", ADDRESS(INDEX($Q$2:$Q$1001,MATCH(ROWS($O$2:O342),$O$2:$O$1001,0),0), INDEX($V$1004:$AE$1004,1,MATCH(COLUMNS($V$1006:W1006),$V$1006:$AE$1006,0)))),"Fix")))</f>
        <v>0</v>
      </c>
      <c r="D342" s="3">
        <f>IF(OR(INDEX($P$2:$P$1001,MATCH(ROWS($O$2:O342),$O$2:$O$1001,0),1)&gt;=100000,INDEX($V$1005:$AE$1005,1,MATCH(COLUMNS($V$1006:X1006),$V$1006:$AE$1006,0))&gt;=100000), " ",IF(INDEX($V$2:$AE$1001,MATCH(ROWS($O$2:O342),$O$2:$O$1001,0),MATCH(COLUMNS($V$1006:X1006),$V$1006:$AE$1006,0)), HYPERLINK("#",""), HYPERLINK(CONCATENATE("#Metadata!", ADDRESS(INDEX($Q$2:$Q$1001,MATCH(ROWS($O$2:O342),$O$2:$O$1001,0),0), INDEX($V$1004:$AE$1004,1,MATCH(COLUMNS($V$1006:X1006),$V$1006:$AE$1006,0)))),"Fix")))</f>
        <v>0</v>
      </c>
      <c r="E342" s="3">
        <f>IF(OR(INDEX($P$2:$P$1001,MATCH(ROWS($O$2:O342),$O$2:$O$1001,0),1)&gt;=100000,INDEX($V$1005:$AE$1005,1,MATCH(COLUMNS($V$1006:Y1006),$V$1006:$AE$1006,0))&gt;=100000), " ",IF(INDEX($V$2:$AE$1001,MATCH(ROWS($O$2:O342),$O$2:$O$1001,0),MATCH(COLUMNS($V$1006:Y1006),$V$1006:$AE$1006,0)), HYPERLINK("#",""), HYPERLINK(CONCATENATE("#Metadata!", ADDRESS(INDEX($Q$2:$Q$1001,MATCH(ROWS($O$2:O342),$O$2:$O$1001,0),0), INDEX($V$1004:$AE$1004,1,MATCH(COLUMNS($V$1006:Y1006),$V$1006:$AE$1006,0)))),"Fix")))</f>
        <v>0</v>
      </c>
      <c r="F342" s="3">
        <f>IF(OR(INDEX($P$2:$P$1001,MATCH(ROWS($O$2:O342),$O$2:$O$1001,0),1)&gt;=100000,INDEX($V$1005:$AE$1005,1,MATCH(COLUMNS($V$1006:Z1006),$V$1006:$AE$1006,0))&gt;=100000), " ",IF(INDEX($V$2:$AE$1001,MATCH(ROWS($O$2:O342),$O$2:$O$1001,0),MATCH(COLUMNS($V$1006:Z1006),$V$1006:$AE$1006,0)), HYPERLINK("#",""), HYPERLINK(CONCATENATE("#Metadata!", ADDRESS(INDEX($Q$2:$Q$1001,MATCH(ROWS($O$2:O342),$O$2:$O$1001,0),0), INDEX($V$1004:$AE$1004,1,MATCH(COLUMNS($V$1006:Z1006),$V$1006:$AE$1006,0)))),"Fix")))</f>
        <v>0</v>
      </c>
      <c r="G342" s="3">
        <f>IF(OR(INDEX($P$2:$P$1001,MATCH(ROWS($O$2:O342),$O$2:$O$1001,0),1)&gt;=100000,INDEX($V$1005:$AE$1005,1,MATCH(COLUMNS($V$1006:AA1006),$V$1006:$AE$1006,0))&gt;=100000), " ",IF(INDEX($V$2:$AE$1001,MATCH(ROWS($O$2:O342),$O$2:$O$1001,0),MATCH(COLUMNS($V$1006:AA1006),$V$1006:$AE$1006,0)), HYPERLINK("#",""), HYPERLINK(CONCATENATE("#Metadata!", ADDRESS(INDEX($Q$2:$Q$1001,MATCH(ROWS($O$2:O342),$O$2:$O$1001,0),0), INDEX($V$1004:$AE$1004,1,MATCH(COLUMNS($V$1006:AA1006),$V$1006:$AE$1006,0)))),"Fix")))</f>
        <v>0</v>
      </c>
      <c r="H342" s="3">
        <f>IF(OR(INDEX($P$2:$P$1001,MATCH(ROWS($O$2:O342),$O$2:$O$1001,0),1)&gt;=100000,INDEX($V$1005:$AE$1005,1,MATCH(COLUMNS($V$1006:AB1006),$V$1006:$AE$1006,0))&gt;=100000), " ",IF(INDEX($V$2:$AE$1001,MATCH(ROWS($O$2:O342),$O$2:$O$1001,0),MATCH(COLUMNS($V$1006:AB1006),$V$1006:$AE$1006,0)), HYPERLINK("#",""), HYPERLINK(CONCATENATE("#Metadata!", ADDRESS(INDEX($Q$2:$Q$1001,MATCH(ROWS($O$2:O342),$O$2:$O$1001,0),0), INDEX($V$1004:$AE$1004,1,MATCH(COLUMNS($V$1006:AB1006),$V$1006:$AE$1006,0)))),"Fix")))</f>
        <v>0</v>
      </c>
      <c r="I342" s="3">
        <f>IF(OR(INDEX($P$2:$P$1001,MATCH(ROWS($O$2:O342),$O$2:$O$1001,0),1)&gt;=100000,INDEX($V$1005:$AE$1005,1,MATCH(COLUMNS($V$1006:AC1006),$V$1006:$AE$1006,0))&gt;=100000), " ",IF(INDEX($V$2:$AE$1001,MATCH(ROWS($O$2:O342),$O$2:$O$1001,0),MATCH(COLUMNS($V$1006:AC1006),$V$1006:$AE$1006,0)), HYPERLINK("#",""), HYPERLINK(CONCATENATE("#Metadata!", ADDRESS(INDEX($Q$2:$Q$1001,MATCH(ROWS($O$2:O342),$O$2:$O$1001,0),0), INDEX($V$1004:$AE$1004,1,MATCH(COLUMNS($V$1006:AC1006),$V$1006:$AE$1006,0)))),"Fix")))</f>
        <v>0</v>
      </c>
      <c r="J342" s="3">
        <f>IF(OR(INDEX($P$2:$P$1001,MATCH(ROWS($O$2:O342),$O$2:$O$1001,0),1)&gt;=100000,INDEX($V$1005:$AE$1005,1,MATCH(COLUMNS($V$1006:AD1006),$V$1006:$AE$1006,0))&gt;=100000), " ",IF(INDEX($V$2:$AE$1001,MATCH(ROWS($O$2:O342),$O$2:$O$1001,0),MATCH(COLUMNS($V$1006:AD1006),$V$1006:$AE$1006,0)), HYPERLINK("#",""), HYPERLINK(CONCATENATE("#Metadata!", ADDRESS(INDEX($Q$2:$Q$1001,MATCH(ROWS($O$2:O342),$O$2:$O$1001,0),0), INDEX($V$1004:$AE$1004,1,MATCH(COLUMNS($V$1006:AD1006),$V$1006:$AE$1006,0)))),"Fix")))</f>
        <v>0</v>
      </c>
      <c r="K342" s="3">
        <f>IF(OR(INDEX($P$2:$P$1001,MATCH(ROWS($O$2:O342),$O$2:$O$1001,0),1)&gt;=100000,INDEX($V$1005:$AE$1005,1,MATCH(COLUMNS($V$1006:AE1006),$V$1006:$AE$1006,0))&gt;=100000), " ",IF(INDEX($V$2:$AE$1001,MATCH(ROWS($O$2:O342),$O$2:$O$1001,0),MATCH(COLUMNS($V$1006:AE1006),$V$1006:$AE$1006,0)), HYPERLINK("#",""), HYPERLINK(CONCATENATE("#Metadata!", ADDRESS(INDEX($Q$2:$Q$1001,MATCH(ROWS($O$2:O342),$O$2:$O$1001,0),0), INDEX($V$1004:$AE$1004,1,MATCH(COLUMNS($V$1006:AE1006),$V$1006:$AE$1006,0)))),"Fix")))</f>
        <v>0</v>
      </c>
      <c r="O342">
        <v>0</v>
      </c>
      <c r="P342">
        <v>0</v>
      </c>
      <c r="Q342">
        <v>0</v>
      </c>
      <c r="R342">
        <f>IF(S342,TRUE,AND(V342:AE342))</f>
        <v>0</v>
      </c>
      <c r="S342">
        <f>COUNTBLANK(Metadata!B342:K342)=COLUMNS(Metadata!B342:K342)</f>
        <v>0</v>
      </c>
      <c r="T342">
        <v>0</v>
      </c>
      <c r="V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W342">
        <f>AND(IF(Metadata!C342="",FALSE,TRUE),exact(Metadata!C342,"animal secretion"))</f>
        <v>0</v>
      </c>
      <c r="X342">
        <f>AND(IF(Metadata!D342="",FALSE,TRUE),exact(Metadata!D342,"saliva"))</f>
        <v>0</v>
      </c>
      <c r="Y342">
        <f>AND(IF(Metadata!E342="",FALSE,TRUE),exact(Metadata!E342,"human-oral"))</f>
        <v>0</v>
      </c>
      <c r="Z342">
        <f>AND(IF(Metadata!F342="",FALSE,TRUE),exact(Metadata!F342,"UBERON:oral cavity"))</f>
        <v>0</v>
      </c>
      <c r="AA342">
        <f>AND(IF(Metadata!G342="",FALSE,TRUE),exact(Metadata!G342,"UBERON:saliva"))</f>
        <v>0</v>
      </c>
      <c r="AB342">
        <f>AND(IF(Metadata!H342="",FALSE,TRUE),exact(Metadata!H342,"UBERON:tongue"))</f>
        <v>0</v>
      </c>
      <c r="AC342">
        <f>AND(IF(Metadata!I342="",FALSE,TRUE),exact(Metadata!I342,"tongue"))</f>
        <v>0</v>
      </c>
      <c r="AD342">
        <f>AND(IF(Metadata!J342="",FALSE,TRUE),exact(Metadata!J342,"human oral metagenome"))</f>
        <v>0</v>
      </c>
      <c r="AE342">
        <f>AND(IF(Metadata!K342="",FALSE,TRUE),exact(Metadata!K342,"447426"))</f>
        <v>0</v>
      </c>
    </row>
    <row r="343" spans="1:31">
      <c r="A343" s="4">
        <f>IF(B343=" "," ",HYPERLINK(CONCATENATE("#metadata!",ADDRESS(INDEX($Q$2:$Q$1001,MATCH(ROWS($O$2:O343),$O$2:$O$1001,0),0),1)),INDEX($T$2:$T$1001,MATCH(ROWS($O$2:O343),$O$2:$O$1001,0),0)))</f>
        <v>0</v>
      </c>
      <c r="B343" s="3">
        <f>IF(OR(INDEX($P$2:$P$1001,MATCH(ROWS($O$2:O343),$O$2:$O$1001,0),1)&gt;=100000,INDEX($V$1005:$AE$1005,1,MATCH(COLUMNS($V$1006:V1006),$V$1006:$AE$1006,0))&gt;=100000), " ",IF(INDEX($V$2:$AE$1001,MATCH(ROWS($O$2:O343),$O$2:$O$1001,0),MATCH(COLUMNS($V$1006:V1006),$V$1006:$AE$1006,0)), HYPERLINK("#",""), HYPERLINK(CONCATENATE("#Metadata!", ADDRESS(INDEX($Q$2:$Q$1001,MATCH(ROWS($O$2:O343),$O$2:$O$1001,0),0), INDEX($V$1004:$AE$1004,1,MATCH(COLUMNS($V$1006:V1006),$V$1006:$AE$1006,0)))),"Fix")))</f>
        <v>0</v>
      </c>
      <c r="C343" s="3">
        <f>IF(OR(INDEX($P$2:$P$1001,MATCH(ROWS($O$2:O343),$O$2:$O$1001,0),1)&gt;=100000,INDEX($V$1005:$AE$1005,1,MATCH(COLUMNS($V$1006:W1006),$V$1006:$AE$1006,0))&gt;=100000), " ",IF(INDEX($V$2:$AE$1001,MATCH(ROWS($O$2:O343),$O$2:$O$1001,0),MATCH(COLUMNS($V$1006:W1006),$V$1006:$AE$1006,0)), HYPERLINK("#",""), HYPERLINK(CONCATENATE("#Metadata!", ADDRESS(INDEX($Q$2:$Q$1001,MATCH(ROWS($O$2:O343),$O$2:$O$1001,0),0), INDEX($V$1004:$AE$1004,1,MATCH(COLUMNS($V$1006:W1006),$V$1006:$AE$1006,0)))),"Fix")))</f>
        <v>0</v>
      </c>
      <c r="D343" s="3">
        <f>IF(OR(INDEX($P$2:$P$1001,MATCH(ROWS($O$2:O343),$O$2:$O$1001,0),1)&gt;=100000,INDEX($V$1005:$AE$1005,1,MATCH(COLUMNS($V$1006:X1006),$V$1006:$AE$1006,0))&gt;=100000), " ",IF(INDEX($V$2:$AE$1001,MATCH(ROWS($O$2:O343),$O$2:$O$1001,0),MATCH(COLUMNS($V$1006:X1006),$V$1006:$AE$1006,0)), HYPERLINK("#",""), HYPERLINK(CONCATENATE("#Metadata!", ADDRESS(INDEX($Q$2:$Q$1001,MATCH(ROWS($O$2:O343),$O$2:$O$1001,0),0), INDEX($V$1004:$AE$1004,1,MATCH(COLUMNS($V$1006:X1006),$V$1006:$AE$1006,0)))),"Fix")))</f>
        <v>0</v>
      </c>
      <c r="E343" s="3">
        <f>IF(OR(INDEX($P$2:$P$1001,MATCH(ROWS($O$2:O343),$O$2:$O$1001,0),1)&gt;=100000,INDEX($V$1005:$AE$1005,1,MATCH(COLUMNS($V$1006:Y1006),$V$1006:$AE$1006,0))&gt;=100000), " ",IF(INDEX($V$2:$AE$1001,MATCH(ROWS($O$2:O343),$O$2:$O$1001,0),MATCH(COLUMNS($V$1006:Y1006),$V$1006:$AE$1006,0)), HYPERLINK("#",""), HYPERLINK(CONCATENATE("#Metadata!", ADDRESS(INDEX($Q$2:$Q$1001,MATCH(ROWS($O$2:O343),$O$2:$O$1001,0),0), INDEX($V$1004:$AE$1004,1,MATCH(COLUMNS($V$1006:Y1006),$V$1006:$AE$1006,0)))),"Fix")))</f>
        <v>0</v>
      </c>
      <c r="F343" s="3">
        <f>IF(OR(INDEX($P$2:$P$1001,MATCH(ROWS($O$2:O343),$O$2:$O$1001,0),1)&gt;=100000,INDEX($V$1005:$AE$1005,1,MATCH(COLUMNS($V$1006:Z1006),$V$1006:$AE$1006,0))&gt;=100000), " ",IF(INDEX($V$2:$AE$1001,MATCH(ROWS($O$2:O343),$O$2:$O$1001,0),MATCH(COLUMNS($V$1006:Z1006),$V$1006:$AE$1006,0)), HYPERLINK("#",""), HYPERLINK(CONCATENATE("#Metadata!", ADDRESS(INDEX($Q$2:$Q$1001,MATCH(ROWS($O$2:O343),$O$2:$O$1001,0),0), INDEX($V$1004:$AE$1004,1,MATCH(COLUMNS($V$1006:Z1006),$V$1006:$AE$1006,0)))),"Fix")))</f>
        <v>0</v>
      </c>
      <c r="G343" s="3">
        <f>IF(OR(INDEX($P$2:$P$1001,MATCH(ROWS($O$2:O343),$O$2:$O$1001,0),1)&gt;=100000,INDEX($V$1005:$AE$1005,1,MATCH(COLUMNS($V$1006:AA1006),$V$1006:$AE$1006,0))&gt;=100000), " ",IF(INDEX($V$2:$AE$1001,MATCH(ROWS($O$2:O343),$O$2:$O$1001,0),MATCH(COLUMNS($V$1006:AA1006),$V$1006:$AE$1006,0)), HYPERLINK("#",""), HYPERLINK(CONCATENATE("#Metadata!", ADDRESS(INDEX($Q$2:$Q$1001,MATCH(ROWS($O$2:O343),$O$2:$O$1001,0),0), INDEX($V$1004:$AE$1004,1,MATCH(COLUMNS($V$1006:AA1006),$V$1006:$AE$1006,0)))),"Fix")))</f>
        <v>0</v>
      </c>
      <c r="H343" s="3">
        <f>IF(OR(INDEX($P$2:$P$1001,MATCH(ROWS($O$2:O343),$O$2:$O$1001,0),1)&gt;=100000,INDEX($V$1005:$AE$1005,1,MATCH(COLUMNS($V$1006:AB1006),$V$1006:$AE$1006,0))&gt;=100000), " ",IF(INDEX($V$2:$AE$1001,MATCH(ROWS($O$2:O343),$O$2:$O$1001,0),MATCH(COLUMNS($V$1006:AB1006),$V$1006:$AE$1006,0)), HYPERLINK("#",""), HYPERLINK(CONCATENATE("#Metadata!", ADDRESS(INDEX($Q$2:$Q$1001,MATCH(ROWS($O$2:O343),$O$2:$O$1001,0),0), INDEX($V$1004:$AE$1004,1,MATCH(COLUMNS($V$1006:AB1006),$V$1006:$AE$1006,0)))),"Fix")))</f>
        <v>0</v>
      </c>
      <c r="I343" s="3">
        <f>IF(OR(INDEX($P$2:$P$1001,MATCH(ROWS($O$2:O343),$O$2:$O$1001,0),1)&gt;=100000,INDEX($V$1005:$AE$1005,1,MATCH(COLUMNS($V$1006:AC1006),$V$1006:$AE$1006,0))&gt;=100000), " ",IF(INDEX($V$2:$AE$1001,MATCH(ROWS($O$2:O343),$O$2:$O$1001,0),MATCH(COLUMNS($V$1006:AC1006),$V$1006:$AE$1006,0)), HYPERLINK("#",""), HYPERLINK(CONCATENATE("#Metadata!", ADDRESS(INDEX($Q$2:$Q$1001,MATCH(ROWS($O$2:O343),$O$2:$O$1001,0),0), INDEX($V$1004:$AE$1004,1,MATCH(COLUMNS($V$1006:AC1006),$V$1006:$AE$1006,0)))),"Fix")))</f>
        <v>0</v>
      </c>
      <c r="J343" s="3">
        <f>IF(OR(INDEX($P$2:$P$1001,MATCH(ROWS($O$2:O343),$O$2:$O$1001,0),1)&gt;=100000,INDEX($V$1005:$AE$1005,1,MATCH(COLUMNS($V$1006:AD1006),$V$1006:$AE$1006,0))&gt;=100000), " ",IF(INDEX($V$2:$AE$1001,MATCH(ROWS($O$2:O343),$O$2:$O$1001,0),MATCH(COLUMNS($V$1006:AD1006),$V$1006:$AE$1006,0)), HYPERLINK("#",""), HYPERLINK(CONCATENATE("#Metadata!", ADDRESS(INDEX($Q$2:$Q$1001,MATCH(ROWS($O$2:O343),$O$2:$O$1001,0),0), INDEX($V$1004:$AE$1004,1,MATCH(COLUMNS($V$1006:AD1006),$V$1006:$AE$1006,0)))),"Fix")))</f>
        <v>0</v>
      </c>
      <c r="K343" s="3">
        <f>IF(OR(INDEX($P$2:$P$1001,MATCH(ROWS($O$2:O343),$O$2:$O$1001,0),1)&gt;=100000,INDEX($V$1005:$AE$1005,1,MATCH(COLUMNS($V$1006:AE1006),$V$1006:$AE$1006,0))&gt;=100000), " ",IF(INDEX($V$2:$AE$1001,MATCH(ROWS($O$2:O343),$O$2:$O$1001,0),MATCH(COLUMNS($V$1006:AE1006),$V$1006:$AE$1006,0)), HYPERLINK("#",""), HYPERLINK(CONCATENATE("#Metadata!", ADDRESS(INDEX($Q$2:$Q$1001,MATCH(ROWS($O$2:O343),$O$2:$O$1001,0),0), INDEX($V$1004:$AE$1004,1,MATCH(COLUMNS($V$1006:AE1006),$V$1006:$AE$1006,0)))),"Fix")))</f>
        <v>0</v>
      </c>
      <c r="O343">
        <v>0</v>
      </c>
      <c r="P343">
        <v>0</v>
      </c>
      <c r="Q343">
        <v>0</v>
      </c>
      <c r="R343">
        <f>IF(S343,TRUE,AND(V343:AE343))</f>
        <v>0</v>
      </c>
      <c r="S343">
        <f>COUNTBLANK(Metadata!B343:K343)=COLUMNS(Metadata!B343:K343)</f>
        <v>0</v>
      </c>
      <c r="T343">
        <v>0</v>
      </c>
      <c r="V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W343">
        <f>AND(IF(Metadata!C343="",FALSE,TRUE),exact(Metadata!C343,"animal secretion"))</f>
        <v>0</v>
      </c>
      <c r="X343">
        <f>AND(IF(Metadata!D343="",FALSE,TRUE),exact(Metadata!D343,"saliva"))</f>
        <v>0</v>
      </c>
      <c r="Y343">
        <f>AND(IF(Metadata!E343="",FALSE,TRUE),exact(Metadata!E343,"human-oral"))</f>
        <v>0</v>
      </c>
      <c r="Z343">
        <f>AND(IF(Metadata!F343="",FALSE,TRUE),exact(Metadata!F343,"UBERON:oral cavity"))</f>
        <v>0</v>
      </c>
      <c r="AA343">
        <f>AND(IF(Metadata!G343="",FALSE,TRUE),exact(Metadata!G343,"UBERON:saliva"))</f>
        <v>0</v>
      </c>
      <c r="AB343">
        <f>AND(IF(Metadata!H343="",FALSE,TRUE),exact(Metadata!H343,"UBERON:tongue"))</f>
        <v>0</v>
      </c>
      <c r="AC343">
        <f>AND(IF(Metadata!I343="",FALSE,TRUE),exact(Metadata!I343,"tongue"))</f>
        <v>0</v>
      </c>
      <c r="AD343">
        <f>AND(IF(Metadata!J343="",FALSE,TRUE),exact(Metadata!J343,"human oral metagenome"))</f>
        <v>0</v>
      </c>
      <c r="AE343">
        <f>AND(IF(Metadata!K343="",FALSE,TRUE),exact(Metadata!K343,"447426"))</f>
        <v>0</v>
      </c>
    </row>
    <row r="344" spans="1:31">
      <c r="A344" s="4">
        <f>IF(B344=" "," ",HYPERLINK(CONCATENATE("#metadata!",ADDRESS(INDEX($Q$2:$Q$1001,MATCH(ROWS($O$2:O344),$O$2:$O$1001,0),0),1)),INDEX($T$2:$T$1001,MATCH(ROWS($O$2:O344),$O$2:$O$1001,0),0)))</f>
        <v>0</v>
      </c>
      <c r="B344" s="3">
        <f>IF(OR(INDEX($P$2:$P$1001,MATCH(ROWS($O$2:O344),$O$2:$O$1001,0),1)&gt;=100000,INDEX($V$1005:$AE$1005,1,MATCH(COLUMNS($V$1006:V1006),$V$1006:$AE$1006,0))&gt;=100000), " ",IF(INDEX($V$2:$AE$1001,MATCH(ROWS($O$2:O344),$O$2:$O$1001,0),MATCH(COLUMNS($V$1006:V1006),$V$1006:$AE$1006,0)), HYPERLINK("#",""), HYPERLINK(CONCATENATE("#Metadata!", ADDRESS(INDEX($Q$2:$Q$1001,MATCH(ROWS($O$2:O344),$O$2:$O$1001,0),0), INDEX($V$1004:$AE$1004,1,MATCH(COLUMNS($V$1006:V1006),$V$1006:$AE$1006,0)))),"Fix")))</f>
        <v>0</v>
      </c>
      <c r="C344" s="3">
        <f>IF(OR(INDEX($P$2:$P$1001,MATCH(ROWS($O$2:O344),$O$2:$O$1001,0),1)&gt;=100000,INDEX($V$1005:$AE$1005,1,MATCH(COLUMNS($V$1006:W1006),$V$1006:$AE$1006,0))&gt;=100000), " ",IF(INDEX($V$2:$AE$1001,MATCH(ROWS($O$2:O344),$O$2:$O$1001,0),MATCH(COLUMNS($V$1006:W1006),$V$1006:$AE$1006,0)), HYPERLINK("#",""), HYPERLINK(CONCATENATE("#Metadata!", ADDRESS(INDEX($Q$2:$Q$1001,MATCH(ROWS($O$2:O344),$O$2:$O$1001,0),0), INDEX($V$1004:$AE$1004,1,MATCH(COLUMNS($V$1006:W1006),$V$1006:$AE$1006,0)))),"Fix")))</f>
        <v>0</v>
      </c>
      <c r="D344" s="3">
        <f>IF(OR(INDEX($P$2:$P$1001,MATCH(ROWS($O$2:O344),$O$2:$O$1001,0),1)&gt;=100000,INDEX($V$1005:$AE$1005,1,MATCH(COLUMNS($V$1006:X1006),$V$1006:$AE$1006,0))&gt;=100000), " ",IF(INDEX($V$2:$AE$1001,MATCH(ROWS($O$2:O344),$O$2:$O$1001,0),MATCH(COLUMNS($V$1006:X1006),$V$1006:$AE$1006,0)), HYPERLINK("#",""), HYPERLINK(CONCATENATE("#Metadata!", ADDRESS(INDEX($Q$2:$Q$1001,MATCH(ROWS($O$2:O344),$O$2:$O$1001,0),0), INDEX($V$1004:$AE$1004,1,MATCH(COLUMNS($V$1006:X1006),$V$1006:$AE$1006,0)))),"Fix")))</f>
        <v>0</v>
      </c>
      <c r="E344" s="3">
        <f>IF(OR(INDEX($P$2:$P$1001,MATCH(ROWS($O$2:O344),$O$2:$O$1001,0),1)&gt;=100000,INDEX($V$1005:$AE$1005,1,MATCH(COLUMNS($V$1006:Y1006),$V$1006:$AE$1006,0))&gt;=100000), " ",IF(INDEX($V$2:$AE$1001,MATCH(ROWS($O$2:O344),$O$2:$O$1001,0),MATCH(COLUMNS($V$1006:Y1006),$V$1006:$AE$1006,0)), HYPERLINK("#",""), HYPERLINK(CONCATENATE("#Metadata!", ADDRESS(INDEX($Q$2:$Q$1001,MATCH(ROWS($O$2:O344),$O$2:$O$1001,0),0), INDEX($V$1004:$AE$1004,1,MATCH(COLUMNS($V$1006:Y1006),$V$1006:$AE$1006,0)))),"Fix")))</f>
        <v>0</v>
      </c>
      <c r="F344" s="3">
        <f>IF(OR(INDEX($P$2:$P$1001,MATCH(ROWS($O$2:O344),$O$2:$O$1001,0),1)&gt;=100000,INDEX($V$1005:$AE$1005,1,MATCH(COLUMNS($V$1006:Z1006),$V$1006:$AE$1006,0))&gt;=100000), " ",IF(INDEX($V$2:$AE$1001,MATCH(ROWS($O$2:O344),$O$2:$O$1001,0),MATCH(COLUMNS($V$1006:Z1006),$V$1006:$AE$1006,0)), HYPERLINK("#",""), HYPERLINK(CONCATENATE("#Metadata!", ADDRESS(INDEX($Q$2:$Q$1001,MATCH(ROWS($O$2:O344),$O$2:$O$1001,0),0), INDEX($V$1004:$AE$1004,1,MATCH(COLUMNS($V$1006:Z1006),$V$1006:$AE$1006,0)))),"Fix")))</f>
        <v>0</v>
      </c>
      <c r="G344" s="3">
        <f>IF(OR(INDEX($P$2:$P$1001,MATCH(ROWS($O$2:O344),$O$2:$O$1001,0),1)&gt;=100000,INDEX($V$1005:$AE$1005,1,MATCH(COLUMNS($V$1006:AA1006),$V$1006:$AE$1006,0))&gt;=100000), " ",IF(INDEX($V$2:$AE$1001,MATCH(ROWS($O$2:O344),$O$2:$O$1001,0),MATCH(COLUMNS($V$1006:AA1006),$V$1006:$AE$1006,0)), HYPERLINK("#",""), HYPERLINK(CONCATENATE("#Metadata!", ADDRESS(INDEX($Q$2:$Q$1001,MATCH(ROWS($O$2:O344),$O$2:$O$1001,0),0), INDEX($V$1004:$AE$1004,1,MATCH(COLUMNS($V$1006:AA1006),$V$1006:$AE$1006,0)))),"Fix")))</f>
        <v>0</v>
      </c>
      <c r="H344" s="3">
        <f>IF(OR(INDEX($P$2:$P$1001,MATCH(ROWS($O$2:O344),$O$2:$O$1001,0),1)&gt;=100000,INDEX($V$1005:$AE$1005,1,MATCH(COLUMNS($V$1006:AB1006),$V$1006:$AE$1006,0))&gt;=100000), " ",IF(INDEX($V$2:$AE$1001,MATCH(ROWS($O$2:O344),$O$2:$O$1001,0),MATCH(COLUMNS($V$1006:AB1006),$V$1006:$AE$1006,0)), HYPERLINK("#",""), HYPERLINK(CONCATENATE("#Metadata!", ADDRESS(INDEX($Q$2:$Q$1001,MATCH(ROWS($O$2:O344),$O$2:$O$1001,0),0), INDEX($V$1004:$AE$1004,1,MATCH(COLUMNS($V$1006:AB1006),$V$1006:$AE$1006,0)))),"Fix")))</f>
        <v>0</v>
      </c>
      <c r="I344" s="3">
        <f>IF(OR(INDEX($P$2:$P$1001,MATCH(ROWS($O$2:O344),$O$2:$O$1001,0),1)&gt;=100000,INDEX($V$1005:$AE$1005,1,MATCH(COLUMNS($V$1006:AC1006),$V$1006:$AE$1006,0))&gt;=100000), " ",IF(INDEX($V$2:$AE$1001,MATCH(ROWS($O$2:O344),$O$2:$O$1001,0),MATCH(COLUMNS($V$1006:AC1006),$V$1006:$AE$1006,0)), HYPERLINK("#",""), HYPERLINK(CONCATENATE("#Metadata!", ADDRESS(INDEX($Q$2:$Q$1001,MATCH(ROWS($O$2:O344),$O$2:$O$1001,0),0), INDEX($V$1004:$AE$1004,1,MATCH(COLUMNS($V$1006:AC1006),$V$1006:$AE$1006,0)))),"Fix")))</f>
        <v>0</v>
      </c>
      <c r="J344" s="3">
        <f>IF(OR(INDEX($P$2:$P$1001,MATCH(ROWS($O$2:O344),$O$2:$O$1001,0),1)&gt;=100000,INDEX($V$1005:$AE$1005,1,MATCH(COLUMNS($V$1006:AD1006),$V$1006:$AE$1006,0))&gt;=100000), " ",IF(INDEX($V$2:$AE$1001,MATCH(ROWS($O$2:O344),$O$2:$O$1001,0),MATCH(COLUMNS($V$1006:AD1006),$V$1006:$AE$1006,0)), HYPERLINK("#",""), HYPERLINK(CONCATENATE("#Metadata!", ADDRESS(INDEX($Q$2:$Q$1001,MATCH(ROWS($O$2:O344),$O$2:$O$1001,0),0), INDEX($V$1004:$AE$1004,1,MATCH(COLUMNS($V$1006:AD1006),$V$1006:$AE$1006,0)))),"Fix")))</f>
        <v>0</v>
      </c>
      <c r="K344" s="3">
        <f>IF(OR(INDEX($P$2:$P$1001,MATCH(ROWS($O$2:O344),$O$2:$O$1001,0),1)&gt;=100000,INDEX($V$1005:$AE$1005,1,MATCH(COLUMNS($V$1006:AE1006),$V$1006:$AE$1006,0))&gt;=100000), " ",IF(INDEX($V$2:$AE$1001,MATCH(ROWS($O$2:O344),$O$2:$O$1001,0),MATCH(COLUMNS($V$1006:AE1006),$V$1006:$AE$1006,0)), HYPERLINK("#",""), HYPERLINK(CONCATENATE("#Metadata!", ADDRESS(INDEX($Q$2:$Q$1001,MATCH(ROWS($O$2:O344),$O$2:$O$1001,0),0), INDEX($V$1004:$AE$1004,1,MATCH(COLUMNS($V$1006:AE1006),$V$1006:$AE$1006,0)))),"Fix")))</f>
        <v>0</v>
      </c>
      <c r="O344">
        <v>0</v>
      </c>
      <c r="P344">
        <v>0</v>
      </c>
      <c r="Q344">
        <v>0</v>
      </c>
      <c r="R344">
        <f>IF(S344,TRUE,AND(V344:AE344))</f>
        <v>0</v>
      </c>
      <c r="S344">
        <f>COUNTBLANK(Metadata!B344:K344)=COLUMNS(Metadata!B344:K344)</f>
        <v>0</v>
      </c>
      <c r="T344">
        <v>0</v>
      </c>
      <c r="V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W344">
        <f>AND(IF(Metadata!C344="",FALSE,TRUE),exact(Metadata!C344,"animal secretion"))</f>
        <v>0</v>
      </c>
      <c r="X344">
        <f>AND(IF(Metadata!D344="",FALSE,TRUE),exact(Metadata!D344,"saliva"))</f>
        <v>0</v>
      </c>
      <c r="Y344">
        <f>AND(IF(Metadata!E344="",FALSE,TRUE),exact(Metadata!E344,"human-oral"))</f>
        <v>0</v>
      </c>
      <c r="Z344">
        <f>AND(IF(Metadata!F344="",FALSE,TRUE),exact(Metadata!F344,"UBERON:oral cavity"))</f>
        <v>0</v>
      </c>
      <c r="AA344">
        <f>AND(IF(Metadata!G344="",FALSE,TRUE),exact(Metadata!G344,"UBERON:saliva"))</f>
        <v>0</v>
      </c>
      <c r="AB344">
        <f>AND(IF(Metadata!H344="",FALSE,TRUE),exact(Metadata!H344,"UBERON:tongue"))</f>
        <v>0</v>
      </c>
      <c r="AC344">
        <f>AND(IF(Metadata!I344="",FALSE,TRUE),exact(Metadata!I344,"tongue"))</f>
        <v>0</v>
      </c>
      <c r="AD344">
        <f>AND(IF(Metadata!J344="",FALSE,TRUE),exact(Metadata!J344,"human oral metagenome"))</f>
        <v>0</v>
      </c>
      <c r="AE344">
        <f>AND(IF(Metadata!K344="",FALSE,TRUE),exact(Metadata!K344,"447426"))</f>
        <v>0</v>
      </c>
    </row>
    <row r="345" spans="1:31">
      <c r="A345" s="4">
        <f>IF(B345=" "," ",HYPERLINK(CONCATENATE("#metadata!",ADDRESS(INDEX($Q$2:$Q$1001,MATCH(ROWS($O$2:O345),$O$2:$O$1001,0),0),1)),INDEX($T$2:$T$1001,MATCH(ROWS($O$2:O345),$O$2:$O$1001,0),0)))</f>
        <v>0</v>
      </c>
      <c r="B345" s="3">
        <f>IF(OR(INDEX($P$2:$P$1001,MATCH(ROWS($O$2:O345),$O$2:$O$1001,0),1)&gt;=100000,INDEX($V$1005:$AE$1005,1,MATCH(COLUMNS($V$1006:V1006),$V$1006:$AE$1006,0))&gt;=100000), " ",IF(INDEX($V$2:$AE$1001,MATCH(ROWS($O$2:O345),$O$2:$O$1001,0),MATCH(COLUMNS($V$1006:V1006),$V$1006:$AE$1006,0)), HYPERLINK("#",""), HYPERLINK(CONCATENATE("#Metadata!", ADDRESS(INDEX($Q$2:$Q$1001,MATCH(ROWS($O$2:O345),$O$2:$O$1001,0),0), INDEX($V$1004:$AE$1004,1,MATCH(COLUMNS($V$1006:V1006),$V$1006:$AE$1006,0)))),"Fix")))</f>
        <v>0</v>
      </c>
      <c r="C345" s="3">
        <f>IF(OR(INDEX($P$2:$P$1001,MATCH(ROWS($O$2:O345),$O$2:$O$1001,0),1)&gt;=100000,INDEX($V$1005:$AE$1005,1,MATCH(COLUMNS($V$1006:W1006),$V$1006:$AE$1006,0))&gt;=100000), " ",IF(INDEX($V$2:$AE$1001,MATCH(ROWS($O$2:O345),$O$2:$O$1001,0),MATCH(COLUMNS($V$1006:W1006),$V$1006:$AE$1006,0)), HYPERLINK("#",""), HYPERLINK(CONCATENATE("#Metadata!", ADDRESS(INDEX($Q$2:$Q$1001,MATCH(ROWS($O$2:O345),$O$2:$O$1001,0),0), INDEX($V$1004:$AE$1004,1,MATCH(COLUMNS($V$1006:W1006),$V$1006:$AE$1006,0)))),"Fix")))</f>
        <v>0</v>
      </c>
      <c r="D345" s="3">
        <f>IF(OR(INDEX($P$2:$P$1001,MATCH(ROWS($O$2:O345),$O$2:$O$1001,0),1)&gt;=100000,INDEX($V$1005:$AE$1005,1,MATCH(COLUMNS($V$1006:X1006),$V$1006:$AE$1006,0))&gt;=100000), " ",IF(INDEX($V$2:$AE$1001,MATCH(ROWS($O$2:O345),$O$2:$O$1001,0),MATCH(COLUMNS($V$1006:X1006),$V$1006:$AE$1006,0)), HYPERLINK("#",""), HYPERLINK(CONCATENATE("#Metadata!", ADDRESS(INDEX($Q$2:$Q$1001,MATCH(ROWS($O$2:O345),$O$2:$O$1001,0),0), INDEX($V$1004:$AE$1004,1,MATCH(COLUMNS($V$1006:X1006),$V$1006:$AE$1006,0)))),"Fix")))</f>
        <v>0</v>
      </c>
      <c r="E345" s="3">
        <f>IF(OR(INDEX($P$2:$P$1001,MATCH(ROWS($O$2:O345),$O$2:$O$1001,0),1)&gt;=100000,INDEX($V$1005:$AE$1005,1,MATCH(COLUMNS($V$1006:Y1006),$V$1006:$AE$1006,0))&gt;=100000), " ",IF(INDEX($V$2:$AE$1001,MATCH(ROWS($O$2:O345),$O$2:$O$1001,0),MATCH(COLUMNS($V$1006:Y1006),$V$1006:$AE$1006,0)), HYPERLINK("#",""), HYPERLINK(CONCATENATE("#Metadata!", ADDRESS(INDEX($Q$2:$Q$1001,MATCH(ROWS($O$2:O345),$O$2:$O$1001,0),0), INDEX($V$1004:$AE$1004,1,MATCH(COLUMNS($V$1006:Y1006),$V$1006:$AE$1006,0)))),"Fix")))</f>
        <v>0</v>
      </c>
      <c r="F345" s="3">
        <f>IF(OR(INDEX($P$2:$P$1001,MATCH(ROWS($O$2:O345),$O$2:$O$1001,0),1)&gt;=100000,INDEX($V$1005:$AE$1005,1,MATCH(COLUMNS($V$1006:Z1006),$V$1006:$AE$1006,0))&gt;=100000), " ",IF(INDEX($V$2:$AE$1001,MATCH(ROWS($O$2:O345),$O$2:$O$1001,0),MATCH(COLUMNS($V$1006:Z1006),$V$1006:$AE$1006,0)), HYPERLINK("#",""), HYPERLINK(CONCATENATE("#Metadata!", ADDRESS(INDEX($Q$2:$Q$1001,MATCH(ROWS($O$2:O345),$O$2:$O$1001,0),0), INDEX($V$1004:$AE$1004,1,MATCH(COLUMNS($V$1006:Z1006),$V$1006:$AE$1006,0)))),"Fix")))</f>
        <v>0</v>
      </c>
      <c r="G345" s="3">
        <f>IF(OR(INDEX($P$2:$P$1001,MATCH(ROWS($O$2:O345),$O$2:$O$1001,0),1)&gt;=100000,INDEX($V$1005:$AE$1005,1,MATCH(COLUMNS($V$1006:AA1006),$V$1006:$AE$1006,0))&gt;=100000), " ",IF(INDEX($V$2:$AE$1001,MATCH(ROWS($O$2:O345),$O$2:$O$1001,0),MATCH(COLUMNS($V$1006:AA1006),$V$1006:$AE$1006,0)), HYPERLINK("#",""), HYPERLINK(CONCATENATE("#Metadata!", ADDRESS(INDEX($Q$2:$Q$1001,MATCH(ROWS($O$2:O345),$O$2:$O$1001,0),0), INDEX($V$1004:$AE$1004,1,MATCH(COLUMNS($V$1006:AA1006),$V$1006:$AE$1006,0)))),"Fix")))</f>
        <v>0</v>
      </c>
      <c r="H345" s="3">
        <f>IF(OR(INDEX($P$2:$P$1001,MATCH(ROWS($O$2:O345),$O$2:$O$1001,0),1)&gt;=100000,INDEX($V$1005:$AE$1005,1,MATCH(COLUMNS($V$1006:AB1006),$V$1006:$AE$1006,0))&gt;=100000), " ",IF(INDEX($V$2:$AE$1001,MATCH(ROWS($O$2:O345),$O$2:$O$1001,0),MATCH(COLUMNS($V$1006:AB1006),$V$1006:$AE$1006,0)), HYPERLINK("#",""), HYPERLINK(CONCATENATE("#Metadata!", ADDRESS(INDEX($Q$2:$Q$1001,MATCH(ROWS($O$2:O345),$O$2:$O$1001,0),0), INDEX($V$1004:$AE$1004,1,MATCH(COLUMNS($V$1006:AB1006),$V$1006:$AE$1006,0)))),"Fix")))</f>
        <v>0</v>
      </c>
      <c r="I345" s="3">
        <f>IF(OR(INDEX($P$2:$P$1001,MATCH(ROWS($O$2:O345),$O$2:$O$1001,0),1)&gt;=100000,INDEX($V$1005:$AE$1005,1,MATCH(COLUMNS($V$1006:AC1006),$V$1006:$AE$1006,0))&gt;=100000), " ",IF(INDEX($V$2:$AE$1001,MATCH(ROWS($O$2:O345),$O$2:$O$1001,0),MATCH(COLUMNS($V$1006:AC1006),$V$1006:$AE$1006,0)), HYPERLINK("#",""), HYPERLINK(CONCATENATE("#Metadata!", ADDRESS(INDEX($Q$2:$Q$1001,MATCH(ROWS($O$2:O345),$O$2:$O$1001,0),0), INDEX($V$1004:$AE$1004,1,MATCH(COLUMNS($V$1006:AC1006),$V$1006:$AE$1006,0)))),"Fix")))</f>
        <v>0</v>
      </c>
      <c r="J345" s="3">
        <f>IF(OR(INDEX($P$2:$P$1001,MATCH(ROWS($O$2:O345),$O$2:$O$1001,0),1)&gt;=100000,INDEX($V$1005:$AE$1005,1,MATCH(COLUMNS($V$1006:AD1006),$V$1006:$AE$1006,0))&gt;=100000), " ",IF(INDEX($V$2:$AE$1001,MATCH(ROWS($O$2:O345),$O$2:$O$1001,0),MATCH(COLUMNS($V$1006:AD1006),$V$1006:$AE$1006,0)), HYPERLINK("#",""), HYPERLINK(CONCATENATE("#Metadata!", ADDRESS(INDEX($Q$2:$Q$1001,MATCH(ROWS($O$2:O345),$O$2:$O$1001,0),0), INDEX($V$1004:$AE$1004,1,MATCH(COLUMNS($V$1006:AD1006),$V$1006:$AE$1006,0)))),"Fix")))</f>
        <v>0</v>
      </c>
      <c r="K345" s="3">
        <f>IF(OR(INDEX($P$2:$P$1001,MATCH(ROWS($O$2:O345),$O$2:$O$1001,0),1)&gt;=100000,INDEX($V$1005:$AE$1005,1,MATCH(COLUMNS($V$1006:AE1006),$V$1006:$AE$1006,0))&gt;=100000), " ",IF(INDEX($V$2:$AE$1001,MATCH(ROWS($O$2:O345),$O$2:$O$1001,0),MATCH(COLUMNS($V$1006:AE1006),$V$1006:$AE$1006,0)), HYPERLINK("#",""), HYPERLINK(CONCATENATE("#Metadata!", ADDRESS(INDEX($Q$2:$Q$1001,MATCH(ROWS($O$2:O345),$O$2:$O$1001,0),0), INDEX($V$1004:$AE$1004,1,MATCH(COLUMNS($V$1006:AE1006),$V$1006:$AE$1006,0)))),"Fix")))</f>
        <v>0</v>
      </c>
      <c r="O345">
        <v>0</v>
      </c>
      <c r="P345">
        <v>0</v>
      </c>
      <c r="Q345">
        <v>0</v>
      </c>
      <c r="R345">
        <f>IF(S345,TRUE,AND(V345:AE345))</f>
        <v>0</v>
      </c>
      <c r="S345">
        <f>COUNTBLANK(Metadata!B345:K345)=COLUMNS(Metadata!B345:K345)</f>
        <v>0</v>
      </c>
      <c r="T345">
        <v>0</v>
      </c>
      <c r="V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W345">
        <f>AND(IF(Metadata!C345="",FALSE,TRUE),exact(Metadata!C345,"animal secretion"))</f>
        <v>0</v>
      </c>
      <c r="X345">
        <f>AND(IF(Metadata!D345="",FALSE,TRUE),exact(Metadata!D345,"saliva"))</f>
        <v>0</v>
      </c>
      <c r="Y345">
        <f>AND(IF(Metadata!E345="",FALSE,TRUE),exact(Metadata!E345,"human-oral"))</f>
        <v>0</v>
      </c>
      <c r="Z345">
        <f>AND(IF(Metadata!F345="",FALSE,TRUE),exact(Metadata!F345,"UBERON:oral cavity"))</f>
        <v>0</v>
      </c>
      <c r="AA345">
        <f>AND(IF(Metadata!G345="",FALSE,TRUE),exact(Metadata!G345,"UBERON:saliva"))</f>
        <v>0</v>
      </c>
      <c r="AB345">
        <f>AND(IF(Metadata!H345="",FALSE,TRUE),exact(Metadata!H345,"UBERON:tongue"))</f>
        <v>0</v>
      </c>
      <c r="AC345">
        <f>AND(IF(Metadata!I345="",FALSE,TRUE),exact(Metadata!I345,"tongue"))</f>
        <v>0</v>
      </c>
      <c r="AD345">
        <f>AND(IF(Metadata!J345="",FALSE,TRUE),exact(Metadata!J345,"human oral metagenome"))</f>
        <v>0</v>
      </c>
      <c r="AE345">
        <f>AND(IF(Metadata!K345="",FALSE,TRUE),exact(Metadata!K345,"447426"))</f>
        <v>0</v>
      </c>
    </row>
    <row r="346" spans="1:31">
      <c r="A346" s="4">
        <f>IF(B346=" "," ",HYPERLINK(CONCATENATE("#metadata!",ADDRESS(INDEX($Q$2:$Q$1001,MATCH(ROWS($O$2:O346),$O$2:$O$1001,0),0),1)),INDEX($T$2:$T$1001,MATCH(ROWS($O$2:O346),$O$2:$O$1001,0),0)))</f>
        <v>0</v>
      </c>
      <c r="B346" s="3">
        <f>IF(OR(INDEX($P$2:$P$1001,MATCH(ROWS($O$2:O346),$O$2:$O$1001,0),1)&gt;=100000,INDEX($V$1005:$AE$1005,1,MATCH(COLUMNS($V$1006:V1006),$V$1006:$AE$1006,0))&gt;=100000), " ",IF(INDEX($V$2:$AE$1001,MATCH(ROWS($O$2:O346),$O$2:$O$1001,0),MATCH(COLUMNS($V$1006:V1006),$V$1006:$AE$1006,0)), HYPERLINK("#",""), HYPERLINK(CONCATENATE("#Metadata!", ADDRESS(INDEX($Q$2:$Q$1001,MATCH(ROWS($O$2:O346),$O$2:$O$1001,0),0), INDEX($V$1004:$AE$1004,1,MATCH(COLUMNS($V$1006:V1006),$V$1006:$AE$1006,0)))),"Fix")))</f>
        <v>0</v>
      </c>
      <c r="C346" s="3">
        <f>IF(OR(INDEX($P$2:$P$1001,MATCH(ROWS($O$2:O346),$O$2:$O$1001,0),1)&gt;=100000,INDEX($V$1005:$AE$1005,1,MATCH(COLUMNS($V$1006:W1006),$V$1006:$AE$1006,0))&gt;=100000), " ",IF(INDEX($V$2:$AE$1001,MATCH(ROWS($O$2:O346),$O$2:$O$1001,0),MATCH(COLUMNS($V$1006:W1006),$V$1006:$AE$1006,0)), HYPERLINK("#",""), HYPERLINK(CONCATENATE("#Metadata!", ADDRESS(INDEX($Q$2:$Q$1001,MATCH(ROWS($O$2:O346),$O$2:$O$1001,0),0), INDEX($V$1004:$AE$1004,1,MATCH(COLUMNS($V$1006:W1006),$V$1006:$AE$1006,0)))),"Fix")))</f>
        <v>0</v>
      </c>
      <c r="D346" s="3">
        <f>IF(OR(INDEX($P$2:$P$1001,MATCH(ROWS($O$2:O346),$O$2:$O$1001,0),1)&gt;=100000,INDEX($V$1005:$AE$1005,1,MATCH(COLUMNS($V$1006:X1006),$V$1006:$AE$1006,0))&gt;=100000), " ",IF(INDEX($V$2:$AE$1001,MATCH(ROWS($O$2:O346),$O$2:$O$1001,0),MATCH(COLUMNS($V$1006:X1006),$V$1006:$AE$1006,0)), HYPERLINK("#",""), HYPERLINK(CONCATENATE("#Metadata!", ADDRESS(INDEX($Q$2:$Q$1001,MATCH(ROWS($O$2:O346),$O$2:$O$1001,0),0), INDEX($V$1004:$AE$1004,1,MATCH(COLUMNS($V$1006:X1006),$V$1006:$AE$1006,0)))),"Fix")))</f>
        <v>0</v>
      </c>
      <c r="E346" s="3">
        <f>IF(OR(INDEX($P$2:$P$1001,MATCH(ROWS($O$2:O346),$O$2:$O$1001,0),1)&gt;=100000,INDEX($V$1005:$AE$1005,1,MATCH(COLUMNS($V$1006:Y1006),$V$1006:$AE$1006,0))&gt;=100000), " ",IF(INDEX($V$2:$AE$1001,MATCH(ROWS($O$2:O346),$O$2:$O$1001,0),MATCH(COLUMNS($V$1006:Y1006),$V$1006:$AE$1006,0)), HYPERLINK("#",""), HYPERLINK(CONCATENATE("#Metadata!", ADDRESS(INDEX($Q$2:$Q$1001,MATCH(ROWS($O$2:O346),$O$2:$O$1001,0),0), INDEX($V$1004:$AE$1004,1,MATCH(COLUMNS($V$1006:Y1006),$V$1006:$AE$1006,0)))),"Fix")))</f>
        <v>0</v>
      </c>
      <c r="F346" s="3">
        <f>IF(OR(INDEX($P$2:$P$1001,MATCH(ROWS($O$2:O346),$O$2:$O$1001,0),1)&gt;=100000,INDEX($V$1005:$AE$1005,1,MATCH(COLUMNS($V$1006:Z1006),$V$1006:$AE$1006,0))&gt;=100000), " ",IF(INDEX($V$2:$AE$1001,MATCH(ROWS($O$2:O346),$O$2:$O$1001,0),MATCH(COLUMNS($V$1006:Z1006),$V$1006:$AE$1006,0)), HYPERLINK("#",""), HYPERLINK(CONCATENATE("#Metadata!", ADDRESS(INDEX($Q$2:$Q$1001,MATCH(ROWS($O$2:O346),$O$2:$O$1001,0),0), INDEX($V$1004:$AE$1004,1,MATCH(COLUMNS($V$1006:Z1006),$V$1006:$AE$1006,0)))),"Fix")))</f>
        <v>0</v>
      </c>
      <c r="G346" s="3">
        <f>IF(OR(INDEX($P$2:$P$1001,MATCH(ROWS($O$2:O346),$O$2:$O$1001,0),1)&gt;=100000,INDEX($V$1005:$AE$1005,1,MATCH(COLUMNS($V$1006:AA1006),$V$1006:$AE$1006,0))&gt;=100000), " ",IF(INDEX($V$2:$AE$1001,MATCH(ROWS($O$2:O346),$O$2:$O$1001,0),MATCH(COLUMNS($V$1006:AA1006),$V$1006:$AE$1006,0)), HYPERLINK("#",""), HYPERLINK(CONCATENATE("#Metadata!", ADDRESS(INDEX($Q$2:$Q$1001,MATCH(ROWS($O$2:O346),$O$2:$O$1001,0),0), INDEX($V$1004:$AE$1004,1,MATCH(COLUMNS($V$1006:AA1006),$V$1006:$AE$1006,0)))),"Fix")))</f>
        <v>0</v>
      </c>
      <c r="H346" s="3">
        <f>IF(OR(INDEX($P$2:$P$1001,MATCH(ROWS($O$2:O346),$O$2:$O$1001,0),1)&gt;=100000,INDEX($V$1005:$AE$1005,1,MATCH(COLUMNS($V$1006:AB1006),$V$1006:$AE$1006,0))&gt;=100000), " ",IF(INDEX($V$2:$AE$1001,MATCH(ROWS($O$2:O346),$O$2:$O$1001,0),MATCH(COLUMNS($V$1006:AB1006),$V$1006:$AE$1006,0)), HYPERLINK("#",""), HYPERLINK(CONCATENATE("#Metadata!", ADDRESS(INDEX($Q$2:$Q$1001,MATCH(ROWS($O$2:O346),$O$2:$O$1001,0),0), INDEX($V$1004:$AE$1004,1,MATCH(COLUMNS($V$1006:AB1006),$V$1006:$AE$1006,0)))),"Fix")))</f>
        <v>0</v>
      </c>
      <c r="I346" s="3">
        <f>IF(OR(INDEX($P$2:$P$1001,MATCH(ROWS($O$2:O346),$O$2:$O$1001,0),1)&gt;=100000,INDEX($V$1005:$AE$1005,1,MATCH(COLUMNS($V$1006:AC1006),$V$1006:$AE$1006,0))&gt;=100000), " ",IF(INDEX($V$2:$AE$1001,MATCH(ROWS($O$2:O346),$O$2:$O$1001,0),MATCH(COLUMNS($V$1006:AC1006),$V$1006:$AE$1006,0)), HYPERLINK("#",""), HYPERLINK(CONCATENATE("#Metadata!", ADDRESS(INDEX($Q$2:$Q$1001,MATCH(ROWS($O$2:O346),$O$2:$O$1001,0),0), INDEX($V$1004:$AE$1004,1,MATCH(COLUMNS($V$1006:AC1006),$V$1006:$AE$1006,0)))),"Fix")))</f>
        <v>0</v>
      </c>
      <c r="J346" s="3">
        <f>IF(OR(INDEX($P$2:$P$1001,MATCH(ROWS($O$2:O346),$O$2:$O$1001,0),1)&gt;=100000,INDEX($V$1005:$AE$1005,1,MATCH(COLUMNS($V$1006:AD1006),$V$1006:$AE$1006,0))&gt;=100000), " ",IF(INDEX($V$2:$AE$1001,MATCH(ROWS($O$2:O346),$O$2:$O$1001,0),MATCH(COLUMNS($V$1006:AD1006),$V$1006:$AE$1006,0)), HYPERLINK("#",""), HYPERLINK(CONCATENATE("#Metadata!", ADDRESS(INDEX($Q$2:$Q$1001,MATCH(ROWS($O$2:O346),$O$2:$O$1001,0),0), INDEX($V$1004:$AE$1004,1,MATCH(COLUMNS($V$1006:AD1006),$V$1006:$AE$1006,0)))),"Fix")))</f>
        <v>0</v>
      </c>
      <c r="K346" s="3">
        <f>IF(OR(INDEX($P$2:$P$1001,MATCH(ROWS($O$2:O346),$O$2:$O$1001,0),1)&gt;=100000,INDEX($V$1005:$AE$1005,1,MATCH(COLUMNS($V$1006:AE1006),$V$1006:$AE$1006,0))&gt;=100000), " ",IF(INDEX($V$2:$AE$1001,MATCH(ROWS($O$2:O346),$O$2:$O$1001,0),MATCH(COLUMNS($V$1006:AE1006),$V$1006:$AE$1006,0)), HYPERLINK("#",""), HYPERLINK(CONCATENATE("#Metadata!", ADDRESS(INDEX($Q$2:$Q$1001,MATCH(ROWS($O$2:O346),$O$2:$O$1001,0),0), INDEX($V$1004:$AE$1004,1,MATCH(COLUMNS($V$1006:AE1006),$V$1006:$AE$1006,0)))),"Fix")))</f>
        <v>0</v>
      </c>
      <c r="O346">
        <v>0</v>
      </c>
      <c r="P346">
        <v>0</v>
      </c>
      <c r="Q346">
        <v>0</v>
      </c>
      <c r="R346">
        <f>IF(S346,TRUE,AND(V346:AE346))</f>
        <v>0</v>
      </c>
      <c r="S346">
        <f>COUNTBLANK(Metadata!B346:K346)=COLUMNS(Metadata!B346:K346)</f>
        <v>0</v>
      </c>
      <c r="T346">
        <v>0</v>
      </c>
      <c r="V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W346">
        <f>AND(IF(Metadata!C346="",FALSE,TRUE),exact(Metadata!C346,"animal secretion"))</f>
        <v>0</v>
      </c>
      <c r="X346">
        <f>AND(IF(Metadata!D346="",FALSE,TRUE),exact(Metadata!D346,"saliva"))</f>
        <v>0</v>
      </c>
      <c r="Y346">
        <f>AND(IF(Metadata!E346="",FALSE,TRUE),exact(Metadata!E346,"human-oral"))</f>
        <v>0</v>
      </c>
      <c r="Z346">
        <f>AND(IF(Metadata!F346="",FALSE,TRUE),exact(Metadata!F346,"UBERON:oral cavity"))</f>
        <v>0</v>
      </c>
      <c r="AA346">
        <f>AND(IF(Metadata!G346="",FALSE,TRUE),exact(Metadata!G346,"UBERON:saliva"))</f>
        <v>0</v>
      </c>
      <c r="AB346">
        <f>AND(IF(Metadata!H346="",FALSE,TRUE),exact(Metadata!H346,"UBERON:tongue"))</f>
        <v>0</v>
      </c>
      <c r="AC346">
        <f>AND(IF(Metadata!I346="",FALSE,TRUE),exact(Metadata!I346,"tongue"))</f>
        <v>0</v>
      </c>
      <c r="AD346">
        <f>AND(IF(Metadata!J346="",FALSE,TRUE),exact(Metadata!J346,"human oral metagenome"))</f>
        <v>0</v>
      </c>
      <c r="AE346">
        <f>AND(IF(Metadata!K346="",FALSE,TRUE),exact(Metadata!K346,"447426"))</f>
        <v>0</v>
      </c>
    </row>
    <row r="347" spans="1:31">
      <c r="A347" s="4">
        <f>IF(B347=" "," ",HYPERLINK(CONCATENATE("#metadata!",ADDRESS(INDEX($Q$2:$Q$1001,MATCH(ROWS($O$2:O347),$O$2:$O$1001,0),0),1)),INDEX($T$2:$T$1001,MATCH(ROWS($O$2:O347),$O$2:$O$1001,0),0)))</f>
        <v>0</v>
      </c>
      <c r="B347" s="3">
        <f>IF(OR(INDEX($P$2:$P$1001,MATCH(ROWS($O$2:O347),$O$2:$O$1001,0),1)&gt;=100000,INDEX($V$1005:$AE$1005,1,MATCH(COLUMNS($V$1006:V1006),$V$1006:$AE$1006,0))&gt;=100000), " ",IF(INDEX($V$2:$AE$1001,MATCH(ROWS($O$2:O347),$O$2:$O$1001,0),MATCH(COLUMNS($V$1006:V1006),$V$1006:$AE$1006,0)), HYPERLINK("#",""), HYPERLINK(CONCATENATE("#Metadata!", ADDRESS(INDEX($Q$2:$Q$1001,MATCH(ROWS($O$2:O347),$O$2:$O$1001,0),0), INDEX($V$1004:$AE$1004,1,MATCH(COLUMNS($V$1006:V1006),$V$1006:$AE$1006,0)))),"Fix")))</f>
        <v>0</v>
      </c>
      <c r="C347" s="3">
        <f>IF(OR(INDEX($P$2:$P$1001,MATCH(ROWS($O$2:O347),$O$2:$O$1001,0),1)&gt;=100000,INDEX($V$1005:$AE$1005,1,MATCH(COLUMNS($V$1006:W1006),$V$1006:$AE$1006,0))&gt;=100000), " ",IF(INDEX($V$2:$AE$1001,MATCH(ROWS($O$2:O347),$O$2:$O$1001,0),MATCH(COLUMNS($V$1006:W1006),$V$1006:$AE$1006,0)), HYPERLINK("#",""), HYPERLINK(CONCATENATE("#Metadata!", ADDRESS(INDEX($Q$2:$Q$1001,MATCH(ROWS($O$2:O347),$O$2:$O$1001,0),0), INDEX($V$1004:$AE$1004,1,MATCH(COLUMNS($V$1006:W1006),$V$1006:$AE$1006,0)))),"Fix")))</f>
        <v>0</v>
      </c>
      <c r="D347" s="3">
        <f>IF(OR(INDEX($P$2:$P$1001,MATCH(ROWS($O$2:O347),$O$2:$O$1001,0),1)&gt;=100000,INDEX($V$1005:$AE$1005,1,MATCH(COLUMNS($V$1006:X1006),$V$1006:$AE$1006,0))&gt;=100000), " ",IF(INDEX($V$2:$AE$1001,MATCH(ROWS($O$2:O347),$O$2:$O$1001,0),MATCH(COLUMNS($V$1006:X1006),$V$1006:$AE$1006,0)), HYPERLINK("#",""), HYPERLINK(CONCATENATE("#Metadata!", ADDRESS(INDEX($Q$2:$Q$1001,MATCH(ROWS($O$2:O347),$O$2:$O$1001,0),0), INDEX($V$1004:$AE$1004,1,MATCH(COLUMNS($V$1006:X1006),$V$1006:$AE$1006,0)))),"Fix")))</f>
        <v>0</v>
      </c>
      <c r="E347" s="3">
        <f>IF(OR(INDEX($P$2:$P$1001,MATCH(ROWS($O$2:O347),$O$2:$O$1001,0),1)&gt;=100000,INDEX($V$1005:$AE$1005,1,MATCH(COLUMNS($V$1006:Y1006),$V$1006:$AE$1006,0))&gt;=100000), " ",IF(INDEX($V$2:$AE$1001,MATCH(ROWS($O$2:O347),$O$2:$O$1001,0),MATCH(COLUMNS($V$1006:Y1006),$V$1006:$AE$1006,0)), HYPERLINK("#",""), HYPERLINK(CONCATENATE("#Metadata!", ADDRESS(INDEX($Q$2:$Q$1001,MATCH(ROWS($O$2:O347),$O$2:$O$1001,0),0), INDEX($V$1004:$AE$1004,1,MATCH(COLUMNS($V$1006:Y1006),$V$1006:$AE$1006,0)))),"Fix")))</f>
        <v>0</v>
      </c>
      <c r="F347" s="3">
        <f>IF(OR(INDEX($P$2:$P$1001,MATCH(ROWS($O$2:O347),$O$2:$O$1001,0),1)&gt;=100000,INDEX($V$1005:$AE$1005,1,MATCH(COLUMNS($V$1006:Z1006),$V$1006:$AE$1006,0))&gt;=100000), " ",IF(INDEX($V$2:$AE$1001,MATCH(ROWS($O$2:O347),$O$2:$O$1001,0),MATCH(COLUMNS($V$1006:Z1006),$V$1006:$AE$1006,0)), HYPERLINK("#",""), HYPERLINK(CONCATENATE("#Metadata!", ADDRESS(INDEX($Q$2:$Q$1001,MATCH(ROWS($O$2:O347),$O$2:$O$1001,0),0), INDEX($V$1004:$AE$1004,1,MATCH(COLUMNS($V$1006:Z1006),$V$1006:$AE$1006,0)))),"Fix")))</f>
        <v>0</v>
      </c>
      <c r="G347" s="3">
        <f>IF(OR(INDEX($P$2:$P$1001,MATCH(ROWS($O$2:O347),$O$2:$O$1001,0),1)&gt;=100000,INDEX($V$1005:$AE$1005,1,MATCH(COLUMNS($V$1006:AA1006),$V$1006:$AE$1006,0))&gt;=100000), " ",IF(INDEX($V$2:$AE$1001,MATCH(ROWS($O$2:O347),$O$2:$O$1001,0),MATCH(COLUMNS($V$1006:AA1006),$V$1006:$AE$1006,0)), HYPERLINK("#",""), HYPERLINK(CONCATENATE("#Metadata!", ADDRESS(INDEX($Q$2:$Q$1001,MATCH(ROWS($O$2:O347),$O$2:$O$1001,0),0), INDEX($V$1004:$AE$1004,1,MATCH(COLUMNS($V$1006:AA1006),$V$1006:$AE$1006,0)))),"Fix")))</f>
        <v>0</v>
      </c>
      <c r="H347" s="3">
        <f>IF(OR(INDEX($P$2:$P$1001,MATCH(ROWS($O$2:O347),$O$2:$O$1001,0),1)&gt;=100000,INDEX($V$1005:$AE$1005,1,MATCH(COLUMNS($V$1006:AB1006),$V$1006:$AE$1006,0))&gt;=100000), " ",IF(INDEX($V$2:$AE$1001,MATCH(ROWS($O$2:O347),$O$2:$O$1001,0),MATCH(COLUMNS($V$1006:AB1006),$V$1006:$AE$1006,0)), HYPERLINK("#",""), HYPERLINK(CONCATENATE("#Metadata!", ADDRESS(INDEX($Q$2:$Q$1001,MATCH(ROWS($O$2:O347),$O$2:$O$1001,0),0), INDEX($V$1004:$AE$1004,1,MATCH(COLUMNS($V$1006:AB1006),$V$1006:$AE$1006,0)))),"Fix")))</f>
        <v>0</v>
      </c>
      <c r="I347" s="3">
        <f>IF(OR(INDEX($P$2:$P$1001,MATCH(ROWS($O$2:O347),$O$2:$O$1001,0),1)&gt;=100000,INDEX($V$1005:$AE$1005,1,MATCH(COLUMNS($V$1006:AC1006),$V$1006:$AE$1006,0))&gt;=100000), " ",IF(INDEX($V$2:$AE$1001,MATCH(ROWS($O$2:O347),$O$2:$O$1001,0),MATCH(COLUMNS($V$1006:AC1006),$V$1006:$AE$1006,0)), HYPERLINK("#",""), HYPERLINK(CONCATENATE("#Metadata!", ADDRESS(INDEX($Q$2:$Q$1001,MATCH(ROWS($O$2:O347),$O$2:$O$1001,0),0), INDEX($V$1004:$AE$1004,1,MATCH(COLUMNS($V$1006:AC1006),$V$1006:$AE$1006,0)))),"Fix")))</f>
        <v>0</v>
      </c>
      <c r="J347" s="3">
        <f>IF(OR(INDEX($P$2:$P$1001,MATCH(ROWS($O$2:O347),$O$2:$O$1001,0),1)&gt;=100000,INDEX($V$1005:$AE$1005,1,MATCH(COLUMNS($V$1006:AD1006),$V$1006:$AE$1006,0))&gt;=100000), " ",IF(INDEX($V$2:$AE$1001,MATCH(ROWS($O$2:O347),$O$2:$O$1001,0),MATCH(COLUMNS($V$1006:AD1006),$V$1006:$AE$1006,0)), HYPERLINK("#",""), HYPERLINK(CONCATENATE("#Metadata!", ADDRESS(INDEX($Q$2:$Q$1001,MATCH(ROWS($O$2:O347),$O$2:$O$1001,0),0), INDEX($V$1004:$AE$1004,1,MATCH(COLUMNS($V$1006:AD1006),$V$1006:$AE$1006,0)))),"Fix")))</f>
        <v>0</v>
      </c>
      <c r="K347" s="3">
        <f>IF(OR(INDEX($P$2:$P$1001,MATCH(ROWS($O$2:O347),$O$2:$O$1001,0),1)&gt;=100000,INDEX($V$1005:$AE$1005,1,MATCH(COLUMNS($V$1006:AE1006),$V$1006:$AE$1006,0))&gt;=100000), " ",IF(INDEX($V$2:$AE$1001,MATCH(ROWS($O$2:O347),$O$2:$O$1001,0),MATCH(COLUMNS($V$1006:AE1006),$V$1006:$AE$1006,0)), HYPERLINK("#",""), HYPERLINK(CONCATENATE("#Metadata!", ADDRESS(INDEX($Q$2:$Q$1001,MATCH(ROWS($O$2:O347),$O$2:$O$1001,0),0), INDEX($V$1004:$AE$1004,1,MATCH(COLUMNS($V$1006:AE1006),$V$1006:$AE$1006,0)))),"Fix")))</f>
        <v>0</v>
      </c>
      <c r="O347">
        <v>0</v>
      </c>
      <c r="P347">
        <v>0</v>
      </c>
      <c r="Q347">
        <v>0</v>
      </c>
      <c r="R347">
        <f>IF(S347,TRUE,AND(V347:AE347))</f>
        <v>0</v>
      </c>
      <c r="S347">
        <f>COUNTBLANK(Metadata!B347:K347)=COLUMNS(Metadata!B347:K347)</f>
        <v>0</v>
      </c>
      <c r="T347">
        <v>0</v>
      </c>
      <c r="V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W347">
        <f>AND(IF(Metadata!C347="",FALSE,TRUE),exact(Metadata!C347,"animal secretion"))</f>
        <v>0</v>
      </c>
      <c r="X347">
        <f>AND(IF(Metadata!D347="",FALSE,TRUE),exact(Metadata!D347,"saliva"))</f>
        <v>0</v>
      </c>
      <c r="Y347">
        <f>AND(IF(Metadata!E347="",FALSE,TRUE),exact(Metadata!E347,"human-oral"))</f>
        <v>0</v>
      </c>
      <c r="Z347">
        <f>AND(IF(Metadata!F347="",FALSE,TRUE),exact(Metadata!F347,"UBERON:oral cavity"))</f>
        <v>0</v>
      </c>
      <c r="AA347">
        <f>AND(IF(Metadata!G347="",FALSE,TRUE),exact(Metadata!G347,"UBERON:saliva"))</f>
        <v>0</v>
      </c>
      <c r="AB347">
        <f>AND(IF(Metadata!H347="",FALSE,TRUE),exact(Metadata!H347,"UBERON:tongue"))</f>
        <v>0</v>
      </c>
      <c r="AC347">
        <f>AND(IF(Metadata!I347="",FALSE,TRUE),exact(Metadata!I347,"tongue"))</f>
        <v>0</v>
      </c>
      <c r="AD347">
        <f>AND(IF(Metadata!J347="",FALSE,TRUE),exact(Metadata!J347,"human oral metagenome"))</f>
        <v>0</v>
      </c>
      <c r="AE347">
        <f>AND(IF(Metadata!K347="",FALSE,TRUE),exact(Metadata!K347,"447426"))</f>
        <v>0</v>
      </c>
    </row>
    <row r="348" spans="1:31">
      <c r="A348" s="4">
        <f>IF(B348=" "," ",HYPERLINK(CONCATENATE("#metadata!",ADDRESS(INDEX($Q$2:$Q$1001,MATCH(ROWS($O$2:O348),$O$2:$O$1001,0),0),1)),INDEX($T$2:$T$1001,MATCH(ROWS($O$2:O348),$O$2:$O$1001,0),0)))</f>
        <v>0</v>
      </c>
      <c r="B348" s="3">
        <f>IF(OR(INDEX($P$2:$P$1001,MATCH(ROWS($O$2:O348),$O$2:$O$1001,0),1)&gt;=100000,INDEX($V$1005:$AE$1005,1,MATCH(COLUMNS($V$1006:V1006),$V$1006:$AE$1006,0))&gt;=100000), " ",IF(INDEX($V$2:$AE$1001,MATCH(ROWS($O$2:O348),$O$2:$O$1001,0),MATCH(COLUMNS($V$1006:V1006),$V$1006:$AE$1006,0)), HYPERLINK("#",""), HYPERLINK(CONCATENATE("#Metadata!", ADDRESS(INDEX($Q$2:$Q$1001,MATCH(ROWS($O$2:O348),$O$2:$O$1001,0),0), INDEX($V$1004:$AE$1004,1,MATCH(COLUMNS($V$1006:V1006),$V$1006:$AE$1006,0)))),"Fix")))</f>
        <v>0</v>
      </c>
      <c r="C348" s="3">
        <f>IF(OR(INDEX($P$2:$P$1001,MATCH(ROWS($O$2:O348),$O$2:$O$1001,0),1)&gt;=100000,INDEX($V$1005:$AE$1005,1,MATCH(COLUMNS($V$1006:W1006),$V$1006:$AE$1006,0))&gt;=100000), " ",IF(INDEX($V$2:$AE$1001,MATCH(ROWS($O$2:O348),$O$2:$O$1001,0),MATCH(COLUMNS($V$1006:W1006),$V$1006:$AE$1006,0)), HYPERLINK("#",""), HYPERLINK(CONCATENATE("#Metadata!", ADDRESS(INDEX($Q$2:$Q$1001,MATCH(ROWS($O$2:O348),$O$2:$O$1001,0),0), INDEX($V$1004:$AE$1004,1,MATCH(COLUMNS($V$1006:W1006),$V$1006:$AE$1006,0)))),"Fix")))</f>
        <v>0</v>
      </c>
      <c r="D348" s="3">
        <f>IF(OR(INDEX($P$2:$P$1001,MATCH(ROWS($O$2:O348),$O$2:$O$1001,0),1)&gt;=100000,INDEX($V$1005:$AE$1005,1,MATCH(COLUMNS($V$1006:X1006),$V$1006:$AE$1006,0))&gt;=100000), " ",IF(INDEX($V$2:$AE$1001,MATCH(ROWS($O$2:O348),$O$2:$O$1001,0),MATCH(COLUMNS($V$1006:X1006),$V$1006:$AE$1006,0)), HYPERLINK("#",""), HYPERLINK(CONCATENATE("#Metadata!", ADDRESS(INDEX($Q$2:$Q$1001,MATCH(ROWS($O$2:O348),$O$2:$O$1001,0),0), INDEX($V$1004:$AE$1004,1,MATCH(COLUMNS($V$1006:X1006),$V$1006:$AE$1006,0)))),"Fix")))</f>
        <v>0</v>
      </c>
      <c r="E348" s="3">
        <f>IF(OR(INDEX($P$2:$P$1001,MATCH(ROWS($O$2:O348),$O$2:$O$1001,0),1)&gt;=100000,INDEX($V$1005:$AE$1005,1,MATCH(COLUMNS($V$1006:Y1006),$V$1006:$AE$1006,0))&gt;=100000), " ",IF(INDEX($V$2:$AE$1001,MATCH(ROWS($O$2:O348),$O$2:$O$1001,0),MATCH(COLUMNS($V$1006:Y1006),$V$1006:$AE$1006,0)), HYPERLINK("#",""), HYPERLINK(CONCATENATE("#Metadata!", ADDRESS(INDEX($Q$2:$Q$1001,MATCH(ROWS($O$2:O348),$O$2:$O$1001,0),0), INDEX($V$1004:$AE$1004,1,MATCH(COLUMNS($V$1006:Y1006),$V$1006:$AE$1006,0)))),"Fix")))</f>
        <v>0</v>
      </c>
      <c r="F348" s="3">
        <f>IF(OR(INDEX($P$2:$P$1001,MATCH(ROWS($O$2:O348),$O$2:$O$1001,0),1)&gt;=100000,INDEX($V$1005:$AE$1005,1,MATCH(COLUMNS($V$1006:Z1006),$V$1006:$AE$1006,0))&gt;=100000), " ",IF(INDEX($V$2:$AE$1001,MATCH(ROWS($O$2:O348),$O$2:$O$1001,0),MATCH(COLUMNS($V$1006:Z1006),$V$1006:$AE$1006,0)), HYPERLINK("#",""), HYPERLINK(CONCATENATE("#Metadata!", ADDRESS(INDEX($Q$2:$Q$1001,MATCH(ROWS($O$2:O348),$O$2:$O$1001,0),0), INDEX($V$1004:$AE$1004,1,MATCH(COLUMNS($V$1006:Z1006),$V$1006:$AE$1006,0)))),"Fix")))</f>
        <v>0</v>
      </c>
      <c r="G348" s="3">
        <f>IF(OR(INDEX($P$2:$P$1001,MATCH(ROWS($O$2:O348),$O$2:$O$1001,0),1)&gt;=100000,INDEX($V$1005:$AE$1005,1,MATCH(COLUMNS($V$1006:AA1006),$V$1006:$AE$1006,0))&gt;=100000), " ",IF(INDEX($V$2:$AE$1001,MATCH(ROWS($O$2:O348),$O$2:$O$1001,0),MATCH(COLUMNS($V$1006:AA1006),$V$1006:$AE$1006,0)), HYPERLINK("#",""), HYPERLINK(CONCATENATE("#Metadata!", ADDRESS(INDEX($Q$2:$Q$1001,MATCH(ROWS($O$2:O348),$O$2:$O$1001,0),0), INDEX($V$1004:$AE$1004,1,MATCH(COLUMNS($V$1006:AA1006),$V$1006:$AE$1006,0)))),"Fix")))</f>
        <v>0</v>
      </c>
      <c r="H348" s="3">
        <f>IF(OR(INDEX($P$2:$P$1001,MATCH(ROWS($O$2:O348),$O$2:$O$1001,0),1)&gt;=100000,INDEX($V$1005:$AE$1005,1,MATCH(COLUMNS($V$1006:AB1006),$V$1006:$AE$1006,0))&gt;=100000), " ",IF(INDEX($V$2:$AE$1001,MATCH(ROWS($O$2:O348),$O$2:$O$1001,0),MATCH(COLUMNS($V$1006:AB1006),$V$1006:$AE$1006,0)), HYPERLINK("#",""), HYPERLINK(CONCATENATE("#Metadata!", ADDRESS(INDEX($Q$2:$Q$1001,MATCH(ROWS($O$2:O348),$O$2:$O$1001,0),0), INDEX($V$1004:$AE$1004,1,MATCH(COLUMNS($V$1006:AB1006),$V$1006:$AE$1006,0)))),"Fix")))</f>
        <v>0</v>
      </c>
      <c r="I348" s="3">
        <f>IF(OR(INDEX($P$2:$P$1001,MATCH(ROWS($O$2:O348),$O$2:$O$1001,0),1)&gt;=100000,INDEX($V$1005:$AE$1005,1,MATCH(COLUMNS($V$1006:AC1006),$V$1006:$AE$1006,0))&gt;=100000), " ",IF(INDEX($V$2:$AE$1001,MATCH(ROWS($O$2:O348),$O$2:$O$1001,0),MATCH(COLUMNS($V$1006:AC1006),$V$1006:$AE$1006,0)), HYPERLINK("#",""), HYPERLINK(CONCATENATE("#Metadata!", ADDRESS(INDEX($Q$2:$Q$1001,MATCH(ROWS($O$2:O348),$O$2:$O$1001,0),0), INDEX($V$1004:$AE$1004,1,MATCH(COLUMNS($V$1006:AC1006),$V$1006:$AE$1006,0)))),"Fix")))</f>
        <v>0</v>
      </c>
      <c r="J348" s="3">
        <f>IF(OR(INDEX($P$2:$P$1001,MATCH(ROWS($O$2:O348),$O$2:$O$1001,0),1)&gt;=100000,INDEX($V$1005:$AE$1005,1,MATCH(COLUMNS($V$1006:AD1006),$V$1006:$AE$1006,0))&gt;=100000), " ",IF(INDEX($V$2:$AE$1001,MATCH(ROWS($O$2:O348),$O$2:$O$1001,0),MATCH(COLUMNS($V$1006:AD1006),$V$1006:$AE$1006,0)), HYPERLINK("#",""), HYPERLINK(CONCATENATE("#Metadata!", ADDRESS(INDEX($Q$2:$Q$1001,MATCH(ROWS($O$2:O348),$O$2:$O$1001,0),0), INDEX($V$1004:$AE$1004,1,MATCH(COLUMNS($V$1006:AD1006),$V$1006:$AE$1006,0)))),"Fix")))</f>
        <v>0</v>
      </c>
      <c r="K348" s="3">
        <f>IF(OR(INDEX($P$2:$P$1001,MATCH(ROWS($O$2:O348),$O$2:$O$1001,0),1)&gt;=100000,INDEX($V$1005:$AE$1005,1,MATCH(COLUMNS($V$1006:AE1006),$V$1006:$AE$1006,0))&gt;=100000), " ",IF(INDEX($V$2:$AE$1001,MATCH(ROWS($O$2:O348),$O$2:$O$1001,0),MATCH(COLUMNS($V$1006:AE1006),$V$1006:$AE$1006,0)), HYPERLINK("#",""), HYPERLINK(CONCATENATE("#Metadata!", ADDRESS(INDEX($Q$2:$Q$1001,MATCH(ROWS($O$2:O348),$O$2:$O$1001,0),0), INDEX($V$1004:$AE$1004,1,MATCH(COLUMNS($V$1006:AE1006),$V$1006:$AE$1006,0)))),"Fix")))</f>
        <v>0</v>
      </c>
      <c r="O348">
        <v>0</v>
      </c>
      <c r="P348">
        <v>0</v>
      </c>
      <c r="Q348">
        <v>0</v>
      </c>
      <c r="R348">
        <f>IF(S348,TRUE,AND(V348:AE348))</f>
        <v>0</v>
      </c>
      <c r="S348">
        <f>COUNTBLANK(Metadata!B348:K348)=COLUMNS(Metadata!B348:K348)</f>
        <v>0</v>
      </c>
      <c r="T348">
        <v>0</v>
      </c>
      <c r="V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W348">
        <f>AND(IF(Metadata!C348="",FALSE,TRUE),exact(Metadata!C348,"animal secretion"))</f>
        <v>0</v>
      </c>
      <c r="X348">
        <f>AND(IF(Metadata!D348="",FALSE,TRUE),exact(Metadata!D348,"saliva"))</f>
        <v>0</v>
      </c>
      <c r="Y348">
        <f>AND(IF(Metadata!E348="",FALSE,TRUE),exact(Metadata!E348,"human-oral"))</f>
        <v>0</v>
      </c>
      <c r="Z348">
        <f>AND(IF(Metadata!F348="",FALSE,TRUE),exact(Metadata!F348,"UBERON:oral cavity"))</f>
        <v>0</v>
      </c>
      <c r="AA348">
        <f>AND(IF(Metadata!G348="",FALSE,TRUE),exact(Metadata!G348,"UBERON:saliva"))</f>
        <v>0</v>
      </c>
      <c r="AB348">
        <f>AND(IF(Metadata!H348="",FALSE,TRUE),exact(Metadata!H348,"UBERON:tongue"))</f>
        <v>0</v>
      </c>
      <c r="AC348">
        <f>AND(IF(Metadata!I348="",FALSE,TRUE),exact(Metadata!I348,"tongue"))</f>
        <v>0</v>
      </c>
      <c r="AD348">
        <f>AND(IF(Metadata!J348="",FALSE,TRUE),exact(Metadata!J348,"human oral metagenome"))</f>
        <v>0</v>
      </c>
      <c r="AE348">
        <f>AND(IF(Metadata!K348="",FALSE,TRUE),exact(Metadata!K348,"447426"))</f>
        <v>0</v>
      </c>
    </row>
    <row r="349" spans="1:31">
      <c r="A349" s="4">
        <f>IF(B349=" "," ",HYPERLINK(CONCATENATE("#metadata!",ADDRESS(INDEX($Q$2:$Q$1001,MATCH(ROWS($O$2:O349),$O$2:$O$1001,0),0),1)),INDEX($T$2:$T$1001,MATCH(ROWS($O$2:O349),$O$2:$O$1001,0),0)))</f>
        <v>0</v>
      </c>
      <c r="B349" s="3">
        <f>IF(OR(INDEX($P$2:$P$1001,MATCH(ROWS($O$2:O349),$O$2:$O$1001,0),1)&gt;=100000,INDEX($V$1005:$AE$1005,1,MATCH(COLUMNS($V$1006:V1006),$V$1006:$AE$1006,0))&gt;=100000), " ",IF(INDEX($V$2:$AE$1001,MATCH(ROWS($O$2:O349),$O$2:$O$1001,0),MATCH(COLUMNS($V$1006:V1006),$V$1006:$AE$1006,0)), HYPERLINK("#",""), HYPERLINK(CONCATENATE("#Metadata!", ADDRESS(INDEX($Q$2:$Q$1001,MATCH(ROWS($O$2:O349),$O$2:$O$1001,0),0), INDEX($V$1004:$AE$1004,1,MATCH(COLUMNS($V$1006:V1006),$V$1006:$AE$1006,0)))),"Fix")))</f>
        <v>0</v>
      </c>
      <c r="C349" s="3">
        <f>IF(OR(INDEX($P$2:$P$1001,MATCH(ROWS($O$2:O349),$O$2:$O$1001,0),1)&gt;=100000,INDEX($V$1005:$AE$1005,1,MATCH(COLUMNS($V$1006:W1006),$V$1006:$AE$1006,0))&gt;=100000), " ",IF(INDEX($V$2:$AE$1001,MATCH(ROWS($O$2:O349),$O$2:$O$1001,0),MATCH(COLUMNS($V$1006:W1006),$V$1006:$AE$1006,0)), HYPERLINK("#",""), HYPERLINK(CONCATENATE("#Metadata!", ADDRESS(INDEX($Q$2:$Q$1001,MATCH(ROWS($O$2:O349),$O$2:$O$1001,0),0), INDEX($V$1004:$AE$1004,1,MATCH(COLUMNS($V$1006:W1006),$V$1006:$AE$1006,0)))),"Fix")))</f>
        <v>0</v>
      </c>
      <c r="D349" s="3">
        <f>IF(OR(INDEX($P$2:$P$1001,MATCH(ROWS($O$2:O349),$O$2:$O$1001,0),1)&gt;=100000,INDEX($V$1005:$AE$1005,1,MATCH(COLUMNS($V$1006:X1006),$V$1006:$AE$1006,0))&gt;=100000), " ",IF(INDEX($V$2:$AE$1001,MATCH(ROWS($O$2:O349),$O$2:$O$1001,0),MATCH(COLUMNS($V$1006:X1006),$V$1006:$AE$1006,0)), HYPERLINK("#",""), HYPERLINK(CONCATENATE("#Metadata!", ADDRESS(INDEX($Q$2:$Q$1001,MATCH(ROWS($O$2:O349),$O$2:$O$1001,0),0), INDEX($V$1004:$AE$1004,1,MATCH(COLUMNS($V$1006:X1006),$V$1006:$AE$1006,0)))),"Fix")))</f>
        <v>0</v>
      </c>
      <c r="E349" s="3">
        <f>IF(OR(INDEX($P$2:$P$1001,MATCH(ROWS($O$2:O349),$O$2:$O$1001,0),1)&gt;=100000,INDEX($V$1005:$AE$1005,1,MATCH(COLUMNS($V$1006:Y1006),$V$1006:$AE$1006,0))&gt;=100000), " ",IF(INDEX($V$2:$AE$1001,MATCH(ROWS($O$2:O349),$O$2:$O$1001,0),MATCH(COLUMNS($V$1006:Y1006),$V$1006:$AE$1006,0)), HYPERLINK("#",""), HYPERLINK(CONCATENATE("#Metadata!", ADDRESS(INDEX($Q$2:$Q$1001,MATCH(ROWS($O$2:O349),$O$2:$O$1001,0),0), INDEX($V$1004:$AE$1004,1,MATCH(COLUMNS($V$1006:Y1006),$V$1006:$AE$1006,0)))),"Fix")))</f>
        <v>0</v>
      </c>
      <c r="F349" s="3">
        <f>IF(OR(INDEX($P$2:$P$1001,MATCH(ROWS($O$2:O349),$O$2:$O$1001,0),1)&gt;=100000,INDEX($V$1005:$AE$1005,1,MATCH(COLUMNS($V$1006:Z1006),$V$1006:$AE$1006,0))&gt;=100000), " ",IF(INDEX($V$2:$AE$1001,MATCH(ROWS($O$2:O349),$O$2:$O$1001,0),MATCH(COLUMNS($V$1006:Z1006),$V$1006:$AE$1006,0)), HYPERLINK("#",""), HYPERLINK(CONCATENATE("#Metadata!", ADDRESS(INDEX($Q$2:$Q$1001,MATCH(ROWS($O$2:O349),$O$2:$O$1001,0),0), INDEX($V$1004:$AE$1004,1,MATCH(COLUMNS($V$1006:Z1006),$V$1006:$AE$1006,0)))),"Fix")))</f>
        <v>0</v>
      </c>
      <c r="G349" s="3">
        <f>IF(OR(INDEX($P$2:$P$1001,MATCH(ROWS($O$2:O349),$O$2:$O$1001,0),1)&gt;=100000,INDEX($V$1005:$AE$1005,1,MATCH(COLUMNS($V$1006:AA1006),$V$1006:$AE$1006,0))&gt;=100000), " ",IF(INDEX($V$2:$AE$1001,MATCH(ROWS($O$2:O349),$O$2:$O$1001,0),MATCH(COLUMNS($V$1006:AA1006),$V$1006:$AE$1006,0)), HYPERLINK("#",""), HYPERLINK(CONCATENATE("#Metadata!", ADDRESS(INDEX($Q$2:$Q$1001,MATCH(ROWS($O$2:O349),$O$2:$O$1001,0),0), INDEX($V$1004:$AE$1004,1,MATCH(COLUMNS($V$1006:AA1006),$V$1006:$AE$1006,0)))),"Fix")))</f>
        <v>0</v>
      </c>
      <c r="H349" s="3">
        <f>IF(OR(INDEX($P$2:$P$1001,MATCH(ROWS($O$2:O349),$O$2:$O$1001,0),1)&gt;=100000,INDEX($V$1005:$AE$1005,1,MATCH(COLUMNS($V$1006:AB1006),$V$1006:$AE$1006,0))&gt;=100000), " ",IF(INDEX($V$2:$AE$1001,MATCH(ROWS($O$2:O349),$O$2:$O$1001,0),MATCH(COLUMNS($V$1006:AB1006),$V$1006:$AE$1006,0)), HYPERLINK("#",""), HYPERLINK(CONCATENATE("#Metadata!", ADDRESS(INDEX($Q$2:$Q$1001,MATCH(ROWS($O$2:O349),$O$2:$O$1001,0),0), INDEX($V$1004:$AE$1004,1,MATCH(COLUMNS($V$1006:AB1006),$V$1006:$AE$1006,0)))),"Fix")))</f>
        <v>0</v>
      </c>
      <c r="I349" s="3">
        <f>IF(OR(INDEX($P$2:$P$1001,MATCH(ROWS($O$2:O349),$O$2:$O$1001,0),1)&gt;=100000,INDEX($V$1005:$AE$1005,1,MATCH(COLUMNS($V$1006:AC1006),$V$1006:$AE$1006,0))&gt;=100000), " ",IF(INDEX($V$2:$AE$1001,MATCH(ROWS($O$2:O349),$O$2:$O$1001,0),MATCH(COLUMNS($V$1006:AC1006),$V$1006:$AE$1006,0)), HYPERLINK("#",""), HYPERLINK(CONCATENATE("#Metadata!", ADDRESS(INDEX($Q$2:$Q$1001,MATCH(ROWS($O$2:O349),$O$2:$O$1001,0),0), INDEX($V$1004:$AE$1004,1,MATCH(COLUMNS($V$1006:AC1006),$V$1006:$AE$1006,0)))),"Fix")))</f>
        <v>0</v>
      </c>
      <c r="J349" s="3">
        <f>IF(OR(INDEX($P$2:$P$1001,MATCH(ROWS($O$2:O349),$O$2:$O$1001,0),1)&gt;=100000,INDEX($V$1005:$AE$1005,1,MATCH(COLUMNS($V$1006:AD1006),$V$1006:$AE$1006,0))&gt;=100000), " ",IF(INDEX($V$2:$AE$1001,MATCH(ROWS($O$2:O349),$O$2:$O$1001,0),MATCH(COLUMNS($V$1006:AD1006),$V$1006:$AE$1006,0)), HYPERLINK("#",""), HYPERLINK(CONCATENATE("#Metadata!", ADDRESS(INDEX($Q$2:$Q$1001,MATCH(ROWS($O$2:O349),$O$2:$O$1001,0),0), INDEX($V$1004:$AE$1004,1,MATCH(COLUMNS($V$1006:AD1006),$V$1006:$AE$1006,0)))),"Fix")))</f>
        <v>0</v>
      </c>
      <c r="K349" s="3">
        <f>IF(OR(INDEX($P$2:$P$1001,MATCH(ROWS($O$2:O349),$O$2:$O$1001,0),1)&gt;=100000,INDEX($V$1005:$AE$1005,1,MATCH(COLUMNS($V$1006:AE1006),$V$1006:$AE$1006,0))&gt;=100000), " ",IF(INDEX($V$2:$AE$1001,MATCH(ROWS($O$2:O349),$O$2:$O$1001,0),MATCH(COLUMNS($V$1006:AE1006),$V$1006:$AE$1006,0)), HYPERLINK("#",""), HYPERLINK(CONCATENATE("#Metadata!", ADDRESS(INDEX($Q$2:$Q$1001,MATCH(ROWS($O$2:O349),$O$2:$O$1001,0),0), INDEX($V$1004:$AE$1004,1,MATCH(COLUMNS($V$1006:AE1006),$V$1006:$AE$1006,0)))),"Fix")))</f>
        <v>0</v>
      </c>
      <c r="O349">
        <v>0</v>
      </c>
      <c r="P349">
        <v>0</v>
      </c>
      <c r="Q349">
        <v>0</v>
      </c>
      <c r="R349">
        <f>IF(S349,TRUE,AND(V349:AE349))</f>
        <v>0</v>
      </c>
      <c r="S349">
        <f>COUNTBLANK(Metadata!B349:K349)=COLUMNS(Metadata!B349:K349)</f>
        <v>0</v>
      </c>
      <c r="T349">
        <v>0</v>
      </c>
      <c r="V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W349">
        <f>AND(IF(Metadata!C349="",FALSE,TRUE),exact(Metadata!C349,"animal secretion"))</f>
        <v>0</v>
      </c>
      <c r="X349">
        <f>AND(IF(Metadata!D349="",FALSE,TRUE),exact(Metadata!D349,"saliva"))</f>
        <v>0</v>
      </c>
      <c r="Y349">
        <f>AND(IF(Metadata!E349="",FALSE,TRUE),exact(Metadata!E349,"human-oral"))</f>
        <v>0</v>
      </c>
      <c r="Z349">
        <f>AND(IF(Metadata!F349="",FALSE,TRUE),exact(Metadata!F349,"UBERON:oral cavity"))</f>
        <v>0</v>
      </c>
      <c r="AA349">
        <f>AND(IF(Metadata!G349="",FALSE,TRUE),exact(Metadata!G349,"UBERON:saliva"))</f>
        <v>0</v>
      </c>
      <c r="AB349">
        <f>AND(IF(Metadata!H349="",FALSE,TRUE),exact(Metadata!H349,"UBERON:tongue"))</f>
        <v>0</v>
      </c>
      <c r="AC349">
        <f>AND(IF(Metadata!I349="",FALSE,TRUE),exact(Metadata!I349,"tongue"))</f>
        <v>0</v>
      </c>
      <c r="AD349">
        <f>AND(IF(Metadata!J349="",FALSE,TRUE),exact(Metadata!J349,"human oral metagenome"))</f>
        <v>0</v>
      </c>
      <c r="AE349">
        <f>AND(IF(Metadata!K349="",FALSE,TRUE),exact(Metadata!K349,"447426"))</f>
        <v>0</v>
      </c>
    </row>
    <row r="350" spans="1:31">
      <c r="A350" s="4">
        <f>IF(B350=" "," ",HYPERLINK(CONCATENATE("#metadata!",ADDRESS(INDEX($Q$2:$Q$1001,MATCH(ROWS($O$2:O350),$O$2:$O$1001,0),0),1)),INDEX($T$2:$T$1001,MATCH(ROWS($O$2:O350),$O$2:$O$1001,0),0)))</f>
        <v>0</v>
      </c>
      <c r="B350" s="3">
        <f>IF(OR(INDEX($P$2:$P$1001,MATCH(ROWS($O$2:O350),$O$2:$O$1001,0),1)&gt;=100000,INDEX($V$1005:$AE$1005,1,MATCH(COLUMNS($V$1006:V1006),$V$1006:$AE$1006,0))&gt;=100000), " ",IF(INDEX($V$2:$AE$1001,MATCH(ROWS($O$2:O350),$O$2:$O$1001,0),MATCH(COLUMNS($V$1006:V1006),$V$1006:$AE$1006,0)), HYPERLINK("#",""), HYPERLINK(CONCATENATE("#Metadata!", ADDRESS(INDEX($Q$2:$Q$1001,MATCH(ROWS($O$2:O350),$O$2:$O$1001,0),0), INDEX($V$1004:$AE$1004,1,MATCH(COLUMNS($V$1006:V1006),$V$1006:$AE$1006,0)))),"Fix")))</f>
        <v>0</v>
      </c>
      <c r="C350" s="3">
        <f>IF(OR(INDEX($P$2:$P$1001,MATCH(ROWS($O$2:O350),$O$2:$O$1001,0),1)&gt;=100000,INDEX($V$1005:$AE$1005,1,MATCH(COLUMNS($V$1006:W1006),$V$1006:$AE$1006,0))&gt;=100000), " ",IF(INDEX($V$2:$AE$1001,MATCH(ROWS($O$2:O350),$O$2:$O$1001,0),MATCH(COLUMNS($V$1006:W1006),$V$1006:$AE$1006,0)), HYPERLINK("#",""), HYPERLINK(CONCATENATE("#Metadata!", ADDRESS(INDEX($Q$2:$Q$1001,MATCH(ROWS($O$2:O350),$O$2:$O$1001,0),0), INDEX($V$1004:$AE$1004,1,MATCH(COLUMNS($V$1006:W1006),$V$1006:$AE$1006,0)))),"Fix")))</f>
        <v>0</v>
      </c>
      <c r="D350" s="3">
        <f>IF(OR(INDEX($P$2:$P$1001,MATCH(ROWS($O$2:O350),$O$2:$O$1001,0),1)&gt;=100000,INDEX($V$1005:$AE$1005,1,MATCH(COLUMNS($V$1006:X1006),$V$1006:$AE$1006,0))&gt;=100000), " ",IF(INDEX($V$2:$AE$1001,MATCH(ROWS($O$2:O350),$O$2:$O$1001,0),MATCH(COLUMNS($V$1006:X1006),$V$1006:$AE$1006,0)), HYPERLINK("#",""), HYPERLINK(CONCATENATE("#Metadata!", ADDRESS(INDEX($Q$2:$Q$1001,MATCH(ROWS($O$2:O350),$O$2:$O$1001,0),0), INDEX($V$1004:$AE$1004,1,MATCH(COLUMNS($V$1006:X1006),$V$1006:$AE$1006,0)))),"Fix")))</f>
        <v>0</v>
      </c>
      <c r="E350" s="3">
        <f>IF(OR(INDEX($P$2:$P$1001,MATCH(ROWS($O$2:O350),$O$2:$O$1001,0),1)&gt;=100000,INDEX($V$1005:$AE$1005,1,MATCH(COLUMNS($V$1006:Y1006),$V$1006:$AE$1006,0))&gt;=100000), " ",IF(INDEX($V$2:$AE$1001,MATCH(ROWS($O$2:O350),$O$2:$O$1001,0),MATCH(COLUMNS($V$1006:Y1006),$V$1006:$AE$1006,0)), HYPERLINK("#",""), HYPERLINK(CONCATENATE("#Metadata!", ADDRESS(INDEX($Q$2:$Q$1001,MATCH(ROWS($O$2:O350),$O$2:$O$1001,0),0), INDEX($V$1004:$AE$1004,1,MATCH(COLUMNS($V$1006:Y1006),$V$1006:$AE$1006,0)))),"Fix")))</f>
        <v>0</v>
      </c>
      <c r="F350" s="3">
        <f>IF(OR(INDEX($P$2:$P$1001,MATCH(ROWS($O$2:O350),$O$2:$O$1001,0),1)&gt;=100000,INDEX($V$1005:$AE$1005,1,MATCH(COLUMNS($V$1006:Z1006),$V$1006:$AE$1006,0))&gt;=100000), " ",IF(INDEX($V$2:$AE$1001,MATCH(ROWS($O$2:O350),$O$2:$O$1001,0),MATCH(COLUMNS($V$1006:Z1006),$V$1006:$AE$1006,0)), HYPERLINK("#",""), HYPERLINK(CONCATENATE("#Metadata!", ADDRESS(INDEX($Q$2:$Q$1001,MATCH(ROWS($O$2:O350),$O$2:$O$1001,0),0), INDEX($V$1004:$AE$1004,1,MATCH(COLUMNS($V$1006:Z1006),$V$1006:$AE$1006,0)))),"Fix")))</f>
        <v>0</v>
      </c>
      <c r="G350" s="3">
        <f>IF(OR(INDEX($P$2:$P$1001,MATCH(ROWS($O$2:O350),$O$2:$O$1001,0),1)&gt;=100000,INDEX($V$1005:$AE$1005,1,MATCH(COLUMNS($V$1006:AA1006),$V$1006:$AE$1006,0))&gt;=100000), " ",IF(INDEX($V$2:$AE$1001,MATCH(ROWS($O$2:O350),$O$2:$O$1001,0),MATCH(COLUMNS($V$1006:AA1006),$V$1006:$AE$1006,0)), HYPERLINK("#",""), HYPERLINK(CONCATENATE("#Metadata!", ADDRESS(INDEX($Q$2:$Q$1001,MATCH(ROWS($O$2:O350),$O$2:$O$1001,0),0), INDEX($V$1004:$AE$1004,1,MATCH(COLUMNS($V$1006:AA1006),$V$1006:$AE$1006,0)))),"Fix")))</f>
        <v>0</v>
      </c>
      <c r="H350" s="3">
        <f>IF(OR(INDEX($P$2:$P$1001,MATCH(ROWS($O$2:O350),$O$2:$O$1001,0),1)&gt;=100000,INDEX($V$1005:$AE$1005,1,MATCH(COLUMNS($V$1006:AB1006),$V$1006:$AE$1006,0))&gt;=100000), " ",IF(INDEX($V$2:$AE$1001,MATCH(ROWS($O$2:O350),$O$2:$O$1001,0),MATCH(COLUMNS($V$1006:AB1006),$V$1006:$AE$1006,0)), HYPERLINK("#",""), HYPERLINK(CONCATENATE("#Metadata!", ADDRESS(INDEX($Q$2:$Q$1001,MATCH(ROWS($O$2:O350),$O$2:$O$1001,0),0), INDEX($V$1004:$AE$1004,1,MATCH(COLUMNS($V$1006:AB1006),$V$1006:$AE$1006,0)))),"Fix")))</f>
        <v>0</v>
      </c>
      <c r="I350" s="3">
        <f>IF(OR(INDEX($P$2:$P$1001,MATCH(ROWS($O$2:O350),$O$2:$O$1001,0),1)&gt;=100000,INDEX($V$1005:$AE$1005,1,MATCH(COLUMNS($V$1006:AC1006),$V$1006:$AE$1006,0))&gt;=100000), " ",IF(INDEX($V$2:$AE$1001,MATCH(ROWS($O$2:O350),$O$2:$O$1001,0),MATCH(COLUMNS($V$1006:AC1006),$V$1006:$AE$1006,0)), HYPERLINK("#",""), HYPERLINK(CONCATENATE("#Metadata!", ADDRESS(INDEX($Q$2:$Q$1001,MATCH(ROWS($O$2:O350),$O$2:$O$1001,0),0), INDEX($V$1004:$AE$1004,1,MATCH(COLUMNS($V$1006:AC1006),$V$1006:$AE$1006,0)))),"Fix")))</f>
        <v>0</v>
      </c>
      <c r="J350" s="3">
        <f>IF(OR(INDEX($P$2:$P$1001,MATCH(ROWS($O$2:O350),$O$2:$O$1001,0),1)&gt;=100000,INDEX($V$1005:$AE$1005,1,MATCH(COLUMNS($V$1006:AD1006),$V$1006:$AE$1006,0))&gt;=100000), " ",IF(INDEX($V$2:$AE$1001,MATCH(ROWS($O$2:O350),$O$2:$O$1001,0),MATCH(COLUMNS($V$1006:AD1006),$V$1006:$AE$1006,0)), HYPERLINK("#",""), HYPERLINK(CONCATENATE("#Metadata!", ADDRESS(INDEX($Q$2:$Q$1001,MATCH(ROWS($O$2:O350),$O$2:$O$1001,0),0), INDEX($V$1004:$AE$1004,1,MATCH(COLUMNS($V$1006:AD1006),$V$1006:$AE$1006,0)))),"Fix")))</f>
        <v>0</v>
      </c>
      <c r="K350" s="3">
        <f>IF(OR(INDEX($P$2:$P$1001,MATCH(ROWS($O$2:O350),$O$2:$O$1001,0),1)&gt;=100000,INDEX($V$1005:$AE$1005,1,MATCH(COLUMNS($V$1006:AE1006),$V$1006:$AE$1006,0))&gt;=100000), " ",IF(INDEX($V$2:$AE$1001,MATCH(ROWS($O$2:O350),$O$2:$O$1001,0),MATCH(COLUMNS($V$1006:AE1006),$V$1006:$AE$1006,0)), HYPERLINK("#",""), HYPERLINK(CONCATENATE("#Metadata!", ADDRESS(INDEX($Q$2:$Q$1001,MATCH(ROWS($O$2:O350),$O$2:$O$1001,0),0), INDEX($V$1004:$AE$1004,1,MATCH(COLUMNS($V$1006:AE1006),$V$1006:$AE$1006,0)))),"Fix")))</f>
        <v>0</v>
      </c>
      <c r="O350">
        <v>0</v>
      </c>
      <c r="P350">
        <v>0</v>
      </c>
      <c r="Q350">
        <v>0</v>
      </c>
      <c r="R350">
        <f>IF(S350,TRUE,AND(V350:AE350))</f>
        <v>0</v>
      </c>
      <c r="S350">
        <f>COUNTBLANK(Metadata!B350:K350)=COLUMNS(Metadata!B350:K350)</f>
        <v>0</v>
      </c>
      <c r="T350">
        <v>0</v>
      </c>
      <c r="V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W350">
        <f>AND(IF(Metadata!C350="",FALSE,TRUE),exact(Metadata!C350,"animal secretion"))</f>
        <v>0</v>
      </c>
      <c r="X350">
        <f>AND(IF(Metadata!D350="",FALSE,TRUE),exact(Metadata!D350,"saliva"))</f>
        <v>0</v>
      </c>
      <c r="Y350">
        <f>AND(IF(Metadata!E350="",FALSE,TRUE),exact(Metadata!E350,"human-oral"))</f>
        <v>0</v>
      </c>
      <c r="Z350">
        <f>AND(IF(Metadata!F350="",FALSE,TRUE),exact(Metadata!F350,"UBERON:oral cavity"))</f>
        <v>0</v>
      </c>
      <c r="AA350">
        <f>AND(IF(Metadata!G350="",FALSE,TRUE),exact(Metadata!G350,"UBERON:saliva"))</f>
        <v>0</v>
      </c>
      <c r="AB350">
        <f>AND(IF(Metadata!H350="",FALSE,TRUE),exact(Metadata!H350,"UBERON:tongue"))</f>
        <v>0</v>
      </c>
      <c r="AC350">
        <f>AND(IF(Metadata!I350="",FALSE,TRUE),exact(Metadata!I350,"tongue"))</f>
        <v>0</v>
      </c>
      <c r="AD350">
        <f>AND(IF(Metadata!J350="",FALSE,TRUE),exact(Metadata!J350,"human oral metagenome"))</f>
        <v>0</v>
      </c>
      <c r="AE350">
        <f>AND(IF(Metadata!K350="",FALSE,TRUE),exact(Metadata!K350,"447426"))</f>
        <v>0</v>
      </c>
    </row>
    <row r="351" spans="1:31">
      <c r="A351" s="4">
        <f>IF(B351=" "," ",HYPERLINK(CONCATENATE("#metadata!",ADDRESS(INDEX($Q$2:$Q$1001,MATCH(ROWS($O$2:O351),$O$2:$O$1001,0),0),1)),INDEX($T$2:$T$1001,MATCH(ROWS($O$2:O351),$O$2:$O$1001,0),0)))</f>
        <v>0</v>
      </c>
      <c r="B351" s="3">
        <f>IF(OR(INDEX($P$2:$P$1001,MATCH(ROWS($O$2:O351),$O$2:$O$1001,0),1)&gt;=100000,INDEX($V$1005:$AE$1005,1,MATCH(COLUMNS($V$1006:V1006),$V$1006:$AE$1006,0))&gt;=100000), " ",IF(INDEX($V$2:$AE$1001,MATCH(ROWS($O$2:O351),$O$2:$O$1001,0),MATCH(COLUMNS($V$1006:V1006),$V$1006:$AE$1006,0)), HYPERLINK("#",""), HYPERLINK(CONCATENATE("#Metadata!", ADDRESS(INDEX($Q$2:$Q$1001,MATCH(ROWS($O$2:O351),$O$2:$O$1001,0),0), INDEX($V$1004:$AE$1004,1,MATCH(COLUMNS($V$1006:V1006),$V$1006:$AE$1006,0)))),"Fix")))</f>
        <v>0</v>
      </c>
      <c r="C351" s="3">
        <f>IF(OR(INDEX($P$2:$P$1001,MATCH(ROWS($O$2:O351),$O$2:$O$1001,0),1)&gt;=100000,INDEX($V$1005:$AE$1005,1,MATCH(COLUMNS($V$1006:W1006),$V$1006:$AE$1006,0))&gt;=100000), " ",IF(INDEX($V$2:$AE$1001,MATCH(ROWS($O$2:O351),$O$2:$O$1001,0),MATCH(COLUMNS($V$1006:W1006),$V$1006:$AE$1006,0)), HYPERLINK("#",""), HYPERLINK(CONCATENATE("#Metadata!", ADDRESS(INDEX($Q$2:$Q$1001,MATCH(ROWS($O$2:O351),$O$2:$O$1001,0),0), INDEX($V$1004:$AE$1004,1,MATCH(COLUMNS($V$1006:W1006),$V$1006:$AE$1006,0)))),"Fix")))</f>
        <v>0</v>
      </c>
      <c r="D351" s="3">
        <f>IF(OR(INDEX($P$2:$P$1001,MATCH(ROWS($O$2:O351),$O$2:$O$1001,0),1)&gt;=100000,INDEX($V$1005:$AE$1005,1,MATCH(COLUMNS($V$1006:X1006),$V$1006:$AE$1006,0))&gt;=100000), " ",IF(INDEX($V$2:$AE$1001,MATCH(ROWS($O$2:O351),$O$2:$O$1001,0),MATCH(COLUMNS($V$1006:X1006),$V$1006:$AE$1006,0)), HYPERLINK("#",""), HYPERLINK(CONCATENATE("#Metadata!", ADDRESS(INDEX($Q$2:$Q$1001,MATCH(ROWS($O$2:O351),$O$2:$O$1001,0),0), INDEX($V$1004:$AE$1004,1,MATCH(COLUMNS($V$1006:X1006),$V$1006:$AE$1006,0)))),"Fix")))</f>
        <v>0</v>
      </c>
      <c r="E351" s="3">
        <f>IF(OR(INDEX($P$2:$P$1001,MATCH(ROWS($O$2:O351),$O$2:$O$1001,0),1)&gt;=100000,INDEX($V$1005:$AE$1005,1,MATCH(COLUMNS($V$1006:Y1006),$V$1006:$AE$1006,0))&gt;=100000), " ",IF(INDEX($V$2:$AE$1001,MATCH(ROWS($O$2:O351),$O$2:$O$1001,0),MATCH(COLUMNS($V$1006:Y1006),$V$1006:$AE$1006,0)), HYPERLINK("#",""), HYPERLINK(CONCATENATE("#Metadata!", ADDRESS(INDEX($Q$2:$Q$1001,MATCH(ROWS($O$2:O351),$O$2:$O$1001,0),0), INDEX($V$1004:$AE$1004,1,MATCH(COLUMNS($V$1006:Y1006),$V$1006:$AE$1006,0)))),"Fix")))</f>
        <v>0</v>
      </c>
      <c r="F351" s="3">
        <f>IF(OR(INDEX($P$2:$P$1001,MATCH(ROWS($O$2:O351),$O$2:$O$1001,0),1)&gt;=100000,INDEX($V$1005:$AE$1005,1,MATCH(COLUMNS($V$1006:Z1006),$V$1006:$AE$1006,0))&gt;=100000), " ",IF(INDEX($V$2:$AE$1001,MATCH(ROWS($O$2:O351),$O$2:$O$1001,0),MATCH(COLUMNS($V$1006:Z1006),$V$1006:$AE$1006,0)), HYPERLINK("#",""), HYPERLINK(CONCATENATE("#Metadata!", ADDRESS(INDEX($Q$2:$Q$1001,MATCH(ROWS($O$2:O351),$O$2:$O$1001,0),0), INDEX($V$1004:$AE$1004,1,MATCH(COLUMNS($V$1006:Z1006),$V$1006:$AE$1006,0)))),"Fix")))</f>
        <v>0</v>
      </c>
      <c r="G351" s="3">
        <f>IF(OR(INDEX($P$2:$P$1001,MATCH(ROWS($O$2:O351),$O$2:$O$1001,0),1)&gt;=100000,INDEX($V$1005:$AE$1005,1,MATCH(COLUMNS($V$1006:AA1006),$V$1006:$AE$1006,0))&gt;=100000), " ",IF(INDEX($V$2:$AE$1001,MATCH(ROWS($O$2:O351),$O$2:$O$1001,0),MATCH(COLUMNS($V$1006:AA1006),$V$1006:$AE$1006,0)), HYPERLINK("#",""), HYPERLINK(CONCATENATE("#Metadata!", ADDRESS(INDEX($Q$2:$Q$1001,MATCH(ROWS($O$2:O351),$O$2:$O$1001,0),0), INDEX($V$1004:$AE$1004,1,MATCH(COLUMNS($V$1006:AA1006),$V$1006:$AE$1006,0)))),"Fix")))</f>
        <v>0</v>
      </c>
      <c r="H351" s="3">
        <f>IF(OR(INDEX($P$2:$P$1001,MATCH(ROWS($O$2:O351),$O$2:$O$1001,0),1)&gt;=100000,INDEX($V$1005:$AE$1005,1,MATCH(COLUMNS($V$1006:AB1006),$V$1006:$AE$1006,0))&gt;=100000), " ",IF(INDEX($V$2:$AE$1001,MATCH(ROWS($O$2:O351),$O$2:$O$1001,0),MATCH(COLUMNS($V$1006:AB1006),$V$1006:$AE$1006,0)), HYPERLINK("#",""), HYPERLINK(CONCATENATE("#Metadata!", ADDRESS(INDEX($Q$2:$Q$1001,MATCH(ROWS($O$2:O351),$O$2:$O$1001,0),0), INDEX($V$1004:$AE$1004,1,MATCH(COLUMNS($V$1006:AB1006),$V$1006:$AE$1006,0)))),"Fix")))</f>
        <v>0</v>
      </c>
      <c r="I351" s="3">
        <f>IF(OR(INDEX($P$2:$P$1001,MATCH(ROWS($O$2:O351),$O$2:$O$1001,0),1)&gt;=100000,INDEX($V$1005:$AE$1005,1,MATCH(COLUMNS($V$1006:AC1006),$V$1006:$AE$1006,0))&gt;=100000), " ",IF(INDEX($V$2:$AE$1001,MATCH(ROWS($O$2:O351),$O$2:$O$1001,0),MATCH(COLUMNS($V$1006:AC1006),$V$1006:$AE$1006,0)), HYPERLINK("#",""), HYPERLINK(CONCATENATE("#Metadata!", ADDRESS(INDEX($Q$2:$Q$1001,MATCH(ROWS($O$2:O351),$O$2:$O$1001,0),0), INDEX($V$1004:$AE$1004,1,MATCH(COLUMNS($V$1006:AC1006),$V$1006:$AE$1006,0)))),"Fix")))</f>
        <v>0</v>
      </c>
      <c r="J351" s="3">
        <f>IF(OR(INDEX($P$2:$P$1001,MATCH(ROWS($O$2:O351),$O$2:$O$1001,0),1)&gt;=100000,INDEX($V$1005:$AE$1005,1,MATCH(COLUMNS($V$1006:AD1006),$V$1006:$AE$1006,0))&gt;=100000), " ",IF(INDEX($V$2:$AE$1001,MATCH(ROWS($O$2:O351),$O$2:$O$1001,0),MATCH(COLUMNS($V$1006:AD1006),$V$1006:$AE$1006,0)), HYPERLINK("#",""), HYPERLINK(CONCATENATE("#Metadata!", ADDRESS(INDEX($Q$2:$Q$1001,MATCH(ROWS($O$2:O351),$O$2:$O$1001,0),0), INDEX($V$1004:$AE$1004,1,MATCH(COLUMNS($V$1006:AD1006),$V$1006:$AE$1006,0)))),"Fix")))</f>
        <v>0</v>
      </c>
      <c r="K351" s="3">
        <f>IF(OR(INDEX($P$2:$P$1001,MATCH(ROWS($O$2:O351),$O$2:$O$1001,0),1)&gt;=100000,INDEX($V$1005:$AE$1005,1,MATCH(COLUMNS($V$1006:AE1006),$V$1006:$AE$1006,0))&gt;=100000), " ",IF(INDEX($V$2:$AE$1001,MATCH(ROWS($O$2:O351),$O$2:$O$1001,0),MATCH(COLUMNS($V$1006:AE1006),$V$1006:$AE$1006,0)), HYPERLINK("#",""), HYPERLINK(CONCATENATE("#Metadata!", ADDRESS(INDEX($Q$2:$Q$1001,MATCH(ROWS($O$2:O351),$O$2:$O$1001,0),0), INDEX($V$1004:$AE$1004,1,MATCH(COLUMNS($V$1006:AE1006),$V$1006:$AE$1006,0)))),"Fix")))</f>
        <v>0</v>
      </c>
      <c r="O351">
        <v>0</v>
      </c>
      <c r="P351">
        <v>0</v>
      </c>
      <c r="Q351">
        <v>0</v>
      </c>
      <c r="R351">
        <f>IF(S351,TRUE,AND(V351:AE351))</f>
        <v>0</v>
      </c>
      <c r="S351">
        <f>COUNTBLANK(Metadata!B351:K351)=COLUMNS(Metadata!B351:K351)</f>
        <v>0</v>
      </c>
      <c r="T351">
        <v>0</v>
      </c>
      <c r="V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W351">
        <f>AND(IF(Metadata!C351="",FALSE,TRUE),exact(Metadata!C351,"animal secretion"))</f>
        <v>0</v>
      </c>
      <c r="X351">
        <f>AND(IF(Metadata!D351="",FALSE,TRUE),exact(Metadata!D351,"saliva"))</f>
        <v>0</v>
      </c>
      <c r="Y351">
        <f>AND(IF(Metadata!E351="",FALSE,TRUE),exact(Metadata!E351,"human-oral"))</f>
        <v>0</v>
      </c>
      <c r="Z351">
        <f>AND(IF(Metadata!F351="",FALSE,TRUE),exact(Metadata!F351,"UBERON:oral cavity"))</f>
        <v>0</v>
      </c>
      <c r="AA351">
        <f>AND(IF(Metadata!G351="",FALSE,TRUE),exact(Metadata!G351,"UBERON:saliva"))</f>
        <v>0</v>
      </c>
      <c r="AB351">
        <f>AND(IF(Metadata!H351="",FALSE,TRUE),exact(Metadata!H351,"UBERON:tongue"))</f>
        <v>0</v>
      </c>
      <c r="AC351">
        <f>AND(IF(Metadata!I351="",FALSE,TRUE),exact(Metadata!I351,"tongue"))</f>
        <v>0</v>
      </c>
      <c r="AD351">
        <f>AND(IF(Metadata!J351="",FALSE,TRUE),exact(Metadata!J351,"human oral metagenome"))</f>
        <v>0</v>
      </c>
      <c r="AE351">
        <f>AND(IF(Metadata!K351="",FALSE,TRUE),exact(Metadata!K351,"447426"))</f>
        <v>0</v>
      </c>
    </row>
    <row r="352" spans="1:31">
      <c r="A352" s="4">
        <f>IF(B352=" "," ",HYPERLINK(CONCATENATE("#metadata!",ADDRESS(INDEX($Q$2:$Q$1001,MATCH(ROWS($O$2:O352),$O$2:$O$1001,0),0),1)),INDEX($T$2:$T$1001,MATCH(ROWS($O$2:O352),$O$2:$O$1001,0),0)))</f>
        <v>0</v>
      </c>
      <c r="B352" s="3">
        <f>IF(OR(INDEX($P$2:$P$1001,MATCH(ROWS($O$2:O352),$O$2:$O$1001,0),1)&gt;=100000,INDEX($V$1005:$AE$1005,1,MATCH(COLUMNS($V$1006:V1006),$V$1006:$AE$1006,0))&gt;=100000), " ",IF(INDEX($V$2:$AE$1001,MATCH(ROWS($O$2:O352),$O$2:$O$1001,0),MATCH(COLUMNS($V$1006:V1006),$V$1006:$AE$1006,0)), HYPERLINK("#",""), HYPERLINK(CONCATENATE("#Metadata!", ADDRESS(INDEX($Q$2:$Q$1001,MATCH(ROWS($O$2:O352),$O$2:$O$1001,0),0), INDEX($V$1004:$AE$1004,1,MATCH(COLUMNS($V$1006:V1006),$V$1006:$AE$1006,0)))),"Fix")))</f>
        <v>0</v>
      </c>
      <c r="C352" s="3">
        <f>IF(OR(INDEX($P$2:$P$1001,MATCH(ROWS($O$2:O352),$O$2:$O$1001,0),1)&gt;=100000,INDEX($V$1005:$AE$1005,1,MATCH(COLUMNS($V$1006:W1006),$V$1006:$AE$1006,0))&gt;=100000), " ",IF(INDEX($V$2:$AE$1001,MATCH(ROWS($O$2:O352),$O$2:$O$1001,0),MATCH(COLUMNS($V$1006:W1006),$V$1006:$AE$1006,0)), HYPERLINK("#",""), HYPERLINK(CONCATENATE("#Metadata!", ADDRESS(INDEX($Q$2:$Q$1001,MATCH(ROWS($O$2:O352),$O$2:$O$1001,0),0), INDEX($V$1004:$AE$1004,1,MATCH(COLUMNS($V$1006:W1006),$V$1006:$AE$1006,0)))),"Fix")))</f>
        <v>0</v>
      </c>
      <c r="D352" s="3">
        <f>IF(OR(INDEX($P$2:$P$1001,MATCH(ROWS($O$2:O352),$O$2:$O$1001,0),1)&gt;=100000,INDEX($V$1005:$AE$1005,1,MATCH(COLUMNS($V$1006:X1006),$V$1006:$AE$1006,0))&gt;=100000), " ",IF(INDEX($V$2:$AE$1001,MATCH(ROWS($O$2:O352),$O$2:$O$1001,0),MATCH(COLUMNS($V$1006:X1006),$V$1006:$AE$1006,0)), HYPERLINK("#",""), HYPERLINK(CONCATENATE("#Metadata!", ADDRESS(INDEX($Q$2:$Q$1001,MATCH(ROWS($O$2:O352),$O$2:$O$1001,0),0), INDEX($V$1004:$AE$1004,1,MATCH(COLUMNS($V$1006:X1006),$V$1006:$AE$1006,0)))),"Fix")))</f>
        <v>0</v>
      </c>
      <c r="E352" s="3">
        <f>IF(OR(INDEX($P$2:$P$1001,MATCH(ROWS($O$2:O352),$O$2:$O$1001,0),1)&gt;=100000,INDEX($V$1005:$AE$1005,1,MATCH(COLUMNS($V$1006:Y1006),$V$1006:$AE$1006,0))&gt;=100000), " ",IF(INDEX($V$2:$AE$1001,MATCH(ROWS($O$2:O352),$O$2:$O$1001,0),MATCH(COLUMNS($V$1006:Y1006),$V$1006:$AE$1006,0)), HYPERLINK("#",""), HYPERLINK(CONCATENATE("#Metadata!", ADDRESS(INDEX($Q$2:$Q$1001,MATCH(ROWS($O$2:O352),$O$2:$O$1001,0),0), INDEX($V$1004:$AE$1004,1,MATCH(COLUMNS($V$1006:Y1006),$V$1006:$AE$1006,0)))),"Fix")))</f>
        <v>0</v>
      </c>
      <c r="F352" s="3">
        <f>IF(OR(INDEX($P$2:$P$1001,MATCH(ROWS($O$2:O352),$O$2:$O$1001,0),1)&gt;=100000,INDEX($V$1005:$AE$1005,1,MATCH(COLUMNS($V$1006:Z1006),$V$1006:$AE$1006,0))&gt;=100000), " ",IF(INDEX($V$2:$AE$1001,MATCH(ROWS($O$2:O352),$O$2:$O$1001,0),MATCH(COLUMNS($V$1006:Z1006),$V$1006:$AE$1006,0)), HYPERLINK("#",""), HYPERLINK(CONCATENATE("#Metadata!", ADDRESS(INDEX($Q$2:$Q$1001,MATCH(ROWS($O$2:O352),$O$2:$O$1001,0),0), INDEX($V$1004:$AE$1004,1,MATCH(COLUMNS($V$1006:Z1006),$V$1006:$AE$1006,0)))),"Fix")))</f>
        <v>0</v>
      </c>
      <c r="G352" s="3">
        <f>IF(OR(INDEX($P$2:$P$1001,MATCH(ROWS($O$2:O352),$O$2:$O$1001,0),1)&gt;=100000,INDEX($V$1005:$AE$1005,1,MATCH(COLUMNS($V$1006:AA1006),$V$1006:$AE$1006,0))&gt;=100000), " ",IF(INDEX($V$2:$AE$1001,MATCH(ROWS($O$2:O352),$O$2:$O$1001,0),MATCH(COLUMNS($V$1006:AA1006),$V$1006:$AE$1006,0)), HYPERLINK("#",""), HYPERLINK(CONCATENATE("#Metadata!", ADDRESS(INDEX($Q$2:$Q$1001,MATCH(ROWS($O$2:O352),$O$2:$O$1001,0),0), INDEX($V$1004:$AE$1004,1,MATCH(COLUMNS($V$1006:AA1006),$V$1006:$AE$1006,0)))),"Fix")))</f>
        <v>0</v>
      </c>
      <c r="H352" s="3">
        <f>IF(OR(INDEX($P$2:$P$1001,MATCH(ROWS($O$2:O352),$O$2:$O$1001,0),1)&gt;=100000,INDEX($V$1005:$AE$1005,1,MATCH(COLUMNS($V$1006:AB1006),$V$1006:$AE$1006,0))&gt;=100000), " ",IF(INDEX($V$2:$AE$1001,MATCH(ROWS($O$2:O352),$O$2:$O$1001,0),MATCH(COLUMNS($V$1006:AB1006),$V$1006:$AE$1006,0)), HYPERLINK("#",""), HYPERLINK(CONCATENATE("#Metadata!", ADDRESS(INDEX($Q$2:$Q$1001,MATCH(ROWS($O$2:O352),$O$2:$O$1001,0),0), INDEX($V$1004:$AE$1004,1,MATCH(COLUMNS($V$1006:AB1006),$V$1006:$AE$1006,0)))),"Fix")))</f>
        <v>0</v>
      </c>
      <c r="I352" s="3">
        <f>IF(OR(INDEX($P$2:$P$1001,MATCH(ROWS($O$2:O352),$O$2:$O$1001,0),1)&gt;=100000,INDEX($V$1005:$AE$1005,1,MATCH(COLUMNS($V$1006:AC1006),$V$1006:$AE$1006,0))&gt;=100000), " ",IF(INDEX($V$2:$AE$1001,MATCH(ROWS($O$2:O352),$O$2:$O$1001,0),MATCH(COLUMNS($V$1006:AC1006),$V$1006:$AE$1006,0)), HYPERLINK("#",""), HYPERLINK(CONCATENATE("#Metadata!", ADDRESS(INDEX($Q$2:$Q$1001,MATCH(ROWS($O$2:O352),$O$2:$O$1001,0),0), INDEX($V$1004:$AE$1004,1,MATCH(COLUMNS($V$1006:AC1006),$V$1006:$AE$1006,0)))),"Fix")))</f>
        <v>0</v>
      </c>
      <c r="J352" s="3">
        <f>IF(OR(INDEX($P$2:$P$1001,MATCH(ROWS($O$2:O352),$O$2:$O$1001,0),1)&gt;=100000,INDEX($V$1005:$AE$1005,1,MATCH(COLUMNS($V$1006:AD1006),$V$1006:$AE$1006,0))&gt;=100000), " ",IF(INDEX($V$2:$AE$1001,MATCH(ROWS($O$2:O352),$O$2:$O$1001,0),MATCH(COLUMNS($V$1006:AD1006),$V$1006:$AE$1006,0)), HYPERLINK("#",""), HYPERLINK(CONCATENATE("#Metadata!", ADDRESS(INDEX($Q$2:$Q$1001,MATCH(ROWS($O$2:O352),$O$2:$O$1001,0),0), INDEX($V$1004:$AE$1004,1,MATCH(COLUMNS($V$1006:AD1006),$V$1006:$AE$1006,0)))),"Fix")))</f>
        <v>0</v>
      </c>
      <c r="K352" s="3">
        <f>IF(OR(INDEX($P$2:$P$1001,MATCH(ROWS($O$2:O352),$O$2:$O$1001,0),1)&gt;=100000,INDEX($V$1005:$AE$1005,1,MATCH(COLUMNS($V$1006:AE1006),$V$1006:$AE$1006,0))&gt;=100000), " ",IF(INDEX($V$2:$AE$1001,MATCH(ROWS($O$2:O352),$O$2:$O$1001,0),MATCH(COLUMNS($V$1006:AE1006),$V$1006:$AE$1006,0)), HYPERLINK("#",""), HYPERLINK(CONCATENATE("#Metadata!", ADDRESS(INDEX($Q$2:$Q$1001,MATCH(ROWS($O$2:O352),$O$2:$O$1001,0),0), INDEX($V$1004:$AE$1004,1,MATCH(COLUMNS($V$1006:AE1006),$V$1006:$AE$1006,0)))),"Fix")))</f>
        <v>0</v>
      </c>
      <c r="O352">
        <v>0</v>
      </c>
      <c r="P352">
        <v>0</v>
      </c>
      <c r="Q352">
        <v>0</v>
      </c>
      <c r="R352">
        <f>IF(S352,TRUE,AND(V352:AE352))</f>
        <v>0</v>
      </c>
      <c r="S352">
        <f>COUNTBLANK(Metadata!B352:K352)=COLUMNS(Metadata!B352:K352)</f>
        <v>0</v>
      </c>
      <c r="T352">
        <v>0</v>
      </c>
      <c r="V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W352">
        <f>AND(IF(Metadata!C352="",FALSE,TRUE),exact(Metadata!C352,"animal secretion"))</f>
        <v>0</v>
      </c>
      <c r="X352">
        <f>AND(IF(Metadata!D352="",FALSE,TRUE),exact(Metadata!D352,"saliva"))</f>
        <v>0</v>
      </c>
      <c r="Y352">
        <f>AND(IF(Metadata!E352="",FALSE,TRUE),exact(Metadata!E352,"human-oral"))</f>
        <v>0</v>
      </c>
      <c r="Z352">
        <f>AND(IF(Metadata!F352="",FALSE,TRUE),exact(Metadata!F352,"UBERON:oral cavity"))</f>
        <v>0</v>
      </c>
      <c r="AA352">
        <f>AND(IF(Metadata!G352="",FALSE,TRUE),exact(Metadata!G352,"UBERON:saliva"))</f>
        <v>0</v>
      </c>
      <c r="AB352">
        <f>AND(IF(Metadata!H352="",FALSE,TRUE),exact(Metadata!H352,"UBERON:tongue"))</f>
        <v>0</v>
      </c>
      <c r="AC352">
        <f>AND(IF(Metadata!I352="",FALSE,TRUE),exact(Metadata!I352,"tongue"))</f>
        <v>0</v>
      </c>
      <c r="AD352">
        <f>AND(IF(Metadata!J352="",FALSE,TRUE),exact(Metadata!J352,"human oral metagenome"))</f>
        <v>0</v>
      </c>
      <c r="AE352">
        <f>AND(IF(Metadata!K352="",FALSE,TRUE),exact(Metadata!K352,"447426"))</f>
        <v>0</v>
      </c>
    </row>
    <row r="353" spans="1:31">
      <c r="A353" s="4">
        <f>IF(B353=" "," ",HYPERLINK(CONCATENATE("#metadata!",ADDRESS(INDEX($Q$2:$Q$1001,MATCH(ROWS($O$2:O353),$O$2:$O$1001,0),0),1)),INDEX($T$2:$T$1001,MATCH(ROWS($O$2:O353),$O$2:$O$1001,0),0)))</f>
        <v>0</v>
      </c>
      <c r="B353" s="3">
        <f>IF(OR(INDEX($P$2:$P$1001,MATCH(ROWS($O$2:O353),$O$2:$O$1001,0),1)&gt;=100000,INDEX($V$1005:$AE$1005,1,MATCH(COLUMNS($V$1006:V1006),$V$1006:$AE$1006,0))&gt;=100000), " ",IF(INDEX($V$2:$AE$1001,MATCH(ROWS($O$2:O353),$O$2:$O$1001,0),MATCH(COLUMNS($V$1006:V1006),$V$1006:$AE$1006,0)), HYPERLINK("#",""), HYPERLINK(CONCATENATE("#Metadata!", ADDRESS(INDEX($Q$2:$Q$1001,MATCH(ROWS($O$2:O353),$O$2:$O$1001,0),0), INDEX($V$1004:$AE$1004,1,MATCH(COLUMNS($V$1006:V1006),$V$1006:$AE$1006,0)))),"Fix")))</f>
        <v>0</v>
      </c>
      <c r="C353" s="3">
        <f>IF(OR(INDEX($P$2:$P$1001,MATCH(ROWS($O$2:O353),$O$2:$O$1001,0),1)&gt;=100000,INDEX($V$1005:$AE$1005,1,MATCH(COLUMNS($V$1006:W1006),$V$1006:$AE$1006,0))&gt;=100000), " ",IF(INDEX($V$2:$AE$1001,MATCH(ROWS($O$2:O353),$O$2:$O$1001,0),MATCH(COLUMNS($V$1006:W1006),$V$1006:$AE$1006,0)), HYPERLINK("#",""), HYPERLINK(CONCATENATE("#Metadata!", ADDRESS(INDEX($Q$2:$Q$1001,MATCH(ROWS($O$2:O353),$O$2:$O$1001,0),0), INDEX($V$1004:$AE$1004,1,MATCH(COLUMNS($V$1006:W1006),$V$1006:$AE$1006,0)))),"Fix")))</f>
        <v>0</v>
      </c>
      <c r="D353" s="3">
        <f>IF(OR(INDEX($P$2:$P$1001,MATCH(ROWS($O$2:O353),$O$2:$O$1001,0),1)&gt;=100000,INDEX($V$1005:$AE$1005,1,MATCH(COLUMNS($V$1006:X1006),$V$1006:$AE$1006,0))&gt;=100000), " ",IF(INDEX($V$2:$AE$1001,MATCH(ROWS($O$2:O353),$O$2:$O$1001,0),MATCH(COLUMNS($V$1006:X1006),$V$1006:$AE$1006,0)), HYPERLINK("#",""), HYPERLINK(CONCATENATE("#Metadata!", ADDRESS(INDEX($Q$2:$Q$1001,MATCH(ROWS($O$2:O353),$O$2:$O$1001,0),0), INDEX($V$1004:$AE$1004,1,MATCH(COLUMNS($V$1006:X1006),$V$1006:$AE$1006,0)))),"Fix")))</f>
        <v>0</v>
      </c>
      <c r="E353" s="3">
        <f>IF(OR(INDEX($P$2:$P$1001,MATCH(ROWS($O$2:O353),$O$2:$O$1001,0),1)&gt;=100000,INDEX($V$1005:$AE$1005,1,MATCH(COLUMNS($V$1006:Y1006),$V$1006:$AE$1006,0))&gt;=100000), " ",IF(INDEX($V$2:$AE$1001,MATCH(ROWS($O$2:O353),$O$2:$O$1001,0),MATCH(COLUMNS($V$1006:Y1006),$V$1006:$AE$1006,0)), HYPERLINK("#",""), HYPERLINK(CONCATENATE("#Metadata!", ADDRESS(INDEX($Q$2:$Q$1001,MATCH(ROWS($O$2:O353),$O$2:$O$1001,0),0), INDEX($V$1004:$AE$1004,1,MATCH(COLUMNS($V$1006:Y1006),$V$1006:$AE$1006,0)))),"Fix")))</f>
        <v>0</v>
      </c>
      <c r="F353" s="3">
        <f>IF(OR(INDEX($P$2:$P$1001,MATCH(ROWS($O$2:O353),$O$2:$O$1001,0),1)&gt;=100000,INDEX($V$1005:$AE$1005,1,MATCH(COLUMNS($V$1006:Z1006),$V$1006:$AE$1006,0))&gt;=100000), " ",IF(INDEX($V$2:$AE$1001,MATCH(ROWS($O$2:O353),$O$2:$O$1001,0),MATCH(COLUMNS($V$1006:Z1006),$V$1006:$AE$1006,0)), HYPERLINK("#",""), HYPERLINK(CONCATENATE("#Metadata!", ADDRESS(INDEX($Q$2:$Q$1001,MATCH(ROWS($O$2:O353),$O$2:$O$1001,0),0), INDEX($V$1004:$AE$1004,1,MATCH(COLUMNS($V$1006:Z1006),$V$1006:$AE$1006,0)))),"Fix")))</f>
        <v>0</v>
      </c>
      <c r="G353" s="3">
        <f>IF(OR(INDEX($P$2:$P$1001,MATCH(ROWS($O$2:O353),$O$2:$O$1001,0),1)&gt;=100000,INDEX($V$1005:$AE$1005,1,MATCH(COLUMNS($V$1006:AA1006),$V$1006:$AE$1006,0))&gt;=100000), " ",IF(INDEX($V$2:$AE$1001,MATCH(ROWS($O$2:O353),$O$2:$O$1001,0),MATCH(COLUMNS($V$1006:AA1006),$V$1006:$AE$1006,0)), HYPERLINK("#",""), HYPERLINK(CONCATENATE("#Metadata!", ADDRESS(INDEX($Q$2:$Q$1001,MATCH(ROWS($O$2:O353),$O$2:$O$1001,0),0), INDEX($V$1004:$AE$1004,1,MATCH(COLUMNS($V$1006:AA1006),$V$1006:$AE$1006,0)))),"Fix")))</f>
        <v>0</v>
      </c>
      <c r="H353" s="3">
        <f>IF(OR(INDEX($P$2:$P$1001,MATCH(ROWS($O$2:O353),$O$2:$O$1001,0),1)&gt;=100000,INDEX($V$1005:$AE$1005,1,MATCH(COLUMNS($V$1006:AB1006),$V$1006:$AE$1006,0))&gt;=100000), " ",IF(INDEX($V$2:$AE$1001,MATCH(ROWS($O$2:O353),$O$2:$O$1001,0),MATCH(COLUMNS($V$1006:AB1006),$V$1006:$AE$1006,0)), HYPERLINK("#",""), HYPERLINK(CONCATENATE("#Metadata!", ADDRESS(INDEX($Q$2:$Q$1001,MATCH(ROWS($O$2:O353),$O$2:$O$1001,0),0), INDEX($V$1004:$AE$1004,1,MATCH(COLUMNS($V$1006:AB1006),$V$1006:$AE$1006,0)))),"Fix")))</f>
        <v>0</v>
      </c>
      <c r="I353" s="3">
        <f>IF(OR(INDEX($P$2:$P$1001,MATCH(ROWS($O$2:O353),$O$2:$O$1001,0),1)&gt;=100000,INDEX($V$1005:$AE$1005,1,MATCH(COLUMNS($V$1006:AC1006),$V$1006:$AE$1006,0))&gt;=100000), " ",IF(INDEX($V$2:$AE$1001,MATCH(ROWS($O$2:O353),$O$2:$O$1001,0),MATCH(COLUMNS($V$1006:AC1006),$V$1006:$AE$1006,0)), HYPERLINK("#",""), HYPERLINK(CONCATENATE("#Metadata!", ADDRESS(INDEX($Q$2:$Q$1001,MATCH(ROWS($O$2:O353),$O$2:$O$1001,0),0), INDEX($V$1004:$AE$1004,1,MATCH(COLUMNS($V$1006:AC1006),$V$1006:$AE$1006,0)))),"Fix")))</f>
        <v>0</v>
      </c>
      <c r="J353" s="3">
        <f>IF(OR(INDEX($P$2:$P$1001,MATCH(ROWS($O$2:O353),$O$2:$O$1001,0),1)&gt;=100000,INDEX($V$1005:$AE$1005,1,MATCH(COLUMNS($V$1006:AD1006),$V$1006:$AE$1006,0))&gt;=100000), " ",IF(INDEX($V$2:$AE$1001,MATCH(ROWS($O$2:O353),$O$2:$O$1001,0),MATCH(COLUMNS($V$1006:AD1006),$V$1006:$AE$1006,0)), HYPERLINK("#",""), HYPERLINK(CONCATENATE("#Metadata!", ADDRESS(INDEX($Q$2:$Q$1001,MATCH(ROWS($O$2:O353),$O$2:$O$1001,0),0), INDEX($V$1004:$AE$1004,1,MATCH(COLUMNS($V$1006:AD1006),$V$1006:$AE$1006,0)))),"Fix")))</f>
        <v>0</v>
      </c>
      <c r="K353" s="3">
        <f>IF(OR(INDEX($P$2:$P$1001,MATCH(ROWS($O$2:O353),$O$2:$O$1001,0),1)&gt;=100000,INDEX($V$1005:$AE$1005,1,MATCH(COLUMNS($V$1006:AE1006),$V$1006:$AE$1006,0))&gt;=100000), " ",IF(INDEX($V$2:$AE$1001,MATCH(ROWS($O$2:O353),$O$2:$O$1001,0),MATCH(COLUMNS($V$1006:AE1006),$V$1006:$AE$1006,0)), HYPERLINK("#",""), HYPERLINK(CONCATENATE("#Metadata!", ADDRESS(INDEX($Q$2:$Q$1001,MATCH(ROWS($O$2:O353),$O$2:$O$1001,0),0), INDEX($V$1004:$AE$1004,1,MATCH(COLUMNS($V$1006:AE1006),$V$1006:$AE$1006,0)))),"Fix")))</f>
        <v>0</v>
      </c>
      <c r="O353">
        <v>0</v>
      </c>
      <c r="P353">
        <v>0</v>
      </c>
      <c r="Q353">
        <v>0</v>
      </c>
      <c r="R353">
        <f>IF(S353,TRUE,AND(V353:AE353))</f>
        <v>0</v>
      </c>
      <c r="S353">
        <f>COUNTBLANK(Metadata!B353:K353)=COLUMNS(Metadata!B353:K353)</f>
        <v>0</v>
      </c>
      <c r="T353">
        <v>0</v>
      </c>
      <c r="V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W353">
        <f>AND(IF(Metadata!C353="",FALSE,TRUE),exact(Metadata!C353,"animal secretion"))</f>
        <v>0</v>
      </c>
      <c r="X353">
        <f>AND(IF(Metadata!D353="",FALSE,TRUE),exact(Metadata!D353,"saliva"))</f>
        <v>0</v>
      </c>
      <c r="Y353">
        <f>AND(IF(Metadata!E353="",FALSE,TRUE),exact(Metadata!E353,"human-oral"))</f>
        <v>0</v>
      </c>
      <c r="Z353">
        <f>AND(IF(Metadata!F353="",FALSE,TRUE),exact(Metadata!F353,"UBERON:oral cavity"))</f>
        <v>0</v>
      </c>
      <c r="AA353">
        <f>AND(IF(Metadata!G353="",FALSE,TRUE),exact(Metadata!G353,"UBERON:saliva"))</f>
        <v>0</v>
      </c>
      <c r="AB353">
        <f>AND(IF(Metadata!H353="",FALSE,TRUE),exact(Metadata!H353,"UBERON:tongue"))</f>
        <v>0</v>
      </c>
      <c r="AC353">
        <f>AND(IF(Metadata!I353="",FALSE,TRUE),exact(Metadata!I353,"tongue"))</f>
        <v>0</v>
      </c>
      <c r="AD353">
        <f>AND(IF(Metadata!J353="",FALSE,TRUE),exact(Metadata!J353,"human oral metagenome"))</f>
        <v>0</v>
      </c>
      <c r="AE353">
        <f>AND(IF(Metadata!K353="",FALSE,TRUE),exact(Metadata!K353,"447426"))</f>
        <v>0</v>
      </c>
    </row>
    <row r="354" spans="1:31">
      <c r="A354" s="4">
        <f>IF(B354=" "," ",HYPERLINK(CONCATENATE("#metadata!",ADDRESS(INDEX($Q$2:$Q$1001,MATCH(ROWS($O$2:O354),$O$2:$O$1001,0),0),1)),INDEX($T$2:$T$1001,MATCH(ROWS($O$2:O354),$O$2:$O$1001,0),0)))</f>
        <v>0</v>
      </c>
      <c r="B354" s="3">
        <f>IF(OR(INDEX($P$2:$P$1001,MATCH(ROWS($O$2:O354),$O$2:$O$1001,0),1)&gt;=100000,INDEX($V$1005:$AE$1005,1,MATCH(COLUMNS($V$1006:V1006),$V$1006:$AE$1006,0))&gt;=100000), " ",IF(INDEX($V$2:$AE$1001,MATCH(ROWS($O$2:O354),$O$2:$O$1001,0),MATCH(COLUMNS($V$1006:V1006),$V$1006:$AE$1006,0)), HYPERLINK("#",""), HYPERLINK(CONCATENATE("#Metadata!", ADDRESS(INDEX($Q$2:$Q$1001,MATCH(ROWS($O$2:O354),$O$2:$O$1001,0),0), INDEX($V$1004:$AE$1004,1,MATCH(COLUMNS($V$1006:V1006),$V$1006:$AE$1006,0)))),"Fix")))</f>
        <v>0</v>
      </c>
      <c r="C354" s="3">
        <f>IF(OR(INDEX($P$2:$P$1001,MATCH(ROWS($O$2:O354),$O$2:$O$1001,0),1)&gt;=100000,INDEX($V$1005:$AE$1005,1,MATCH(COLUMNS($V$1006:W1006),$V$1006:$AE$1006,0))&gt;=100000), " ",IF(INDEX($V$2:$AE$1001,MATCH(ROWS($O$2:O354),$O$2:$O$1001,0),MATCH(COLUMNS($V$1006:W1006),$V$1006:$AE$1006,0)), HYPERLINK("#",""), HYPERLINK(CONCATENATE("#Metadata!", ADDRESS(INDEX($Q$2:$Q$1001,MATCH(ROWS($O$2:O354),$O$2:$O$1001,0),0), INDEX($V$1004:$AE$1004,1,MATCH(COLUMNS($V$1006:W1006),$V$1006:$AE$1006,0)))),"Fix")))</f>
        <v>0</v>
      </c>
      <c r="D354" s="3">
        <f>IF(OR(INDEX($P$2:$P$1001,MATCH(ROWS($O$2:O354),$O$2:$O$1001,0),1)&gt;=100000,INDEX($V$1005:$AE$1005,1,MATCH(COLUMNS($V$1006:X1006),$V$1006:$AE$1006,0))&gt;=100000), " ",IF(INDEX($V$2:$AE$1001,MATCH(ROWS($O$2:O354),$O$2:$O$1001,0),MATCH(COLUMNS($V$1006:X1006),$V$1006:$AE$1006,0)), HYPERLINK("#",""), HYPERLINK(CONCATENATE("#Metadata!", ADDRESS(INDEX($Q$2:$Q$1001,MATCH(ROWS($O$2:O354),$O$2:$O$1001,0),0), INDEX($V$1004:$AE$1004,1,MATCH(COLUMNS($V$1006:X1006),$V$1006:$AE$1006,0)))),"Fix")))</f>
        <v>0</v>
      </c>
      <c r="E354" s="3">
        <f>IF(OR(INDEX($P$2:$P$1001,MATCH(ROWS($O$2:O354),$O$2:$O$1001,0),1)&gt;=100000,INDEX($V$1005:$AE$1005,1,MATCH(COLUMNS($V$1006:Y1006),$V$1006:$AE$1006,0))&gt;=100000), " ",IF(INDEX($V$2:$AE$1001,MATCH(ROWS($O$2:O354),$O$2:$O$1001,0),MATCH(COLUMNS($V$1006:Y1006),$V$1006:$AE$1006,0)), HYPERLINK("#",""), HYPERLINK(CONCATENATE("#Metadata!", ADDRESS(INDEX($Q$2:$Q$1001,MATCH(ROWS($O$2:O354),$O$2:$O$1001,0),0), INDEX($V$1004:$AE$1004,1,MATCH(COLUMNS($V$1006:Y1006),$V$1006:$AE$1006,0)))),"Fix")))</f>
        <v>0</v>
      </c>
      <c r="F354" s="3">
        <f>IF(OR(INDEX($P$2:$P$1001,MATCH(ROWS($O$2:O354),$O$2:$O$1001,0),1)&gt;=100000,INDEX($V$1005:$AE$1005,1,MATCH(COLUMNS($V$1006:Z1006),$V$1006:$AE$1006,0))&gt;=100000), " ",IF(INDEX($V$2:$AE$1001,MATCH(ROWS($O$2:O354),$O$2:$O$1001,0),MATCH(COLUMNS($V$1006:Z1006),$V$1006:$AE$1006,0)), HYPERLINK("#",""), HYPERLINK(CONCATENATE("#Metadata!", ADDRESS(INDEX($Q$2:$Q$1001,MATCH(ROWS($O$2:O354),$O$2:$O$1001,0),0), INDEX($V$1004:$AE$1004,1,MATCH(COLUMNS($V$1006:Z1006),$V$1006:$AE$1006,0)))),"Fix")))</f>
        <v>0</v>
      </c>
      <c r="G354" s="3">
        <f>IF(OR(INDEX($P$2:$P$1001,MATCH(ROWS($O$2:O354),$O$2:$O$1001,0),1)&gt;=100000,INDEX($V$1005:$AE$1005,1,MATCH(COLUMNS($V$1006:AA1006),$V$1006:$AE$1006,0))&gt;=100000), " ",IF(INDEX($V$2:$AE$1001,MATCH(ROWS($O$2:O354),$O$2:$O$1001,0),MATCH(COLUMNS($V$1006:AA1006),$V$1006:$AE$1006,0)), HYPERLINK("#",""), HYPERLINK(CONCATENATE("#Metadata!", ADDRESS(INDEX($Q$2:$Q$1001,MATCH(ROWS($O$2:O354),$O$2:$O$1001,0),0), INDEX($V$1004:$AE$1004,1,MATCH(COLUMNS($V$1006:AA1006),$V$1006:$AE$1006,0)))),"Fix")))</f>
        <v>0</v>
      </c>
      <c r="H354" s="3">
        <f>IF(OR(INDEX($P$2:$P$1001,MATCH(ROWS($O$2:O354),$O$2:$O$1001,0),1)&gt;=100000,INDEX($V$1005:$AE$1005,1,MATCH(COLUMNS($V$1006:AB1006),$V$1006:$AE$1006,0))&gt;=100000), " ",IF(INDEX($V$2:$AE$1001,MATCH(ROWS($O$2:O354),$O$2:$O$1001,0),MATCH(COLUMNS($V$1006:AB1006),$V$1006:$AE$1006,0)), HYPERLINK("#",""), HYPERLINK(CONCATENATE("#Metadata!", ADDRESS(INDEX($Q$2:$Q$1001,MATCH(ROWS($O$2:O354),$O$2:$O$1001,0),0), INDEX($V$1004:$AE$1004,1,MATCH(COLUMNS($V$1006:AB1006),$V$1006:$AE$1006,0)))),"Fix")))</f>
        <v>0</v>
      </c>
      <c r="I354" s="3">
        <f>IF(OR(INDEX($P$2:$P$1001,MATCH(ROWS($O$2:O354),$O$2:$O$1001,0),1)&gt;=100000,INDEX($V$1005:$AE$1005,1,MATCH(COLUMNS($V$1006:AC1006),$V$1006:$AE$1006,0))&gt;=100000), " ",IF(INDEX($V$2:$AE$1001,MATCH(ROWS($O$2:O354),$O$2:$O$1001,0),MATCH(COLUMNS($V$1006:AC1006),$V$1006:$AE$1006,0)), HYPERLINK("#",""), HYPERLINK(CONCATENATE("#Metadata!", ADDRESS(INDEX($Q$2:$Q$1001,MATCH(ROWS($O$2:O354),$O$2:$O$1001,0),0), INDEX($V$1004:$AE$1004,1,MATCH(COLUMNS($V$1006:AC1006),$V$1006:$AE$1006,0)))),"Fix")))</f>
        <v>0</v>
      </c>
      <c r="J354" s="3">
        <f>IF(OR(INDEX($P$2:$P$1001,MATCH(ROWS($O$2:O354),$O$2:$O$1001,0),1)&gt;=100000,INDEX($V$1005:$AE$1005,1,MATCH(COLUMNS($V$1006:AD1006),$V$1006:$AE$1006,0))&gt;=100000), " ",IF(INDEX($V$2:$AE$1001,MATCH(ROWS($O$2:O354),$O$2:$O$1001,0),MATCH(COLUMNS($V$1006:AD1006),$V$1006:$AE$1006,0)), HYPERLINK("#",""), HYPERLINK(CONCATENATE("#Metadata!", ADDRESS(INDEX($Q$2:$Q$1001,MATCH(ROWS($O$2:O354),$O$2:$O$1001,0),0), INDEX($V$1004:$AE$1004,1,MATCH(COLUMNS($V$1006:AD1006),$V$1006:$AE$1006,0)))),"Fix")))</f>
        <v>0</v>
      </c>
      <c r="K354" s="3">
        <f>IF(OR(INDEX($P$2:$P$1001,MATCH(ROWS($O$2:O354),$O$2:$O$1001,0),1)&gt;=100000,INDEX($V$1005:$AE$1005,1,MATCH(COLUMNS($V$1006:AE1006),$V$1006:$AE$1006,0))&gt;=100000), " ",IF(INDEX($V$2:$AE$1001,MATCH(ROWS($O$2:O354),$O$2:$O$1001,0),MATCH(COLUMNS($V$1006:AE1006),$V$1006:$AE$1006,0)), HYPERLINK("#",""), HYPERLINK(CONCATENATE("#Metadata!", ADDRESS(INDEX($Q$2:$Q$1001,MATCH(ROWS($O$2:O354),$O$2:$O$1001,0),0), INDEX($V$1004:$AE$1004,1,MATCH(COLUMNS($V$1006:AE1006),$V$1006:$AE$1006,0)))),"Fix")))</f>
        <v>0</v>
      </c>
      <c r="O354">
        <v>0</v>
      </c>
      <c r="P354">
        <v>0</v>
      </c>
      <c r="Q354">
        <v>0</v>
      </c>
      <c r="R354">
        <f>IF(S354,TRUE,AND(V354:AE354))</f>
        <v>0</v>
      </c>
      <c r="S354">
        <f>COUNTBLANK(Metadata!B354:K354)=COLUMNS(Metadata!B354:K354)</f>
        <v>0</v>
      </c>
      <c r="T354">
        <v>0</v>
      </c>
      <c r="V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W354">
        <f>AND(IF(Metadata!C354="",FALSE,TRUE),exact(Metadata!C354,"animal secretion"))</f>
        <v>0</v>
      </c>
      <c r="X354">
        <f>AND(IF(Metadata!D354="",FALSE,TRUE),exact(Metadata!D354,"saliva"))</f>
        <v>0</v>
      </c>
      <c r="Y354">
        <f>AND(IF(Metadata!E354="",FALSE,TRUE),exact(Metadata!E354,"human-oral"))</f>
        <v>0</v>
      </c>
      <c r="Z354">
        <f>AND(IF(Metadata!F354="",FALSE,TRUE),exact(Metadata!F354,"UBERON:oral cavity"))</f>
        <v>0</v>
      </c>
      <c r="AA354">
        <f>AND(IF(Metadata!G354="",FALSE,TRUE),exact(Metadata!G354,"UBERON:saliva"))</f>
        <v>0</v>
      </c>
      <c r="AB354">
        <f>AND(IF(Metadata!H354="",FALSE,TRUE),exact(Metadata!H354,"UBERON:tongue"))</f>
        <v>0</v>
      </c>
      <c r="AC354">
        <f>AND(IF(Metadata!I354="",FALSE,TRUE),exact(Metadata!I354,"tongue"))</f>
        <v>0</v>
      </c>
      <c r="AD354">
        <f>AND(IF(Metadata!J354="",FALSE,TRUE),exact(Metadata!J354,"human oral metagenome"))</f>
        <v>0</v>
      </c>
      <c r="AE354">
        <f>AND(IF(Metadata!K354="",FALSE,TRUE),exact(Metadata!K354,"447426"))</f>
        <v>0</v>
      </c>
    </row>
    <row r="355" spans="1:31">
      <c r="A355" s="4">
        <f>IF(B355=" "," ",HYPERLINK(CONCATENATE("#metadata!",ADDRESS(INDEX($Q$2:$Q$1001,MATCH(ROWS($O$2:O355),$O$2:$O$1001,0),0),1)),INDEX($T$2:$T$1001,MATCH(ROWS($O$2:O355),$O$2:$O$1001,0),0)))</f>
        <v>0</v>
      </c>
      <c r="B355" s="3">
        <f>IF(OR(INDEX($P$2:$P$1001,MATCH(ROWS($O$2:O355),$O$2:$O$1001,0),1)&gt;=100000,INDEX($V$1005:$AE$1005,1,MATCH(COLUMNS($V$1006:V1006),$V$1006:$AE$1006,0))&gt;=100000), " ",IF(INDEX($V$2:$AE$1001,MATCH(ROWS($O$2:O355),$O$2:$O$1001,0),MATCH(COLUMNS($V$1006:V1006),$V$1006:$AE$1006,0)), HYPERLINK("#",""), HYPERLINK(CONCATENATE("#Metadata!", ADDRESS(INDEX($Q$2:$Q$1001,MATCH(ROWS($O$2:O355),$O$2:$O$1001,0),0), INDEX($V$1004:$AE$1004,1,MATCH(COLUMNS($V$1006:V1006),$V$1006:$AE$1006,0)))),"Fix")))</f>
        <v>0</v>
      </c>
      <c r="C355" s="3">
        <f>IF(OR(INDEX($P$2:$P$1001,MATCH(ROWS($O$2:O355),$O$2:$O$1001,0),1)&gt;=100000,INDEX($V$1005:$AE$1005,1,MATCH(COLUMNS($V$1006:W1006),$V$1006:$AE$1006,0))&gt;=100000), " ",IF(INDEX($V$2:$AE$1001,MATCH(ROWS($O$2:O355),$O$2:$O$1001,0),MATCH(COLUMNS($V$1006:W1006),$V$1006:$AE$1006,0)), HYPERLINK("#",""), HYPERLINK(CONCATENATE("#Metadata!", ADDRESS(INDEX($Q$2:$Q$1001,MATCH(ROWS($O$2:O355),$O$2:$O$1001,0),0), INDEX($V$1004:$AE$1004,1,MATCH(COLUMNS($V$1006:W1006),$V$1006:$AE$1006,0)))),"Fix")))</f>
        <v>0</v>
      </c>
      <c r="D355" s="3">
        <f>IF(OR(INDEX($P$2:$P$1001,MATCH(ROWS($O$2:O355),$O$2:$O$1001,0),1)&gt;=100000,INDEX($V$1005:$AE$1005,1,MATCH(COLUMNS($V$1006:X1006),$V$1006:$AE$1006,0))&gt;=100000), " ",IF(INDEX($V$2:$AE$1001,MATCH(ROWS($O$2:O355),$O$2:$O$1001,0),MATCH(COLUMNS($V$1006:X1006),$V$1006:$AE$1006,0)), HYPERLINK("#",""), HYPERLINK(CONCATENATE("#Metadata!", ADDRESS(INDEX($Q$2:$Q$1001,MATCH(ROWS($O$2:O355),$O$2:$O$1001,0),0), INDEX($V$1004:$AE$1004,1,MATCH(COLUMNS($V$1006:X1006),$V$1006:$AE$1006,0)))),"Fix")))</f>
        <v>0</v>
      </c>
      <c r="E355" s="3">
        <f>IF(OR(INDEX($P$2:$P$1001,MATCH(ROWS($O$2:O355),$O$2:$O$1001,0),1)&gt;=100000,INDEX($V$1005:$AE$1005,1,MATCH(COLUMNS($V$1006:Y1006),$V$1006:$AE$1006,0))&gt;=100000), " ",IF(INDEX($V$2:$AE$1001,MATCH(ROWS($O$2:O355),$O$2:$O$1001,0),MATCH(COLUMNS($V$1006:Y1006),$V$1006:$AE$1006,0)), HYPERLINK("#",""), HYPERLINK(CONCATENATE("#Metadata!", ADDRESS(INDEX($Q$2:$Q$1001,MATCH(ROWS($O$2:O355),$O$2:$O$1001,0),0), INDEX($V$1004:$AE$1004,1,MATCH(COLUMNS($V$1006:Y1006),$V$1006:$AE$1006,0)))),"Fix")))</f>
        <v>0</v>
      </c>
      <c r="F355" s="3">
        <f>IF(OR(INDEX($P$2:$P$1001,MATCH(ROWS($O$2:O355),$O$2:$O$1001,0),1)&gt;=100000,INDEX($V$1005:$AE$1005,1,MATCH(COLUMNS($V$1006:Z1006),$V$1006:$AE$1006,0))&gt;=100000), " ",IF(INDEX($V$2:$AE$1001,MATCH(ROWS($O$2:O355),$O$2:$O$1001,0),MATCH(COLUMNS($V$1006:Z1006),$V$1006:$AE$1006,0)), HYPERLINK("#",""), HYPERLINK(CONCATENATE("#Metadata!", ADDRESS(INDEX($Q$2:$Q$1001,MATCH(ROWS($O$2:O355),$O$2:$O$1001,0),0), INDEX($V$1004:$AE$1004,1,MATCH(COLUMNS($V$1006:Z1006),$V$1006:$AE$1006,0)))),"Fix")))</f>
        <v>0</v>
      </c>
      <c r="G355" s="3">
        <f>IF(OR(INDEX($P$2:$P$1001,MATCH(ROWS($O$2:O355),$O$2:$O$1001,0),1)&gt;=100000,INDEX($V$1005:$AE$1005,1,MATCH(COLUMNS($V$1006:AA1006),$V$1006:$AE$1006,0))&gt;=100000), " ",IF(INDEX($V$2:$AE$1001,MATCH(ROWS($O$2:O355),$O$2:$O$1001,0),MATCH(COLUMNS($V$1006:AA1006),$V$1006:$AE$1006,0)), HYPERLINK("#",""), HYPERLINK(CONCATENATE("#Metadata!", ADDRESS(INDEX($Q$2:$Q$1001,MATCH(ROWS($O$2:O355),$O$2:$O$1001,0),0), INDEX($V$1004:$AE$1004,1,MATCH(COLUMNS($V$1006:AA1006),$V$1006:$AE$1006,0)))),"Fix")))</f>
        <v>0</v>
      </c>
      <c r="H355" s="3">
        <f>IF(OR(INDEX($P$2:$P$1001,MATCH(ROWS($O$2:O355),$O$2:$O$1001,0),1)&gt;=100000,INDEX($V$1005:$AE$1005,1,MATCH(COLUMNS($V$1006:AB1006),$V$1006:$AE$1006,0))&gt;=100000), " ",IF(INDEX($V$2:$AE$1001,MATCH(ROWS($O$2:O355),$O$2:$O$1001,0),MATCH(COLUMNS($V$1006:AB1006),$V$1006:$AE$1006,0)), HYPERLINK("#",""), HYPERLINK(CONCATENATE("#Metadata!", ADDRESS(INDEX($Q$2:$Q$1001,MATCH(ROWS($O$2:O355),$O$2:$O$1001,0),0), INDEX($V$1004:$AE$1004,1,MATCH(COLUMNS($V$1006:AB1006),$V$1006:$AE$1006,0)))),"Fix")))</f>
        <v>0</v>
      </c>
      <c r="I355" s="3">
        <f>IF(OR(INDEX($P$2:$P$1001,MATCH(ROWS($O$2:O355),$O$2:$O$1001,0),1)&gt;=100000,INDEX($V$1005:$AE$1005,1,MATCH(COLUMNS($V$1006:AC1006),$V$1006:$AE$1006,0))&gt;=100000), " ",IF(INDEX($V$2:$AE$1001,MATCH(ROWS($O$2:O355),$O$2:$O$1001,0),MATCH(COLUMNS($V$1006:AC1006),$V$1006:$AE$1006,0)), HYPERLINK("#",""), HYPERLINK(CONCATENATE("#Metadata!", ADDRESS(INDEX($Q$2:$Q$1001,MATCH(ROWS($O$2:O355),$O$2:$O$1001,0),0), INDEX($V$1004:$AE$1004,1,MATCH(COLUMNS($V$1006:AC1006),$V$1006:$AE$1006,0)))),"Fix")))</f>
        <v>0</v>
      </c>
      <c r="J355" s="3">
        <f>IF(OR(INDEX($P$2:$P$1001,MATCH(ROWS($O$2:O355),$O$2:$O$1001,0),1)&gt;=100000,INDEX($V$1005:$AE$1005,1,MATCH(COLUMNS($V$1006:AD1006),$V$1006:$AE$1006,0))&gt;=100000), " ",IF(INDEX($V$2:$AE$1001,MATCH(ROWS($O$2:O355),$O$2:$O$1001,0),MATCH(COLUMNS($V$1006:AD1006),$V$1006:$AE$1006,0)), HYPERLINK("#",""), HYPERLINK(CONCATENATE("#Metadata!", ADDRESS(INDEX($Q$2:$Q$1001,MATCH(ROWS($O$2:O355),$O$2:$O$1001,0),0), INDEX($V$1004:$AE$1004,1,MATCH(COLUMNS($V$1006:AD1006),$V$1006:$AE$1006,0)))),"Fix")))</f>
        <v>0</v>
      </c>
      <c r="K355" s="3">
        <f>IF(OR(INDEX($P$2:$P$1001,MATCH(ROWS($O$2:O355),$O$2:$O$1001,0),1)&gt;=100000,INDEX($V$1005:$AE$1005,1,MATCH(COLUMNS($V$1006:AE1006),$V$1006:$AE$1006,0))&gt;=100000), " ",IF(INDEX($V$2:$AE$1001,MATCH(ROWS($O$2:O355),$O$2:$O$1001,0),MATCH(COLUMNS($V$1006:AE1006),$V$1006:$AE$1006,0)), HYPERLINK("#",""), HYPERLINK(CONCATENATE("#Metadata!", ADDRESS(INDEX($Q$2:$Q$1001,MATCH(ROWS($O$2:O355),$O$2:$O$1001,0),0), INDEX($V$1004:$AE$1004,1,MATCH(COLUMNS($V$1006:AE1006),$V$1006:$AE$1006,0)))),"Fix")))</f>
        <v>0</v>
      </c>
      <c r="O355">
        <v>0</v>
      </c>
      <c r="P355">
        <v>0</v>
      </c>
      <c r="Q355">
        <v>0</v>
      </c>
      <c r="R355">
        <f>IF(S355,TRUE,AND(V355:AE355))</f>
        <v>0</v>
      </c>
      <c r="S355">
        <f>COUNTBLANK(Metadata!B355:K355)=COLUMNS(Metadata!B355:K355)</f>
        <v>0</v>
      </c>
      <c r="T355">
        <v>0</v>
      </c>
      <c r="V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W355">
        <f>AND(IF(Metadata!C355="",FALSE,TRUE),exact(Metadata!C355,"animal secretion"))</f>
        <v>0</v>
      </c>
      <c r="X355">
        <f>AND(IF(Metadata!D355="",FALSE,TRUE),exact(Metadata!D355,"saliva"))</f>
        <v>0</v>
      </c>
      <c r="Y355">
        <f>AND(IF(Metadata!E355="",FALSE,TRUE),exact(Metadata!E355,"human-oral"))</f>
        <v>0</v>
      </c>
      <c r="Z355">
        <f>AND(IF(Metadata!F355="",FALSE,TRUE),exact(Metadata!F355,"UBERON:oral cavity"))</f>
        <v>0</v>
      </c>
      <c r="AA355">
        <f>AND(IF(Metadata!G355="",FALSE,TRUE),exact(Metadata!G355,"UBERON:saliva"))</f>
        <v>0</v>
      </c>
      <c r="AB355">
        <f>AND(IF(Metadata!H355="",FALSE,TRUE),exact(Metadata!H355,"UBERON:tongue"))</f>
        <v>0</v>
      </c>
      <c r="AC355">
        <f>AND(IF(Metadata!I355="",FALSE,TRUE),exact(Metadata!I355,"tongue"))</f>
        <v>0</v>
      </c>
      <c r="AD355">
        <f>AND(IF(Metadata!J355="",FALSE,TRUE),exact(Metadata!J355,"human oral metagenome"))</f>
        <v>0</v>
      </c>
      <c r="AE355">
        <f>AND(IF(Metadata!K355="",FALSE,TRUE),exact(Metadata!K355,"447426"))</f>
        <v>0</v>
      </c>
    </row>
    <row r="356" spans="1:31">
      <c r="A356" s="4">
        <f>IF(B356=" "," ",HYPERLINK(CONCATENATE("#metadata!",ADDRESS(INDEX($Q$2:$Q$1001,MATCH(ROWS($O$2:O356),$O$2:$O$1001,0),0),1)),INDEX($T$2:$T$1001,MATCH(ROWS($O$2:O356),$O$2:$O$1001,0),0)))</f>
        <v>0</v>
      </c>
      <c r="B356" s="3">
        <f>IF(OR(INDEX($P$2:$P$1001,MATCH(ROWS($O$2:O356),$O$2:$O$1001,0),1)&gt;=100000,INDEX($V$1005:$AE$1005,1,MATCH(COLUMNS($V$1006:V1006),$V$1006:$AE$1006,0))&gt;=100000), " ",IF(INDEX($V$2:$AE$1001,MATCH(ROWS($O$2:O356),$O$2:$O$1001,0),MATCH(COLUMNS($V$1006:V1006),$V$1006:$AE$1006,0)), HYPERLINK("#",""), HYPERLINK(CONCATENATE("#Metadata!", ADDRESS(INDEX($Q$2:$Q$1001,MATCH(ROWS($O$2:O356),$O$2:$O$1001,0),0), INDEX($V$1004:$AE$1004,1,MATCH(COLUMNS($V$1006:V1006),$V$1006:$AE$1006,0)))),"Fix")))</f>
        <v>0</v>
      </c>
      <c r="C356" s="3">
        <f>IF(OR(INDEX($P$2:$P$1001,MATCH(ROWS($O$2:O356),$O$2:$O$1001,0),1)&gt;=100000,INDEX($V$1005:$AE$1005,1,MATCH(COLUMNS($V$1006:W1006),$V$1006:$AE$1006,0))&gt;=100000), " ",IF(INDEX($V$2:$AE$1001,MATCH(ROWS($O$2:O356),$O$2:$O$1001,0),MATCH(COLUMNS($V$1006:W1006),$V$1006:$AE$1006,0)), HYPERLINK("#",""), HYPERLINK(CONCATENATE("#Metadata!", ADDRESS(INDEX($Q$2:$Q$1001,MATCH(ROWS($O$2:O356),$O$2:$O$1001,0),0), INDEX($V$1004:$AE$1004,1,MATCH(COLUMNS($V$1006:W1006),$V$1006:$AE$1006,0)))),"Fix")))</f>
        <v>0</v>
      </c>
      <c r="D356" s="3">
        <f>IF(OR(INDEX($P$2:$P$1001,MATCH(ROWS($O$2:O356),$O$2:$O$1001,0),1)&gt;=100000,INDEX($V$1005:$AE$1005,1,MATCH(COLUMNS($V$1006:X1006),$V$1006:$AE$1006,0))&gt;=100000), " ",IF(INDEX($V$2:$AE$1001,MATCH(ROWS($O$2:O356),$O$2:$O$1001,0),MATCH(COLUMNS($V$1006:X1006),$V$1006:$AE$1006,0)), HYPERLINK("#",""), HYPERLINK(CONCATENATE("#Metadata!", ADDRESS(INDEX($Q$2:$Q$1001,MATCH(ROWS($O$2:O356),$O$2:$O$1001,0),0), INDEX($V$1004:$AE$1004,1,MATCH(COLUMNS($V$1006:X1006),$V$1006:$AE$1006,0)))),"Fix")))</f>
        <v>0</v>
      </c>
      <c r="E356" s="3">
        <f>IF(OR(INDEX($P$2:$P$1001,MATCH(ROWS($O$2:O356),$O$2:$O$1001,0),1)&gt;=100000,INDEX($V$1005:$AE$1005,1,MATCH(COLUMNS($V$1006:Y1006),$V$1006:$AE$1006,0))&gt;=100000), " ",IF(INDEX($V$2:$AE$1001,MATCH(ROWS($O$2:O356),$O$2:$O$1001,0),MATCH(COLUMNS($V$1006:Y1006),$V$1006:$AE$1006,0)), HYPERLINK("#",""), HYPERLINK(CONCATENATE("#Metadata!", ADDRESS(INDEX($Q$2:$Q$1001,MATCH(ROWS($O$2:O356),$O$2:$O$1001,0),0), INDEX($V$1004:$AE$1004,1,MATCH(COLUMNS($V$1006:Y1006),$V$1006:$AE$1006,0)))),"Fix")))</f>
        <v>0</v>
      </c>
      <c r="F356" s="3">
        <f>IF(OR(INDEX($P$2:$P$1001,MATCH(ROWS($O$2:O356),$O$2:$O$1001,0),1)&gt;=100000,INDEX($V$1005:$AE$1005,1,MATCH(COLUMNS($V$1006:Z1006),$V$1006:$AE$1006,0))&gt;=100000), " ",IF(INDEX($V$2:$AE$1001,MATCH(ROWS($O$2:O356),$O$2:$O$1001,0),MATCH(COLUMNS($V$1006:Z1006),$V$1006:$AE$1006,0)), HYPERLINK("#",""), HYPERLINK(CONCATENATE("#Metadata!", ADDRESS(INDEX($Q$2:$Q$1001,MATCH(ROWS($O$2:O356),$O$2:$O$1001,0),0), INDEX($V$1004:$AE$1004,1,MATCH(COLUMNS($V$1006:Z1006),$V$1006:$AE$1006,0)))),"Fix")))</f>
        <v>0</v>
      </c>
      <c r="G356" s="3">
        <f>IF(OR(INDEX($P$2:$P$1001,MATCH(ROWS($O$2:O356),$O$2:$O$1001,0),1)&gt;=100000,INDEX($V$1005:$AE$1005,1,MATCH(COLUMNS($V$1006:AA1006),$V$1006:$AE$1006,0))&gt;=100000), " ",IF(INDEX($V$2:$AE$1001,MATCH(ROWS($O$2:O356),$O$2:$O$1001,0),MATCH(COLUMNS($V$1006:AA1006),$V$1006:$AE$1006,0)), HYPERLINK("#",""), HYPERLINK(CONCATENATE("#Metadata!", ADDRESS(INDEX($Q$2:$Q$1001,MATCH(ROWS($O$2:O356),$O$2:$O$1001,0),0), INDEX($V$1004:$AE$1004,1,MATCH(COLUMNS($V$1006:AA1006),$V$1006:$AE$1006,0)))),"Fix")))</f>
        <v>0</v>
      </c>
      <c r="H356" s="3">
        <f>IF(OR(INDEX($P$2:$P$1001,MATCH(ROWS($O$2:O356),$O$2:$O$1001,0),1)&gt;=100000,INDEX($V$1005:$AE$1005,1,MATCH(COLUMNS($V$1006:AB1006),$V$1006:$AE$1006,0))&gt;=100000), " ",IF(INDEX($V$2:$AE$1001,MATCH(ROWS($O$2:O356),$O$2:$O$1001,0),MATCH(COLUMNS($V$1006:AB1006),$V$1006:$AE$1006,0)), HYPERLINK("#",""), HYPERLINK(CONCATENATE("#Metadata!", ADDRESS(INDEX($Q$2:$Q$1001,MATCH(ROWS($O$2:O356),$O$2:$O$1001,0),0), INDEX($V$1004:$AE$1004,1,MATCH(COLUMNS($V$1006:AB1006),$V$1006:$AE$1006,0)))),"Fix")))</f>
        <v>0</v>
      </c>
      <c r="I356" s="3">
        <f>IF(OR(INDEX($P$2:$P$1001,MATCH(ROWS($O$2:O356),$O$2:$O$1001,0),1)&gt;=100000,INDEX($V$1005:$AE$1005,1,MATCH(COLUMNS($V$1006:AC1006),$V$1006:$AE$1006,0))&gt;=100000), " ",IF(INDEX($V$2:$AE$1001,MATCH(ROWS($O$2:O356),$O$2:$O$1001,0),MATCH(COLUMNS($V$1006:AC1006),$V$1006:$AE$1006,0)), HYPERLINK("#",""), HYPERLINK(CONCATENATE("#Metadata!", ADDRESS(INDEX($Q$2:$Q$1001,MATCH(ROWS($O$2:O356),$O$2:$O$1001,0),0), INDEX($V$1004:$AE$1004,1,MATCH(COLUMNS($V$1006:AC1006),$V$1006:$AE$1006,0)))),"Fix")))</f>
        <v>0</v>
      </c>
      <c r="J356" s="3">
        <f>IF(OR(INDEX($P$2:$P$1001,MATCH(ROWS($O$2:O356),$O$2:$O$1001,0),1)&gt;=100000,INDEX($V$1005:$AE$1005,1,MATCH(COLUMNS($V$1006:AD1006),$V$1006:$AE$1006,0))&gt;=100000), " ",IF(INDEX($V$2:$AE$1001,MATCH(ROWS($O$2:O356),$O$2:$O$1001,0),MATCH(COLUMNS($V$1006:AD1006),$V$1006:$AE$1006,0)), HYPERLINK("#",""), HYPERLINK(CONCATENATE("#Metadata!", ADDRESS(INDEX($Q$2:$Q$1001,MATCH(ROWS($O$2:O356),$O$2:$O$1001,0),0), INDEX($V$1004:$AE$1004,1,MATCH(COLUMNS($V$1006:AD1006),$V$1006:$AE$1006,0)))),"Fix")))</f>
        <v>0</v>
      </c>
      <c r="K356" s="3">
        <f>IF(OR(INDEX($P$2:$P$1001,MATCH(ROWS($O$2:O356),$O$2:$O$1001,0),1)&gt;=100000,INDEX($V$1005:$AE$1005,1,MATCH(COLUMNS($V$1006:AE1006),$V$1006:$AE$1006,0))&gt;=100000), " ",IF(INDEX($V$2:$AE$1001,MATCH(ROWS($O$2:O356),$O$2:$O$1001,0),MATCH(COLUMNS($V$1006:AE1006),$V$1006:$AE$1006,0)), HYPERLINK("#",""), HYPERLINK(CONCATENATE("#Metadata!", ADDRESS(INDEX($Q$2:$Q$1001,MATCH(ROWS($O$2:O356),$O$2:$O$1001,0),0), INDEX($V$1004:$AE$1004,1,MATCH(COLUMNS($V$1006:AE1006),$V$1006:$AE$1006,0)))),"Fix")))</f>
        <v>0</v>
      </c>
      <c r="O356">
        <v>0</v>
      </c>
      <c r="P356">
        <v>0</v>
      </c>
      <c r="Q356">
        <v>0</v>
      </c>
      <c r="R356">
        <f>IF(S356,TRUE,AND(V356:AE356))</f>
        <v>0</v>
      </c>
      <c r="S356">
        <f>COUNTBLANK(Metadata!B356:K356)=COLUMNS(Metadata!B356:K356)</f>
        <v>0</v>
      </c>
      <c r="T356">
        <v>0</v>
      </c>
      <c r="V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W356">
        <f>AND(IF(Metadata!C356="",FALSE,TRUE),exact(Metadata!C356,"animal secretion"))</f>
        <v>0</v>
      </c>
      <c r="X356">
        <f>AND(IF(Metadata!D356="",FALSE,TRUE),exact(Metadata!D356,"saliva"))</f>
        <v>0</v>
      </c>
      <c r="Y356">
        <f>AND(IF(Metadata!E356="",FALSE,TRUE),exact(Metadata!E356,"human-oral"))</f>
        <v>0</v>
      </c>
      <c r="Z356">
        <f>AND(IF(Metadata!F356="",FALSE,TRUE),exact(Metadata!F356,"UBERON:oral cavity"))</f>
        <v>0</v>
      </c>
      <c r="AA356">
        <f>AND(IF(Metadata!G356="",FALSE,TRUE),exact(Metadata!G356,"UBERON:saliva"))</f>
        <v>0</v>
      </c>
      <c r="AB356">
        <f>AND(IF(Metadata!H356="",FALSE,TRUE),exact(Metadata!H356,"UBERON:tongue"))</f>
        <v>0</v>
      </c>
      <c r="AC356">
        <f>AND(IF(Metadata!I356="",FALSE,TRUE),exact(Metadata!I356,"tongue"))</f>
        <v>0</v>
      </c>
      <c r="AD356">
        <f>AND(IF(Metadata!J356="",FALSE,TRUE),exact(Metadata!J356,"human oral metagenome"))</f>
        <v>0</v>
      </c>
      <c r="AE356">
        <f>AND(IF(Metadata!K356="",FALSE,TRUE),exact(Metadata!K356,"447426"))</f>
        <v>0</v>
      </c>
    </row>
    <row r="357" spans="1:31">
      <c r="A357" s="4">
        <f>IF(B357=" "," ",HYPERLINK(CONCATENATE("#metadata!",ADDRESS(INDEX($Q$2:$Q$1001,MATCH(ROWS($O$2:O357),$O$2:$O$1001,0),0),1)),INDEX($T$2:$T$1001,MATCH(ROWS($O$2:O357),$O$2:$O$1001,0),0)))</f>
        <v>0</v>
      </c>
      <c r="B357" s="3">
        <f>IF(OR(INDEX($P$2:$P$1001,MATCH(ROWS($O$2:O357),$O$2:$O$1001,0),1)&gt;=100000,INDEX($V$1005:$AE$1005,1,MATCH(COLUMNS($V$1006:V1006),$V$1006:$AE$1006,0))&gt;=100000), " ",IF(INDEX($V$2:$AE$1001,MATCH(ROWS($O$2:O357),$O$2:$O$1001,0),MATCH(COLUMNS($V$1006:V1006),$V$1006:$AE$1006,0)), HYPERLINK("#",""), HYPERLINK(CONCATENATE("#Metadata!", ADDRESS(INDEX($Q$2:$Q$1001,MATCH(ROWS($O$2:O357),$O$2:$O$1001,0),0), INDEX($V$1004:$AE$1004,1,MATCH(COLUMNS($V$1006:V1006),$V$1006:$AE$1006,0)))),"Fix")))</f>
        <v>0</v>
      </c>
      <c r="C357" s="3">
        <f>IF(OR(INDEX($P$2:$P$1001,MATCH(ROWS($O$2:O357),$O$2:$O$1001,0),1)&gt;=100000,INDEX($V$1005:$AE$1005,1,MATCH(COLUMNS($V$1006:W1006),$V$1006:$AE$1006,0))&gt;=100000), " ",IF(INDEX($V$2:$AE$1001,MATCH(ROWS($O$2:O357),$O$2:$O$1001,0),MATCH(COLUMNS($V$1006:W1006),$V$1006:$AE$1006,0)), HYPERLINK("#",""), HYPERLINK(CONCATENATE("#Metadata!", ADDRESS(INDEX($Q$2:$Q$1001,MATCH(ROWS($O$2:O357),$O$2:$O$1001,0),0), INDEX($V$1004:$AE$1004,1,MATCH(COLUMNS($V$1006:W1006),$V$1006:$AE$1006,0)))),"Fix")))</f>
        <v>0</v>
      </c>
      <c r="D357" s="3">
        <f>IF(OR(INDEX($P$2:$P$1001,MATCH(ROWS($O$2:O357),$O$2:$O$1001,0),1)&gt;=100000,INDEX($V$1005:$AE$1005,1,MATCH(COLUMNS($V$1006:X1006),$V$1006:$AE$1006,0))&gt;=100000), " ",IF(INDEX($V$2:$AE$1001,MATCH(ROWS($O$2:O357),$O$2:$O$1001,0),MATCH(COLUMNS($V$1006:X1006),$V$1006:$AE$1006,0)), HYPERLINK("#",""), HYPERLINK(CONCATENATE("#Metadata!", ADDRESS(INDEX($Q$2:$Q$1001,MATCH(ROWS($O$2:O357),$O$2:$O$1001,0),0), INDEX($V$1004:$AE$1004,1,MATCH(COLUMNS($V$1006:X1006),$V$1006:$AE$1006,0)))),"Fix")))</f>
        <v>0</v>
      </c>
      <c r="E357" s="3">
        <f>IF(OR(INDEX($P$2:$P$1001,MATCH(ROWS($O$2:O357),$O$2:$O$1001,0),1)&gt;=100000,INDEX($V$1005:$AE$1005,1,MATCH(COLUMNS($V$1006:Y1006),$V$1006:$AE$1006,0))&gt;=100000), " ",IF(INDEX($V$2:$AE$1001,MATCH(ROWS($O$2:O357),$O$2:$O$1001,0),MATCH(COLUMNS($V$1006:Y1006),$V$1006:$AE$1006,0)), HYPERLINK("#",""), HYPERLINK(CONCATENATE("#Metadata!", ADDRESS(INDEX($Q$2:$Q$1001,MATCH(ROWS($O$2:O357),$O$2:$O$1001,0),0), INDEX($V$1004:$AE$1004,1,MATCH(COLUMNS($V$1006:Y1006),$V$1006:$AE$1006,0)))),"Fix")))</f>
        <v>0</v>
      </c>
      <c r="F357" s="3">
        <f>IF(OR(INDEX($P$2:$P$1001,MATCH(ROWS($O$2:O357),$O$2:$O$1001,0),1)&gt;=100000,INDEX($V$1005:$AE$1005,1,MATCH(COLUMNS($V$1006:Z1006),$V$1006:$AE$1006,0))&gt;=100000), " ",IF(INDEX($V$2:$AE$1001,MATCH(ROWS($O$2:O357),$O$2:$O$1001,0),MATCH(COLUMNS($V$1006:Z1006),$V$1006:$AE$1006,0)), HYPERLINK("#",""), HYPERLINK(CONCATENATE("#Metadata!", ADDRESS(INDEX($Q$2:$Q$1001,MATCH(ROWS($O$2:O357),$O$2:$O$1001,0),0), INDEX($V$1004:$AE$1004,1,MATCH(COLUMNS($V$1006:Z1006),$V$1006:$AE$1006,0)))),"Fix")))</f>
        <v>0</v>
      </c>
      <c r="G357" s="3">
        <f>IF(OR(INDEX($P$2:$P$1001,MATCH(ROWS($O$2:O357),$O$2:$O$1001,0),1)&gt;=100000,INDEX($V$1005:$AE$1005,1,MATCH(COLUMNS($V$1006:AA1006),$V$1006:$AE$1006,0))&gt;=100000), " ",IF(INDEX($V$2:$AE$1001,MATCH(ROWS($O$2:O357),$O$2:$O$1001,0),MATCH(COLUMNS($V$1006:AA1006),$V$1006:$AE$1006,0)), HYPERLINK("#",""), HYPERLINK(CONCATENATE("#Metadata!", ADDRESS(INDEX($Q$2:$Q$1001,MATCH(ROWS($O$2:O357),$O$2:$O$1001,0),0), INDEX($V$1004:$AE$1004,1,MATCH(COLUMNS($V$1006:AA1006),$V$1006:$AE$1006,0)))),"Fix")))</f>
        <v>0</v>
      </c>
      <c r="H357" s="3">
        <f>IF(OR(INDEX($P$2:$P$1001,MATCH(ROWS($O$2:O357),$O$2:$O$1001,0),1)&gt;=100000,INDEX($V$1005:$AE$1005,1,MATCH(COLUMNS($V$1006:AB1006),$V$1006:$AE$1006,0))&gt;=100000), " ",IF(INDEX($V$2:$AE$1001,MATCH(ROWS($O$2:O357),$O$2:$O$1001,0),MATCH(COLUMNS($V$1006:AB1006),$V$1006:$AE$1006,0)), HYPERLINK("#",""), HYPERLINK(CONCATENATE("#Metadata!", ADDRESS(INDEX($Q$2:$Q$1001,MATCH(ROWS($O$2:O357),$O$2:$O$1001,0),0), INDEX($V$1004:$AE$1004,1,MATCH(COLUMNS($V$1006:AB1006),$V$1006:$AE$1006,0)))),"Fix")))</f>
        <v>0</v>
      </c>
      <c r="I357" s="3">
        <f>IF(OR(INDEX($P$2:$P$1001,MATCH(ROWS($O$2:O357),$O$2:$O$1001,0),1)&gt;=100000,INDEX($V$1005:$AE$1005,1,MATCH(COLUMNS($V$1006:AC1006),$V$1006:$AE$1006,0))&gt;=100000), " ",IF(INDEX($V$2:$AE$1001,MATCH(ROWS($O$2:O357),$O$2:$O$1001,0),MATCH(COLUMNS($V$1006:AC1006),$V$1006:$AE$1006,0)), HYPERLINK("#",""), HYPERLINK(CONCATENATE("#Metadata!", ADDRESS(INDEX($Q$2:$Q$1001,MATCH(ROWS($O$2:O357),$O$2:$O$1001,0),0), INDEX($V$1004:$AE$1004,1,MATCH(COLUMNS($V$1006:AC1006),$V$1006:$AE$1006,0)))),"Fix")))</f>
        <v>0</v>
      </c>
      <c r="J357" s="3">
        <f>IF(OR(INDEX($P$2:$P$1001,MATCH(ROWS($O$2:O357),$O$2:$O$1001,0),1)&gt;=100000,INDEX($V$1005:$AE$1005,1,MATCH(COLUMNS($V$1006:AD1006),$V$1006:$AE$1006,0))&gt;=100000), " ",IF(INDEX($V$2:$AE$1001,MATCH(ROWS($O$2:O357),$O$2:$O$1001,0),MATCH(COLUMNS($V$1006:AD1006),$V$1006:$AE$1006,0)), HYPERLINK("#",""), HYPERLINK(CONCATENATE("#Metadata!", ADDRESS(INDEX($Q$2:$Q$1001,MATCH(ROWS($O$2:O357),$O$2:$O$1001,0),0), INDEX($V$1004:$AE$1004,1,MATCH(COLUMNS($V$1006:AD1006),$V$1006:$AE$1006,0)))),"Fix")))</f>
        <v>0</v>
      </c>
      <c r="K357" s="3">
        <f>IF(OR(INDEX($P$2:$P$1001,MATCH(ROWS($O$2:O357),$O$2:$O$1001,0),1)&gt;=100000,INDEX($V$1005:$AE$1005,1,MATCH(COLUMNS($V$1006:AE1006),$V$1006:$AE$1006,0))&gt;=100000), " ",IF(INDEX($V$2:$AE$1001,MATCH(ROWS($O$2:O357),$O$2:$O$1001,0),MATCH(COLUMNS($V$1006:AE1006),$V$1006:$AE$1006,0)), HYPERLINK("#",""), HYPERLINK(CONCATENATE("#Metadata!", ADDRESS(INDEX($Q$2:$Q$1001,MATCH(ROWS($O$2:O357),$O$2:$O$1001,0),0), INDEX($V$1004:$AE$1004,1,MATCH(COLUMNS($V$1006:AE1006),$V$1006:$AE$1006,0)))),"Fix")))</f>
        <v>0</v>
      </c>
      <c r="O357">
        <v>0</v>
      </c>
      <c r="P357">
        <v>0</v>
      </c>
      <c r="Q357">
        <v>0</v>
      </c>
      <c r="R357">
        <f>IF(S357,TRUE,AND(V357:AE357))</f>
        <v>0</v>
      </c>
      <c r="S357">
        <f>COUNTBLANK(Metadata!B357:K357)=COLUMNS(Metadata!B357:K357)</f>
        <v>0</v>
      </c>
      <c r="T357">
        <v>0</v>
      </c>
      <c r="V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W357">
        <f>AND(IF(Metadata!C357="",FALSE,TRUE),exact(Metadata!C357,"animal secretion"))</f>
        <v>0</v>
      </c>
      <c r="X357">
        <f>AND(IF(Metadata!D357="",FALSE,TRUE),exact(Metadata!D357,"saliva"))</f>
        <v>0</v>
      </c>
      <c r="Y357">
        <f>AND(IF(Metadata!E357="",FALSE,TRUE),exact(Metadata!E357,"human-oral"))</f>
        <v>0</v>
      </c>
      <c r="Z357">
        <f>AND(IF(Metadata!F357="",FALSE,TRUE),exact(Metadata!F357,"UBERON:oral cavity"))</f>
        <v>0</v>
      </c>
      <c r="AA357">
        <f>AND(IF(Metadata!G357="",FALSE,TRUE),exact(Metadata!G357,"UBERON:saliva"))</f>
        <v>0</v>
      </c>
      <c r="AB357">
        <f>AND(IF(Metadata!H357="",FALSE,TRUE),exact(Metadata!H357,"UBERON:tongue"))</f>
        <v>0</v>
      </c>
      <c r="AC357">
        <f>AND(IF(Metadata!I357="",FALSE,TRUE),exact(Metadata!I357,"tongue"))</f>
        <v>0</v>
      </c>
      <c r="AD357">
        <f>AND(IF(Metadata!J357="",FALSE,TRUE),exact(Metadata!J357,"human oral metagenome"))</f>
        <v>0</v>
      </c>
      <c r="AE357">
        <f>AND(IF(Metadata!K357="",FALSE,TRUE),exact(Metadata!K357,"447426"))</f>
        <v>0</v>
      </c>
    </row>
    <row r="358" spans="1:31">
      <c r="A358" s="4">
        <f>IF(B358=" "," ",HYPERLINK(CONCATENATE("#metadata!",ADDRESS(INDEX($Q$2:$Q$1001,MATCH(ROWS($O$2:O358),$O$2:$O$1001,0),0),1)),INDEX($T$2:$T$1001,MATCH(ROWS($O$2:O358),$O$2:$O$1001,0),0)))</f>
        <v>0</v>
      </c>
      <c r="B358" s="3">
        <f>IF(OR(INDEX($P$2:$P$1001,MATCH(ROWS($O$2:O358),$O$2:$O$1001,0),1)&gt;=100000,INDEX($V$1005:$AE$1005,1,MATCH(COLUMNS($V$1006:V1006),$V$1006:$AE$1006,0))&gt;=100000), " ",IF(INDEX($V$2:$AE$1001,MATCH(ROWS($O$2:O358),$O$2:$O$1001,0),MATCH(COLUMNS($V$1006:V1006),$V$1006:$AE$1006,0)), HYPERLINK("#",""), HYPERLINK(CONCATENATE("#Metadata!", ADDRESS(INDEX($Q$2:$Q$1001,MATCH(ROWS($O$2:O358),$O$2:$O$1001,0),0), INDEX($V$1004:$AE$1004,1,MATCH(COLUMNS($V$1006:V1006),$V$1006:$AE$1006,0)))),"Fix")))</f>
        <v>0</v>
      </c>
      <c r="C358" s="3">
        <f>IF(OR(INDEX($P$2:$P$1001,MATCH(ROWS($O$2:O358),$O$2:$O$1001,0),1)&gt;=100000,INDEX($V$1005:$AE$1005,1,MATCH(COLUMNS($V$1006:W1006),$V$1006:$AE$1006,0))&gt;=100000), " ",IF(INDEX($V$2:$AE$1001,MATCH(ROWS($O$2:O358),$O$2:$O$1001,0),MATCH(COLUMNS($V$1006:W1006),$V$1006:$AE$1006,0)), HYPERLINK("#",""), HYPERLINK(CONCATENATE("#Metadata!", ADDRESS(INDEX($Q$2:$Q$1001,MATCH(ROWS($O$2:O358),$O$2:$O$1001,0),0), INDEX($V$1004:$AE$1004,1,MATCH(COLUMNS($V$1006:W1006),$V$1006:$AE$1006,0)))),"Fix")))</f>
        <v>0</v>
      </c>
      <c r="D358" s="3">
        <f>IF(OR(INDEX($P$2:$P$1001,MATCH(ROWS($O$2:O358),$O$2:$O$1001,0),1)&gt;=100000,INDEX($V$1005:$AE$1005,1,MATCH(COLUMNS($V$1006:X1006),$V$1006:$AE$1006,0))&gt;=100000), " ",IF(INDEX($V$2:$AE$1001,MATCH(ROWS($O$2:O358),$O$2:$O$1001,0),MATCH(COLUMNS($V$1006:X1006),$V$1006:$AE$1006,0)), HYPERLINK("#",""), HYPERLINK(CONCATENATE("#Metadata!", ADDRESS(INDEX($Q$2:$Q$1001,MATCH(ROWS($O$2:O358),$O$2:$O$1001,0),0), INDEX($V$1004:$AE$1004,1,MATCH(COLUMNS($V$1006:X1006),$V$1006:$AE$1006,0)))),"Fix")))</f>
        <v>0</v>
      </c>
      <c r="E358" s="3">
        <f>IF(OR(INDEX($P$2:$P$1001,MATCH(ROWS($O$2:O358),$O$2:$O$1001,0),1)&gt;=100000,INDEX($V$1005:$AE$1005,1,MATCH(COLUMNS($V$1006:Y1006),$V$1006:$AE$1006,0))&gt;=100000), " ",IF(INDEX($V$2:$AE$1001,MATCH(ROWS($O$2:O358),$O$2:$O$1001,0),MATCH(COLUMNS($V$1006:Y1006),$V$1006:$AE$1006,0)), HYPERLINK("#",""), HYPERLINK(CONCATENATE("#Metadata!", ADDRESS(INDEX($Q$2:$Q$1001,MATCH(ROWS($O$2:O358),$O$2:$O$1001,0),0), INDEX($V$1004:$AE$1004,1,MATCH(COLUMNS($V$1006:Y1006),$V$1006:$AE$1006,0)))),"Fix")))</f>
        <v>0</v>
      </c>
      <c r="F358" s="3">
        <f>IF(OR(INDEX($P$2:$P$1001,MATCH(ROWS($O$2:O358),$O$2:$O$1001,0),1)&gt;=100000,INDEX($V$1005:$AE$1005,1,MATCH(COLUMNS($V$1006:Z1006),$V$1006:$AE$1006,0))&gt;=100000), " ",IF(INDEX($V$2:$AE$1001,MATCH(ROWS($O$2:O358),$O$2:$O$1001,0),MATCH(COLUMNS($V$1006:Z1006),$V$1006:$AE$1006,0)), HYPERLINK("#",""), HYPERLINK(CONCATENATE("#Metadata!", ADDRESS(INDEX($Q$2:$Q$1001,MATCH(ROWS($O$2:O358),$O$2:$O$1001,0),0), INDEX($V$1004:$AE$1004,1,MATCH(COLUMNS($V$1006:Z1006),$V$1006:$AE$1006,0)))),"Fix")))</f>
        <v>0</v>
      </c>
      <c r="G358" s="3">
        <f>IF(OR(INDEX($P$2:$P$1001,MATCH(ROWS($O$2:O358),$O$2:$O$1001,0),1)&gt;=100000,INDEX($V$1005:$AE$1005,1,MATCH(COLUMNS($V$1006:AA1006),$V$1006:$AE$1006,0))&gt;=100000), " ",IF(INDEX($V$2:$AE$1001,MATCH(ROWS($O$2:O358),$O$2:$O$1001,0),MATCH(COLUMNS($V$1006:AA1006),$V$1006:$AE$1006,0)), HYPERLINK("#",""), HYPERLINK(CONCATENATE("#Metadata!", ADDRESS(INDEX($Q$2:$Q$1001,MATCH(ROWS($O$2:O358),$O$2:$O$1001,0),0), INDEX($V$1004:$AE$1004,1,MATCH(COLUMNS($V$1006:AA1006),$V$1006:$AE$1006,0)))),"Fix")))</f>
        <v>0</v>
      </c>
      <c r="H358" s="3">
        <f>IF(OR(INDEX($P$2:$P$1001,MATCH(ROWS($O$2:O358),$O$2:$O$1001,0),1)&gt;=100000,INDEX($V$1005:$AE$1005,1,MATCH(COLUMNS($V$1006:AB1006),$V$1006:$AE$1006,0))&gt;=100000), " ",IF(INDEX($V$2:$AE$1001,MATCH(ROWS($O$2:O358),$O$2:$O$1001,0),MATCH(COLUMNS($V$1006:AB1006),$V$1006:$AE$1006,0)), HYPERLINK("#",""), HYPERLINK(CONCATENATE("#Metadata!", ADDRESS(INDEX($Q$2:$Q$1001,MATCH(ROWS($O$2:O358),$O$2:$O$1001,0),0), INDEX($V$1004:$AE$1004,1,MATCH(COLUMNS($V$1006:AB1006),$V$1006:$AE$1006,0)))),"Fix")))</f>
        <v>0</v>
      </c>
      <c r="I358" s="3">
        <f>IF(OR(INDEX($P$2:$P$1001,MATCH(ROWS($O$2:O358),$O$2:$O$1001,0),1)&gt;=100000,INDEX($V$1005:$AE$1005,1,MATCH(COLUMNS($V$1006:AC1006),$V$1006:$AE$1006,0))&gt;=100000), " ",IF(INDEX($V$2:$AE$1001,MATCH(ROWS($O$2:O358),$O$2:$O$1001,0),MATCH(COLUMNS($V$1006:AC1006),$V$1006:$AE$1006,0)), HYPERLINK("#",""), HYPERLINK(CONCATENATE("#Metadata!", ADDRESS(INDEX($Q$2:$Q$1001,MATCH(ROWS($O$2:O358),$O$2:$O$1001,0),0), INDEX($V$1004:$AE$1004,1,MATCH(COLUMNS($V$1006:AC1006),$V$1006:$AE$1006,0)))),"Fix")))</f>
        <v>0</v>
      </c>
      <c r="J358" s="3">
        <f>IF(OR(INDEX($P$2:$P$1001,MATCH(ROWS($O$2:O358),$O$2:$O$1001,0),1)&gt;=100000,INDEX($V$1005:$AE$1005,1,MATCH(COLUMNS($V$1006:AD1006),$V$1006:$AE$1006,0))&gt;=100000), " ",IF(INDEX($V$2:$AE$1001,MATCH(ROWS($O$2:O358),$O$2:$O$1001,0),MATCH(COLUMNS($V$1006:AD1006),$V$1006:$AE$1006,0)), HYPERLINK("#",""), HYPERLINK(CONCATENATE("#Metadata!", ADDRESS(INDEX($Q$2:$Q$1001,MATCH(ROWS($O$2:O358),$O$2:$O$1001,0),0), INDEX($V$1004:$AE$1004,1,MATCH(COLUMNS($V$1006:AD1006),$V$1006:$AE$1006,0)))),"Fix")))</f>
        <v>0</v>
      </c>
      <c r="K358" s="3">
        <f>IF(OR(INDEX($P$2:$P$1001,MATCH(ROWS($O$2:O358),$O$2:$O$1001,0),1)&gt;=100000,INDEX($V$1005:$AE$1005,1,MATCH(COLUMNS($V$1006:AE1006),$V$1006:$AE$1006,0))&gt;=100000), " ",IF(INDEX($V$2:$AE$1001,MATCH(ROWS($O$2:O358),$O$2:$O$1001,0),MATCH(COLUMNS($V$1006:AE1006),$V$1006:$AE$1006,0)), HYPERLINK("#",""), HYPERLINK(CONCATENATE("#Metadata!", ADDRESS(INDEX($Q$2:$Q$1001,MATCH(ROWS($O$2:O358),$O$2:$O$1001,0),0), INDEX($V$1004:$AE$1004,1,MATCH(COLUMNS($V$1006:AE1006),$V$1006:$AE$1006,0)))),"Fix")))</f>
        <v>0</v>
      </c>
      <c r="O358">
        <v>0</v>
      </c>
      <c r="P358">
        <v>0</v>
      </c>
      <c r="Q358">
        <v>0</v>
      </c>
      <c r="R358">
        <f>IF(S358,TRUE,AND(V358:AE358))</f>
        <v>0</v>
      </c>
      <c r="S358">
        <f>COUNTBLANK(Metadata!B358:K358)=COLUMNS(Metadata!B358:K358)</f>
        <v>0</v>
      </c>
      <c r="T358">
        <v>0</v>
      </c>
      <c r="V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W358">
        <f>AND(IF(Metadata!C358="",FALSE,TRUE),exact(Metadata!C358,"animal secretion"))</f>
        <v>0</v>
      </c>
      <c r="X358">
        <f>AND(IF(Metadata!D358="",FALSE,TRUE),exact(Metadata!D358,"saliva"))</f>
        <v>0</v>
      </c>
      <c r="Y358">
        <f>AND(IF(Metadata!E358="",FALSE,TRUE),exact(Metadata!E358,"human-oral"))</f>
        <v>0</v>
      </c>
      <c r="Z358">
        <f>AND(IF(Metadata!F358="",FALSE,TRUE),exact(Metadata!F358,"UBERON:oral cavity"))</f>
        <v>0</v>
      </c>
      <c r="AA358">
        <f>AND(IF(Metadata!G358="",FALSE,TRUE),exact(Metadata!G358,"UBERON:saliva"))</f>
        <v>0</v>
      </c>
      <c r="AB358">
        <f>AND(IF(Metadata!H358="",FALSE,TRUE),exact(Metadata!H358,"UBERON:tongue"))</f>
        <v>0</v>
      </c>
      <c r="AC358">
        <f>AND(IF(Metadata!I358="",FALSE,TRUE),exact(Metadata!I358,"tongue"))</f>
        <v>0</v>
      </c>
      <c r="AD358">
        <f>AND(IF(Metadata!J358="",FALSE,TRUE),exact(Metadata!J358,"human oral metagenome"))</f>
        <v>0</v>
      </c>
      <c r="AE358">
        <f>AND(IF(Metadata!K358="",FALSE,TRUE),exact(Metadata!K358,"447426"))</f>
        <v>0</v>
      </c>
    </row>
    <row r="359" spans="1:31">
      <c r="A359" s="4">
        <f>IF(B359=" "," ",HYPERLINK(CONCATENATE("#metadata!",ADDRESS(INDEX($Q$2:$Q$1001,MATCH(ROWS($O$2:O359),$O$2:$O$1001,0),0),1)),INDEX($T$2:$T$1001,MATCH(ROWS($O$2:O359),$O$2:$O$1001,0),0)))</f>
        <v>0</v>
      </c>
      <c r="B359" s="3">
        <f>IF(OR(INDEX($P$2:$P$1001,MATCH(ROWS($O$2:O359),$O$2:$O$1001,0),1)&gt;=100000,INDEX($V$1005:$AE$1005,1,MATCH(COLUMNS($V$1006:V1006),$V$1006:$AE$1006,0))&gt;=100000), " ",IF(INDEX($V$2:$AE$1001,MATCH(ROWS($O$2:O359),$O$2:$O$1001,0),MATCH(COLUMNS($V$1006:V1006),$V$1006:$AE$1006,0)), HYPERLINK("#",""), HYPERLINK(CONCATENATE("#Metadata!", ADDRESS(INDEX($Q$2:$Q$1001,MATCH(ROWS($O$2:O359),$O$2:$O$1001,0),0), INDEX($V$1004:$AE$1004,1,MATCH(COLUMNS($V$1006:V1006),$V$1006:$AE$1006,0)))),"Fix")))</f>
        <v>0</v>
      </c>
      <c r="C359" s="3">
        <f>IF(OR(INDEX($P$2:$P$1001,MATCH(ROWS($O$2:O359),$O$2:$O$1001,0),1)&gt;=100000,INDEX($V$1005:$AE$1005,1,MATCH(COLUMNS($V$1006:W1006),$V$1006:$AE$1006,0))&gt;=100000), " ",IF(INDEX($V$2:$AE$1001,MATCH(ROWS($O$2:O359),$O$2:$O$1001,0),MATCH(COLUMNS($V$1006:W1006),$V$1006:$AE$1006,0)), HYPERLINK("#",""), HYPERLINK(CONCATENATE("#Metadata!", ADDRESS(INDEX($Q$2:$Q$1001,MATCH(ROWS($O$2:O359),$O$2:$O$1001,0),0), INDEX($V$1004:$AE$1004,1,MATCH(COLUMNS($V$1006:W1006),$V$1006:$AE$1006,0)))),"Fix")))</f>
        <v>0</v>
      </c>
      <c r="D359" s="3">
        <f>IF(OR(INDEX($P$2:$P$1001,MATCH(ROWS($O$2:O359),$O$2:$O$1001,0),1)&gt;=100000,INDEX($V$1005:$AE$1005,1,MATCH(COLUMNS($V$1006:X1006),$V$1006:$AE$1006,0))&gt;=100000), " ",IF(INDEX($V$2:$AE$1001,MATCH(ROWS($O$2:O359),$O$2:$O$1001,0),MATCH(COLUMNS($V$1006:X1006),$V$1006:$AE$1006,0)), HYPERLINK("#",""), HYPERLINK(CONCATENATE("#Metadata!", ADDRESS(INDEX($Q$2:$Q$1001,MATCH(ROWS($O$2:O359),$O$2:$O$1001,0),0), INDEX($V$1004:$AE$1004,1,MATCH(COLUMNS($V$1006:X1006),$V$1006:$AE$1006,0)))),"Fix")))</f>
        <v>0</v>
      </c>
      <c r="E359" s="3">
        <f>IF(OR(INDEX($P$2:$P$1001,MATCH(ROWS($O$2:O359),$O$2:$O$1001,0),1)&gt;=100000,INDEX($V$1005:$AE$1005,1,MATCH(COLUMNS($V$1006:Y1006),$V$1006:$AE$1006,0))&gt;=100000), " ",IF(INDEX($V$2:$AE$1001,MATCH(ROWS($O$2:O359),$O$2:$O$1001,0),MATCH(COLUMNS($V$1006:Y1006),$V$1006:$AE$1006,0)), HYPERLINK("#",""), HYPERLINK(CONCATENATE("#Metadata!", ADDRESS(INDEX($Q$2:$Q$1001,MATCH(ROWS($O$2:O359),$O$2:$O$1001,0),0), INDEX($V$1004:$AE$1004,1,MATCH(COLUMNS($V$1006:Y1006),$V$1006:$AE$1006,0)))),"Fix")))</f>
        <v>0</v>
      </c>
      <c r="F359" s="3">
        <f>IF(OR(INDEX($P$2:$P$1001,MATCH(ROWS($O$2:O359),$O$2:$O$1001,0),1)&gt;=100000,INDEX($V$1005:$AE$1005,1,MATCH(COLUMNS($V$1006:Z1006),$V$1006:$AE$1006,0))&gt;=100000), " ",IF(INDEX($V$2:$AE$1001,MATCH(ROWS($O$2:O359),$O$2:$O$1001,0),MATCH(COLUMNS($V$1006:Z1006),$V$1006:$AE$1006,0)), HYPERLINK("#",""), HYPERLINK(CONCATENATE("#Metadata!", ADDRESS(INDEX($Q$2:$Q$1001,MATCH(ROWS($O$2:O359),$O$2:$O$1001,0),0), INDEX($V$1004:$AE$1004,1,MATCH(COLUMNS($V$1006:Z1006),$V$1006:$AE$1006,0)))),"Fix")))</f>
        <v>0</v>
      </c>
      <c r="G359" s="3">
        <f>IF(OR(INDEX($P$2:$P$1001,MATCH(ROWS($O$2:O359),$O$2:$O$1001,0),1)&gt;=100000,INDEX($V$1005:$AE$1005,1,MATCH(COLUMNS($V$1006:AA1006),$V$1006:$AE$1006,0))&gt;=100000), " ",IF(INDEX($V$2:$AE$1001,MATCH(ROWS($O$2:O359),$O$2:$O$1001,0),MATCH(COLUMNS($V$1006:AA1006),$V$1006:$AE$1006,0)), HYPERLINK("#",""), HYPERLINK(CONCATENATE("#Metadata!", ADDRESS(INDEX($Q$2:$Q$1001,MATCH(ROWS($O$2:O359),$O$2:$O$1001,0),0), INDEX($V$1004:$AE$1004,1,MATCH(COLUMNS($V$1006:AA1006),$V$1006:$AE$1006,0)))),"Fix")))</f>
        <v>0</v>
      </c>
      <c r="H359" s="3">
        <f>IF(OR(INDEX($P$2:$P$1001,MATCH(ROWS($O$2:O359),$O$2:$O$1001,0),1)&gt;=100000,INDEX($V$1005:$AE$1005,1,MATCH(COLUMNS($V$1006:AB1006),$V$1006:$AE$1006,0))&gt;=100000), " ",IF(INDEX($V$2:$AE$1001,MATCH(ROWS($O$2:O359),$O$2:$O$1001,0),MATCH(COLUMNS($V$1006:AB1006),$V$1006:$AE$1006,0)), HYPERLINK("#",""), HYPERLINK(CONCATENATE("#Metadata!", ADDRESS(INDEX($Q$2:$Q$1001,MATCH(ROWS($O$2:O359),$O$2:$O$1001,0),0), INDEX($V$1004:$AE$1004,1,MATCH(COLUMNS($V$1006:AB1006),$V$1006:$AE$1006,0)))),"Fix")))</f>
        <v>0</v>
      </c>
      <c r="I359" s="3">
        <f>IF(OR(INDEX($P$2:$P$1001,MATCH(ROWS($O$2:O359),$O$2:$O$1001,0),1)&gt;=100000,INDEX($V$1005:$AE$1005,1,MATCH(COLUMNS($V$1006:AC1006),$V$1006:$AE$1006,0))&gt;=100000), " ",IF(INDEX($V$2:$AE$1001,MATCH(ROWS($O$2:O359),$O$2:$O$1001,0),MATCH(COLUMNS($V$1006:AC1006),$V$1006:$AE$1006,0)), HYPERLINK("#",""), HYPERLINK(CONCATENATE("#Metadata!", ADDRESS(INDEX($Q$2:$Q$1001,MATCH(ROWS($O$2:O359),$O$2:$O$1001,0),0), INDEX($V$1004:$AE$1004,1,MATCH(COLUMNS($V$1006:AC1006),$V$1006:$AE$1006,0)))),"Fix")))</f>
        <v>0</v>
      </c>
      <c r="J359" s="3">
        <f>IF(OR(INDEX($P$2:$P$1001,MATCH(ROWS($O$2:O359),$O$2:$O$1001,0),1)&gt;=100000,INDEX($V$1005:$AE$1005,1,MATCH(COLUMNS($V$1006:AD1006),$V$1006:$AE$1006,0))&gt;=100000), " ",IF(INDEX($V$2:$AE$1001,MATCH(ROWS($O$2:O359),$O$2:$O$1001,0),MATCH(COLUMNS($V$1006:AD1006),$V$1006:$AE$1006,0)), HYPERLINK("#",""), HYPERLINK(CONCATENATE("#Metadata!", ADDRESS(INDEX($Q$2:$Q$1001,MATCH(ROWS($O$2:O359),$O$2:$O$1001,0),0), INDEX($V$1004:$AE$1004,1,MATCH(COLUMNS($V$1006:AD1006),$V$1006:$AE$1006,0)))),"Fix")))</f>
        <v>0</v>
      </c>
      <c r="K359" s="3">
        <f>IF(OR(INDEX($P$2:$P$1001,MATCH(ROWS($O$2:O359),$O$2:$O$1001,0),1)&gt;=100000,INDEX($V$1005:$AE$1005,1,MATCH(COLUMNS($V$1006:AE1006),$V$1006:$AE$1006,0))&gt;=100000), " ",IF(INDEX($V$2:$AE$1001,MATCH(ROWS($O$2:O359),$O$2:$O$1001,0),MATCH(COLUMNS($V$1006:AE1006),$V$1006:$AE$1006,0)), HYPERLINK("#",""), HYPERLINK(CONCATENATE("#Metadata!", ADDRESS(INDEX($Q$2:$Q$1001,MATCH(ROWS($O$2:O359),$O$2:$O$1001,0),0), INDEX($V$1004:$AE$1004,1,MATCH(COLUMNS($V$1006:AE1006),$V$1006:$AE$1006,0)))),"Fix")))</f>
        <v>0</v>
      </c>
      <c r="O359">
        <v>0</v>
      </c>
      <c r="P359">
        <v>0</v>
      </c>
      <c r="Q359">
        <v>0</v>
      </c>
      <c r="R359">
        <f>IF(S359,TRUE,AND(V359:AE359))</f>
        <v>0</v>
      </c>
      <c r="S359">
        <f>COUNTBLANK(Metadata!B359:K359)=COLUMNS(Metadata!B359:K359)</f>
        <v>0</v>
      </c>
      <c r="T359">
        <v>0</v>
      </c>
      <c r="V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W359">
        <f>AND(IF(Metadata!C359="",FALSE,TRUE),exact(Metadata!C359,"animal secretion"))</f>
        <v>0</v>
      </c>
      <c r="X359">
        <f>AND(IF(Metadata!D359="",FALSE,TRUE),exact(Metadata!D359,"saliva"))</f>
        <v>0</v>
      </c>
      <c r="Y359">
        <f>AND(IF(Metadata!E359="",FALSE,TRUE),exact(Metadata!E359,"human-oral"))</f>
        <v>0</v>
      </c>
      <c r="Z359">
        <f>AND(IF(Metadata!F359="",FALSE,TRUE),exact(Metadata!F359,"UBERON:oral cavity"))</f>
        <v>0</v>
      </c>
      <c r="AA359">
        <f>AND(IF(Metadata!G359="",FALSE,TRUE),exact(Metadata!G359,"UBERON:saliva"))</f>
        <v>0</v>
      </c>
      <c r="AB359">
        <f>AND(IF(Metadata!H359="",FALSE,TRUE),exact(Metadata!H359,"UBERON:tongue"))</f>
        <v>0</v>
      </c>
      <c r="AC359">
        <f>AND(IF(Metadata!I359="",FALSE,TRUE),exact(Metadata!I359,"tongue"))</f>
        <v>0</v>
      </c>
      <c r="AD359">
        <f>AND(IF(Metadata!J359="",FALSE,TRUE),exact(Metadata!J359,"human oral metagenome"))</f>
        <v>0</v>
      </c>
      <c r="AE359">
        <f>AND(IF(Metadata!K359="",FALSE,TRUE),exact(Metadata!K359,"447426"))</f>
        <v>0</v>
      </c>
    </row>
    <row r="360" spans="1:31">
      <c r="A360" s="4">
        <f>IF(B360=" "," ",HYPERLINK(CONCATENATE("#metadata!",ADDRESS(INDEX($Q$2:$Q$1001,MATCH(ROWS($O$2:O360),$O$2:$O$1001,0),0),1)),INDEX($T$2:$T$1001,MATCH(ROWS($O$2:O360),$O$2:$O$1001,0),0)))</f>
        <v>0</v>
      </c>
      <c r="B360" s="3">
        <f>IF(OR(INDEX($P$2:$P$1001,MATCH(ROWS($O$2:O360),$O$2:$O$1001,0),1)&gt;=100000,INDEX($V$1005:$AE$1005,1,MATCH(COLUMNS($V$1006:V1006),$V$1006:$AE$1006,0))&gt;=100000), " ",IF(INDEX($V$2:$AE$1001,MATCH(ROWS($O$2:O360),$O$2:$O$1001,0),MATCH(COLUMNS($V$1006:V1006),$V$1006:$AE$1006,0)), HYPERLINK("#",""), HYPERLINK(CONCATENATE("#Metadata!", ADDRESS(INDEX($Q$2:$Q$1001,MATCH(ROWS($O$2:O360),$O$2:$O$1001,0),0), INDEX($V$1004:$AE$1004,1,MATCH(COLUMNS($V$1006:V1006),$V$1006:$AE$1006,0)))),"Fix")))</f>
        <v>0</v>
      </c>
      <c r="C360" s="3">
        <f>IF(OR(INDEX($P$2:$P$1001,MATCH(ROWS($O$2:O360),$O$2:$O$1001,0),1)&gt;=100000,INDEX($V$1005:$AE$1005,1,MATCH(COLUMNS($V$1006:W1006),$V$1006:$AE$1006,0))&gt;=100000), " ",IF(INDEX($V$2:$AE$1001,MATCH(ROWS($O$2:O360),$O$2:$O$1001,0),MATCH(COLUMNS($V$1006:W1006),$V$1006:$AE$1006,0)), HYPERLINK("#",""), HYPERLINK(CONCATENATE("#Metadata!", ADDRESS(INDEX($Q$2:$Q$1001,MATCH(ROWS($O$2:O360),$O$2:$O$1001,0),0), INDEX($V$1004:$AE$1004,1,MATCH(COLUMNS($V$1006:W1006),$V$1006:$AE$1006,0)))),"Fix")))</f>
        <v>0</v>
      </c>
      <c r="D360" s="3">
        <f>IF(OR(INDEX($P$2:$P$1001,MATCH(ROWS($O$2:O360),$O$2:$O$1001,0),1)&gt;=100000,INDEX($V$1005:$AE$1005,1,MATCH(COLUMNS($V$1006:X1006),$V$1006:$AE$1006,0))&gt;=100000), " ",IF(INDEX($V$2:$AE$1001,MATCH(ROWS($O$2:O360),$O$2:$O$1001,0),MATCH(COLUMNS($V$1006:X1006),$V$1006:$AE$1006,0)), HYPERLINK("#",""), HYPERLINK(CONCATENATE("#Metadata!", ADDRESS(INDEX($Q$2:$Q$1001,MATCH(ROWS($O$2:O360),$O$2:$O$1001,0),0), INDEX($V$1004:$AE$1004,1,MATCH(COLUMNS($V$1006:X1006),$V$1006:$AE$1006,0)))),"Fix")))</f>
        <v>0</v>
      </c>
      <c r="E360" s="3">
        <f>IF(OR(INDEX($P$2:$P$1001,MATCH(ROWS($O$2:O360),$O$2:$O$1001,0),1)&gt;=100000,INDEX($V$1005:$AE$1005,1,MATCH(COLUMNS($V$1006:Y1006),$V$1006:$AE$1006,0))&gt;=100000), " ",IF(INDEX($V$2:$AE$1001,MATCH(ROWS($O$2:O360),$O$2:$O$1001,0),MATCH(COLUMNS($V$1006:Y1006),$V$1006:$AE$1006,0)), HYPERLINK("#",""), HYPERLINK(CONCATENATE("#Metadata!", ADDRESS(INDEX($Q$2:$Q$1001,MATCH(ROWS($O$2:O360),$O$2:$O$1001,0),0), INDEX($V$1004:$AE$1004,1,MATCH(COLUMNS($V$1006:Y1006),$V$1006:$AE$1006,0)))),"Fix")))</f>
        <v>0</v>
      </c>
      <c r="F360" s="3">
        <f>IF(OR(INDEX($P$2:$P$1001,MATCH(ROWS($O$2:O360),$O$2:$O$1001,0),1)&gt;=100000,INDEX($V$1005:$AE$1005,1,MATCH(COLUMNS($V$1006:Z1006),$V$1006:$AE$1006,0))&gt;=100000), " ",IF(INDEX($V$2:$AE$1001,MATCH(ROWS($O$2:O360),$O$2:$O$1001,0),MATCH(COLUMNS($V$1006:Z1006),$V$1006:$AE$1006,0)), HYPERLINK("#",""), HYPERLINK(CONCATENATE("#Metadata!", ADDRESS(INDEX($Q$2:$Q$1001,MATCH(ROWS($O$2:O360),$O$2:$O$1001,0),0), INDEX($V$1004:$AE$1004,1,MATCH(COLUMNS($V$1006:Z1006),$V$1006:$AE$1006,0)))),"Fix")))</f>
        <v>0</v>
      </c>
      <c r="G360" s="3">
        <f>IF(OR(INDEX($P$2:$P$1001,MATCH(ROWS($O$2:O360),$O$2:$O$1001,0),1)&gt;=100000,INDEX($V$1005:$AE$1005,1,MATCH(COLUMNS($V$1006:AA1006),$V$1006:$AE$1006,0))&gt;=100000), " ",IF(INDEX($V$2:$AE$1001,MATCH(ROWS($O$2:O360),$O$2:$O$1001,0),MATCH(COLUMNS($V$1006:AA1006),$V$1006:$AE$1006,0)), HYPERLINK("#",""), HYPERLINK(CONCATENATE("#Metadata!", ADDRESS(INDEX($Q$2:$Q$1001,MATCH(ROWS($O$2:O360),$O$2:$O$1001,0),0), INDEX($V$1004:$AE$1004,1,MATCH(COLUMNS($V$1006:AA1006),$V$1006:$AE$1006,0)))),"Fix")))</f>
        <v>0</v>
      </c>
      <c r="H360" s="3">
        <f>IF(OR(INDEX($P$2:$P$1001,MATCH(ROWS($O$2:O360),$O$2:$O$1001,0),1)&gt;=100000,INDEX($V$1005:$AE$1005,1,MATCH(COLUMNS($V$1006:AB1006),$V$1006:$AE$1006,0))&gt;=100000), " ",IF(INDEX($V$2:$AE$1001,MATCH(ROWS($O$2:O360),$O$2:$O$1001,0),MATCH(COLUMNS($V$1006:AB1006),$V$1006:$AE$1006,0)), HYPERLINK("#",""), HYPERLINK(CONCATENATE("#Metadata!", ADDRESS(INDEX($Q$2:$Q$1001,MATCH(ROWS($O$2:O360),$O$2:$O$1001,0),0), INDEX($V$1004:$AE$1004,1,MATCH(COLUMNS($V$1006:AB1006),$V$1006:$AE$1006,0)))),"Fix")))</f>
        <v>0</v>
      </c>
      <c r="I360" s="3">
        <f>IF(OR(INDEX($P$2:$P$1001,MATCH(ROWS($O$2:O360),$O$2:$O$1001,0),1)&gt;=100000,INDEX($V$1005:$AE$1005,1,MATCH(COLUMNS($V$1006:AC1006),$V$1006:$AE$1006,0))&gt;=100000), " ",IF(INDEX($V$2:$AE$1001,MATCH(ROWS($O$2:O360),$O$2:$O$1001,0),MATCH(COLUMNS($V$1006:AC1006),$V$1006:$AE$1006,0)), HYPERLINK("#",""), HYPERLINK(CONCATENATE("#Metadata!", ADDRESS(INDEX($Q$2:$Q$1001,MATCH(ROWS($O$2:O360),$O$2:$O$1001,0),0), INDEX($V$1004:$AE$1004,1,MATCH(COLUMNS($V$1006:AC1006),$V$1006:$AE$1006,0)))),"Fix")))</f>
        <v>0</v>
      </c>
      <c r="J360" s="3">
        <f>IF(OR(INDEX($P$2:$P$1001,MATCH(ROWS($O$2:O360),$O$2:$O$1001,0),1)&gt;=100000,INDEX($V$1005:$AE$1005,1,MATCH(COLUMNS($V$1006:AD1006),$V$1006:$AE$1006,0))&gt;=100000), " ",IF(INDEX($V$2:$AE$1001,MATCH(ROWS($O$2:O360),$O$2:$O$1001,0),MATCH(COLUMNS($V$1006:AD1006),$V$1006:$AE$1006,0)), HYPERLINK("#",""), HYPERLINK(CONCATENATE("#Metadata!", ADDRESS(INDEX($Q$2:$Q$1001,MATCH(ROWS($O$2:O360),$O$2:$O$1001,0),0), INDEX($V$1004:$AE$1004,1,MATCH(COLUMNS($V$1006:AD1006),$V$1006:$AE$1006,0)))),"Fix")))</f>
        <v>0</v>
      </c>
      <c r="K360" s="3">
        <f>IF(OR(INDEX($P$2:$P$1001,MATCH(ROWS($O$2:O360),$O$2:$O$1001,0),1)&gt;=100000,INDEX($V$1005:$AE$1005,1,MATCH(COLUMNS($V$1006:AE1006),$V$1006:$AE$1006,0))&gt;=100000), " ",IF(INDEX($V$2:$AE$1001,MATCH(ROWS($O$2:O360),$O$2:$O$1001,0),MATCH(COLUMNS($V$1006:AE1006),$V$1006:$AE$1006,0)), HYPERLINK("#",""), HYPERLINK(CONCATENATE("#Metadata!", ADDRESS(INDEX($Q$2:$Q$1001,MATCH(ROWS($O$2:O360),$O$2:$O$1001,0),0), INDEX($V$1004:$AE$1004,1,MATCH(COLUMNS($V$1006:AE1006),$V$1006:$AE$1006,0)))),"Fix")))</f>
        <v>0</v>
      </c>
      <c r="O360">
        <v>0</v>
      </c>
      <c r="P360">
        <v>0</v>
      </c>
      <c r="Q360">
        <v>0</v>
      </c>
      <c r="R360">
        <f>IF(S360,TRUE,AND(V360:AE360))</f>
        <v>0</v>
      </c>
      <c r="S360">
        <f>COUNTBLANK(Metadata!B360:K360)=COLUMNS(Metadata!B360:K360)</f>
        <v>0</v>
      </c>
      <c r="T360">
        <v>0</v>
      </c>
      <c r="V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W360">
        <f>AND(IF(Metadata!C360="",FALSE,TRUE),exact(Metadata!C360,"animal secretion"))</f>
        <v>0</v>
      </c>
      <c r="X360">
        <f>AND(IF(Metadata!D360="",FALSE,TRUE),exact(Metadata!D360,"saliva"))</f>
        <v>0</v>
      </c>
      <c r="Y360">
        <f>AND(IF(Metadata!E360="",FALSE,TRUE),exact(Metadata!E360,"human-oral"))</f>
        <v>0</v>
      </c>
      <c r="Z360">
        <f>AND(IF(Metadata!F360="",FALSE,TRUE),exact(Metadata!F360,"UBERON:oral cavity"))</f>
        <v>0</v>
      </c>
      <c r="AA360">
        <f>AND(IF(Metadata!G360="",FALSE,TRUE),exact(Metadata!G360,"UBERON:saliva"))</f>
        <v>0</v>
      </c>
      <c r="AB360">
        <f>AND(IF(Metadata!H360="",FALSE,TRUE),exact(Metadata!H360,"UBERON:tongue"))</f>
        <v>0</v>
      </c>
      <c r="AC360">
        <f>AND(IF(Metadata!I360="",FALSE,TRUE),exact(Metadata!I360,"tongue"))</f>
        <v>0</v>
      </c>
      <c r="AD360">
        <f>AND(IF(Metadata!J360="",FALSE,TRUE),exact(Metadata!J360,"human oral metagenome"))</f>
        <v>0</v>
      </c>
      <c r="AE360">
        <f>AND(IF(Metadata!K360="",FALSE,TRUE),exact(Metadata!K360,"447426"))</f>
        <v>0</v>
      </c>
    </row>
    <row r="361" spans="1:31">
      <c r="A361" s="4">
        <f>IF(B361=" "," ",HYPERLINK(CONCATENATE("#metadata!",ADDRESS(INDEX($Q$2:$Q$1001,MATCH(ROWS($O$2:O361),$O$2:$O$1001,0),0),1)),INDEX($T$2:$T$1001,MATCH(ROWS($O$2:O361),$O$2:$O$1001,0),0)))</f>
        <v>0</v>
      </c>
      <c r="B361" s="3">
        <f>IF(OR(INDEX($P$2:$P$1001,MATCH(ROWS($O$2:O361),$O$2:$O$1001,0),1)&gt;=100000,INDEX($V$1005:$AE$1005,1,MATCH(COLUMNS($V$1006:V1006),$V$1006:$AE$1006,0))&gt;=100000), " ",IF(INDEX($V$2:$AE$1001,MATCH(ROWS($O$2:O361),$O$2:$O$1001,0),MATCH(COLUMNS($V$1006:V1006),$V$1006:$AE$1006,0)), HYPERLINK("#",""), HYPERLINK(CONCATENATE("#Metadata!", ADDRESS(INDEX($Q$2:$Q$1001,MATCH(ROWS($O$2:O361),$O$2:$O$1001,0),0), INDEX($V$1004:$AE$1004,1,MATCH(COLUMNS($V$1006:V1006),$V$1006:$AE$1006,0)))),"Fix")))</f>
        <v>0</v>
      </c>
      <c r="C361" s="3">
        <f>IF(OR(INDEX($P$2:$P$1001,MATCH(ROWS($O$2:O361),$O$2:$O$1001,0),1)&gt;=100000,INDEX($V$1005:$AE$1005,1,MATCH(COLUMNS($V$1006:W1006),$V$1006:$AE$1006,0))&gt;=100000), " ",IF(INDEX($V$2:$AE$1001,MATCH(ROWS($O$2:O361),$O$2:$O$1001,0),MATCH(COLUMNS($V$1006:W1006),$V$1006:$AE$1006,0)), HYPERLINK("#",""), HYPERLINK(CONCATENATE("#Metadata!", ADDRESS(INDEX($Q$2:$Q$1001,MATCH(ROWS($O$2:O361),$O$2:$O$1001,0),0), INDEX($V$1004:$AE$1004,1,MATCH(COLUMNS($V$1006:W1006),$V$1006:$AE$1006,0)))),"Fix")))</f>
        <v>0</v>
      </c>
      <c r="D361" s="3">
        <f>IF(OR(INDEX($P$2:$P$1001,MATCH(ROWS($O$2:O361),$O$2:$O$1001,0),1)&gt;=100000,INDEX($V$1005:$AE$1005,1,MATCH(COLUMNS($V$1006:X1006),$V$1006:$AE$1006,0))&gt;=100000), " ",IF(INDEX($V$2:$AE$1001,MATCH(ROWS($O$2:O361),$O$2:$O$1001,0),MATCH(COLUMNS($V$1006:X1006),$V$1006:$AE$1006,0)), HYPERLINK("#",""), HYPERLINK(CONCATENATE("#Metadata!", ADDRESS(INDEX($Q$2:$Q$1001,MATCH(ROWS($O$2:O361),$O$2:$O$1001,0),0), INDEX($V$1004:$AE$1004,1,MATCH(COLUMNS($V$1006:X1006),$V$1006:$AE$1006,0)))),"Fix")))</f>
        <v>0</v>
      </c>
      <c r="E361" s="3">
        <f>IF(OR(INDEX($P$2:$P$1001,MATCH(ROWS($O$2:O361),$O$2:$O$1001,0),1)&gt;=100000,INDEX($V$1005:$AE$1005,1,MATCH(COLUMNS($V$1006:Y1006),$V$1006:$AE$1006,0))&gt;=100000), " ",IF(INDEX($V$2:$AE$1001,MATCH(ROWS($O$2:O361),$O$2:$O$1001,0),MATCH(COLUMNS($V$1006:Y1006),$V$1006:$AE$1006,0)), HYPERLINK("#",""), HYPERLINK(CONCATENATE("#Metadata!", ADDRESS(INDEX($Q$2:$Q$1001,MATCH(ROWS($O$2:O361),$O$2:$O$1001,0),0), INDEX($V$1004:$AE$1004,1,MATCH(COLUMNS($V$1006:Y1006),$V$1006:$AE$1006,0)))),"Fix")))</f>
        <v>0</v>
      </c>
      <c r="F361" s="3">
        <f>IF(OR(INDEX($P$2:$P$1001,MATCH(ROWS($O$2:O361),$O$2:$O$1001,0),1)&gt;=100000,INDEX($V$1005:$AE$1005,1,MATCH(COLUMNS($V$1006:Z1006),$V$1006:$AE$1006,0))&gt;=100000), " ",IF(INDEX($V$2:$AE$1001,MATCH(ROWS($O$2:O361),$O$2:$O$1001,0),MATCH(COLUMNS($V$1006:Z1006),$V$1006:$AE$1006,0)), HYPERLINK("#",""), HYPERLINK(CONCATENATE("#Metadata!", ADDRESS(INDEX($Q$2:$Q$1001,MATCH(ROWS($O$2:O361),$O$2:$O$1001,0),0), INDEX($V$1004:$AE$1004,1,MATCH(COLUMNS($V$1006:Z1006),$V$1006:$AE$1006,0)))),"Fix")))</f>
        <v>0</v>
      </c>
      <c r="G361" s="3">
        <f>IF(OR(INDEX($P$2:$P$1001,MATCH(ROWS($O$2:O361),$O$2:$O$1001,0),1)&gt;=100000,INDEX($V$1005:$AE$1005,1,MATCH(COLUMNS($V$1006:AA1006),$V$1006:$AE$1006,0))&gt;=100000), " ",IF(INDEX($V$2:$AE$1001,MATCH(ROWS($O$2:O361),$O$2:$O$1001,0),MATCH(COLUMNS($V$1006:AA1006),$V$1006:$AE$1006,0)), HYPERLINK("#",""), HYPERLINK(CONCATENATE("#Metadata!", ADDRESS(INDEX($Q$2:$Q$1001,MATCH(ROWS($O$2:O361),$O$2:$O$1001,0),0), INDEX($V$1004:$AE$1004,1,MATCH(COLUMNS($V$1006:AA1006),$V$1006:$AE$1006,0)))),"Fix")))</f>
        <v>0</v>
      </c>
      <c r="H361" s="3">
        <f>IF(OR(INDEX($P$2:$P$1001,MATCH(ROWS($O$2:O361),$O$2:$O$1001,0),1)&gt;=100000,INDEX($V$1005:$AE$1005,1,MATCH(COLUMNS($V$1006:AB1006),$V$1006:$AE$1006,0))&gt;=100000), " ",IF(INDEX($V$2:$AE$1001,MATCH(ROWS($O$2:O361),$O$2:$O$1001,0),MATCH(COLUMNS($V$1006:AB1006),$V$1006:$AE$1006,0)), HYPERLINK("#",""), HYPERLINK(CONCATENATE("#Metadata!", ADDRESS(INDEX($Q$2:$Q$1001,MATCH(ROWS($O$2:O361),$O$2:$O$1001,0),0), INDEX($V$1004:$AE$1004,1,MATCH(COLUMNS($V$1006:AB1006),$V$1006:$AE$1006,0)))),"Fix")))</f>
        <v>0</v>
      </c>
      <c r="I361" s="3">
        <f>IF(OR(INDEX($P$2:$P$1001,MATCH(ROWS($O$2:O361),$O$2:$O$1001,0),1)&gt;=100000,INDEX($V$1005:$AE$1005,1,MATCH(COLUMNS($V$1006:AC1006),$V$1006:$AE$1006,0))&gt;=100000), " ",IF(INDEX($V$2:$AE$1001,MATCH(ROWS($O$2:O361),$O$2:$O$1001,0),MATCH(COLUMNS($V$1006:AC1006),$V$1006:$AE$1006,0)), HYPERLINK("#",""), HYPERLINK(CONCATENATE("#Metadata!", ADDRESS(INDEX($Q$2:$Q$1001,MATCH(ROWS($O$2:O361),$O$2:$O$1001,0),0), INDEX($V$1004:$AE$1004,1,MATCH(COLUMNS($V$1006:AC1006),$V$1006:$AE$1006,0)))),"Fix")))</f>
        <v>0</v>
      </c>
      <c r="J361" s="3">
        <f>IF(OR(INDEX($P$2:$P$1001,MATCH(ROWS($O$2:O361),$O$2:$O$1001,0),1)&gt;=100000,INDEX($V$1005:$AE$1005,1,MATCH(COLUMNS($V$1006:AD1006),$V$1006:$AE$1006,0))&gt;=100000), " ",IF(INDEX($V$2:$AE$1001,MATCH(ROWS($O$2:O361),$O$2:$O$1001,0),MATCH(COLUMNS($V$1006:AD1006),$V$1006:$AE$1006,0)), HYPERLINK("#",""), HYPERLINK(CONCATENATE("#Metadata!", ADDRESS(INDEX($Q$2:$Q$1001,MATCH(ROWS($O$2:O361),$O$2:$O$1001,0),0), INDEX($V$1004:$AE$1004,1,MATCH(COLUMNS($V$1006:AD1006),$V$1006:$AE$1006,0)))),"Fix")))</f>
        <v>0</v>
      </c>
      <c r="K361" s="3">
        <f>IF(OR(INDEX($P$2:$P$1001,MATCH(ROWS($O$2:O361),$O$2:$O$1001,0),1)&gt;=100000,INDEX($V$1005:$AE$1005,1,MATCH(COLUMNS($V$1006:AE1006),$V$1006:$AE$1006,0))&gt;=100000), " ",IF(INDEX($V$2:$AE$1001,MATCH(ROWS($O$2:O361),$O$2:$O$1001,0),MATCH(COLUMNS($V$1006:AE1006),$V$1006:$AE$1006,0)), HYPERLINK("#",""), HYPERLINK(CONCATENATE("#Metadata!", ADDRESS(INDEX($Q$2:$Q$1001,MATCH(ROWS($O$2:O361),$O$2:$O$1001,0),0), INDEX($V$1004:$AE$1004,1,MATCH(COLUMNS($V$1006:AE1006),$V$1006:$AE$1006,0)))),"Fix")))</f>
        <v>0</v>
      </c>
      <c r="O361">
        <v>0</v>
      </c>
      <c r="P361">
        <v>0</v>
      </c>
      <c r="Q361">
        <v>0</v>
      </c>
      <c r="R361">
        <f>IF(S361,TRUE,AND(V361:AE361))</f>
        <v>0</v>
      </c>
      <c r="S361">
        <f>COUNTBLANK(Metadata!B361:K361)=COLUMNS(Metadata!B361:K361)</f>
        <v>0</v>
      </c>
      <c r="T361">
        <v>0</v>
      </c>
      <c r="V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W361">
        <f>AND(IF(Metadata!C361="",FALSE,TRUE),exact(Metadata!C361,"animal secretion"))</f>
        <v>0</v>
      </c>
      <c r="X361">
        <f>AND(IF(Metadata!D361="",FALSE,TRUE),exact(Metadata!D361,"saliva"))</f>
        <v>0</v>
      </c>
      <c r="Y361">
        <f>AND(IF(Metadata!E361="",FALSE,TRUE),exact(Metadata!E361,"human-oral"))</f>
        <v>0</v>
      </c>
      <c r="Z361">
        <f>AND(IF(Metadata!F361="",FALSE,TRUE),exact(Metadata!F361,"UBERON:oral cavity"))</f>
        <v>0</v>
      </c>
      <c r="AA361">
        <f>AND(IF(Metadata!G361="",FALSE,TRUE),exact(Metadata!G361,"UBERON:saliva"))</f>
        <v>0</v>
      </c>
      <c r="AB361">
        <f>AND(IF(Metadata!H361="",FALSE,TRUE),exact(Metadata!H361,"UBERON:tongue"))</f>
        <v>0</v>
      </c>
      <c r="AC361">
        <f>AND(IF(Metadata!I361="",FALSE,TRUE),exact(Metadata!I361,"tongue"))</f>
        <v>0</v>
      </c>
      <c r="AD361">
        <f>AND(IF(Metadata!J361="",FALSE,TRUE),exact(Metadata!J361,"human oral metagenome"))</f>
        <v>0</v>
      </c>
      <c r="AE361">
        <f>AND(IF(Metadata!K361="",FALSE,TRUE),exact(Metadata!K361,"447426"))</f>
        <v>0</v>
      </c>
    </row>
    <row r="362" spans="1:31">
      <c r="A362" s="4">
        <f>IF(B362=" "," ",HYPERLINK(CONCATENATE("#metadata!",ADDRESS(INDEX($Q$2:$Q$1001,MATCH(ROWS($O$2:O362),$O$2:$O$1001,0),0),1)),INDEX($T$2:$T$1001,MATCH(ROWS($O$2:O362),$O$2:$O$1001,0),0)))</f>
        <v>0</v>
      </c>
      <c r="B362" s="3">
        <f>IF(OR(INDEX($P$2:$P$1001,MATCH(ROWS($O$2:O362),$O$2:$O$1001,0),1)&gt;=100000,INDEX($V$1005:$AE$1005,1,MATCH(COLUMNS($V$1006:V1006),$V$1006:$AE$1006,0))&gt;=100000), " ",IF(INDEX($V$2:$AE$1001,MATCH(ROWS($O$2:O362),$O$2:$O$1001,0),MATCH(COLUMNS($V$1006:V1006),$V$1006:$AE$1006,0)), HYPERLINK("#",""), HYPERLINK(CONCATENATE("#Metadata!", ADDRESS(INDEX($Q$2:$Q$1001,MATCH(ROWS($O$2:O362),$O$2:$O$1001,0),0), INDEX($V$1004:$AE$1004,1,MATCH(COLUMNS($V$1006:V1006),$V$1006:$AE$1006,0)))),"Fix")))</f>
        <v>0</v>
      </c>
      <c r="C362" s="3">
        <f>IF(OR(INDEX($P$2:$P$1001,MATCH(ROWS($O$2:O362),$O$2:$O$1001,0),1)&gt;=100000,INDEX($V$1005:$AE$1005,1,MATCH(COLUMNS($V$1006:W1006),$V$1006:$AE$1006,0))&gt;=100000), " ",IF(INDEX($V$2:$AE$1001,MATCH(ROWS($O$2:O362),$O$2:$O$1001,0),MATCH(COLUMNS($V$1006:W1006),$V$1006:$AE$1006,0)), HYPERLINK("#",""), HYPERLINK(CONCATENATE("#Metadata!", ADDRESS(INDEX($Q$2:$Q$1001,MATCH(ROWS($O$2:O362),$O$2:$O$1001,0),0), INDEX($V$1004:$AE$1004,1,MATCH(COLUMNS($V$1006:W1006),$V$1006:$AE$1006,0)))),"Fix")))</f>
        <v>0</v>
      </c>
      <c r="D362" s="3">
        <f>IF(OR(INDEX($P$2:$P$1001,MATCH(ROWS($O$2:O362),$O$2:$O$1001,0),1)&gt;=100000,INDEX($V$1005:$AE$1005,1,MATCH(COLUMNS($V$1006:X1006),$V$1006:$AE$1006,0))&gt;=100000), " ",IF(INDEX($V$2:$AE$1001,MATCH(ROWS($O$2:O362),$O$2:$O$1001,0),MATCH(COLUMNS($V$1006:X1006),$V$1006:$AE$1006,0)), HYPERLINK("#",""), HYPERLINK(CONCATENATE("#Metadata!", ADDRESS(INDEX($Q$2:$Q$1001,MATCH(ROWS($O$2:O362),$O$2:$O$1001,0),0), INDEX($V$1004:$AE$1004,1,MATCH(COLUMNS($V$1006:X1006),$V$1006:$AE$1006,0)))),"Fix")))</f>
        <v>0</v>
      </c>
      <c r="E362" s="3">
        <f>IF(OR(INDEX($P$2:$P$1001,MATCH(ROWS($O$2:O362),$O$2:$O$1001,0),1)&gt;=100000,INDEX($V$1005:$AE$1005,1,MATCH(COLUMNS($V$1006:Y1006),$V$1006:$AE$1006,0))&gt;=100000), " ",IF(INDEX($V$2:$AE$1001,MATCH(ROWS($O$2:O362),$O$2:$O$1001,0),MATCH(COLUMNS($V$1006:Y1006),$V$1006:$AE$1006,0)), HYPERLINK("#",""), HYPERLINK(CONCATENATE("#Metadata!", ADDRESS(INDEX($Q$2:$Q$1001,MATCH(ROWS($O$2:O362),$O$2:$O$1001,0),0), INDEX($V$1004:$AE$1004,1,MATCH(COLUMNS($V$1006:Y1006),$V$1006:$AE$1006,0)))),"Fix")))</f>
        <v>0</v>
      </c>
      <c r="F362" s="3">
        <f>IF(OR(INDEX($P$2:$P$1001,MATCH(ROWS($O$2:O362),$O$2:$O$1001,0),1)&gt;=100000,INDEX($V$1005:$AE$1005,1,MATCH(COLUMNS($V$1006:Z1006),$V$1006:$AE$1006,0))&gt;=100000), " ",IF(INDEX($V$2:$AE$1001,MATCH(ROWS($O$2:O362),$O$2:$O$1001,0),MATCH(COLUMNS($V$1006:Z1006),$V$1006:$AE$1006,0)), HYPERLINK("#",""), HYPERLINK(CONCATENATE("#Metadata!", ADDRESS(INDEX($Q$2:$Q$1001,MATCH(ROWS($O$2:O362),$O$2:$O$1001,0),0), INDEX($V$1004:$AE$1004,1,MATCH(COLUMNS($V$1006:Z1006),$V$1006:$AE$1006,0)))),"Fix")))</f>
        <v>0</v>
      </c>
      <c r="G362" s="3">
        <f>IF(OR(INDEX($P$2:$P$1001,MATCH(ROWS($O$2:O362),$O$2:$O$1001,0),1)&gt;=100000,INDEX($V$1005:$AE$1005,1,MATCH(COLUMNS($V$1006:AA1006),$V$1006:$AE$1006,0))&gt;=100000), " ",IF(INDEX($V$2:$AE$1001,MATCH(ROWS($O$2:O362),$O$2:$O$1001,0),MATCH(COLUMNS($V$1006:AA1006),$V$1006:$AE$1006,0)), HYPERLINK("#",""), HYPERLINK(CONCATENATE("#Metadata!", ADDRESS(INDEX($Q$2:$Q$1001,MATCH(ROWS($O$2:O362),$O$2:$O$1001,0),0), INDEX($V$1004:$AE$1004,1,MATCH(COLUMNS($V$1006:AA1006),$V$1006:$AE$1006,0)))),"Fix")))</f>
        <v>0</v>
      </c>
      <c r="H362" s="3">
        <f>IF(OR(INDEX($P$2:$P$1001,MATCH(ROWS($O$2:O362),$O$2:$O$1001,0),1)&gt;=100000,INDEX($V$1005:$AE$1005,1,MATCH(COLUMNS($V$1006:AB1006),$V$1006:$AE$1006,0))&gt;=100000), " ",IF(INDEX($V$2:$AE$1001,MATCH(ROWS($O$2:O362),$O$2:$O$1001,0),MATCH(COLUMNS($V$1006:AB1006),$V$1006:$AE$1006,0)), HYPERLINK("#",""), HYPERLINK(CONCATENATE("#Metadata!", ADDRESS(INDEX($Q$2:$Q$1001,MATCH(ROWS($O$2:O362),$O$2:$O$1001,0),0), INDEX($V$1004:$AE$1004,1,MATCH(COLUMNS($V$1006:AB1006),$V$1006:$AE$1006,0)))),"Fix")))</f>
        <v>0</v>
      </c>
      <c r="I362" s="3">
        <f>IF(OR(INDEX($P$2:$P$1001,MATCH(ROWS($O$2:O362),$O$2:$O$1001,0),1)&gt;=100000,INDEX($V$1005:$AE$1005,1,MATCH(COLUMNS($V$1006:AC1006),$V$1006:$AE$1006,0))&gt;=100000), " ",IF(INDEX($V$2:$AE$1001,MATCH(ROWS($O$2:O362),$O$2:$O$1001,0),MATCH(COLUMNS($V$1006:AC1006),$V$1006:$AE$1006,0)), HYPERLINK("#",""), HYPERLINK(CONCATENATE("#Metadata!", ADDRESS(INDEX($Q$2:$Q$1001,MATCH(ROWS($O$2:O362),$O$2:$O$1001,0),0), INDEX($V$1004:$AE$1004,1,MATCH(COLUMNS($V$1006:AC1006),$V$1006:$AE$1006,0)))),"Fix")))</f>
        <v>0</v>
      </c>
      <c r="J362" s="3">
        <f>IF(OR(INDEX($P$2:$P$1001,MATCH(ROWS($O$2:O362),$O$2:$O$1001,0),1)&gt;=100000,INDEX($V$1005:$AE$1005,1,MATCH(COLUMNS($V$1006:AD1006),$V$1006:$AE$1006,0))&gt;=100000), " ",IF(INDEX($V$2:$AE$1001,MATCH(ROWS($O$2:O362),$O$2:$O$1001,0),MATCH(COLUMNS($V$1006:AD1006),$V$1006:$AE$1006,0)), HYPERLINK("#",""), HYPERLINK(CONCATENATE("#Metadata!", ADDRESS(INDEX($Q$2:$Q$1001,MATCH(ROWS($O$2:O362),$O$2:$O$1001,0),0), INDEX($V$1004:$AE$1004,1,MATCH(COLUMNS($V$1006:AD1006),$V$1006:$AE$1006,0)))),"Fix")))</f>
        <v>0</v>
      </c>
      <c r="K362" s="3">
        <f>IF(OR(INDEX($P$2:$P$1001,MATCH(ROWS($O$2:O362),$O$2:$O$1001,0),1)&gt;=100000,INDEX($V$1005:$AE$1005,1,MATCH(COLUMNS($V$1006:AE1006),$V$1006:$AE$1006,0))&gt;=100000), " ",IF(INDEX($V$2:$AE$1001,MATCH(ROWS($O$2:O362),$O$2:$O$1001,0),MATCH(COLUMNS($V$1006:AE1006),$V$1006:$AE$1006,0)), HYPERLINK("#",""), HYPERLINK(CONCATENATE("#Metadata!", ADDRESS(INDEX($Q$2:$Q$1001,MATCH(ROWS($O$2:O362),$O$2:$O$1001,0),0), INDEX($V$1004:$AE$1004,1,MATCH(COLUMNS($V$1006:AE1006),$V$1006:$AE$1006,0)))),"Fix")))</f>
        <v>0</v>
      </c>
      <c r="O362">
        <v>0</v>
      </c>
      <c r="P362">
        <v>0</v>
      </c>
      <c r="Q362">
        <v>0</v>
      </c>
      <c r="R362">
        <f>IF(S362,TRUE,AND(V362:AE362))</f>
        <v>0</v>
      </c>
      <c r="S362">
        <f>COUNTBLANK(Metadata!B362:K362)=COLUMNS(Metadata!B362:K362)</f>
        <v>0</v>
      </c>
      <c r="T362">
        <v>0</v>
      </c>
      <c r="V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W362">
        <f>AND(IF(Metadata!C362="",FALSE,TRUE),exact(Metadata!C362,"animal secretion"))</f>
        <v>0</v>
      </c>
      <c r="X362">
        <f>AND(IF(Metadata!D362="",FALSE,TRUE),exact(Metadata!D362,"saliva"))</f>
        <v>0</v>
      </c>
      <c r="Y362">
        <f>AND(IF(Metadata!E362="",FALSE,TRUE),exact(Metadata!E362,"human-oral"))</f>
        <v>0</v>
      </c>
      <c r="Z362">
        <f>AND(IF(Metadata!F362="",FALSE,TRUE),exact(Metadata!F362,"UBERON:oral cavity"))</f>
        <v>0</v>
      </c>
      <c r="AA362">
        <f>AND(IF(Metadata!G362="",FALSE,TRUE),exact(Metadata!G362,"UBERON:saliva"))</f>
        <v>0</v>
      </c>
      <c r="AB362">
        <f>AND(IF(Metadata!H362="",FALSE,TRUE),exact(Metadata!H362,"UBERON:tongue"))</f>
        <v>0</v>
      </c>
      <c r="AC362">
        <f>AND(IF(Metadata!I362="",FALSE,TRUE),exact(Metadata!I362,"tongue"))</f>
        <v>0</v>
      </c>
      <c r="AD362">
        <f>AND(IF(Metadata!J362="",FALSE,TRUE),exact(Metadata!J362,"human oral metagenome"))</f>
        <v>0</v>
      </c>
      <c r="AE362">
        <f>AND(IF(Metadata!K362="",FALSE,TRUE),exact(Metadata!K362,"447426"))</f>
        <v>0</v>
      </c>
    </row>
    <row r="363" spans="1:31">
      <c r="A363" s="4">
        <f>IF(B363=" "," ",HYPERLINK(CONCATENATE("#metadata!",ADDRESS(INDEX($Q$2:$Q$1001,MATCH(ROWS($O$2:O363),$O$2:$O$1001,0),0),1)),INDEX($T$2:$T$1001,MATCH(ROWS($O$2:O363),$O$2:$O$1001,0),0)))</f>
        <v>0</v>
      </c>
      <c r="B363" s="3">
        <f>IF(OR(INDEX($P$2:$P$1001,MATCH(ROWS($O$2:O363),$O$2:$O$1001,0),1)&gt;=100000,INDEX($V$1005:$AE$1005,1,MATCH(COLUMNS($V$1006:V1006),$V$1006:$AE$1006,0))&gt;=100000), " ",IF(INDEX($V$2:$AE$1001,MATCH(ROWS($O$2:O363),$O$2:$O$1001,0),MATCH(COLUMNS($V$1006:V1006),$V$1006:$AE$1006,0)), HYPERLINK("#",""), HYPERLINK(CONCATENATE("#Metadata!", ADDRESS(INDEX($Q$2:$Q$1001,MATCH(ROWS($O$2:O363),$O$2:$O$1001,0),0), INDEX($V$1004:$AE$1004,1,MATCH(COLUMNS($V$1006:V1006),$V$1006:$AE$1006,0)))),"Fix")))</f>
        <v>0</v>
      </c>
      <c r="C363" s="3">
        <f>IF(OR(INDEX($P$2:$P$1001,MATCH(ROWS($O$2:O363),$O$2:$O$1001,0),1)&gt;=100000,INDEX($V$1005:$AE$1005,1,MATCH(COLUMNS($V$1006:W1006),$V$1006:$AE$1006,0))&gt;=100000), " ",IF(INDEX($V$2:$AE$1001,MATCH(ROWS($O$2:O363),$O$2:$O$1001,0),MATCH(COLUMNS($V$1006:W1006),$V$1006:$AE$1006,0)), HYPERLINK("#",""), HYPERLINK(CONCATENATE("#Metadata!", ADDRESS(INDEX($Q$2:$Q$1001,MATCH(ROWS($O$2:O363),$O$2:$O$1001,0),0), INDEX($V$1004:$AE$1004,1,MATCH(COLUMNS($V$1006:W1006),$V$1006:$AE$1006,0)))),"Fix")))</f>
        <v>0</v>
      </c>
      <c r="D363" s="3">
        <f>IF(OR(INDEX($P$2:$P$1001,MATCH(ROWS($O$2:O363),$O$2:$O$1001,0),1)&gt;=100000,INDEX($V$1005:$AE$1005,1,MATCH(COLUMNS($V$1006:X1006),$V$1006:$AE$1006,0))&gt;=100000), " ",IF(INDEX($V$2:$AE$1001,MATCH(ROWS($O$2:O363),$O$2:$O$1001,0),MATCH(COLUMNS($V$1006:X1006),$V$1006:$AE$1006,0)), HYPERLINK("#",""), HYPERLINK(CONCATENATE("#Metadata!", ADDRESS(INDEX($Q$2:$Q$1001,MATCH(ROWS($O$2:O363),$O$2:$O$1001,0),0), INDEX($V$1004:$AE$1004,1,MATCH(COLUMNS($V$1006:X1006),$V$1006:$AE$1006,0)))),"Fix")))</f>
        <v>0</v>
      </c>
      <c r="E363" s="3">
        <f>IF(OR(INDEX($P$2:$P$1001,MATCH(ROWS($O$2:O363),$O$2:$O$1001,0),1)&gt;=100000,INDEX($V$1005:$AE$1005,1,MATCH(COLUMNS($V$1006:Y1006),$V$1006:$AE$1006,0))&gt;=100000), " ",IF(INDEX($V$2:$AE$1001,MATCH(ROWS($O$2:O363),$O$2:$O$1001,0),MATCH(COLUMNS($V$1006:Y1006),$V$1006:$AE$1006,0)), HYPERLINK("#",""), HYPERLINK(CONCATENATE("#Metadata!", ADDRESS(INDEX($Q$2:$Q$1001,MATCH(ROWS($O$2:O363),$O$2:$O$1001,0),0), INDEX($V$1004:$AE$1004,1,MATCH(COLUMNS($V$1006:Y1006),$V$1006:$AE$1006,0)))),"Fix")))</f>
        <v>0</v>
      </c>
      <c r="F363" s="3">
        <f>IF(OR(INDEX($P$2:$P$1001,MATCH(ROWS($O$2:O363),$O$2:$O$1001,0),1)&gt;=100000,INDEX($V$1005:$AE$1005,1,MATCH(COLUMNS($V$1006:Z1006),$V$1006:$AE$1006,0))&gt;=100000), " ",IF(INDEX($V$2:$AE$1001,MATCH(ROWS($O$2:O363),$O$2:$O$1001,0),MATCH(COLUMNS($V$1006:Z1006),$V$1006:$AE$1006,0)), HYPERLINK("#",""), HYPERLINK(CONCATENATE("#Metadata!", ADDRESS(INDEX($Q$2:$Q$1001,MATCH(ROWS($O$2:O363),$O$2:$O$1001,0),0), INDEX($V$1004:$AE$1004,1,MATCH(COLUMNS($V$1006:Z1006),$V$1006:$AE$1006,0)))),"Fix")))</f>
        <v>0</v>
      </c>
      <c r="G363" s="3">
        <f>IF(OR(INDEX($P$2:$P$1001,MATCH(ROWS($O$2:O363),$O$2:$O$1001,0),1)&gt;=100000,INDEX($V$1005:$AE$1005,1,MATCH(COLUMNS($V$1006:AA1006),$V$1006:$AE$1006,0))&gt;=100000), " ",IF(INDEX($V$2:$AE$1001,MATCH(ROWS($O$2:O363),$O$2:$O$1001,0),MATCH(COLUMNS($V$1006:AA1006),$V$1006:$AE$1006,0)), HYPERLINK("#",""), HYPERLINK(CONCATENATE("#Metadata!", ADDRESS(INDEX($Q$2:$Q$1001,MATCH(ROWS($O$2:O363),$O$2:$O$1001,0),0), INDEX($V$1004:$AE$1004,1,MATCH(COLUMNS($V$1006:AA1006),$V$1006:$AE$1006,0)))),"Fix")))</f>
        <v>0</v>
      </c>
      <c r="H363" s="3">
        <f>IF(OR(INDEX($P$2:$P$1001,MATCH(ROWS($O$2:O363),$O$2:$O$1001,0),1)&gt;=100000,INDEX($V$1005:$AE$1005,1,MATCH(COLUMNS($V$1006:AB1006),$V$1006:$AE$1006,0))&gt;=100000), " ",IF(INDEX($V$2:$AE$1001,MATCH(ROWS($O$2:O363),$O$2:$O$1001,0),MATCH(COLUMNS($V$1006:AB1006),$V$1006:$AE$1006,0)), HYPERLINK("#",""), HYPERLINK(CONCATENATE("#Metadata!", ADDRESS(INDEX($Q$2:$Q$1001,MATCH(ROWS($O$2:O363),$O$2:$O$1001,0),0), INDEX($V$1004:$AE$1004,1,MATCH(COLUMNS($V$1006:AB1006),$V$1006:$AE$1006,0)))),"Fix")))</f>
        <v>0</v>
      </c>
      <c r="I363" s="3">
        <f>IF(OR(INDEX($P$2:$P$1001,MATCH(ROWS($O$2:O363),$O$2:$O$1001,0),1)&gt;=100000,INDEX($V$1005:$AE$1005,1,MATCH(COLUMNS($V$1006:AC1006),$V$1006:$AE$1006,0))&gt;=100000), " ",IF(INDEX($V$2:$AE$1001,MATCH(ROWS($O$2:O363),$O$2:$O$1001,0),MATCH(COLUMNS($V$1006:AC1006),$V$1006:$AE$1006,0)), HYPERLINK("#",""), HYPERLINK(CONCATENATE("#Metadata!", ADDRESS(INDEX($Q$2:$Q$1001,MATCH(ROWS($O$2:O363),$O$2:$O$1001,0),0), INDEX($V$1004:$AE$1004,1,MATCH(COLUMNS($V$1006:AC1006),$V$1006:$AE$1006,0)))),"Fix")))</f>
        <v>0</v>
      </c>
      <c r="J363" s="3">
        <f>IF(OR(INDEX($P$2:$P$1001,MATCH(ROWS($O$2:O363),$O$2:$O$1001,0),1)&gt;=100000,INDEX($V$1005:$AE$1005,1,MATCH(COLUMNS($V$1006:AD1006),$V$1006:$AE$1006,0))&gt;=100000), " ",IF(INDEX($V$2:$AE$1001,MATCH(ROWS($O$2:O363),$O$2:$O$1001,0),MATCH(COLUMNS($V$1006:AD1006),$V$1006:$AE$1006,0)), HYPERLINK("#",""), HYPERLINK(CONCATENATE("#Metadata!", ADDRESS(INDEX($Q$2:$Q$1001,MATCH(ROWS($O$2:O363),$O$2:$O$1001,0),0), INDEX($V$1004:$AE$1004,1,MATCH(COLUMNS($V$1006:AD1006),$V$1006:$AE$1006,0)))),"Fix")))</f>
        <v>0</v>
      </c>
      <c r="K363" s="3">
        <f>IF(OR(INDEX($P$2:$P$1001,MATCH(ROWS($O$2:O363),$O$2:$O$1001,0),1)&gt;=100000,INDEX($V$1005:$AE$1005,1,MATCH(COLUMNS($V$1006:AE1006),$V$1006:$AE$1006,0))&gt;=100000), " ",IF(INDEX($V$2:$AE$1001,MATCH(ROWS($O$2:O363),$O$2:$O$1001,0),MATCH(COLUMNS($V$1006:AE1006),$V$1006:$AE$1006,0)), HYPERLINK("#",""), HYPERLINK(CONCATENATE("#Metadata!", ADDRESS(INDEX($Q$2:$Q$1001,MATCH(ROWS($O$2:O363),$O$2:$O$1001,0),0), INDEX($V$1004:$AE$1004,1,MATCH(COLUMNS($V$1006:AE1006),$V$1006:$AE$1006,0)))),"Fix")))</f>
        <v>0</v>
      </c>
      <c r="O363">
        <v>0</v>
      </c>
      <c r="P363">
        <v>0</v>
      </c>
      <c r="Q363">
        <v>0</v>
      </c>
      <c r="R363">
        <f>IF(S363,TRUE,AND(V363:AE363))</f>
        <v>0</v>
      </c>
      <c r="S363">
        <f>COUNTBLANK(Metadata!B363:K363)=COLUMNS(Metadata!B363:K363)</f>
        <v>0</v>
      </c>
      <c r="T363">
        <v>0</v>
      </c>
      <c r="V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W363">
        <f>AND(IF(Metadata!C363="",FALSE,TRUE),exact(Metadata!C363,"animal secretion"))</f>
        <v>0</v>
      </c>
      <c r="X363">
        <f>AND(IF(Metadata!D363="",FALSE,TRUE),exact(Metadata!D363,"saliva"))</f>
        <v>0</v>
      </c>
      <c r="Y363">
        <f>AND(IF(Metadata!E363="",FALSE,TRUE),exact(Metadata!E363,"human-oral"))</f>
        <v>0</v>
      </c>
      <c r="Z363">
        <f>AND(IF(Metadata!F363="",FALSE,TRUE),exact(Metadata!F363,"UBERON:oral cavity"))</f>
        <v>0</v>
      </c>
      <c r="AA363">
        <f>AND(IF(Metadata!G363="",FALSE,TRUE),exact(Metadata!G363,"UBERON:saliva"))</f>
        <v>0</v>
      </c>
      <c r="AB363">
        <f>AND(IF(Metadata!H363="",FALSE,TRUE),exact(Metadata!H363,"UBERON:tongue"))</f>
        <v>0</v>
      </c>
      <c r="AC363">
        <f>AND(IF(Metadata!I363="",FALSE,TRUE),exact(Metadata!I363,"tongue"))</f>
        <v>0</v>
      </c>
      <c r="AD363">
        <f>AND(IF(Metadata!J363="",FALSE,TRUE),exact(Metadata!J363,"human oral metagenome"))</f>
        <v>0</v>
      </c>
      <c r="AE363">
        <f>AND(IF(Metadata!K363="",FALSE,TRUE),exact(Metadata!K363,"447426"))</f>
        <v>0</v>
      </c>
    </row>
    <row r="364" spans="1:31">
      <c r="A364" s="4">
        <f>IF(B364=" "," ",HYPERLINK(CONCATENATE("#metadata!",ADDRESS(INDEX($Q$2:$Q$1001,MATCH(ROWS($O$2:O364),$O$2:$O$1001,0),0),1)),INDEX($T$2:$T$1001,MATCH(ROWS($O$2:O364),$O$2:$O$1001,0),0)))</f>
        <v>0</v>
      </c>
      <c r="B364" s="3">
        <f>IF(OR(INDEX($P$2:$P$1001,MATCH(ROWS($O$2:O364),$O$2:$O$1001,0),1)&gt;=100000,INDEX($V$1005:$AE$1005,1,MATCH(COLUMNS($V$1006:V1006),$V$1006:$AE$1006,0))&gt;=100000), " ",IF(INDEX($V$2:$AE$1001,MATCH(ROWS($O$2:O364),$O$2:$O$1001,0),MATCH(COLUMNS($V$1006:V1006),$V$1006:$AE$1006,0)), HYPERLINK("#",""), HYPERLINK(CONCATENATE("#Metadata!", ADDRESS(INDEX($Q$2:$Q$1001,MATCH(ROWS($O$2:O364),$O$2:$O$1001,0),0), INDEX($V$1004:$AE$1004,1,MATCH(COLUMNS($V$1006:V1006),$V$1006:$AE$1006,0)))),"Fix")))</f>
        <v>0</v>
      </c>
      <c r="C364" s="3">
        <f>IF(OR(INDEX($P$2:$P$1001,MATCH(ROWS($O$2:O364),$O$2:$O$1001,0),1)&gt;=100000,INDEX($V$1005:$AE$1005,1,MATCH(COLUMNS($V$1006:W1006),$V$1006:$AE$1006,0))&gt;=100000), " ",IF(INDEX($V$2:$AE$1001,MATCH(ROWS($O$2:O364),$O$2:$O$1001,0),MATCH(COLUMNS($V$1006:W1006),$V$1006:$AE$1006,0)), HYPERLINK("#",""), HYPERLINK(CONCATENATE("#Metadata!", ADDRESS(INDEX($Q$2:$Q$1001,MATCH(ROWS($O$2:O364),$O$2:$O$1001,0),0), INDEX($V$1004:$AE$1004,1,MATCH(COLUMNS($V$1006:W1006),$V$1006:$AE$1006,0)))),"Fix")))</f>
        <v>0</v>
      </c>
      <c r="D364" s="3">
        <f>IF(OR(INDEX($P$2:$P$1001,MATCH(ROWS($O$2:O364),$O$2:$O$1001,0),1)&gt;=100000,INDEX($V$1005:$AE$1005,1,MATCH(COLUMNS($V$1006:X1006),$V$1006:$AE$1006,0))&gt;=100000), " ",IF(INDEX($V$2:$AE$1001,MATCH(ROWS($O$2:O364),$O$2:$O$1001,0),MATCH(COLUMNS($V$1006:X1006),$V$1006:$AE$1006,0)), HYPERLINK("#",""), HYPERLINK(CONCATENATE("#Metadata!", ADDRESS(INDEX($Q$2:$Q$1001,MATCH(ROWS($O$2:O364),$O$2:$O$1001,0),0), INDEX($V$1004:$AE$1004,1,MATCH(COLUMNS($V$1006:X1006),$V$1006:$AE$1006,0)))),"Fix")))</f>
        <v>0</v>
      </c>
      <c r="E364" s="3">
        <f>IF(OR(INDEX($P$2:$P$1001,MATCH(ROWS($O$2:O364),$O$2:$O$1001,0),1)&gt;=100000,INDEX($V$1005:$AE$1005,1,MATCH(COLUMNS($V$1006:Y1006),$V$1006:$AE$1006,0))&gt;=100000), " ",IF(INDEX($V$2:$AE$1001,MATCH(ROWS($O$2:O364),$O$2:$O$1001,0),MATCH(COLUMNS($V$1006:Y1006),$V$1006:$AE$1006,0)), HYPERLINK("#",""), HYPERLINK(CONCATENATE("#Metadata!", ADDRESS(INDEX($Q$2:$Q$1001,MATCH(ROWS($O$2:O364),$O$2:$O$1001,0),0), INDEX($V$1004:$AE$1004,1,MATCH(COLUMNS($V$1006:Y1006),$V$1006:$AE$1006,0)))),"Fix")))</f>
        <v>0</v>
      </c>
      <c r="F364" s="3">
        <f>IF(OR(INDEX($P$2:$P$1001,MATCH(ROWS($O$2:O364),$O$2:$O$1001,0),1)&gt;=100000,INDEX($V$1005:$AE$1005,1,MATCH(COLUMNS($V$1006:Z1006),$V$1006:$AE$1006,0))&gt;=100000), " ",IF(INDEX($V$2:$AE$1001,MATCH(ROWS($O$2:O364),$O$2:$O$1001,0),MATCH(COLUMNS($V$1006:Z1006),$V$1006:$AE$1006,0)), HYPERLINK("#",""), HYPERLINK(CONCATENATE("#Metadata!", ADDRESS(INDEX($Q$2:$Q$1001,MATCH(ROWS($O$2:O364),$O$2:$O$1001,0),0), INDEX($V$1004:$AE$1004,1,MATCH(COLUMNS($V$1006:Z1006),$V$1006:$AE$1006,0)))),"Fix")))</f>
        <v>0</v>
      </c>
      <c r="G364" s="3">
        <f>IF(OR(INDEX($P$2:$P$1001,MATCH(ROWS($O$2:O364),$O$2:$O$1001,0),1)&gt;=100000,INDEX($V$1005:$AE$1005,1,MATCH(COLUMNS($V$1006:AA1006),$V$1006:$AE$1006,0))&gt;=100000), " ",IF(INDEX($V$2:$AE$1001,MATCH(ROWS($O$2:O364),$O$2:$O$1001,0),MATCH(COLUMNS($V$1006:AA1006),$V$1006:$AE$1006,0)), HYPERLINK("#",""), HYPERLINK(CONCATENATE("#Metadata!", ADDRESS(INDEX($Q$2:$Q$1001,MATCH(ROWS($O$2:O364),$O$2:$O$1001,0),0), INDEX($V$1004:$AE$1004,1,MATCH(COLUMNS($V$1006:AA1006),$V$1006:$AE$1006,0)))),"Fix")))</f>
        <v>0</v>
      </c>
      <c r="H364" s="3">
        <f>IF(OR(INDEX($P$2:$P$1001,MATCH(ROWS($O$2:O364),$O$2:$O$1001,0),1)&gt;=100000,INDEX($V$1005:$AE$1005,1,MATCH(COLUMNS($V$1006:AB1006),$V$1006:$AE$1006,0))&gt;=100000), " ",IF(INDEX($V$2:$AE$1001,MATCH(ROWS($O$2:O364),$O$2:$O$1001,0),MATCH(COLUMNS($V$1006:AB1006),$V$1006:$AE$1006,0)), HYPERLINK("#",""), HYPERLINK(CONCATENATE("#Metadata!", ADDRESS(INDEX($Q$2:$Q$1001,MATCH(ROWS($O$2:O364),$O$2:$O$1001,0),0), INDEX($V$1004:$AE$1004,1,MATCH(COLUMNS($V$1006:AB1006),$V$1006:$AE$1006,0)))),"Fix")))</f>
        <v>0</v>
      </c>
      <c r="I364" s="3">
        <f>IF(OR(INDEX($P$2:$P$1001,MATCH(ROWS($O$2:O364),$O$2:$O$1001,0),1)&gt;=100000,INDEX($V$1005:$AE$1005,1,MATCH(COLUMNS($V$1006:AC1006),$V$1006:$AE$1006,0))&gt;=100000), " ",IF(INDEX($V$2:$AE$1001,MATCH(ROWS($O$2:O364),$O$2:$O$1001,0),MATCH(COLUMNS($V$1006:AC1006),$V$1006:$AE$1006,0)), HYPERLINK("#",""), HYPERLINK(CONCATENATE("#Metadata!", ADDRESS(INDEX($Q$2:$Q$1001,MATCH(ROWS($O$2:O364),$O$2:$O$1001,0),0), INDEX($V$1004:$AE$1004,1,MATCH(COLUMNS($V$1006:AC1006),$V$1006:$AE$1006,0)))),"Fix")))</f>
        <v>0</v>
      </c>
      <c r="J364" s="3">
        <f>IF(OR(INDEX($P$2:$P$1001,MATCH(ROWS($O$2:O364),$O$2:$O$1001,0),1)&gt;=100000,INDEX($V$1005:$AE$1005,1,MATCH(COLUMNS($V$1006:AD1006),$V$1006:$AE$1006,0))&gt;=100000), " ",IF(INDEX($V$2:$AE$1001,MATCH(ROWS($O$2:O364),$O$2:$O$1001,0),MATCH(COLUMNS($V$1006:AD1006),$V$1006:$AE$1006,0)), HYPERLINK("#",""), HYPERLINK(CONCATENATE("#Metadata!", ADDRESS(INDEX($Q$2:$Q$1001,MATCH(ROWS($O$2:O364),$O$2:$O$1001,0),0), INDEX($V$1004:$AE$1004,1,MATCH(COLUMNS($V$1006:AD1006),$V$1006:$AE$1006,0)))),"Fix")))</f>
        <v>0</v>
      </c>
      <c r="K364" s="3">
        <f>IF(OR(INDEX($P$2:$P$1001,MATCH(ROWS($O$2:O364),$O$2:$O$1001,0),1)&gt;=100000,INDEX($V$1005:$AE$1005,1,MATCH(COLUMNS($V$1006:AE1006),$V$1006:$AE$1006,0))&gt;=100000), " ",IF(INDEX($V$2:$AE$1001,MATCH(ROWS($O$2:O364),$O$2:$O$1001,0),MATCH(COLUMNS($V$1006:AE1006),$V$1006:$AE$1006,0)), HYPERLINK("#",""), HYPERLINK(CONCATENATE("#Metadata!", ADDRESS(INDEX($Q$2:$Q$1001,MATCH(ROWS($O$2:O364),$O$2:$O$1001,0),0), INDEX($V$1004:$AE$1004,1,MATCH(COLUMNS($V$1006:AE1006),$V$1006:$AE$1006,0)))),"Fix")))</f>
        <v>0</v>
      </c>
      <c r="O364">
        <v>0</v>
      </c>
      <c r="P364">
        <v>0</v>
      </c>
      <c r="Q364">
        <v>0</v>
      </c>
      <c r="R364">
        <f>IF(S364,TRUE,AND(V364:AE364))</f>
        <v>0</v>
      </c>
      <c r="S364">
        <f>COUNTBLANK(Metadata!B364:K364)=COLUMNS(Metadata!B364:K364)</f>
        <v>0</v>
      </c>
      <c r="T364">
        <v>0</v>
      </c>
      <c r="V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W364">
        <f>AND(IF(Metadata!C364="",FALSE,TRUE),exact(Metadata!C364,"animal secretion"))</f>
        <v>0</v>
      </c>
      <c r="X364">
        <f>AND(IF(Metadata!D364="",FALSE,TRUE),exact(Metadata!D364,"saliva"))</f>
        <v>0</v>
      </c>
      <c r="Y364">
        <f>AND(IF(Metadata!E364="",FALSE,TRUE),exact(Metadata!E364,"human-oral"))</f>
        <v>0</v>
      </c>
      <c r="Z364">
        <f>AND(IF(Metadata!F364="",FALSE,TRUE),exact(Metadata!F364,"UBERON:oral cavity"))</f>
        <v>0</v>
      </c>
      <c r="AA364">
        <f>AND(IF(Metadata!G364="",FALSE,TRUE),exact(Metadata!G364,"UBERON:saliva"))</f>
        <v>0</v>
      </c>
      <c r="AB364">
        <f>AND(IF(Metadata!H364="",FALSE,TRUE),exact(Metadata!H364,"UBERON:tongue"))</f>
        <v>0</v>
      </c>
      <c r="AC364">
        <f>AND(IF(Metadata!I364="",FALSE,TRUE),exact(Metadata!I364,"tongue"))</f>
        <v>0</v>
      </c>
      <c r="AD364">
        <f>AND(IF(Metadata!J364="",FALSE,TRUE),exact(Metadata!J364,"human oral metagenome"))</f>
        <v>0</v>
      </c>
      <c r="AE364">
        <f>AND(IF(Metadata!K364="",FALSE,TRUE),exact(Metadata!K364,"447426"))</f>
        <v>0</v>
      </c>
    </row>
    <row r="365" spans="1:31">
      <c r="A365" s="4">
        <f>IF(B365=" "," ",HYPERLINK(CONCATENATE("#metadata!",ADDRESS(INDEX($Q$2:$Q$1001,MATCH(ROWS($O$2:O365),$O$2:$O$1001,0),0),1)),INDEX($T$2:$T$1001,MATCH(ROWS($O$2:O365),$O$2:$O$1001,0),0)))</f>
        <v>0</v>
      </c>
      <c r="B365" s="3">
        <f>IF(OR(INDEX($P$2:$P$1001,MATCH(ROWS($O$2:O365),$O$2:$O$1001,0),1)&gt;=100000,INDEX($V$1005:$AE$1005,1,MATCH(COLUMNS($V$1006:V1006),$V$1006:$AE$1006,0))&gt;=100000), " ",IF(INDEX($V$2:$AE$1001,MATCH(ROWS($O$2:O365),$O$2:$O$1001,0),MATCH(COLUMNS($V$1006:V1006),$V$1006:$AE$1006,0)), HYPERLINK("#",""), HYPERLINK(CONCATENATE("#Metadata!", ADDRESS(INDEX($Q$2:$Q$1001,MATCH(ROWS($O$2:O365),$O$2:$O$1001,0),0), INDEX($V$1004:$AE$1004,1,MATCH(COLUMNS($V$1006:V1006),$V$1006:$AE$1006,0)))),"Fix")))</f>
        <v>0</v>
      </c>
      <c r="C365" s="3">
        <f>IF(OR(INDEX($P$2:$P$1001,MATCH(ROWS($O$2:O365),$O$2:$O$1001,0),1)&gt;=100000,INDEX($V$1005:$AE$1005,1,MATCH(COLUMNS($V$1006:W1006),$V$1006:$AE$1006,0))&gt;=100000), " ",IF(INDEX($V$2:$AE$1001,MATCH(ROWS($O$2:O365),$O$2:$O$1001,0),MATCH(COLUMNS($V$1006:W1006),$V$1006:$AE$1006,0)), HYPERLINK("#",""), HYPERLINK(CONCATENATE("#Metadata!", ADDRESS(INDEX($Q$2:$Q$1001,MATCH(ROWS($O$2:O365),$O$2:$O$1001,0),0), INDEX($V$1004:$AE$1004,1,MATCH(COLUMNS($V$1006:W1006),$V$1006:$AE$1006,0)))),"Fix")))</f>
        <v>0</v>
      </c>
      <c r="D365" s="3">
        <f>IF(OR(INDEX($P$2:$P$1001,MATCH(ROWS($O$2:O365),$O$2:$O$1001,0),1)&gt;=100000,INDEX($V$1005:$AE$1005,1,MATCH(COLUMNS($V$1006:X1006),$V$1006:$AE$1006,0))&gt;=100000), " ",IF(INDEX($V$2:$AE$1001,MATCH(ROWS($O$2:O365),$O$2:$O$1001,0),MATCH(COLUMNS($V$1006:X1006),$V$1006:$AE$1006,0)), HYPERLINK("#",""), HYPERLINK(CONCATENATE("#Metadata!", ADDRESS(INDEX($Q$2:$Q$1001,MATCH(ROWS($O$2:O365),$O$2:$O$1001,0),0), INDEX($V$1004:$AE$1004,1,MATCH(COLUMNS($V$1006:X1006),$V$1006:$AE$1006,0)))),"Fix")))</f>
        <v>0</v>
      </c>
      <c r="E365" s="3">
        <f>IF(OR(INDEX($P$2:$P$1001,MATCH(ROWS($O$2:O365),$O$2:$O$1001,0),1)&gt;=100000,INDEX($V$1005:$AE$1005,1,MATCH(COLUMNS($V$1006:Y1006),$V$1006:$AE$1006,0))&gt;=100000), " ",IF(INDEX($V$2:$AE$1001,MATCH(ROWS($O$2:O365),$O$2:$O$1001,0),MATCH(COLUMNS($V$1006:Y1006),$V$1006:$AE$1006,0)), HYPERLINK("#",""), HYPERLINK(CONCATENATE("#Metadata!", ADDRESS(INDEX($Q$2:$Q$1001,MATCH(ROWS($O$2:O365),$O$2:$O$1001,0),0), INDEX($V$1004:$AE$1004,1,MATCH(COLUMNS($V$1006:Y1006),$V$1006:$AE$1006,0)))),"Fix")))</f>
        <v>0</v>
      </c>
      <c r="F365" s="3">
        <f>IF(OR(INDEX($P$2:$P$1001,MATCH(ROWS($O$2:O365),$O$2:$O$1001,0),1)&gt;=100000,INDEX($V$1005:$AE$1005,1,MATCH(COLUMNS($V$1006:Z1006),$V$1006:$AE$1006,0))&gt;=100000), " ",IF(INDEX($V$2:$AE$1001,MATCH(ROWS($O$2:O365),$O$2:$O$1001,0),MATCH(COLUMNS($V$1006:Z1006),$V$1006:$AE$1006,0)), HYPERLINK("#",""), HYPERLINK(CONCATENATE("#Metadata!", ADDRESS(INDEX($Q$2:$Q$1001,MATCH(ROWS($O$2:O365),$O$2:$O$1001,0),0), INDEX($V$1004:$AE$1004,1,MATCH(COLUMNS($V$1006:Z1006),$V$1006:$AE$1006,0)))),"Fix")))</f>
        <v>0</v>
      </c>
      <c r="G365" s="3">
        <f>IF(OR(INDEX($P$2:$P$1001,MATCH(ROWS($O$2:O365),$O$2:$O$1001,0),1)&gt;=100000,INDEX($V$1005:$AE$1005,1,MATCH(COLUMNS($V$1006:AA1006),$V$1006:$AE$1006,0))&gt;=100000), " ",IF(INDEX($V$2:$AE$1001,MATCH(ROWS($O$2:O365),$O$2:$O$1001,0),MATCH(COLUMNS($V$1006:AA1006),$V$1006:$AE$1006,0)), HYPERLINK("#",""), HYPERLINK(CONCATENATE("#Metadata!", ADDRESS(INDEX($Q$2:$Q$1001,MATCH(ROWS($O$2:O365),$O$2:$O$1001,0),0), INDEX($V$1004:$AE$1004,1,MATCH(COLUMNS($V$1006:AA1006),$V$1006:$AE$1006,0)))),"Fix")))</f>
        <v>0</v>
      </c>
      <c r="H365" s="3">
        <f>IF(OR(INDEX($P$2:$P$1001,MATCH(ROWS($O$2:O365),$O$2:$O$1001,0),1)&gt;=100000,INDEX($V$1005:$AE$1005,1,MATCH(COLUMNS($V$1006:AB1006),$V$1006:$AE$1006,0))&gt;=100000), " ",IF(INDEX($V$2:$AE$1001,MATCH(ROWS($O$2:O365),$O$2:$O$1001,0),MATCH(COLUMNS($V$1006:AB1006),$V$1006:$AE$1006,0)), HYPERLINK("#",""), HYPERLINK(CONCATENATE("#Metadata!", ADDRESS(INDEX($Q$2:$Q$1001,MATCH(ROWS($O$2:O365),$O$2:$O$1001,0),0), INDEX($V$1004:$AE$1004,1,MATCH(COLUMNS($V$1006:AB1006),$V$1006:$AE$1006,0)))),"Fix")))</f>
        <v>0</v>
      </c>
      <c r="I365" s="3">
        <f>IF(OR(INDEX($P$2:$P$1001,MATCH(ROWS($O$2:O365),$O$2:$O$1001,0),1)&gt;=100000,INDEX($V$1005:$AE$1005,1,MATCH(COLUMNS($V$1006:AC1006),$V$1006:$AE$1006,0))&gt;=100000), " ",IF(INDEX($V$2:$AE$1001,MATCH(ROWS($O$2:O365),$O$2:$O$1001,0),MATCH(COLUMNS($V$1006:AC1006),$V$1006:$AE$1006,0)), HYPERLINK("#",""), HYPERLINK(CONCATENATE("#Metadata!", ADDRESS(INDEX($Q$2:$Q$1001,MATCH(ROWS($O$2:O365),$O$2:$O$1001,0),0), INDEX($V$1004:$AE$1004,1,MATCH(COLUMNS($V$1006:AC1006),$V$1006:$AE$1006,0)))),"Fix")))</f>
        <v>0</v>
      </c>
      <c r="J365" s="3">
        <f>IF(OR(INDEX($P$2:$P$1001,MATCH(ROWS($O$2:O365),$O$2:$O$1001,0),1)&gt;=100000,INDEX($V$1005:$AE$1005,1,MATCH(COLUMNS($V$1006:AD1006),$V$1006:$AE$1006,0))&gt;=100000), " ",IF(INDEX($V$2:$AE$1001,MATCH(ROWS($O$2:O365),$O$2:$O$1001,0),MATCH(COLUMNS($V$1006:AD1006),$V$1006:$AE$1006,0)), HYPERLINK("#",""), HYPERLINK(CONCATENATE("#Metadata!", ADDRESS(INDEX($Q$2:$Q$1001,MATCH(ROWS($O$2:O365),$O$2:$O$1001,0),0), INDEX($V$1004:$AE$1004,1,MATCH(COLUMNS($V$1006:AD1006),$V$1006:$AE$1006,0)))),"Fix")))</f>
        <v>0</v>
      </c>
      <c r="K365" s="3">
        <f>IF(OR(INDEX($P$2:$P$1001,MATCH(ROWS($O$2:O365),$O$2:$O$1001,0),1)&gt;=100000,INDEX($V$1005:$AE$1005,1,MATCH(COLUMNS($V$1006:AE1006),$V$1006:$AE$1006,0))&gt;=100000), " ",IF(INDEX($V$2:$AE$1001,MATCH(ROWS($O$2:O365),$O$2:$O$1001,0),MATCH(COLUMNS($V$1006:AE1006),$V$1006:$AE$1006,0)), HYPERLINK("#",""), HYPERLINK(CONCATENATE("#Metadata!", ADDRESS(INDEX($Q$2:$Q$1001,MATCH(ROWS($O$2:O365),$O$2:$O$1001,0),0), INDEX($V$1004:$AE$1004,1,MATCH(COLUMNS($V$1006:AE1006),$V$1006:$AE$1006,0)))),"Fix")))</f>
        <v>0</v>
      </c>
      <c r="O365">
        <v>0</v>
      </c>
      <c r="P365">
        <v>0</v>
      </c>
      <c r="Q365">
        <v>0</v>
      </c>
      <c r="R365">
        <f>IF(S365,TRUE,AND(V365:AE365))</f>
        <v>0</v>
      </c>
      <c r="S365">
        <f>COUNTBLANK(Metadata!B365:K365)=COLUMNS(Metadata!B365:K365)</f>
        <v>0</v>
      </c>
      <c r="T365">
        <v>0</v>
      </c>
      <c r="V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W365">
        <f>AND(IF(Metadata!C365="",FALSE,TRUE),exact(Metadata!C365,"animal secretion"))</f>
        <v>0</v>
      </c>
      <c r="X365">
        <f>AND(IF(Metadata!D365="",FALSE,TRUE),exact(Metadata!D365,"saliva"))</f>
        <v>0</v>
      </c>
      <c r="Y365">
        <f>AND(IF(Metadata!E365="",FALSE,TRUE),exact(Metadata!E365,"human-oral"))</f>
        <v>0</v>
      </c>
      <c r="Z365">
        <f>AND(IF(Metadata!F365="",FALSE,TRUE),exact(Metadata!F365,"UBERON:oral cavity"))</f>
        <v>0</v>
      </c>
      <c r="AA365">
        <f>AND(IF(Metadata!G365="",FALSE,TRUE),exact(Metadata!G365,"UBERON:saliva"))</f>
        <v>0</v>
      </c>
      <c r="AB365">
        <f>AND(IF(Metadata!H365="",FALSE,TRUE),exact(Metadata!H365,"UBERON:tongue"))</f>
        <v>0</v>
      </c>
      <c r="AC365">
        <f>AND(IF(Metadata!I365="",FALSE,TRUE),exact(Metadata!I365,"tongue"))</f>
        <v>0</v>
      </c>
      <c r="AD365">
        <f>AND(IF(Metadata!J365="",FALSE,TRUE),exact(Metadata!J365,"human oral metagenome"))</f>
        <v>0</v>
      </c>
      <c r="AE365">
        <f>AND(IF(Metadata!K365="",FALSE,TRUE),exact(Metadata!K365,"447426"))</f>
        <v>0</v>
      </c>
    </row>
    <row r="366" spans="1:31">
      <c r="A366" s="4">
        <f>IF(B366=" "," ",HYPERLINK(CONCATENATE("#metadata!",ADDRESS(INDEX($Q$2:$Q$1001,MATCH(ROWS($O$2:O366),$O$2:$O$1001,0),0),1)),INDEX($T$2:$T$1001,MATCH(ROWS($O$2:O366),$O$2:$O$1001,0),0)))</f>
        <v>0</v>
      </c>
      <c r="B366" s="3">
        <f>IF(OR(INDEX($P$2:$P$1001,MATCH(ROWS($O$2:O366),$O$2:$O$1001,0),1)&gt;=100000,INDEX($V$1005:$AE$1005,1,MATCH(COLUMNS($V$1006:V1006),$V$1006:$AE$1006,0))&gt;=100000), " ",IF(INDEX($V$2:$AE$1001,MATCH(ROWS($O$2:O366),$O$2:$O$1001,0),MATCH(COLUMNS($V$1006:V1006),$V$1006:$AE$1006,0)), HYPERLINK("#",""), HYPERLINK(CONCATENATE("#Metadata!", ADDRESS(INDEX($Q$2:$Q$1001,MATCH(ROWS($O$2:O366),$O$2:$O$1001,0),0), INDEX($V$1004:$AE$1004,1,MATCH(COLUMNS($V$1006:V1006),$V$1006:$AE$1006,0)))),"Fix")))</f>
        <v>0</v>
      </c>
      <c r="C366" s="3">
        <f>IF(OR(INDEX($P$2:$P$1001,MATCH(ROWS($O$2:O366),$O$2:$O$1001,0),1)&gt;=100000,INDEX($V$1005:$AE$1005,1,MATCH(COLUMNS($V$1006:W1006),$V$1006:$AE$1006,0))&gt;=100000), " ",IF(INDEX($V$2:$AE$1001,MATCH(ROWS($O$2:O366),$O$2:$O$1001,0),MATCH(COLUMNS($V$1006:W1006),$V$1006:$AE$1006,0)), HYPERLINK("#",""), HYPERLINK(CONCATENATE("#Metadata!", ADDRESS(INDEX($Q$2:$Q$1001,MATCH(ROWS($O$2:O366),$O$2:$O$1001,0),0), INDEX($V$1004:$AE$1004,1,MATCH(COLUMNS($V$1006:W1006),$V$1006:$AE$1006,0)))),"Fix")))</f>
        <v>0</v>
      </c>
      <c r="D366" s="3">
        <f>IF(OR(INDEX($P$2:$P$1001,MATCH(ROWS($O$2:O366),$O$2:$O$1001,0),1)&gt;=100000,INDEX($V$1005:$AE$1005,1,MATCH(COLUMNS($V$1006:X1006),$V$1006:$AE$1006,0))&gt;=100000), " ",IF(INDEX($V$2:$AE$1001,MATCH(ROWS($O$2:O366),$O$2:$O$1001,0),MATCH(COLUMNS($V$1006:X1006),$V$1006:$AE$1006,0)), HYPERLINK("#",""), HYPERLINK(CONCATENATE("#Metadata!", ADDRESS(INDEX($Q$2:$Q$1001,MATCH(ROWS($O$2:O366),$O$2:$O$1001,0),0), INDEX($V$1004:$AE$1004,1,MATCH(COLUMNS($V$1006:X1006),$V$1006:$AE$1006,0)))),"Fix")))</f>
        <v>0</v>
      </c>
      <c r="E366" s="3">
        <f>IF(OR(INDEX($P$2:$P$1001,MATCH(ROWS($O$2:O366),$O$2:$O$1001,0),1)&gt;=100000,INDEX($V$1005:$AE$1005,1,MATCH(COLUMNS($V$1006:Y1006),$V$1006:$AE$1006,0))&gt;=100000), " ",IF(INDEX($V$2:$AE$1001,MATCH(ROWS($O$2:O366),$O$2:$O$1001,0),MATCH(COLUMNS($V$1006:Y1006),$V$1006:$AE$1006,0)), HYPERLINK("#",""), HYPERLINK(CONCATENATE("#Metadata!", ADDRESS(INDEX($Q$2:$Q$1001,MATCH(ROWS($O$2:O366),$O$2:$O$1001,0),0), INDEX($V$1004:$AE$1004,1,MATCH(COLUMNS($V$1006:Y1006),$V$1006:$AE$1006,0)))),"Fix")))</f>
        <v>0</v>
      </c>
      <c r="F366" s="3">
        <f>IF(OR(INDEX($P$2:$P$1001,MATCH(ROWS($O$2:O366),$O$2:$O$1001,0),1)&gt;=100000,INDEX($V$1005:$AE$1005,1,MATCH(COLUMNS($V$1006:Z1006),$V$1006:$AE$1006,0))&gt;=100000), " ",IF(INDEX($V$2:$AE$1001,MATCH(ROWS($O$2:O366),$O$2:$O$1001,0),MATCH(COLUMNS($V$1006:Z1006),$V$1006:$AE$1006,0)), HYPERLINK("#",""), HYPERLINK(CONCATENATE("#Metadata!", ADDRESS(INDEX($Q$2:$Q$1001,MATCH(ROWS($O$2:O366),$O$2:$O$1001,0),0), INDEX($V$1004:$AE$1004,1,MATCH(COLUMNS($V$1006:Z1006),$V$1006:$AE$1006,0)))),"Fix")))</f>
        <v>0</v>
      </c>
      <c r="G366" s="3">
        <f>IF(OR(INDEX($P$2:$P$1001,MATCH(ROWS($O$2:O366),$O$2:$O$1001,0),1)&gt;=100000,INDEX($V$1005:$AE$1005,1,MATCH(COLUMNS($V$1006:AA1006),$V$1006:$AE$1006,0))&gt;=100000), " ",IF(INDEX($V$2:$AE$1001,MATCH(ROWS($O$2:O366),$O$2:$O$1001,0),MATCH(COLUMNS($V$1006:AA1006),$V$1006:$AE$1006,0)), HYPERLINK("#",""), HYPERLINK(CONCATENATE("#Metadata!", ADDRESS(INDEX($Q$2:$Q$1001,MATCH(ROWS($O$2:O366),$O$2:$O$1001,0),0), INDEX($V$1004:$AE$1004,1,MATCH(COLUMNS($V$1006:AA1006),$V$1006:$AE$1006,0)))),"Fix")))</f>
        <v>0</v>
      </c>
      <c r="H366" s="3">
        <f>IF(OR(INDEX($P$2:$P$1001,MATCH(ROWS($O$2:O366),$O$2:$O$1001,0),1)&gt;=100000,INDEX($V$1005:$AE$1005,1,MATCH(COLUMNS($V$1006:AB1006),$V$1006:$AE$1006,0))&gt;=100000), " ",IF(INDEX($V$2:$AE$1001,MATCH(ROWS($O$2:O366),$O$2:$O$1001,0),MATCH(COLUMNS($V$1006:AB1006),$V$1006:$AE$1006,0)), HYPERLINK("#",""), HYPERLINK(CONCATENATE("#Metadata!", ADDRESS(INDEX($Q$2:$Q$1001,MATCH(ROWS($O$2:O366),$O$2:$O$1001,0),0), INDEX($V$1004:$AE$1004,1,MATCH(COLUMNS($V$1006:AB1006),$V$1006:$AE$1006,0)))),"Fix")))</f>
        <v>0</v>
      </c>
      <c r="I366" s="3">
        <f>IF(OR(INDEX($P$2:$P$1001,MATCH(ROWS($O$2:O366),$O$2:$O$1001,0),1)&gt;=100000,INDEX($V$1005:$AE$1005,1,MATCH(COLUMNS($V$1006:AC1006),$V$1006:$AE$1006,0))&gt;=100000), " ",IF(INDEX($V$2:$AE$1001,MATCH(ROWS($O$2:O366),$O$2:$O$1001,0),MATCH(COLUMNS($V$1006:AC1006),$V$1006:$AE$1006,0)), HYPERLINK("#",""), HYPERLINK(CONCATENATE("#Metadata!", ADDRESS(INDEX($Q$2:$Q$1001,MATCH(ROWS($O$2:O366),$O$2:$O$1001,0),0), INDEX($V$1004:$AE$1004,1,MATCH(COLUMNS($V$1006:AC1006),$V$1006:$AE$1006,0)))),"Fix")))</f>
        <v>0</v>
      </c>
      <c r="J366" s="3">
        <f>IF(OR(INDEX($P$2:$P$1001,MATCH(ROWS($O$2:O366),$O$2:$O$1001,0),1)&gt;=100000,INDEX($V$1005:$AE$1005,1,MATCH(COLUMNS($V$1006:AD1006),$V$1006:$AE$1006,0))&gt;=100000), " ",IF(INDEX($V$2:$AE$1001,MATCH(ROWS($O$2:O366),$O$2:$O$1001,0),MATCH(COLUMNS($V$1006:AD1006),$V$1006:$AE$1006,0)), HYPERLINK("#",""), HYPERLINK(CONCATENATE("#Metadata!", ADDRESS(INDEX($Q$2:$Q$1001,MATCH(ROWS($O$2:O366),$O$2:$O$1001,0),0), INDEX($V$1004:$AE$1004,1,MATCH(COLUMNS($V$1006:AD1006),$V$1006:$AE$1006,0)))),"Fix")))</f>
        <v>0</v>
      </c>
      <c r="K366" s="3">
        <f>IF(OR(INDEX($P$2:$P$1001,MATCH(ROWS($O$2:O366),$O$2:$O$1001,0),1)&gt;=100000,INDEX($V$1005:$AE$1005,1,MATCH(COLUMNS($V$1006:AE1006),$V$1006:$AE$1006,0))&gt;=100000), " ",IF(INDEX($V$2:$AE$1001,MATCH(ROWS($O$2:O366),$O$2:$O$1001,0),MATCH(COLUMNS($V$1006:AE1006),$V$1006:$AE$1006,0)), HYPERLINK("#",""), HYPERLINK(CONCATENATE("#Metadata!", ADDRESS(INDEX($Q$2:$Q$1001,MATCH(ROWS($O$2:O366),$O$2:$O$1001,0),0), INDEX($V$1004:$AE$1004,1,MATCH(COLUMNS($V$1006:AE1006),$V$1006:$AE$1006,0)))),"Fix")))</f>
        <v>0</v>
      </c>
      <c r="O366">
        <v>0</v>
      </c>
      <c r="P366">
        <v>0</v>
      </c>
      <c r="Q366">
        <v>0</v>
      </c>
      <c r="R366">
        <f>IF(S366,TRUE,AND(V366:AE366))</f>
        <v>0</v>
      </c>
      <c r="S366">
        <f>COUNTBLANK(Metadata!B366:K366)=COLUMNS(Metadata!B366:K366)</f>
        <v>0</v>
      </c>
      <c r="T366">
        <v>0</v>
      </c>
      <c r="V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W366">
        <f>AND(IF(Metadata!C366="",FALSE,TRUE),exact(Metadata!C366,"animal secretion"))</f>
        <v>0</v>
      </c>
      <c r="X366">
        <f>AND(IF(Metadata!D366="",FALSE,TRUE),exact(Metadata!D366,"saliva"))</f>
        <v>0</v>
      </c>
      <c r="Y366">
        <f>AND(IF(Metadata!E366="",FALSE,TRUE),exact(Metadata!E366,"human-oral"))</f>
        <v>0</v>
      </c>
      <c r="Z366">
        <f>AND(IF(Metadata!F366="",FALSE,TRUE),exact(Metadata!F366,"UBERON:oral cavity"))</f>
        <v>0</v>
      </c>
      <c r="AA366">
        <f>AND(IF(Metadata!G366="",FALSE,TRUE),exact(Metadata!G366,"UBERON:saliva"))</f>
        <v>0</v>
      </c>
      <c r="AB366">
        <f>AND(IF(Metadata!H366="",FALSE,TRUE),exact(Metadata!H366,"UBERON:tongue"))</f>
        <v>0</v>
      </c>
      <c r="AC366">
        <f>AND(IF(Metadata!I366="",FALSE,TRUE),exact(Metadata!I366,"tongue"))</f>
        <v>0</v>
      </c>
      <c r="AD366">
        <f>AND(IF(Metadata!J366="",FALSE,TRUE),exact(Metadata!J366,"human oral metagenome"))</f>
        <v>0</v>
      </c>
      <c r="AE366">
        <f>AND(IF(Metadata!K366="",FALSE,TRUE),exact(Metadata!K366,"447426"))</f>
        <v>0</v>
      </c>
    </row>
    <row r="367" spans="1:31">
      <c r="A367" s="4">
        <f>IF(B367=" "," ",HYPERLINK(CONCATENATE("#metadata!",ADDRESS(INDEX($Q$2:$Q$1001,MATCH(ROWS($O$2:O367),$O$2:$O$1001,0),0),1)),INDEX($T$2:$T$1001,MATCH(ROWS($O$2:O367),$O$2:$O$1001,0),0)))</f>
        <v>0</v>
      </c>
      <c r="B367" s="3">
        <f>IF(OR(INDEX($P$2:$P$1001,MATCH(ROWS($O$2:O367),$O$2:$O$1001,0),1)&gt;=100000,INDEX($V$1005:$AE$1005,1,MATCH(COLUMNS($V$1006:V1006),$V$1006:$AE$1006,0))&gt;=100000), " ",IF(INDEX($V$2:$AE$1001,MATCH(ROWS($O$2:O367),$O$2:$O$1001,0),MATCH(COLUMNS($V$1006:V1006),$V$1006:$AE$1006,0)), HYPERLINK("#",""), HYPERLINK(CONCATENATE("#Metadata!", ADDRESS(INDEX($Q$2:$Q$1001,MATCH(ROWS($O$2:O367),$O$2:$O$1001,0),0), INDEX($V$1004:$AE$1004,1,MATCH(COLUMNS($V$1006:V1006),$V$1006:$AE$1006,0)))),"Fix")))</f>
        <v>0</v>
      </c>
      <c r="C367" s="3">
        <f>IF(OR(INDEX($P$2:$P$1001,MATCH(ROWS($O$2:O367),$O$2:$O$1001,0),1)&gt;=100000,INDEX($V$1005:$AE$1005,1,MATCH(COLUMNS($V$1006:W1006),$V$1006:$AE$1006,0))&gt;=100000), " ",IF(INDEX($V$2:$AE$1001,MATCH(ROWS($O$2:O367),$O$2:$O$1001,0),MATCH(COLUMNS($V$1006:W1006),$V$1006:$AE$1006,0)), HYPERLINK("#",""), HYPERLINK(CONCATENATE("#Metadata!", ADDRESS(INDEX($Q$2:$Q$1001,MATCH(ROWS($O$2:O367),$O$2:$O$1001,0),0), INDEX($V$1004:$AE$1004,1,MATCH(COLUMNS($V$1006:W1006),$V$1006:$AE$1006,0)))),"Fix")))</f>
        <v>0</v>
      </c>
      <c r="D367" s="3">
        <f>IF(OR(INDEX($P$2:$P$1001,MATCH(ROWS($O$2:O367),$O$2:$O$1001,0),1)&gt;=100000,INDEX($V$1005:$AE$1005,1,MATCH(COLUMNS($V$1006:X1006),$V$1006:$AE$1006,0))&gt;=100000), " ",IF(INDEX($V$2:$AE$1001,MATCH(ROWS($O$2:O367),$O$2:$O$1001,0),MATCH(COLUMNS($V$1006:X1006),$V$1006:$AE$1006,0)), HYPERLINK("#",""), HYPERLINK(CONCATENATE("#Metadata!", ADDRESS(INDEX($Q$2:$Q$1001,MATCH(ROWS($O$2:O367),$O$2:$O$1001,0),0), INDEX($V$1004:$AE$1004,1,MATCH(COLUMNS($V$1006:X1006),$V$1006:$AE$1006,0)))),"Fix")))</f>
        <v>0</v>
      </c>
      <c r="E367" s="3">
        <f>IF(OR(INDEX($P$2:$P$1001,MATCH(ROWS($O$2:O367),$O$2:$O$1001,0),1)&gt;=100000,INDEX($V$1005:$AE$1005,1,MATCH(COLUMNS($V$1006:Y1006),$V$1006:$AE$1006,0))&gt;=100000), " ",IF(INDEX($V$2:$AE$1001,MATCH(ROWS($O$2:O367),$O$2:$O$1001,0),MATCH(COLUMNS($V$1006:Y1006),$V$1006:$AE$1006,0)), HYPERLINK("#",""), HYPERLINK(CONCATENATE("#Metadata!", ADDRESS(INDEX($Q$2:$Q$1001,MATCH(ROWS($O$2:O367),$O$2:$O$1001,0),0), INDEX($V$1004:$AE$1004,1,MATCH(COLUMNS($V$1006:Y1006),$V$1006:$AE$1006,0)))),"Fix")))</f>
        <v>0</v>
      </c>
      <c r="F367" s="3">
        <f>IF(OR(INDEX($P$2:$P$1001,MATCH(ROWS($O$2:O367),$O$2:$O$1001,0),1)&gt;=100000,INDEX($V$1005:$AE$1005,1,MATCH(COLUMNS($V$1006:Z1006),$V$1006:$AE$1006,0))&gt;=100000), " ",IF(INDEX($V$2:$AE$1001,MATCH(ROWS($O$2:O367),$O$2:$O$1001,0),MATCH(COLUMNS($V$1006:Z1006),$V$1006:$AE$1006,0)), HYPERLINK("#",""), HYPERLINK(CONCATENATE("#Metadata!", ADDRESS(INDEX($Q$2:$Q$1001,MATCH(ROWS($O$2:O367),$O$2:$O$1001,0),0), INDEX($V$1004:$AE$1004,1,MATCH(COLUMNS($V$1006:Z1006),$V$1006:$AE$1006,0)))),"Fix")))</f>
        <v>0</v>
      </c>
      <c r="G367" s="3">
        <f>IF(OR(INDEX($P$2:$P$1001,MATCH(ROWS($O$2:O367),$O$2:$O$1001,0),1)&gt;=100000,INDEX($V$1005:$AE$1005,1,MATCH(COLUMNS($V$1006:AA1006),$V$1006:$AE$1006,0))&gt;=100000), " ",IF(INDEX($V$2:$AE$1001,MATCH(ROWS($O$2:O367),$O$2:$O$1001,0),MATCH(COLUMNS($V$1006:AA1006),$V$1006:$AE$1006,0)), HYPERLINK("#",""), HYPERLINK(CONCATENATE("#Metadata!", ADDRESS(INDEX($Q$2:$Q$1001,MATCH(ROWS($O$2:O367),$O$2:$O$1001,0),0), INDEX($V$1004:$AE$1004,1,MATCH(COLUMNS($V$1006:AA1006),$V$1006:$AE$1006,0)))),"Fix")))</f>
        <v>0</v>
      </c>
      <c r="H367" s="3">
        <f>IF(OR(INDEX($P$2:$P$1001,MATCH(ROWS($O$2:O367),$O$2:$O$1001,0),1)&gt;=100000,INDEX($V$1005:$AE$1005,1,MATCH(COLUMNS($V$1006:AB1006),$V$1006:$AE$1006,0))&gt;=100000), " ",IF(INDEX($V$2:$AE$1001,MATCH(ROWS($O$2:O367),$O$2:$O$1001,0),MATCH(COLUMNS($V$1006:AB1006),$V$1006:$AE$1006,0)), HYPERLINK("#",""), HYPERLINK(CONCATENATE("#Metadata!", ADDRESS(INDEX($Q$2:$Q$1001,MATCH(ROWS($O$2:O367),$O$2:$O$1001,0),0), INDEX($V$1004:$AE$1004,1,MATCH(COLUMNS($V$1006:AB1006),$V$1006:$AE$1006,0)))),"Fix")))</f>
        <v>0</v>
      </c>
      <c r="I367" s="3">
        <f>IF(OR(INDEX($P$2:$P$1001,MATCH(ROWS($O$2:O367),$O$2:$O$1001,0),1)&gt;=100000,INDEX($V$1005:$AE$1005,1,MATCH(COLUMNS($V$1006:AC1006),$V$1006:$AE$1006,0))&gt;=100000), " ",IF(INDEX($V$2:$AE$1001,MATCH(ROWS($O$2:O367),$O$2:$O$1001,0),MATCH(COLUMNS($V$1006:AC1006),$V$1006:$AE$1006,0)), HYPERLINK("#",""), HYPERLINK(CONCATENATE("#Metadata!", ADDRESS(INDEX($Q$2:$Q$1001,MATCH(ROWS($O$2:O367),$O$2:$O$1001,0),0), INDEX($V$1004:$AE$1004,1,MATCH(COLUMNS($V$1006:AC1006),$V$1006:$AE$1006,0)))),"Fix")))</f>
        <v>0</v>
      </c>
      <c r="J367" s="3">
        <f>IF(OR(INDEX($P$2:$P$1001,MATCH(ROWS($O$2:O367),$O$2:$O$1001,0),1)&gt;=100000,INDEX($V$1005:$AE$1005,1,MATCH(COLUMNS($V$1006:AD1006),$V$1006:$AE$1006,0))&gt;=100000), " ",IF(INDEX($V$2:$AE$1001,MATCH(ROWS($O$2:O367),$O$2:$O$1001,0),MATCH(COLUMNS($V$1006:AD1006),$V$1006:$AE$1006,0)), HYPERLINK("#",""), HYPERLINK(CONCATENATE("#Metadata!", ADDRESS(INDEX($Q$2:$Q$1001,MATCH(ROWS($O$2:O367),$O$2:$O$1001,0),0), INDEX($V$1004:$AE$1004,1,MATCH(COLUMNS($V$1006:AD1006),$V$1006:$AE$1006,0)))),"Fix")))</f>
        <v>0</v>
      </c>
      <c r="K367" s="3">
        <f>IF(OR(INDEX($P$2:$P$1001,MATCH(ROWS($O$2:O367),$O$2:$O$1001,0),1)&gt;=100000,INDEX($V$1005:$AE$1005,1,MATCH(COLUMNS($V$1006:AE1006),$V$1006:$AE$1006,0))&gt;=100000), " ",IF(INDEX($V$2:$AE$1001,MATCH(ROWS($O$2:O367),$O$2:$O$1001,0),MATCH(COLUMNS($V$1006:AE1006),$V$1006:$AE$1006,0)), HYPERLINK("#",""), HYPERLINK(CONCATENATE("#Metadata!", ADDRESS(INDEX($Q$2:$Q$1001,MATCH(ROWS($O$2:O367),$O$2:$O$1001,0),0), INDEX($V$1004:$AE$1004,1,MATCH(COLUMNS($V$1006:AE1006),$V$1006:$AE$1006,0)))),"Fix")))</f>
        <v>0</v>
      </c>
      <c r="O367">
        <v>0</v>
      </c>
      <c r="P367">
        <v>0</v>
      </c>
      <c r="Q367">
        <v>0</v>
      </c>
      <c r="R367">
        <f>IF(S367,TRUE,AND(V367:AE367))</f>
        <v>0</v>
      </c>
      <c r="S367">
        <f>COUNTBLANK(Metadata!B367:K367)=COLUMNS(Metadata!B367:K367)</f>
        <v>0</v>
      </c>
      <c r="T367">
        <v>0</v>
      </c>
      <c r="V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W367">
        <f>AND(IF(Metadata!C367="",FALSE,TRUE),exact(Metadata!C367,"animal secretion"))</f>
        <v>0</v>
      </c>
      <c r="X367">
        <f>AND(IF(Metadata!D367="",FALSE,TRUE),exact(Metadata!D367,"saliva"))</f>
        <v>0</v>
      </c>
      <c r="Y367">
        <f>AND(IF(Metadata!E367="",FALSE,TRUE),exact(Metadata!E367,"human-oral"))</f>
        <v>0</v>
      </c>
      <c r="Z367">
        <f>AND(IF(Metadata!F367="",FALSE,TRUE),exact(Metadata!F367,"UBERON:oral cavity"))</f>
        <v>0</v>
      </c>
      <c r="AA367">
        <f>AND(IF(Metadata!G367="",FALSE,TRUE),exact(Metadata!G367,"UBERON:saliva"))</f>
        <v>0</v>
      </c>
      <c r="AB367">
        <f>AND(IF(Metadata!H367="",FALSE,TRUE),exact(Metadata!H367,"UBERON:tongue"))</f>
        <v>0</v>
      </c>
      <c r="AC367">
        <f>AND(IF(Metadata!I367="",FALSE,TRUE),exact(Metadata!I367,"tongue"))</f>
        <v>0</v>
      </c>
      <c r="AD367">
        <f>AND(IF(Metadata!J367="",FALSE,TRUE),exact(Metadata!J367,"human oral metagenome"))</f>
        <v>0</v>
      </c>
      <c r="AE367">
        <f>AND(IF(Metadata!K367="",FALSE,TRUE),exact(Metadata!K367,"447426"))</f>
        <v>0</v>
      </c>
    </row>
    <row r="368" spans="1:31">
      <c r="A368" s="4">
        <f>IF(B368=" "," ",HYPERLINK(CONCATENATE("#metadata!",ADDRESS(INDEX($Q$2:$Q$1001,MATCH(ROWS($O$2:O368),$O$2:$O$1001,0),0),1)),INDEX($T$2:$T$1001,MATCH(ROWS($O$2:O368),$O$2:$O$1001,0),0)))</f>
        <v>0</v>
      </c>
      <c r="B368" s="3">
        <f>IF(OR(INDEX($P$2:$P$1001,MATCH(ROWS($O$2:O368),$O$2:$O$1001,0),1)&gt;=100000,INDEX($V$1005:$AE$1005,1,MATCH(COLUMNS($V$1006:V1006),$V$1006:$AE$1006,0))&gt;=100000), " ",IF(INDEX($V$2:$AE$1001,MATCH(ROWS($O$2:O368),$O$2:$O$1001,0),MATCH(COLUMNS($V$1006:V1006),$V$1006:$AE$1006,0)), HYPERLINK("#",""), HYPERLINK(CONCATENATE("#Metadata!", ADDRESS(INDEX($Q$2:$Q$1001,MATCH(ROWS($O$2:O368),$O$2:$O$1001,0),0), INDEX($V$1004:$AE$1004,1,MATCH(COLUMNS($V$1006:V1006),$V$1006:$AE$1006,0)))),"Fix")))</f>
        <v>0</v>
      </c>
      <c r="C368" s="3">
        <f>IF(OR(INDEX($P$2:$P$1001,MATCH(ROWS($O$2:O368),$O$2:$O$1001,0),1)&gt;=100000,INDEX($V$1005:$AE$1005,1,MATCH(COLUMNS($V$1006:W1006),$V$1006:$AE$1006,0))&gt;=100000), " ",IF(INDEX($V$2:$AE$1001,MATCH(ROWS($O$2:O368),$O$2:$O$1001,0),MATCH(COLUMNS($V$1006:W1006),$V$1006:$AE$1006,0)), HYPERLINK("#",""), HYPERLINK(CONCATENATE("#Metadata!", ADDRESS(INDEX($Q$2:$Q$1001,MATCH(ROWS($O$2:O368),$O$2:$O$1001,0),0), INDEX($V$1004:$AE$1004,1,MATCH(COLUMNS($V$1006:W1006),$V$1006:$AE$1006,0)))),"Fix")))</f>
        <v>0</v>
      </c>
      <c r="D368" s="3">
        <f>IF(OR(INDEX($P$2:$P$1001,MATCH(ROWS($O$2:O368),$O$2:$O$1001,0),1)&gt;=100000,INDEX($V$1005:$AE$1005,1,MATCH(COLUMNS($V$1006:X1006),$V$1006:$AE$1006,0))&gt;=100000), " ",IF(INDEX($V$2:$AE$1001,MATCH(ROWS($O$2:O368),$O$2:$O$1001,0),MATCH(COLUMNS($V$1006:X1006),$V$1006:$AE$1006,0)), HYPERLINK("#",""), HYPERLINK(CONCATENATE("#Metadata!", ADDRESS(INDEX($Q$2:$Q$1001,MATCH(ROWS($O$2:O368),$O$2:$O$1001,0),0), INDEX($V$1004:$AE$1004,1,MATCH(COLUMNS($V$1006:X1006),$V$1006:$AE$1006,0)))),"Fix")))</f>
        <v>0</v>
      </c>
      <c r="E368" s="3">
        <f>IF(OR(INDEX($P$2:$P$1001,MATCH(ROWS($O$2:O368),$O$2:$O$1001,0),1)&gt;=100000,INDEX($V$1005:$AE$1005,1,MATCH(COLUMNS($V$1006:Y1006),$V$1006:$AE$1006,0))&gt;=100000), " ",IF(INDEX($V$2:$AE$1001,MATCH(ROWS($O$2:O368),$O$2:$O$1001,0),MATCH(COLUMNS($V$1006:Y1006),$V$1006:$AE$1006,0)), HYPERLINK("#",""), HYPERLINK(CONCATENATE("#Metadata!", ADDRESS(INDEX($Q$2:$Q$1001,MATCH(ROWS($O$2:O368),$O$2:$O$1001,0),0), INDEX($V$1004:$AE$1004,1,MATCH(COLUMNS($V$1006:Y1006),$V$1006:$AE$1006,0)))),"Fix")))</f>
        <v>0</v>
      </c>
      <c r="F368" s="3">
        <f>IF(OR(INDEX($P$2:$P$1001,MATCH(ROWS($O$2:O368),$O$2:$O$1001,0),1)&gt;=100000,INDEX($V$1005:$AE$1005,1,MATCH(COLUMNS($V$1006:Z1006),$V$1006:$AE$1006,0))&gt;=100000), " ",IF(INDEX($V$2:$AE$1001,MATCH(ROWS($O$2:O368),$O$2:$O$1001,0),MATCH(COLUMNS($V$1006:Z1006),$V$1006:$AE$1006,0)), HYPERLINK("#",""), HYPERLINK(CONCATENATE("#Metadata!", ADDRESS(INDEX($Q$2:$Q$1001,MATCH(ROWS($O$2:O368),$O$2:$O$1001,0),0), INDEX($V$1004:$AE$1004,1,MATCH(COLUMNS($V$1006:Z1006),$V$1006:$AE$1006,0)))),"Fix")))</f>
        <v>0</v>
      </c>
      <c r="G368" s="3">
        <f>IF(OR(INDEX($P$2:$P$1001,MATCH(ROWS($O$2:O368),$O$2:$O$1001,0),1)&gt;=100000,INDEX($V$1005:$AE$1005,1,MATCH(COLUMNS($V$1006:AA1006),$V$1006:$AE$1006,0))&gt;=100000), " ",IF(INDEX($V$2:$AE$1001,MATCH(ROWS($O$2:O368),$O$2:$O$1001,0),MATCH(COLUMNS($V$1006:AA1006),$V$1006:$AE$1006,0)), HYPERLINK("#",""), HYPERLINK(CONCATENATE("#Metadata!", ADDRESS(INDEX($Q$2:$Q$1001,MATCH(ROWS($O$2:O368),$O$2:$O$1001,0),0), INDEX($V$1004:$AE$1004,1,MATCH(COLUMNS($V$1006:AA1006),$V$1006:$AE$1006,0)))),"Fix")))</f>
        <v>0</v>
      </c>
      <c r="H368" s="3">
        <f>IF(OR(INDEX($P$2:$P$1001,MATCH(ROWS($O$2:O368),$O$2:$O$1001,0),1)&gt;=100000,INDEX($V$1005:$AE$1005,1,MATCH(COLUMNS($V$1006:AB1006),$V$1006:$AE$1006,0))&gt;=100000), " ",IF(INDEX($V$2:$AE$1001,MATCH(ROWS($O$2:O368),$O$2:$O$1001,0),MATCH(COLUMNS($V$1006:AB1006),$V$1006:$AE$1006,0)), HYPERLINK("#",""), HYPERLINK(CONCATENATE("#Metadata!", ADDRESS(INDEX($Q$2:$Q$1001,MATCH(ROWS($O$2:O368),$O$2:$O$1001,0),0), INDEX($V$1004:$AE$1004,1,MATCH(COLUMNS($V$1006:AB1006),$V$1006:$AE$1006,0)))),"Fix")))</f>
        <v>0</v>
      </c>
      <c r="I368" s="3">
        <f>IF(OR(INDEX($P$2:$P$1001,MATCH(ROWS($O$2:O368),$O$2:$O$1001,0),1)&gt;=100000,INDEX($V$1005:$AE$1005,1,MATCH(COLUMNS($V$1006:AC1006),$V$1006:$AE$1006,0))&gt;=100000), " ",IF(INDEX($V$2:$AE$1001,MATCH(ROWS($O$2:O368),$O$2:$O$1001,0),MATCH(COLUMNS($V$1006:AC1006),$V$1006:$AE$1006,0)), HYPERLINK("#",""), HYPERLINK(CONCATENATE("#Metadata!", ADDRESS(INDEX($Q$2:$Q$1001,MATCH(ROWS($O$2:O368),$O$2:$O$1001,0),0), INDEX($V$1004:$AE$1004,1,MATCH(COLUMNS($V$1006:AC1006),$V$1006:$AE$1006,0)))),"Fix")))</f>
        <v>0</v>
      </c>
      <c r="J368" s="3">
        <f>IF(OR(INDEX($P$2:$P$1001,MATCH(ROWS($O$2:O368),$O$2:$O$1001,0),1)&gt;=100000,INDEX($V$1005:$AE$1005,1,MATCH(COLUMNS($V$1006:AD1006),$V$1006:$AE$1006,0))&gt;=100000), " ",IF(INDEX($V$2:$AE$1001,MATCH(ROWS($O$2:O368),$O$2:$O$1001,0),MATCH(COLUMNS($V$1006:AD1006),$V$1006:$AE$1006,0)), HYPERLINK("#",""), HYPERLINK(CONCATENATE("#Metadata!", ADDRESS(INDEX($Q$2:$Q$1001,MATCH(ROWS($O$2:O368),$O$2:$O$1001,0),0), INDEX($V$1004:$AE$1004,1,MATCH(COLUMNS($V$1006:AD1006),$V$1006:$AE$1006,0)))),"Fix")))</f>
        <v>0</v>
      </c>
      <c r="K368" s="3">
        <f>IF(OR(INDEX($P$2:$P$1001,MATCH(ROWS($O$2:O368),$O$2:$O$1001,0),1)&gt;=100000,INDEX($V$1005:$AE$1005,1,MATCH(COLUMNS($V$1006:AE1006),$V$1006:$AE$1006,0))&gt;=100000), " ",IF(INDEX($V$2:$AE$1001,MATCH(ROWS($O$2:O368),$O$2:$O$1001,0),MATCH(COLUMNS($V$1006:AE1006),$V$1006:$AE$1006,0)), HYPERLINK("#",""), HYPERLINK(CONCATENATE("#Metadata!", ADDRESS(INDEX($Q$2:$Q$1001,MATCH(ROWS($O$2:O368),$O$2:$O$1001,0),0), INDEX($V$1004:$AE$1004,1,MATCH(COLUMNS($V$1006:AE1006),$V$1006:$AE$1006,0)))),"Fix")))</f>
        <v>0</v>
      </c>
      <c r="O368">
        <v>0</v>
      </c>
      <c r="P368">
        <v>0</v>
      </c>
      <c r="Q368">
        <v>0</v>
      </c>
      <c r="R368">
        <f>IF(S368,TRUE,AND(V368:AE368))</f>
        <v>0</v>
      </c>
      <c r="S368">
        <f>COUNTBLANK(Metadata!B368:K368)=COLUMNS(Metadata!B368:K368)</f>
        <v>0</v>
      </c>
      <c r="T368">
        <v>0</v>
      </c>
      <c r="V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W368">
        <f>AND(IF(Metadata!C368="",FALSE,TRUE),exact(Metadata!C368,"animal secretion"))</f>
        <v>0</v>
      </c>
      <c r="X368">
        <f>AND(IF(Metadata!D368="",FALSE,TRUE),exact(Metadata!D368,"saliva"))</f>
        <v>0</v>
      </c>
      <c r="Y368">
        <f>AND(IF(Metadata!E368="",FALSE,TRUE),exact(Metadata!E368,"human-oral"))</f>
        <v>0</v>
      </c>
      <c r="Z368">
        <f>AND(IF(Metadata!F368="",FALSE,TRUE),exact(Metadata!F368,"UBERON:oral cavity"))</f>
        <v>0</v>
      </c>
      <c r="AA368">
        <f>AND(IF(Metadata!G368="",FALSE,TRUE),exact(Metadata!G368,"UBERON:saliva"))</f>
        <v>0</v>
      </c>
      <c r="AB368">
        <f>AND(IF(Metadata!H368="",FALSE,TRUE),exact(Metadata!H368,"UBERON:tongue"))</f>
        <v>0</v>
      </c>
      <c r="AC368">
        <f>AND(IF(Metadata!I368="",FALSE,TRUE),exact(Metadata!I368,"tongue"))</f>
        <v>0</v>
      </c>
      <c r="AD368">
        <f>AND(IF(Metadata!J368="",FALSE,TRUE),exact(Metadata!J368,"human oral metagenome"))</f>
        <v>0</v>
      </c>
      <c r="AE368">
        <f>AND(IF(Metadata!K368="",FALSE,TRUE),exact(Metadata!K368,"447426"))</f>
        <v>0</v>
      </c>
    </row>
    <row r="369" spans="1:31">
      <c r="A369" s="4">
        <f>IF(B369=" "," ",HYPERLINK(CONCATENATE("#metadata!",ADDRESS(INDEX($Q$2:$Q$1001,MATCH(ROWS($O$2:O369),$O$2:$O$1001,0),0),1)),INDEX($T$2:$T$1001,MATCH(ROWS($O$2:O369),$O$2:$O$1001,0),0)))</f>
        <v>0</v>
      </c>
      <c r="B369" s="3">
        <f>IF(OR(INDEX($P$2:$P$1001,MATCH(ROWS($O$2:O369),$O$2:$O$1001,0),1)&gt;=100000,INDEX($V$1005:$AE$1005,1,MATCH(COLUMNS($V$1006:V1006),$V$1006:$AE$1006,0))&gt;=100000), " ",IF(INDEX($V$2:$AE$1001,MATCH(ROWS($O$2:O369),$O$2:$O$1001,0),MATCH(COLUMNS($V$1006:V1006),$V$1006:$AE$1006,0)), HYPERLINK("#",""), HYPERLINK(CONCATENATE("#Metadata!", ADDRESS(INDEX($Q$2:$Q$1001,MATCH(ROWS($O$2:O369),$O$2:$O$1001,0),0), INDEX($V$1004:$AE$1004,1,MATCH(COLUMNS($V$1006:V1006),$V$1006:$AE$1006,0)))),"Fix")))</f>
        <v>0</v>
      </c>
      <c r="C369" s="3">
        <f>IF(OR(INDEX($P$2:$P$1001,MATCH(ROWS($O$2:O369),$O$2:$O$1001,0),1)&gt;=100000,INDEX($V$1005:$AE$1005,1,MATCH(COLUMNS($V$1006:W1006),$V$1006:$AE$1006,0))&gt;=100000), " ",IF(INDEX($V$2:$AE$1001,MATCH(ROWS($O$2:O369),$O$2:$O$1001,0),MATCH(COLUMNS($V$1006:W1006),$V$1006:$AE$1006,0)), HYPERLINK("#",""), HYPERLINK(CONCATENATE("#Metadata!", ADDRESS(INDEX($Q$2:$Q$1001,MATCH(ROWS($O$2:O369),$O$2:$O$1001,0),0), INDEX($V$1004:$AE$1004,1,MATCH(COLUMNS($V$1006:W1006),$V$1006:$AE$1006,0)))),"Fix")))</f>
        <v>0</v>
      </c>
      <c r="D369" s="3">
        <f>IF(OR(INDEX($P$2:$P$1001,MATCH(ROWS($O$2:O369),$O$2:$O$1001,0),1)&gt;=100000,INDEX($V$1005:$AE$1005,1,MATCH(COLUMNS($V$1006:X1006),$V$1006:$AE$1006,0))&gt;=100000), " ",IF(INDEX($V$2:$AE$1001,MATCH(ROWS($O$2:O369),$O$2:$O$1001,0),MATCH(COLUMNS($V$1006:X1006),$V$1006:$AE$1006,0)), HYPERLINK("#",""), HYPERLINK(CONCATENATE("#Metadata!", ADDRESS(INDEX($Q$2:$Q$1001,MATCH(ROWS($O$2:O369),$O$2:$O$1001,0),0), INDEX($V$1004:$AE$1004,1,MATCH(COLUMNS($V$1006:X1006),$V$1006:$AE$1006,0)))),"Fix")))</f>
        <v>0</v>
      </c>
      <c r="E369" s="3">
        <f>IF(OR(INDEX($P$2:$P$1001,MATCH(ROWS($O$2:O369),$O$2:$O$1001,0),1)&gt;=100000,INDEX($V$1005:$AE$1005,1,MATCH(COLUMNS($V$1006:Y1006),$V$1006:$AE$1006,0))&gt;=100000), " ",IF(INDEX($V$2:$AE$1001,MATCH(ROWS($O$2:O369),$O$2:$O$1001,0),MATCH(COLUMNS($V$1006:Y1006),$V$1006:$AE$1006,0)), HYPERLINK("#",""), HYPERLINK(CONCATENATE("#Metadata!", ADDRESS(INDEX($Q$2:$Q$1001,MATCH(ROWS($O$2:O369),$O$2:$O$1001,0),0), INDEX($V$1004:$AE$1004,1,MATCH(COLUMNS($V$1006:Y1006),$V$1006:$AE$1006,0)))),"Fix")))</f>
        <v>0</v>
      </c>
      <c r="F369" s="3">
        <f>IF(OR(INDEX($P$2:$P$1001,MATCH(ROWS($O$2:O369),$O$2:$O$1001,0),1)&gt;=100000,INDEX($V$1005:$AE$1005,1,MATCH(COLUMNS($V$1006:Z1006),$V$1006:$AE$1006,0))&gt;=100000), " ",IF(INDEX($V$2:$AE$1001,MATCH(ROWS($O$2:O369),$O$2:$O$1001,0),MATCH(COLUMNS($V$1006:Z1006),$V$1006:$AE$1006,0)), HYPERLINK("#",""), HYPERLINK(CONCATENATE("#Metadata!", ADDRESS(INDEX($Q$2:$Q$1001,MATCH(ROWS($O$2:O369),$O$2:$O$1001,0),0), INDEX($V$1004:$AE$1004,1,MATCH(COLUMNS($V$1006:Z1006),$V$1006:$AE$1006,0)))),"Fix")))</f>
        <v>0</v>
      </c>
      <c r="G369" s="3">
        <f>IF(OR(INDEX($P$2:$P$1001,MATCH(ROWS($O$2:O369),$O$2:$O$1001,0),1)&gt;=100000,INDEX($V$1005:$AE$1005,1,MATCH(COLUMNS($V$1006:AA1006),$V$1006:$AE$1006,0))&gt;=100000), " ",IF(INDEX($V$2:$AE$1001,MATCH(ROWS($O$2:O369),$O$2:$O$1001,0),MATCH(COLUMNS($V$1006:AA1006),$V$1006:$AE$1006,0)), HYPERLINK("#",""), HYPERLINK(CONCATENATE("#Metadata!", ADDRESS(INDEX($Q$2:$Q$1001,MATCH(ROWS($O$2:O369),$O$2:$O$1001,0),0), INDEX($V$1004:$AE$1004,1,MATCH(COLUMNS($V$1006:AA1006),$V$1006:$AE$1006,0)))),"Fix")))</f>
        <v>0</v>
      </c>
      <c r="H369" s="3">
        <f>IF(OR(INDEX($P$2:$P$1001,MATCH(ROWS($O$2:O369),$O$2:$O$1001,0),1)&gt;=100000,INDEX($V$1005:$AE$1005,1,MATCH(COLUMNS($V$1006:AB1006),$V$1006:$AE$1006,0))&gt;=100000), " ",IF(INDEX($V$2:$AE$1001,MATCH(ROWS($O$2:O369),$O$2:$O$1001,0),MATCH(COLUMNS($V$1006:AB1006),$V$1006:$AE$1006,0)), HYPERLINK("#",""), HYPERLINK(CONCATENATE("#Metadata!", ADDRESS(INDEX($Q$2:$Q$1001,MATCH(ROWS($O$2:O369),$O$2:$O$1001,0),0), INDEX($V$1004:$AE$1004,1,MATCH(COLUMNS($V$1006:AB1006),$V$1006:$AE$1006,0)))),"Fix")))</f>
        <v>0</v>
      </c>
      <c r="I369" s="3">
        <f>IF(OR(INDEX($P$2:$P$1001,MATCH(ROWS($O$2:O369),$O$2:$O$1001,0),1)&gt;=100000,INDEX($V$1005:$AE$1005,1,MATCH(COLUMNS($V$1006:AC1006),$V$1006:$AE$1006,0))&gt;=100000), " ",IF(INDEX($V$2:$AE$1001,MATCH(ROWS($O$2:O369),$O$2:$O$1001,0),MATCH(COLUMNS($V$1006:AC1006),$V$1006:$AE$1006,0)), HYPERLINK("#",""), HYPERLINK(CONCATENATE("#Metadata!", ADDRESS(INDEX($Q$2:$Q$1001,MATCH(ROWS($O$2:O369),$O$2:$O$1001,0),0), INDEX($V$1004:$AE$1004,1,MATCH(COLUMNS($V$1006:AC1006),$V$1006:$AE$1006,0)))),"Fix")))</f>
        <v>0</v>
      </c>
      <c r="J369" s="3">
        <f>IF(OR(INDEX($P$2:$P$1001,MATCH(ROWS($O$2:O369),$O$2:$O$1001,0),1)&gt;=100000,INDEX($V$1005:$AE$1005,1,MATCH(COLUMNS($V$1006:AD1006),$V$1006:$AE$1006,0))&gt;=100000), " ",IF(INDEX($V$2:$AE$1001,MATCH(ROWS($O$2:O369),$O$2:$O$1001,0),MATCH(COLUMNS($V$1006:AD1006),$V$1006:$AE$1006,0)), HYPERLINK("#",""), HYPERLINK(CONCATENATE("#Metadata!", ADDRESS(INDEX($Q$2:$Q$1001,MATCH(ROWS($O$2:O369),$O$2:$O$1001,0),0), INDEX($V$1004:$AE$1004,1,MATCH(COLUMNS($V$1006:AD1006),$V$1006:$AE$1006,0)))),"Fix")))</f>
        <v>0</v>
      </c>
      <c r="K369" s="3">
        <f>IF(OR(INDEX($P$2:$P$1001,MATCH(ROWS($O$2:O369),$O$2:$O$1001,0),1)&gt;=100000,INDEX($V$1005:$AE$1005,1,MATCH(COLUMNS($V$1006:AE1006),$V$1006:$AE$1006,0))&gt;=100000), " ",IF(INDEX($V$2:$AE$1001,MATCH(ROWS($O$2:O369),$O$2:$O$1001,0),MATCH(COLUMNS($V$1006:AE1006),$V$1006:$AE$1006,0)), HYPERLINK("#",""), HYPERLINK(CONCATENATE("#Metadata!", ADDRESS(INDEX($Q$2:$Q$1001,MATCH(ROWS($O$2:O369),$O$2:$O$1001,0),0), INDEX($V$1004:$AE$1004,1,MATCH(COLUMNS($V$1006:AE1006),$V$1006:$AE$1006,0)))),"Fix")))</f>
        <v>0</v>
      </c>
      <c r="O369">
        <v>0</v>
      </c>
      <c r="P369">
        <v>0</v>
      </c>
      <c r="Q369">
        <v>0</v>
      </c>
      <c r="R369">
        <f>IF(S369,TRUE,AND(V369:AE369))</f>
        <v>0</v>
      </c>
      <c r="S369">
        <f>COUNTBLANK(Metadata!B369:K369)=COLUMNS(Metadata!B369:K369)</f>
        <v>0</v>
      </c>
      <c r="T369">
        <v>0</v>
      </c>
      <c r="V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W369">
        <f>AND(IF(Metadata!C369="",FALSE,TRUE),exact(Metadata!C369,"animal secretion"))</f>
        <v>0</v>
      </c>
      <c r="X369">
        <f>AND(IF(Metadata!D369="",FALSE,TRUE),exact(Metadata!D369,"saliva"))</f>
        <v>0</v>
      </c>
      <c r="Y369">
        <f>AND(IF(Metadata!E369="",FALSE,TRUE),exact(Metadata!E369,"human-oral"))</f>
        <v>0</v>
      </c>
      <c r="Z369">
        <f>AND(IF(Metadata!F369="",FALSE,TRUE),exact(Metadata!F369,"UBERON:oral cavity"))</f>
        <v>0</v>
      </c>
      <c r="AA369">
        <f>AND(IF(Metadata!G369="",FALSE,TRUE),exact(Metadata!G369,"UBERON:saliva"))</f>
        <v>0</v>
      </c>
      <c r="AB369">
        <f>AND(IF(Metadata!H369="",FALSE,TRUE),exact(Metadata!H369,"UBERON:tongue"))</f>
        <v>0</v>
      </c>
      <c r="AC369">
        <f>AND(IF(Metadata!I369="",FALSE,TRUE),exact(Metadata!I369,"tongue"))</f>
        <v>0</v>
      </c>
      <c r="AD369">
        <f>AND(IF(Metadata!J369="",FALSE,TRUE),exact(Metadata!J369,"human oral metagenome"))</f>
        <v>0</v>
      </c>
      <c r="AE369">
        <f>AND(IF(Metadata!K369="",FALSE,TRUE),exact(Metadata!K369,"447426"))</f>
        <v>0</v>
      </c>
    </row>
    <row r="370" spans="1:31">
      <c r="A370" s="4">
        <f>IF(B370=" "," ",HYPERLINK(CONCATENATE("#metadata!",ADDRESS(INDEX($Q$2:$Q$1001,MATCH(ROWS($O$2:O370),$O$2:$O$1001,0),0),1)),INDEX($T$2:$T$1001,MATCH(ROWS($O$2:O370),$O$2:$O$1001,0),0)))</f>
        <v>0</v>
      </c>
      <c r="B370" s="3">
        <f>IF(OR(INDEX($P$2:$P$1001,MATCH(ROWS($O$2:O370),$O$2:$O$1001,0),1)&gt;=100000,INDEX($V$1005:$AE$1005,1,MATCH(COLUMNS($V$1006:V1006),$V$1006:$AE$1006,0))&gt;=100000), " ",IF(INDEX($V$2:$AE$1001,MATCH(ROWS($O$2:O370),$O$2:$O$1001,0),MATCH(COLUMNS($V$1006:V1006),$V$1006:$AE$1006,0)), HYPERLINK("#",""), HYPERLINK(CONCATENATE("#Metadata!", ADDRESS(INDEX($Q$2:$Q$1001,MATCH(ROWS($O$2:O370),$O$2:$O$1001,0),0), INDEX($V$1004:$AE$1004,1,MATCH(COLUMNS($V$1006:V1006),$V$1006:$AE$1006,0)))),"Fix")))</f>
        <v>0</v>
      </c>
      <c r="C370" s="3">
        <f>IF(OR(INDEX($P$2:$P$1001,MATCH(ROWS($O$2:O370),$O$2:$O$1001,0),1)&gt;=100000,INDEX($V$1005:$AE$1005,1,MATCH(COLUMNS($V$1006:W1006),$V$1006:$AE$1006,0))&gt;=100000), " ",IF(INDEX($V$2:$AE$1001,MATCH(ROWS($O$2:O370),$O$2:$O$1001,0),MATCH(COLUMNS($V$1006:W1006),$V$1006:$AE$1006,0)), HYPERLINK("#",""), HYPERLINK(CONCATENATE("#Metadata!", ADDRESS(INDEX($Q$2:$Q$1001,MATCH(ROWS($O$2:O370),$O$2:$O$1001,0),0), INDEX($V$1004:$AE$1004,1,MATCH(COLUMNS($V$1006:W1006),$V$1006:$AE$1006,0)))),"Fix")))</f>
        <v>0</v>
      </c>
      <c r="D370" s="3">
        <f>IF(OR(INDEX($P$2:$P$1001,MATCH(ROWS($O$2:O370),$O$2:$O$1001,0),1)&gt;=100000,INDEX($V$1005:$AE$1005,1,MATCH(COLUMNS($V$1006:X1006),$V$1006:$AE$1006,0))&gt;=100000), " ",IF(INDEX($V$2:$AE$1001,MATCH(ROWS($O$2:O370),$O$2:$O$1001,0),MATCH(COLUMNS($V$1006:X1006),$V$1006:$AE$1006,0)), HYPERLINK("#",""), HYPERLINK(CONCATENATE("#Metadata!", ADDRESS(INDEX($Q$2:$Q$1001,MATCH(ROWS($O$2:O370),$O$2:$O$1001,0),0), INDEX($V$1004:$AE$1004,1,MATCH(COLUMNS($V$1006:X1006),$V$1006:$AE$1006,0)))),"Fix")))</f>
        <v>0</v>
      </c>
      <c r="E370" s="3">
        <f>IF(OR(INDEX($P$2:$P$1001,MATCH(ROWS($O$2:O370),$O$2:$O$1001,0),1)&gt;=100000,INDEX($V$1005:$AE$1005,1,MATCH(COLUMNS($V$1006:Y1006),$V$1006:$AE$1006,0))&gt;=100000), " ",IF(INDEX($V$2:$AE$1001,MATCH(ROWS($O$2:O370),$O$2:$O$1001,0),MATCH(COLUMNS($V$1006:Y1006),$V$1006:$AE$1006,0)), HYPERLINK("#",""), HYPERLINK(CONCATENATE("#Metadata!", ADDRESS(INDEX($Q$2:$Q$1001,MATCH(ROWS($O$2:O370),$O$2:$O$1001,0),0), INDEX($V$1004:$AE$1004,1,MATCH(COLUMNS($V$1006:Y1006),$V$1006:$AE$1006,0)))),"Fix")))</f>
        <v>0</v>
      </c>
      <c r="F370" s="3">
        <f>IF(OR(INDEX($P$2:$P$1001,MATCH(ROWS($O$2:O370),$O$2:$O$1001,0),1)&gt;=100000,INDEX($V$1005:$AE$1005,1,MATCH(COLUMNS($V$1006:Z1006),$V$1006:$AE$1006,0))&gt;=100000), " ",IF(INDEX($V$2:$AE$1001,MATCH(ROWS($O$2:O370),$O$2:$O$1001,0),MATCH(COLUMNS($V$1006:Z1006),$V$1006:$AE$1006,0)), HYPERLINK("#",""), HYPERLINK(CONCATENATE("#Metadata!", ADDRESS(INDEX($Q$2:$Q$1001,MATCH(ROWS($O$2:O370),$O$2:$O$1001,0),0), INDEX($V$1004:$AE$1004,1,MATCH(COLUMNS($V$1006:Z1006),$V$1006:$AE$1006,0)))),"Fix")))</f>
        <v>0</v>
      </c>
      <c r="G370" s="3">
        <f>IF(OR(INDEX($P$2:$P$1001,MATCH(ROWS($O$2:O370),$O$2:$O$1001,0),1)&gt;=100000,INDEX($V$1005:$AE$1005,1,MATCH(COLUMNS($V$1006:AA1006),$V$1006:$AE$1006,0))&gt;=100000), " ",IF(INDEX($V$2:$AE$1001,MATCH(ROWS($O$2:O370),$O$2:$O$1001,0),MATCH(COLUMNS($V$1006:AA1006),$V$1006:$AE$1006,0)), HYPERLINK("#",""), HYPERLINK(CONCATENATE("#Metadata!", ADDRESS(INDEX($Q$2:$Q$1001,MATCH(ROWS($O$2:O370),$O$2:$O$1001,0),0), INDEX($V$1004:$AE$1004,1,MATCH(COLUMNS($V$1006:AA1006),$V$1006:$AE$1006,0)))),"Fix")))</f>
        <v>0</v>
      </c>
      <c r="H370" s="3">
        <f>IF(OR(INDEX($P$2:$P$1001,MATCH(ROWS($O$2:O370),$O$2:$O$1001,0),1)&gt;=100000,INDEX($V$1005:$AE$1005,1,MATCH(COLUMNS($V$1006:AB1006),$V$1006:$AE$1006,0))&gt;=100000), " ",IF(INDEX($V$2:$AE$1001,MATCH(ROWS($O$2:O370),$O$2:$O$1001,0),MATCH(COLUMNS($V$1006:AB1006),$V$1006:$AE$1006,0)), HYPERLINK("#",""), HYPERLINK(CONCATENATE("#Metadata!", ADDRESS(INDEX($Q$2:$Q$1001,MATCH(ROWS($O$2:O370),$O$2:$O$1001,0),0), INDEX($V$1004:$AE$1004,1,MATCH(COLUMNS($V$1006:AB1006),$V$1006:$AE$1006,0)))),"Fix")))</f>
        <v>0</v>
      </c>
      <c r="I370" s="3">
        <f>IF(OR(INDEX($P$2:$P$1001,MATCH(ROWS($O$2:O370),$O$2:$O$1001,0),1)&gt;=100000,INDEX($V$1005:$AE$1005,1,MATCH(COLUMNS($V$1006:AC1006),$V$1006:$AE$1006,0))&gt;=100000), " ",IF(INDEX($V$2:$AE$1001,MATCH(ROWS($O$2:O370),$O$2:$O$1001,0),MATCH(COLUMNS($V$1006:AC1006),$V$1006:$AE$1006,0)), HYPERLINK("#",""), HYPERLINK(CONCATENATE("#Metadata!", ADDRESS(INDEX($Q$2:$Q$1001,MATCH(ROWS($O$2:O370),$O$2:$O$1001,0),0), INDEX($V$1004:$AE$1004,1,MATCH(COLUMNS($V$1006:AC1006),$V$1006:$AE$1006,0)))),"Fix")))</f>
        <v>0</v>
      </c>
      <c r="J370" s="3">
        <f>IF(OR(INDEX($P$2:$P$1001,MATCH(ROWS($O$2:O370),$O$2:$O$1001,0),1)&gt;=100000,INDEX($V$1005:$AE$1005,1,MATCH(COLUMNS($V$1006:AD1006),$V$1006:$AE$1006,0))&gt;=100000), " ",IF(INDEX($V$2:$AE$1001,MATCH(ROWS($O$2:O370),$O$2:$O$1001,0),MATCH(COLUMNS($V$1006:AD1006),$V$1006:$AE$1006,0)), HYPERLINK("#",""), HYPERLINK(CONCATENATE("#Metadata!", ADDRESS(INDEX($Q$2:$Q$1001,MATCH(ROWS($O$2:O370),$O$2:$O$1001,0),0), INDEX($V$1004:$AE$1004,1,MATCH(COLUMNS($V$1006:AD1006),$V$1006:$AE$1006,0)))),"Fix")))</f>
        <v>0</v>
      </c>
      <c r="K370" s="3">
        <f>IF(OR(INDEX($P$2:$P$1001,MATCH(ROWS($O$2:O370),$O$2:$O$1001,0),1)&gt;=100000,INDEX($V$1005:$AE$1005,1,MATCH(COLUMNS($V$1006:AE1006),$V$1006:$AE$1006,0))&gt;=100000), " ",IF(INDEX($V$2:$AE$1001,MATCH(ROWS($O$2:O370),$O$2:$O$1001,0),MATCH(COLUMNS($V$1006:AE1006),$V$1006:$AE$1006,0)), HYPERLINK("#",""), HYPERLINK(CONCATENATE("#Metadata!", ADDRESS(INDEX($Q$2:$Q$1001,MATCH(ROWS($O$2:O370),$O$2:$O$1001,0),0), INDEX($V$1004:$AE$1004,1,MATCH(COLUMNS($V$1006:AE1006),$V$1006:$AE$1006,0)))),"Fix")))</f>
        <v>0</v>
      </c>
      <c r="O370">
        <v>0</v>
      </c>
      <c r="P370">
        <v>0</v>
      </c>
      <c r="Q370">
        <v>0</v>
      </c>
      <c r="R370">
        <f>IF(S370,TRUE,AND(V370:AE370))</f>
        <v>0</v>
      </c>
      <c r="S370">
        <f>COUNTBLANK(Metadata!B370:K370)=COLUMNS(Metadata!B370:K370)</f>
        <v>0</v>
      </c>
      <c r="T370">
        <v>0</v>
      </c>
      <c r="V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W370">
        <f>AND(IF(Metadata!C370="",FALSE,TRUE),exact(Metadata!C370,"animal secretion"))</f>
        <v>0</v>
      </c>
      <c r="X370">
        <f>AND(IF(Metadata!D370="",FALSE,TRUE),exact(Metadata!D370,"saliva"))</f>
        <v>0</v>
      </c>
      <c r="Y370">
        <f>AND(IF(Metadata!E370="",FALSE,TRUE),exact(Metadata!E370,"human-oral"))</f>
        <v>0</v>
      </c>
      <c r="Z370">
        <f>AND(IF(Metadata!F370="",FALSE,TRUE),exact(Metadata!F370,"UBERON:oral cavity"))</f>
        <v>0</v>
      </c>
      <c r="AA370">
        <f>AND(IF(Metadata!G370="",FALSE,TRUE),exact(Metadata!G370,"UBERON:saliva"))</f>
        <v>0</v>
      </c>
      <c r="AB370">
        <f>AND(IF(Metadata!H370="",FALSE,TRUE),exact(Metadata!H370,"UBERON:tongue"))</f>
        <v>0</v>
      </c>
      <c r="AC370">
        <f>AND(IF(Metadata!I370="",FALSE,TRUE),exact(Metadata!I370,"tongue"))</f>
        <v>0</v>
      </c>
      <c r="AD370">
        <f>AND(IF(Metadata!J370="",FALSE,TRUE),exact(Metadata!J370,"human oral metagenome"))</f>
        <v>0</v>
      </c>
      <c r="AE370">
        <f>AND(IF(Metadata!K370="",FALSE,TRUE),exact(Metadata!K370,"447426"))</f>
        <v>0</v>
      </c>
    </row>
    <row r="371" spans="1:31">
      <c r="A371" s="4">
        <f>IF(B371=" "," ",HYPERLINK(CONCATENATE("#metadata!",ADDRESS(INDEX($Q$2:$Q$1001,MATCH(ROWS($O$2:O371),$O$2:$O$1001,0),0),1)),INDEX($T$2:$T$1001,MATCH(ROWS($O$2:O371),$O$2:$O$1001,0),0)))</f>
        <v>0</v>
      </c>
      <c r="B371" s="3">
        <f>IF(OR(INDEX($P$2:$P$1001,MATCH(ROWS($O$2:O371),$O$2:$O$1001,0),1)&gt;=100000,INDEX($V$1005:$AE$1005,1,MATCH(COLUMNS($V$1006:V1006),$V$1006:$AE$1006,0))&gt;=100000), " ",IF(INDEX($V$2:$AE$1001,MATCH(ROWS($O$2:O371),$O$2:$O$1001,0),MATCH(COLUMNS($V$1006:V1006),$V$1006:$AE$1006,0)), HYPERLINK("#",""), HYPERLINK(CONCATENATE("#Metadata!", ADDRESS(INDEX($Q$2:$Q$1001,MATCH(ROWS($O$2:O371),$O$2:$O$1001,0),0), INDEX($V$1004:$AE$1004,1,MATCH(COLUMNS($V$1006:V1006),$V$1006:$AE$1006,0)))),"Fix")))</f>
        <v>0</v>
      </c>
      <c r="C371" s="3">
        <f>IF(OR(INDEX($P$2:$P$1001,MATCH(ROWS($O$2:O371),$O$2:$O$1001,0),1)&gt;=100000,INDEX($V$1005:$AE$1005,1,MATCH(COLUMNS($V$1006:W1006),$V$1006:$AE$1006,0))&gt;=100000), " ",IF(INDEX($V$2:$AE$1001,MATCH(ROWS($O$2:O371),$O$2:$O$1001,0),MATCH(COLUMNS($V$1006:W1006),$V$1006:$AE$1006,0)), HYPERLINK("#",""), HYPERLINK(CONCATENATE("#Metadata!", ADDRESS(INDEX($Q$2:$Q$1001,MATCH(ROWS($O$2:O371),$O$2:$O$1001,0),0), INDEX($V$1004:$AE$1004,1,MATCH(COLUMNS($V$1006:W1006),$V$1006:$AE$1006,0)))),"Fix")))</f>
        <v>0</v>
      </c>
      <c r="D371" s="3">
        <f>IF(OR(INDEX($P$2:$P$1001,MATCH(ROWS($O$2:O371),$O$2:$O$1001,0),1)&gt;=100000,INDEX($V$1005:$AE$1005,1,MATCH(COLUMNS($V$1006:X1006),$V$1006:$AE$1006,0))&gt;=100000), " ",IF(INDEX($V$2:$AE$1001,MATCH(ROWS($O$2:O371),$O$2:$O$1001,0),MATCH(COLUMNS($V$1006:X1006),$V$1006:$AE$1006,0)), HYPERLINK("#",""), HYPERLINK(CONCATENATE("#Metadata!", ADDRESS(INDEX($Q$2:$Q$1001,MATCH(ROWS($O$2:O371),$O$2:$O$1001,0),0), INDEX($V$1004:$AE$1004,1,MATCH(COLUMNS($V$1006:X1006),$V$1006:$AE$1006,0)))),"Fix")))</f>
        <v>0</v>
      </c>
      <c r="E371" s="3">
        <f>IF(OR(INDEX($P$2:$P$1001,MATCH(ROWS($O$2:O371),$O$2:$O$1001,0),1)&gt;=100000,INDEX($V$1005:$AE$1005,1,MATCH(COLUMNS($V$1006:Y1006),$V$1006:$AE$1006,0))&gt;=100000), " ",IF(INDEX($V$2:$AE$1001,MATCH(ROWS($O$2:O371),$O$2:$O$1001,0),MATCH(COLUMNS($V$1006:Y1006),$V$1006:$AE$1006,0)), HYPERLINK("#",""), HYPERLINK(CONCATENATE("#Metadata!", ADDRESS(INDEX($Q$2:$Q$1001,MATCH(ROWS($O$2:O371),$O$2:$O$1001,0),0), INDEX($V$1004:$AE$1004,1,MATCH(COLUMNS($V$1006:Y1006),$V$1006:$AE$1006,0)))),"Fix")))</f>
        <v>0</v>
      </c>
      <c r="F371" s="3">
        <f>IF(OR(INDEX($P$2:$P$1001,MATCH(ROWS($O$2:O371),$O$2:$O$1001,0),1)&gt;=100000,INDEX($V$1005:$AE$1005,1,MATCH(COLUMNS($V$1006:Z1006),$V$1006:$AE$1006,0))&gt;=100000), " ",IF(INDEX($V$2:$AE$1001,MATCH(ROWS($O$2:O371),$O$2:$O$1001,0),MATCH(COLUMNS($V$1006:Z1006),$V$1006:$AE$1006,0)), HYPERLINK("#",""), HYPERLINK(CONCATENATE("#Metadata!", ADDRESS(INDEX($Q$2:$Q$1001,MATCH(ROWS($O$2:O371),$O$2:$O$1001,0),0), INDEX($V$1004:$AE$1004,1,MATCH(COLUMNS($V$1006:Z1006),$V$1006:$AE$1006,0)))),"Fix")))</f>
        <v>0</v>
      </c>
      <c r="G371" s="3">
        <f>IF(OR(INDEX($P$2:$P$1001,MATCH(ROWS($O$2:O371),$O$2:$O$1001,0),1)&gt;=100000,INDEX($V$1005:$AE$1005,1,MATCH(COLUMNS($V$1006:AA1006),$V$1006:$AE$1006,0))&gt;=100000), " ",IF(INDEX($V$2:$AE$1001,MATCH(ROWS($O$2:O371),$O$2:$O$1001,0),MATCH(COLUMNS($V$1006:AA1006),$V$1006:$AE$1006,0)), HYPERLINK("#",""), HYPERLINK(CONCATENATE("#Metadata!", ADDRESS(INDEX($Q$2:$Q$1001,MATCH(ROWS($O$2:O371),$O$2:$O$1001,0),0), INDEX($V$1004:$AE$1004,1,MATCH(COLUMNS($V$1006:AA1006),$V$1006:$AE$1006,0)))),"Fix")))</f>
        <v>0</v>
      </c>
      <c r="H371" s="3">
        <f>IF(OR(INDEX($P$2:$P$1001,MATCH(ROWS($O$2:O371),$O$2:$O$1001,0),1)&gt;=100000,INDEX($V$1005:$AE$1005,1,MATCH(COLUMNS($V$1006:AB1006),$V$1006:$AE$1006,0))&gt;=100000), " ",IF(INDEX($V$2:$AE$1001,MATCH(ROWS($O$2:O371),$O$2:$O$1001,0),MATCH(COLUMNS($V$1006:AB1006),$V$1006:$AE$1006,0)), HYPERLINK("#",""), HYPERLINK(CONCATENATE("#Metadata!", ADDRESS(INDEX($Q$2:$Q$1001,MATCH(ROWS($O$2:O371),$O$2:$O$1001,0),0), INDEX($V$1004:$AE$1004,1,MATCH(COLUMNS($V$1006:AB1006),$V$1006:$AE$1006,0)))),"Fix")))</f>
        <v>0</v>
      </c>
      <c r="I371" s="3">
        <f>IF(OR(INDEX($P$2:$P$1001,MATCH(ROWS($O$2:O371),$O$2:$O$1001,0),1)&gt;=100000,INDEX($V$1005:$AE$1005,1,MATCH(COLUMNS($V$1006:AC1006),$V$1006:$AE$1006,0))&gt;=100000), " ",IF(INDEX($V$2:$AE$1001,MATCH(ROWS($O$2:O371),$O$2:$O$1001,0),MATCH(COLUMNS($V$1006:AC1006),$V$1006:$AE$1006,0)), HYPERLINK("#",""), HYPERLINK(CONCATENATE("#Metadata!", ADDRESS(INDEX($Q$2:$Q$1001,MATCH(ROWS($O$2:O371),$O$2:$O$1001,0),0), INDEX($V$1004:$AE$1004,1,MATCH(COLUMNS($V$1006:AC1006),$V$1006:$AE$1006,0)))),"Fix")))</f>
        <v>0</v>
      </c>
      <c r="J371" s="3">
        <f>IF(OR(INDEX($P$2:$P$1001,MATCH(ROWS($O$2:O371),$O$2:$O$1001,0),1)&gt;=100000,INDEX($V$1005:$AE$1005,1,MATCH(COLUMNS($V$1006:AD1006),$V$1006:$AE$1006,0))&gt;=100000), " ",IF(INDEX($V$2:$AE$1001,MATCH(ROWS($O$2:O371),$O$2:$O$1001,0),MATCH(COLUMNS($V$1006:AD1006),$V$1006:$AE$1006,0)), HYPERLINK("#",""), HYPERLINK(CONCATENATE("#Metadata!", ADDRESS(INDEX($Q$2:$Q$1001,MATCH(ROWS($O$2:O371),$O$2:$O$1001,0),0), INDEX($V$1004:$AE$1004,1,MATCH(COLUMNS($V$1006:AD1006),$V$1006:$AE$1006,0)))),"Fix")))</f>
        <v>0</v>
      </c>
      <c r="K371" s="3">
        <f>IF(OR(INDEX($P$2:$P$1001,MATCH(ROWS($O$2:O371),$O$2:$O$1001,0),1)&gt;=100000,INDEX($V$1005:$AE$1005,1,MATCH(COLUMNS($V$1006:AE1006),$V$1006:$AE$1006,0))&gt;=100000), " ",IF(INDEX($V$2:$AE$1001,MATCH(ROWS($O$2:O371),$O$2:$O$1001,0),MATCH(COLUMNS($V$1006:AE1006),$V$1006:$AE$1006,0)), HYPERLINK("#",""), HYPERLINK(CONCATENATE("#Metadata!", ADDRESS(INDEX($Q$2:$Q$1001,MATCH(ROWS($O$2:O371),$O$2:$O$1001,0),0), INDEX($V$1004:$AE$1004,1,MATCH(COLUMNS($V$1006:AE1006),$V$1006:$AE$1006,0)))),"Fix")))</f>
        <v>0</v>
      </c>
      <c r="O371">
        <v>0</v>
      </c>
      <c r="P371">
        <v>0</v>
      </c>
      <c r="Q371">
        <v>0</v>
      </c>
      <c r="R371">
        <f>IF(S371,TRUE,AND(V371:AE371))</f>
        <v>0</v>
      </c>
      <c r="S371">
        <f>COUNTBLANK(Metadata!B371:K371)=COLUMNS(Metadata!B371:K371)</f>
        <v>0</v>
      </c>
      <c r="T371">
        <v>0</v>
      </c>
      <c r="V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W371">
        <f>AND(IF(Metadata!C371="",FALSE,TRUE),exact(Metadata!C371,"animal secretion"))</f>
        <v>0</v>
      </c>
      <c r="X371">
        <f>AND(IF(Metadata!D371="",FALSE,TRUE),exact(Metadata!D371,"saliva"))</f>
        <v>0</v>
      </c>
      <c r="Y371">
        <f>AND(IF(Metadata!E371="",FALSE,TRUE),exact(Metadata!E371,"human-oral"))</f>
        <v>0</v>
      </c>
      <c r="Z371">
        <f>AND(IF(Metadata!F371="",FALSE,TRUE),exact(Metadata!F371,"UBERON:oral cavity"))</f>
        <v>0</v>
      </c>
      <c r="AA371">
        <f>AND(IF(Metadata!G371="",FALSE,TRUE),exact(Metadata!G371,"UBERON:saliva"))</f>
        <v>0</v>
      </c>
      <c r="AB371">
        <f>AND(IF(Metadata!H371="",FALSE,TRUE),exact(Metadata!H371,"UBERON:tongue"))</f>
        <v>0</v>
      </c>
      <c r="AC371">
        <f>AND(IF(Metadata!I371="",FALSE,TRUE),exact(Metadata!I371,"tongue"))</f>
        <v>0</v>
      </c>
      <c r="AD371">
        <f>AND(IF(Metadata!J371="",FALSE,TRUE),exact(Metadata!J371,"human oral metagenome"))</f>
        <v>0</v>
      </c>
      <c r="AE371">
        <f>AND(IF(Metadata!K371="",FALSE,TRUE),exact(Metadata!K371,"447426"))</f>
        <v>0</v>
      </c>
    </row>
    <row r="372" spans="1:31">
      <c r="A372" s="4">
        <f>IF(B372=" "," ",HYPERLINK(CONCATENATE("#metadata!",ADDRESS(INDEX($Q$2:$Q$1001,MATCH(ROWS($O$2:O372),$O$2:$O$1001,0),0),1)),INDEX($T$2:$T$1001,MATCH(ROWS($O$2:O372),$O$2:$O$1001,0),0)))</f>
        <v>0</v>
      </c>
      <c r="B372" s="3">
        <f>IF(OR(INDEX($P$2:$P$1001,MATCH(ROWS($O$2:O372),$O$2:$O$1001,0),1)&gt;=100000,INDEX($V$1005:$AE$1005,1,MATCH(COLUMNS($V$1006:V1006),$V$1006:$AE$1006,0))&gt;=100000), " ",IF(INDEX($V$2:$AE$1001,MATCH(ROWS($O$2:O372),$O$2:$O$1001,0),MATCH(COLUMNS($V$1006:V1006),$V$1006:$AE$1006,0)), HYPERLINK("#",""), HYPERLINK(CONCATENATE("#Metadata!", ADDRESS(INDEX($Q$2:$Q$1001,MATCH(ROWS($O$2:O372),$O$2:$O$1001,0),0), INDEX($V$1004:$AE$1004,1,MATCH(COLUMNS($V$1006:V1006),$V$1006:$AE$1006,0)))),"Fix")))</f>
        <v>0</v>
      </c>
      <c r="C372" s="3">
        <f>IF(OR(INDEX($P$2:$P$1001,MATCH(ROWS($O$2:O372),$O$2:$O$1001,0),1)&gt;=100000,INDEX($V$1005:$AE$1005,1,MATCH(COLUMNS($V$1006:W1006),$V$1006:$AE$1006,0))&gt;=100000), " ",IF(INDEX($V$2:$AE$1001,MATCH(ROWS($O$2:O372),$O$2:$O$1001,0),MATCH(COLUMNS($V$1006:W1006),$V$1006:$AE$1006,0)), HYPERLINK("#",""), HYPERLINK(CONCATENATE("#Metadata!", ADDRESS(INDEX($Q$2:$Q$1001,MATCH(ROWS($O$2:O372),$O$2:$O$1001,0),0), INDEX($V$1004:$AE$1004,1,MATCH(COLUMNS($V$1006:W1006),$V$1006:$AE$1006,0)))),"Fix")))</f>
        <v>0</v>
      </c>
      <c r="D372" s="3">
        <f>IF(OR(INDEX($P$2:$P$1001,MATCH(ROWS($O$2:O372),$O$2:$O$1001,0),1)&gt;=100000,INDEX($V$1005:$AE$1005,1,MATCH(COLUMNS($V$1006:X1006),$V$1006:$AE$1006,0))&gt;=100000), " ",IF(INDEX($V$2:$AE$1001,MATCH(ROWS($O$2:O372),$O$2:$O$1001,0),MATCH(COLUMNS($V$1006:X1006),$V$1006:$AE$1006,0)), HYPERLINK("#",""), HYPERLINK(CONCATENATE("#Metadata!", ADDRESS(INDEX($Q$2:$Q$1001,MATCH(ROWS($O$2:O372),$O$2:$O$1001,0),0), INDEX($V$1004:$AE$1004,1,MATCH(COLUMNS($V$1006:X1006),$V$1006:$AE$1006,0)))),"Fix")))</f>
        <v>0</v>
      </c>
      <c r="E372" s="3">
        <f>IF(OR(INDEX($P$2:$P$1001,MATCH(ROWS($O$2:O372),$O$2:$O$1001,0),1)&gt;=100000,INDEX($V$1005:$AE$1005,1,MATCH(COLUMNS($V$1006:Y1006),$V$1006:$AE$1006,0))&gt;=100000), " ",IF(INDEX($V$2:$AE$1001,MATCH(ROWS($O$2:O372),$O$2:$O$1001,0),MATCH(COLUMNS($V$1006:Y1006),$V$1006:$AE$1006,0)), HYPERLINK("#",""), HYPERLINK(CONCATENATE("#Metadata!", ADDRESS(INDEX($Q$2:$Q$1001,MATCH(ROWS($O$2:O372),$O$2:$O$1001,0),0), INDEX($V$1004:$AE$1004,1,MATCH(COLUMNS($V$1006:Y1006),$V$1006:$AE$1006,0)))),"Fix")))</f>
        <v>0</v>
      </c>
      <c r="F372" s="3">
        <f>IF(OR(INDEX($P$2:$P$1001,MATCH(ROWS($O$2:O372),$O$2:$O$1001,0),1)&gt;=100000,INDEX($V$1005:$AE$1005,1,MATCH(COLUMNS($V$1006:Z1006),$V$1006:$AE$1006,0))&gt;=100000), " ",IF(INDEX($V$2:$AE$1001,MATCH(ROWS($O$2:O372),$O$2:$O$1001,0),MATCH(COLUMNS($V$1006:Z1006),$V$1006:$AE$1006,0)), HYPERLINK("#",""), HYPERLINK(CONCATENATE("#Metadata!", ADDRESS(INDEX($Q$2:$Q$1001,MATCH(ROWS($O$2:O372),$O$2:$O$1001,0),0), INDEX($V$1004:$AE$1004,1,MATCH(COLUMNS($V$1006:Z1006),$V$1006:$AE$1006,0)))),"Fix")))</f>
        <v>0</v>
      </c>
      <c r="G372" s="3">
        <f>IF(OR(INDEX($P$2:$P$1001,MATCH(ROWS($O$2:O372),$O$2:$O$1001,0),1)&gt;=100000,INDEX($V$1005:$AE$1005,1,MATCH(COLUMNS($V$1006:AA1006),$V$1006:$AE$1006,0))&gt;=100000), " ",IF(INDEX($V$2:$AE$1001,MATCH(ROWS($O$2:O372),$O$2:$O$1001,0),MATCH(COLUMNS($V$1006:AA1006),$V$1006:$AE$1006,0)), HYPERLINK("#",""), HYPERLINK(CONCATENATE("#Metadata!", ADDRESS(INDEX($Q$2:$Q$1001,MATCH(ROWS($O$2:O372),$O$2:$O$1001,0),0), INDEX($V$1004:$AE$1004,1,MATCH(COLUMNS($V$1006:AA1006),$V$1006:$AE$1006,0)))),"Fix")))</f>
        <v>0</v>
      </c>
      <c r="H372" s="3">
        <f>IF(OR(INDEX($P$2:$P$1001,MATCH(ROWS($O$2:O372),$O$2:$O$1001,0),1)&gt;=100000,INDEX($V$1005:$AE$1005,1,MATCH(COLUMNS($V$1006:AB1006),$V$1006:$AE$1006,0))&gt;=100000), " ",IF(INDEX($V$2:$AE$1001,MATCH(ROWS($O$2:O372),$O$2:$O$1001,0),MATCH(COLUMNS($V$1006:AB1006),$V$1006:$AE$1006,0)), HYPERLINK("#",""), HYPERLINK(CONCATENATE("#Metadata!", ADDRESS(INDEX($Q$2:$Q$1001,MATCH(ROWS($O$2:O372),$O$2:$O$1001,0),0), INDEX($V$1004:$AE$1004,1,MATCH(COLUMNS($V$1006:AB1006),$V$1006:$AE$1006,0)))),"Fix")))</f>
        <v>0</v>
      </c>
      <c r="I372" s="3">
        <f>IF(OR(INDEX($P$2:$P$1001,MATCH(ROWS($O$2:O372),$O$2:$O$1001,0),1)&gt;=100000,INDEX($V$1005:$AE$1005,1,MATCH(COLUMNS($V$1006:AC1006),$V$1006:$AE$1006,0))&gt;=100000), " ",IF(INDEX($V$2:$AE$1001,MATCH(ROWS($O$2:O372),$O$2:$O$1001,0),MATCH(COLUMNS($V$1006:AC1006),$V$1006:$AE$1006,0)), HYPERLINK("#",""), HYPERLINK(CONCATENATE("#Metadata!", ADDRESS(INDEX($Q$2:$Q$1001,MATCH(ROWS($O$2:O372),$O$2:$O$1001,0),0), INDEX($V$1004:$AE$1004,1,MATCH(COLUMNS($V$1006:AC1006),$V$1006:$AE$1006,0)))),"Fix")))</f>
        <v>0</v>
      </c>
      <c r="J372" s="3">
        <f>IF(OR(INDEX($P$2:$P$1001,MATCH(ROWS($O$2:O372),$O$2:$O$1001,0),1)&gt;=100000,INDEX($V$1005:$AE$1005,1,MATCH(COLUMNS($V$1006:AD1006),$V$1006:$AE$1006,0))&gt;=100000), " ",IF(INDEX($V$2:$AE$1001,MATCH(ROWS($O$2:O372),$O$2:$O$1001,0),MATCH(COLUMNS($V$1006:AD1006),$V$1006:$AE$1006,0)), HYPERLINK("#",""), HYPERLINK(CONCATENATE("#Metadata!", ADDRESS(INDEX($Q$2:$Q$1001,MATCH(ROWS($O$2:O372),$O$2:$O$1001,0),0), INDEX($V$1004:$AE$1004,1,MATCH(COLUMNS($V$1006:AD1006),$V$1006:$AE$1006,0)))),"Fix")))</f>
        <v>0</v>
      </c>
      <c r="K372" s="3">
        <f>IF(OR(INDEX($P$2:$P$1001,MATCH(ROWS($O$2:O372),$O$2:$O$1001,0),1)&gt;=100000,INDEX($V$1005:$AE$1005,1,MATCH(COLUMNS($V$1006:AE1006),$V$1006:$AE$1006,0))&gt;=100000), " ",IF(INDEX($V$2:$AE$1001,MATCH(ROWS($O$2:O372),$O$2:$O$1001,0),MATCH(COLUMNS($V$1006:AE1006),$V$1006:$AE$1006,0)), HYPERLINK("#",""), HYPERLINK(CONCATENATE("#Metadata!", ADDRESS(INDEX($Q$2:$Q$1001,MATCH(ROWS($O$2:O372),$O$2:$O$1001,0),0), INDEX($V$1004:$AE$1004,1,MATCH(COLUMNS($V$1006:AE1006),$V$1006:$AE$1006,0)))),"Fix")))</f>
        <v>0</v>
      </c>
      <c r="O372">
        <v>0</v>
      </c>
      <c r="P372">
        <v>0</v>
      </c>
      <c r="Q372">
        <v>0</v>
      </c>
      <c r="R372">
        <f>IF(S372,TRUE,AND(V372:AE372))</f>
        <v>0</v>
      </c>
      <c r="S372">
        <f>COUNTBLANK(Metadata!B372:K372)=COLUMNS(Metadata!B372:K372)</f>
        <v>0</v>
      </c>
      <c r="T372">
        <v>0</v>
      </c>
      <c r="V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W372">
        <f>AND(IF(Metadata!C372="",FALSE,TRUE),exact(Metadata!C372,"animal secretion"))</f>
        <v>0</v>
      </c>
      <c r="X372">
        <f>AND(IF(Metadata!D372="",FALSE,TRUE),exact(Metadata!D372,"saliva"))</f>
        <v>0</v>
      </c>
      <c r="Y372">
        <f>AND(IF(Metadata!E372="",FALSE,TRUE),exact(Metadata!E372,"human-oral"))</f>
        <v>0</v>
      </c>
      <c r="Z372">
        <f>AND(IF(Metadata!F372="",FALSE,TRUE),exact(Metadata!F372,"UBERON:oral cavity"))</f>
        <v>0</v>
      </c>
      <c r="AA372">
        <f>AND(IF(Metadata!G372="",FALSE,TRUE),exact(Metadata!G372,"UBERON:saliva"))</f>
        <v>0</v>
      </c>
      <c r="AB372">
        <f>AND(IF(Metadata!H372="",FALSE,TRUE),exact(Metadata!H372,"UBERON:tongue"))</f>
        <v>0</v>
      </c>
      <c r="AC372">
        <f>AND(IF(Metadata!I372="",FALSE,TRUE),exact(Metadata!I372,"tongue"))</f>
        <v>0</v>
      </c>
      <c r="AD372">
        <f>AND(IF(Metadata!J372="",FALSE,TRUE),exact(Metadata!J372,"human oral metagenome"))</f>
        <v>0</v>
      </c>
      <c r="AE372">
        <f>AND(IF(Metadata!K372="",FALSE,TRUE),exact(Metadata!K372,"447426"))</f>
        <v>0</v>
      </c>
    </row>
    <row r="373" spans="1:31">
      <c r="A373" s="4">
        <f>IF(B373=" "," ",HYPERLINK(CONCATENATE("#metadata!",ADDRESS(INDEX($Q$2:$Q$1001,MATCH(ROWS($O$2:O373),$O$2:$O$1001,0),0),1)),INDEX($T$2:$T$1001,MATCH(ROWS($O$2:O373),$O$2:$O$1001,0),0)))</f>
        <v>0</v>
      </c>
      <c r="B373" s="3">
        <f>IF(OR(INDEX($P$2:$P$1001,MATCH(ROWS($O$2:O373),$O$2:$O$1001,0),1)&gt;=100000,INDEX($V$1005:$AE$1005,1,MATCH(COLUMNS($V$1006:V1006),$V$1006:$AE$1006,0))&gt;=100000), " ",IF(INDEX($V$2:$AE$1001,MATCH(ROWS($O$2:O373),$O$2:$O$1001,0),MATCH(COLUMNS($V$1006:V1006),$V$1006:$AE$1006,0)), HYPERLINK("#",""), HYPERLINK(CONCATENATE("#Metadata!", ADDRESS(INDEX($Q$2:$Q$1001,MATCH(ROWS($O$2:O373),$O$2:$O$1001,0),0), INDEX($V$1004:$AE$1004,1,MATCH(COLUMNS($V$1006:V1006),$V$1006:$AE$1006,0)))),"Fix")))</f>
        <v>0</v>
      </c>
      <c r="C373" s="3">
        <f>IF(OR(INDEX($P$2:$P$1001,MATCH(ROWS($O$2:O373),$O$2:$O$1001,0),1)&gt;=100000,INDEX($V$1005:$AE$1005,1,MATCH(COLUMNS($V$1006:W1006),$V$1006:$AE$1006,0))&gt;=100000), " ",IF(INDEX($V$2:$AE$1001,MATCH(ROWS($O$2:O373),$O$2:$O$1001,0),MATCH(COLUMNS($V$1006:W1006),$V$1006:$AE$1006,0)), HYPERLINK("#",""), HYPERLINK(CONCATENATE("#Metadata!", ADDRESS(INDEX($Q$2:$Q$1001,MATCH(ROWS($O$2:O373),$O$2:$O$1001,0),0), INDEX($V$1004:$AE$1004,1,MATCH(COLUMNS($V$1006:W1006),$V$1006:$AE$1006,0)))),"Fix")))</f>
        <v>0</v>
      </c>
      <c r="D373" s="3">
        <f>IF(OR(INDEX($P$2:$P$1001,MATCH(ROWS($O$2:O373),$O$2:$O$1001,0),1)&gt;=100000,INDEX($V$1005:$AE$1005,1,MATCH(COLUMNS($V$1006:X1006),$V$1006:$AE$1006,0))&gt;=100000), " ",IF(INDEX($V$2:$AE$1001,MATCH(ROWS($O$2:O373),$O$2:$O$1001,0),MATCH(COLUMNS($V$1006:X1006),$V$1006:$AE$1006,0)), HYPERLINK("#",""), HYPERLINK(CONCATENATE("#Metadata!", ADDRESS(INDEX($Q$2:$Q$1001,MATCH(ROWS($O$2:O373),$O$2:$O$1001,0),0), INDEX($V$1004:$AE$1004,1,MATCH(COLUMNS($V$1006:X1006),$V$1006:$AE$1006,0)))),"Fix")))</f>
        <v>0</v>
      </c>
      <c r="E373" s="3">
        <f>IF(OR(INDEX($P$2:$P$1001,MATCH(ROWS($O$2:O373),$O$2:$O$1001,0),1)&gt;=100000,INDEX($V$1005:$AE$1005,1,MATCH(COLUMNS($V$1006:Y1006),$V$1006:$AE$1006,0))&gt;=100000), " ",IF(INDEX($V$2:$AE$1001,MATCH(ROWS($O$2:O373),$O$2:$O$1001,0),MATCH(COLUMNS($V$1006:Y1006),$V$1006:$AE$1006,0)), HYPERLINK("#",""), HYPERLINK(CONCATENATE("#Metadata!", ADDRESS(INDEX($Q$2:$Q$1001,MATCH(ROWS($O$2:O373),$O$2:$O$1001,0),0), INDEX($V$1004:$AE$1004,1,MATCH(COLUMNS($V$1006:Y1006),$V$1006:$AE$1006,0)))),"Fix")))</f>
        <v>0</v>
      </c>
      <c r="F373" s="3">
        <f>IF(OR(INDEX($P$2:$P$1001,MATCH(ROWS($O$2:O373),$O$2:$O$1001,0),1)&gt;=100000,INDEX($V$1005:$AE$1005,1,MATCH(COLUMNS($V$1006:Z1006),$V$1006:$AE$1006,0))&gt;=100000), " ",IF(INDEX($V$2:$AE$1001,MATCH(ROWS($O$2:O373),$O$2:$O$1001,0),MATCH(COLUMNS($V$1006:Z1006),$V$1006:$AE$1006,0)), HYPERLINK("#",""), HYPERLINK(CONCATENATE("#Metadata!", ADDRESS(INDEX($Q$2:$Q$1001,MATCH(ROWS($O$2:O373),$O$2:$O$1001,0),0), INDEX($V$1004:$AE$1004,1,MATCH(COLUMNS($V$1006:Z1006),$V$1006:$AE$1006,0)))),"Fix")))</f>
        <v>0</v>
      </c>
      <c r="G373" s="3">
        <f>IF(OR(INDEX($P$2:$P$1001,MATCH(ROWS($O$2:O373),$O$2:$O$1001,0),1)&gt;=100000,INDEX($V$1005:$AE$1005,1,MATCH(COLUMNS($V$1006:AA1006),$V$1006:$AE$1006,0))&gt;=100000), " ",IF(INDEX($V$2:$AE$1001,MATCH(ROWS($O$2:O373),$O$2:$O$1001,0),MATCH(COLUMNS($V$1006:AA1006),$V$1006:$AE$1006,0)), HYPERLINK("#",""), HYPERLINK(CONCATENATE("#Metadata!", ADDRESS(INDEX($Q$2:$Q$1001,MATCH(ROWS($O$2:O373),$O$2:$O$1001,0),0), INDEX($V$1004:$AE$1004,1,MATCH(COLUMNS($V$1006:AA1006),$V$1006:$AE$1006,0)))),"Fix")))</f>
        <v>0</v>
      </c>
      <c r="H373" s="3">
        <f>IF(OR(INDEX($P$2:$P$1001,MATCH(ROWS($O$2:O373),$O$2:$O$1001,0),1)&gt;=100000,INDEX($V$1005:$AE$1005,1,MATCH(COLUMNS($V$1006:AB1006),$V$1006:$AE$1006,0))&gt;=100000), " ",IF(INDEX($V$2:$AE$1001,MATCH(ROWS($O$2:O373),$O$2:$O$1001,0),MATCH(COLUMNS($V$1006:AB1006),$V$1006:$AE$1006,0)), HYPERLINK("#",""), HYPERLINK(CONCATENATE("#Metadata!", ADDRESS(INDEX($Q$2:$Q$1001,MATCH(ROWS($O$2:O373),$O$2:$O$1001,0),0), INDEX($V$1004:$AE$1004,1,MATCH(COLUMNS($V$1006:AB1006),$V$1006:$AE$1006,0)))),"Fix")))</f>
        <v>0</v>
      </c>
      <c r="I373" s="3">
        <f>IF(OR(INDEX($P$2:$P$1001,MATCH(ROWS($O$2:O373),$O$2:$O$1001,0),1)&gt;=100000,INDEX($V$1005:$AE$1005,1,MATCH(COLUMNS($V$1006:AC1006),$V$1006:$AE$1006,0))&gt;=100000), " ",IF(INDEX($V$2:$AE$1001,MATCH(ROWS($O$2:O373),$O$2:$O$1001,0),MATCH(COLUMNS($V$1006:AC1006),$V$1006:$AE$1006,0)), HYPERLINK("#",""), HYPERLINK(CONCATENATE("#Metadata!", ADDRESS(INDEX($Q$2:$Q$1001,MATCH(ROWS($O$2:O373),$O$2:$O$1001,0),0), INDEX($V$1004:$AE$1004,1,MATCH(COLUMNS($V$1006:AC1006),$V$1006:$AE$1006,0)))),"Fix")))</f>
        <v>0</v>
      </c>
      <c r="J373" s="3">
        <f>IF(OR(INDEX($P$2:$P$1001,MATCH(ROWS($O$2:O373),$O$2:$O$1001,0),1)&gt;=100000,INDEX($V$1005:$AE$1005,1,MATCH(COLUMNS($V$1006:AD1006),$V$1006:$AE$1006,0))&gt;=100000), " ",IF(INDEX($V$2:$AE$1001,MATCH(ROWS($O$2:O373),$O$2:$O$1001,0),MATCH(COLUMNS($V$1006:AD1006),$V$1006:$AE$1006,0)), HYPERLINK("#",""), HYPERLINK(CONCATENATE("#Metadata!", ADDRESS(INDEX($Q$2:$Q$1001,MATCH(ROWS($O$2:O373),$O$2:$O$1001,0),0), INDEX($V$1004:$AE$1004,1,MATCH(COLUMNS($V$1006:AD1006),$V$1006:$AE$1006,0)))),"Fix")))</f>
        <v>0</v>
      </c>
      <c r="K373" s="3">
        <f>IF(OR(INDEX($P$2:$P$1001,MATCH(ROWS($O$2:O373),$O$2:$O$1001,0),1)&gt;=100000,INDEX($V$1005:$AE$1005,1,MATCH(COLUMNS($V$1006:AE1006),$V$1006:$AE$1006,0))&gt;=100000), " ",IF(INDEX($V$2:$AE$1001,MATCH(ROWS($O$2:O373),$O$2:$O$1001,0),MATCH(COLUMNS($V$1006:AE1006),$V$1006:$AE$1006,0)), HYPERLINK("#",""), HYPERLINK(CONCATENATE("#Metadata!", ADDRESS(INDEX($Q$2:$Q$1001,MATCH(ROWS($O$2:O373),$O$2:$O$1001,0),0), INDEX($V$1004:$AE$1004,1,MATCH(COLUMNS($V$1006:AE1006),$V$1006:$AE$1006,0)))),"Fix")))</f>
        <v>0</v>
      </c>
      <c r="O373">
        <v>0</v>
      </c>
      <c r="P373">
        <v>0</v>
      </c>
      <c r="Q373">
        <v>0</v>
      </c>
      <c r="R373">
        <f>IF(S373,TRUE,AND(V373:AE373))</f>
        <v>0</v>
      </c>
      <c r="S373">
        <f>COUNTBLANK(Metadata!B373:K373)=COLUMNS(Metadata!B373:K373)</f>
        <v>0</v>
      </c>
      <c r="T373">
        <v>0</v>
      </c>
      <c r="V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W373">
        <f>AND(IF(Metadata!C373="",FALSE,TRUE),exact(Metadata!C373,"animal secretion"))</f>
        <v>0</v>
      </c>
      <c r="X373">
        <f>AND(IF(Metadata!D373="",FALSE,TRUE),exact(Metadata!D373,"saliva"))</f>
        <v>0</v>
      </c>
      <c r="Y373">
        <f>AND(IF(Metadata!E373="",FALSE,TRUE),exact(Metadata!E373,"human-oral"))</f>
        <v>0</v>
      </c>
      <c r="Z373">
        <f>AND(IF(Metadata!F373="",FALSE,TRUE),exact(Metadata!F373,"UBERON:oral cavity"))</f>
        <v>0</v>
      </c>
      <c r="AA373">
        <f>AND(IF(Metadata!G373="",FALSE,TRUE),exact(Metadata!G373,"UBERON:saliva"))</f>
        <v>0</v>
      </c>
      <c r="AB373">
        <f>AND(IF(Metadata!H373="",FALSE,TRUE),exact(Metadata!H373,"UBERON:tongue"))</f>
        <v>0</v>
      </c>
      <c r="AC373">
        <f>AND(IF(Metadata!I373="",FALSE,TRUE),exact(Metadata!I373,"tongue"))</f>
        <v>0</v>
      </c>
      <c r="AD373">
        <f>AND(IF(Metadata!J373="",FALSE,TRUE),exact(Metadata!J373,"human oral metagenome"))</f>
        <v>0</v>
      </c>
      <c r="AE373">
        <f>AND(IF(Metadata!K373="",FALSE,TRUE),exact(Metadata!K373,"447426"))</f>
        <v>0</v>
      </c>
    </row>
    <row r="374" spans="1:31">
      <c r="A374" s="4">
        <f>IF(B374=" "," ",HYPERLINK(CONCATENATE("#metadata!",ADDRESS(INDEX($Q$2:$Q$1001,MATCH(ROWS($O$2:O374),$O$2:$O$1001,0),0),1)),INDEX($T$2:$T$1001,MATCH(ROWS($O$2:O374),$O$2:$O$1001,0),0)))</f>
        <v>0</v>
      </c>
      <c r="B374" s="3">
        <f>IF(OR(INDEX($P$2:$P$1001,MATCH(ROWS($O$2:O374),$O$2:$O$1001,0),1)&gt;=100000,INDEX($V$1005:$AE$1005,1,MATCH(COLUMNS($V$1006:V1006),$V$1006:$AE$1006,0))&gt;=100000), " ",IF(INDEX($V$2:$AE$1001,MATCH(ROWS($O$2:O374),$O$2:$O$1001,0),MATCH(COLUMNS($V$1006:V1006),$V$1006:$AE$1006,0)), HYPERLINK("#",""), HYPERLINK(CONCATENATE("#Metadata!", ADDRESS(INDEX($Q$2:$Q$1001,MATCH(ROWS($O$2:O374),$O$2:$O$1001,0),0), INDEX($V$1004:$AE$1004,1,MATCH(COLUMNS($V$1006:V1006),$V$1006:$AE$1006,0)))),"Fix")))</f>
        <v>0</v>
      </c>
      <c r="C374" s="3">
        <f>IF(OR(INDEX($P$2:$P$1001,MATCH(ROWS($O$2:O374),$O$2:$O$1001,0),1)&gt;=100000,INDEX($V$1005:$AE$1005,1,MATCH(COLUMNS($V$1006:W1006),$V$1006:$AE$1006,0))&gt;=100000), " ",IF(INDEX($V$2:$AE$1001,MATCH(ROWS($O$2:O374),$O$2:$O$1001,0),MATCH(COLUMNS($V$1006:W1006),$V$1006:$AE$1006,0)), HYPERLINK("#",""), HYPERLINK(CONCATENATE("#Metadata!", ADDRESS(INDEX($Q$2:$Q$1001,MATCH(ROWS($O$2:O374),$O$2:$O$1001,0),0), INDEX($V$1004:$AE$1004,1,MATCH(COLUMNS($V$1006:W1006),$V$1006:$AE$1006,0)))),"Fix")))</f>
        <v>0</v>
      </c>
      <c r="D374" s="3">
        <f>IF(OR(INDEX($P$2:$P$1001,MATCH(ROWS($O$2:O374),$O$2:$O$1001,0),1)&gt;=100000,INDEX($V$1005:$AE$1005,1,MATCH(COLUMNS($V$1006:X1006),$V$1006:$AE$1006,0))&gt;=100000), " ",IF(INDEX($V$2:$AE$1001,MATCH(ROWS($O$2:O374),$O$2:$O$1001,0),MATCH(COLUMNS($V$1006:X1006),$V$1006:$AE$1006,0)), HYPERLINK("#",""), HYPERLINK(CONCATENATE("#Metadata!", ADDRESS(INDEX($Q$2:$Q$1001,MATCH(ROWS($O$2:O374),$O$2:$O$1001,0),0), INDEX($V$1004:$AE$1004,1,MATCH(COLUMNS($V$1006:X1006),$V$1006:$AE$1006,0)))),"Fix")))</f>
        <v>0</v>
      </c>
      <c r="E374" s="3">
        <f>IF(OR(INDEX($P$2:$P$1001,MATCH(ROWS($O$2:O374),$O$2:$O$1001,0),1)&gt;=100000,INDEX($V$1005:$AE$1005,1,MATCH(COLUMNS($V$1006:Y1006),$V$1006:$AE$1006,0))&gt;=100000), " ",IF(INDEX($V$2:$AE$1001,MATCH(ROWS($O$2:O374),$O$2:$O$1001,0),MATCH(COLUMNS($V$1006:Y1006),$V$1006:$AE$1006,0)), HYPERLINK("#",""), HYPERLINK(CONCATENATE("#Metadata!", ADDRESS(INDEX($Q$2:$Q$1001,MATCH(ROWS($O$2:O374),$O$2:$O$1001,0),0), INDEX($V$1004:$AE$1004,1,MATCH(COLUMNS($V$1006:Y1006),$V$1006:$AE$1006,0)))),"Fix")))</f>
        <v>0</v>
      </c>
      <c r="F374" s="3">
        <f>IF(OR(INDEX($P$2:$P$1001,MATCH(ROWS($O$2:O374),$O$2:$O$1001,0),1)&gt;=100000,INDEX($V$1005:$AE$1005,1,MATCH(COLUMNS($V$1006:Z1006),$V$1006:$AE$1006,0))&gt;=100000), " ",IF(INDEX($V$2:$AE$1001,MATCH(ROWS($O$2:O374),$O$2:$O$1001,0),MATCH(COLUMNS($V$1006:Z1006),$V$1006:$AE$1006,0)), HYPERLINK("#",""), HYPERLINK(CONCATENATE("#Metadata!", ADDRESS(INDEX($Q$2:$Q$1001,MATCH(ROWS($O$2:O374),$O$2:$O$1001,0),0), INDEX($V$1004:$AE$1004,1,MATCH(COLUMNS($V$1006:Z1006),$V$1006:$AE$1006,0)))),"Fix")))</f>
        <v>0</v>
      </c>
      <c r="G374" s="3">
        <f>IF(OR(INDEX($P$2:$P$1001,MATCH(ROWS($O$2:O374),$O$2:$O$1001,0),1)&gt;=100000,INDEX($V$1005:$AE$1005,1,MATCH(COLUMNS($V$1006:AA1006),$V$1006:$AE$1006,0))&gt;=100000), " ",IF(INDEX($V$2:$AE$1001,MATCH(ROWS($O$2:O374),$O$2:$O$1001,0),MATCH(COLUMNS($V$1006:AA1006),$V$1006:$AE$1006,0)), HYPERLINK("#",""), HYPERLINK(CONCATENATE("#Metadata!", ADDRESS(INDEX($Q$2:$Q$1001,MATCH(ROWS($O$2:O374),$O$2:$O$1001,0),0), INDEX($V$1004:$AE$1004,1,MATCH(COLUMNS($V$1006:AA1006),$V$1006:$AE$1006,0)))),"Fix")))</f>
        <v>0</v>
      </c>
      <c r="H374" s="3">
        <f>IF(OR(INDEX($P$2:$P$1001,MATCH(ROWS($O$2:O374),$O$2:$O$1001,0),1)&gt;=100000,INDEX($V$1005:$AE$1005,1,MATCH(COLUMNS($V$1006:AB1006),$V$1006:$AE$1006,0))&gt;=100000), " ",IF(INDEX($V$2:$AE$1001,MATCH(ROWS($O$2:O374),$O$2:$O$1001,0),MATCH(COLUMNS($V$1006:AB1006),$V$1006:$AE$1006,0)), HYPERLINK("#",""), HYPERLINK(CONCATENATE("#Metadata!", ADDRESS(INDEX($Q$2:$Q$1001,MATCH(ROWS($O$2:O374),$O$2:$O$1001,0),0), INDEX($V$1004:$AE$1004,1,MATCH(COLUMNS($V$1006:AB1006),$V$1006:$AE$1006,0)))),"Fix")))</f>
        <v>0</v>
      </c>
      <c r="I374" s="3">
        <f>IF(OR(INDEX($P$2:$P$1001,MATCH(ROWS($O$2:O374),$O$2:$O$1001,0),1)&gt;=100000,INDEX($V$1005:$AE$1005,1,MATCH(COLUMNS($V$1006:AC1006),$V$1006:$AE$1006,0))&gt;=100000), " ",IF(INDEX($V$2:$AE$1001,MATCH(ROWS($O$2:O374),$O$2:$O$1001,0),MATCH(COLUMNS($V$1006:AC1006),$V$1006:$AE$1006,0)), HYPERLINK("#",""), HYPERLINK(CONCATENATE("#Metadata!", ADDRESS(INDEX($Q$2:$Q$1001,MATCH(ROWS($O$2:O374),$O$2:$O$1001,0),0), INDEX($V$1004:$AE$1004,1,MATCH(COLUMNS($V$1006:AC1006),$V$1006:$AE$1006,0)))),"Fix")))</f>
        <v>0</v>
      </c>
      <c r="J374" s="3">
        <f>IF(OR(INDEX($P$2:$P$1001,MATCH(ROWS($O$2:O374),$O$2:$O$1001,0),1)&gt;=100000,INDEX($V$1005:$AE$1005,1,MATCH(COLUMNS($V$1006:AD1006),$V$1006:$AE$1006,0))&gt;=100000), " ",IF(INDEX($V$2:$AE$1001,MATCH(ROWS($O$2:O374),$O$2:$O$1001,0),MATCH(COLUMNS($V$1006:AD1006),$V$1006:$AE$1006,0)), HYPERLINK("#",""), HYPERLINK(CONCATENATE("#Metadata!", ADDRESS(INDEX($Q$2:$Q$1001,MATCH(ROWS($O$2:O374),$O$2:$O$1001,0),0), INDEX($V$1004:$AE$1004,1,MATCH(COLUMNS($V$1006:AD1006),$V$1006:$AE$1006,0)))),"Fix")))</f>
        <v>0</v>
      </c>
      <c r="K374" s="3">
        <f>IF(OR(INDEX($P$2:$P$1001,MATCH(ROWS($O$2:O374),$O$2:$O$1001,0),1)&gt;=100000,INDEX($V$1005:$AE$1005,1,MATCH(COLUMNS($V$1006:AE1006),$V$1006:$AE$1006,0))&gt;=100000), " ",IF(INDEX($V$2:$AE$1001,MATCH(ROWS($O$2:O374),$O$2:$O$1001,0),MATCH(COLUMNS($V$1006:AE1006),$V$1006:$AE$1006,0)), HYPERLINK("#",""), HYPERLINK(CONCATENATE("#Metadata!", ADDRESS(INDEX($Q$2:$Q$1001,MATCH(ROWS($O$2:O374),$O$2:$O$1001,0),0), INDEX($V$1004:$AE$1004,1,MATCH(COLUMNS($V$1006:AE1006),$V$1006:$AE$1006,0)))),"Fix")))</f>
        <v>0</v>
      </c>
      <c r="O374">
        <v>0</v>
      </c>
      <c r="P374">
        <v>0</v>
      </c>
      <c r="Q374">
        <v>0</v>
      </c>
      <c r="R374">
        <f>IF(S374,TRUE,AND(V374:AE374))</f>
        <v>0</v>
      </c>
      <c r="S374">
        <f>COUNTBLANK(Metadata!B374:K374)=COLUMNS(Metadata!B374:K374)</f>
        <v>0</v>
      </c>
      <c r="T374">
        <v>0</v>
      </c>
      <c r="V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W374">
        <f>AND(IF(Metadata!C374="",FALSE,TRUE),exact(Metadata!C374,"animal secretion"))</f>
        <v>0</v>
      </c>
      <c r="X374">
        <f>AND(IF(Metadata!D374="",FALSE,TRUE),exact(Metadata!D374,"saliva"))</f>
        <v>0</v>
      </c>
      <c r="Y374">
        <f>AND(IF(Metadata!E374="",FALSE,TRUE),exact(Metadata!E374,"human-oral"))</f>
        <v>0</v>
      </c>
      <c r="Z374">
        <f>AND(IF(Metadata!F374="",FALSE,TRUE),exact(Metadata!F374,"UBERON:oral cavity"))</f>
        <v>0</v>
      </c>
      <c r="AA374">
        <f>AND(IF(Metadata!G374="",FALSE,TRUE),exact(Metadata!G374,"UBERON:saliva"))</f>
        <v>0</v>
      </c>
      <c r="AB374">
        <f>AND(IF(Metadata!H374="",FALSE,TRUE),exact(Metadata!H374,"UBERON:tongue"))</f>
        <v>0</v>
      </c>
      <c r="AC374">
        <f>AND(IF(Metadata!I374="",FALSE,TRUE),exact(Metadata!I374,"tongue"))</f>
        <v>0</v>
      </c>
      <c r="AD374">
        <f>AND(IF(Metadata!J374="",FALSE,TRUE),exact(Metadata!J374,"human oral metagenome"))</f>
        <v>0</v>
      </c>
      <c r="AE374">
        <f>AND(IF(Metadata!K374="",FALSE,TRUE),exact(Metadata!K374,"447426"))</f>
        <v>0</v>
      </c>
    </row>
    <row r="375" spans="1:31">
      <c r="A375" s="4">
        <f>IF(B375=" "," ",HYPERLINK(CONCATENATE("#metadata!",ADDRESS(INDEX($Q$2:$Q$1001,MATCH(ROWS($O$2:O375),$O$2:$O$1001,0),0),1)),INDEX($T$2:$T$1001,MATCH(ROWS($O$2:O375),$O$2:$O$1001,0),0)))</f>
        <v>0</v>
      </c>
      <c r="B375" s="3">
        <f>IF(OR(INDEX($P$2:$P$1001,MATCH(ROWS($O$2:O375),$O$2:$O$1001,0),1)&gt;=100000,INDEX($V$1005:$AE$1005,1,MATCH(COLUMNS($V$1006:V1006),$V$1006:$AE$1006,0))&gt;=100000), " ",IF(INDEX($V$2:$AE$1001,MATCH(ROWS($O$2:O375),$O$2:$O$1001,0),MATCH(COLUMNS($V$1006:V1006),$V$1006:$AE$1006,0)), HYPERLINK("#",""), HYPERLINK(CONCATENATE("#Metadata!", ADDRESS(INDEX($Q$2:$Q$1001,MATCH(ROWS($O$2:O375),$O$2:$O$1001,0),0), INDEX($V$1004:$AE$1004,1,MATCH(COLUMNS($V$1006:V1006),$V$1006:$AE$1006,0)))),"Fix")))</f>
        <v>0</v>
      </c>
      <c r="C375" s="3">
        <f>IF(OR(INDEX($P$2:$P$1001,MATCH(ROWS($O$2:O375),$O$2:$O$1001,0),1)&gt;=100000,INDEX($V$1005:$AE$1005,1,MATCH(COLUMNS($V$1006:W1006),$V$1006:$AE$1006,0))&gt;=100000), " ",IF(INDEX($V$2:$AE$1001,MATCH(ROWS($O$2:O375),$O$2:$O$1001,0),MATCH(COLUMNS($V$1006:W1006),$V$1006:$AE$1006,0)), HYPERLINK("#",""), HYPERLINK(CONCATENATE("#Metadata!", ADDRESS(INDEX($Q$2:$Q$1001,MATCH(ROWS($O$2:O375),$O$2:$O$1001,0),0), INDEX($V$1004:$AE$1004,1,MATCH(COLUMNS($V$1006:W1006),$V$1006:$AE$1006,0)))),"Fix")))</f>
        <v>0</v>
      </c>
      <c r="D375" s="3">
        <f>IF(OR(INDEX($P$2:$P$1001,MATCH(ROWS($O$2:O375),$O$2:$O$1001,0),1)&gt;=100000,INDEX($V$1005:$AE$1005,1,MATCH(COLUMNS($V$1006:X1006),$V$1006:$AE$1006,0))&gt;=100000), " ",IF(INDEX($V$2:$AE$1001,MATCH(ROWS($O$2:O375),$O$2:$O$1001,0),MATCH(COLUMNS($V$1006:X1006),$V$1006:$AE$1006,0)), HYPERLINK("#",""), HYPERLINK(CONCATENATE("#Metadata!", ADDRESS(INDEX($Q$2:$Q$1001,MATCH(ROWS($O$2:O375),$O$2:$O$1001,0),0), INDEX($V$1004:$AE$1004,1,MATCH(COLUMNS($V$1006:X1006),$V$1006:$AE$1006,0)))),"Fix")))</f>
        <v>0</v>
      </c>
      <c r="E375" s="3">
        <f>IF(OR(INDEX($P$2:$P$1001,MATCH(ROWS($O$2:O375),$O$2:$O$1001,0),1)&gt;=100000,INDEX($V$1005:$AE$1005,1,MATCH(COLUMNS($V$1006:Y1006),$V$1006:$AE$1006,0))&gt;=100000), " ",IF(INDEX($V$2:$AE$1001,MATCH(ROWS($O$2:O375),$O$2:$O$1001,0),MATCH(COLUMNS($V$1006:Y1006),$V$1006:$AE$1006,0)), HYPERLINK("#",""), HYPERLINK(CONCATENATE("#Metadata!", ADDRESS(INDEX($Q$2:$Q$1001,MATCH(ROWS($O$2:O375),$O$2:$O$1001,0),0), INDEX($V$1004:$AE$1004,1,MATCH(COLUMNS($V$1006:Y1006),$V$1006:$AE$1006,0)))),"Fix")))</f>
        <v>0</v>
      </c>
      <c r="F375" s="3">
        <f>IF(OR(INDEX($P$2:$P$1001,MATCH(ROWS($O$2:O375),$O$2:$O$1001,0),1)&gt;=100000,INDEX($V$1005:$AE$1005,1,MATCH(COLUMNS($V$1006:Z1006),$V$1006:$AE$1006,0))&gt;=100000), " ",IF(INDEX($V$2:$AE$1001,MATCH(ROWS($O$2:O375),$O$2:$O$1001,0),MATCH(COLUMNS($V$1006:Z1006),$V$1006:$AE$1006,0)), HYPERLINK("#",""), HYPERLINK(CONCATENATE("#Metadata!", ADDRESS(INDEX($Q$2:$Q$1001,MATCH(ROWS($O$2:O375),$O$2:$O$1001,0),0), INDEX($V$1004:$AE$1004,1,MATCH(COLUMNS($V$1006:Z1006),$V$1006:$AE$1006,0)))),"Fix")))</f>
        <v>0</v>
      </c>
      <c r="G375" s="3">
        <f>IF(OR(INDEX($P$2:$P$1001,MATCH(ROWS($O$2:O375),$O$2:$O$1001,0),1)&gt;=100000,INDEX($V$1005:$AE$1005,1,MATCH(COLUMNS($V$1006:AA1006),$V$1006:$AE$1006,0))&gt;=100000), " ",IF(INDEX($V$2:$AE$1001,MATCH(ROWS($O$2:O375),$O$2:$O$1001,0),MATCH(COLUMNS($V$1006:AA1006),$V$1006:$AE$1006,0)), HYPERLINK("#",""), HYPERLINK(CONCATENATE("#Metadata!", ADDRESS(INDEX($Q$2:$Q$1001,MATCH(ROWS($O$2:O375),$O$2:$O$1001,0),0), INDEX($V$1004:$AE$1004,1,MATCH(COLUMNS($V$1006:AA1006),$V$1006:$AE$1006,0)))),"Fix")))</f>
        <v>0</v>
      </c>
      <c r="H375" s="3">
        <f>IF(OR(INDEX($P$2:$P$1001,MATCH(ROWS($O$2:O375),$O$2:$O$1001,0),1)&gt;=100000,INDEX($V$1005:$AE$1005,1,MATCH(COLUMNS($V$1006:AB1006),$V$1006:$AE$1006,0))&gt;=100000), " ",IF(INDEX($V$2:$AE$1001,MATCH(ROWS($O$2:O375),$O$2:$O$1001,0),MATCH(COLUMNS($V$1006:AB1006),$V$1006:$AE$1006,0)), HYPERLINK("#",""), HYPERLINK(CONCATENATE("#Metadata!", ADDRESS(INDEX($Q$2:$Q$1001,MATCH(ROWS($O$2:O375),$O$2:$O$1001,0),0), INDEX($V$1004:$AE$1004,1,MATCH(COLUMNS($V$1006:AB1006),$V$1006:$AE$1006,0)))),"Fix")))</f>
        <v>0</v>
      </c>
      <c r="I375" s="3">
        <f>IF(OR(INDEX($P$2:$P$1001,MATCH(ROWS($O$2:O375),$O$2:$O$1001,0),1)&gt;=100000,INDEX($V$1005:$AE$1005,1,MATCH(COLUMNS($V$1006:AC1006),$V$1006:$AE$1006,0))&gt;=100000), " ",IF(INDEX($V$2:$AE$1001,MATCH(ROWS($O$2:O375),$O$2:$O$1001,0),MATCH(COLUMNS($V$1006:AC1006),$V$1006:$AE$1006,0)), HYPERLINK("#",""), HYPERLINK(CONCATENATE("#Metadata!", ADDRESS(INDEX($Q$2:$Q$1001,MATCH(ROWS($O$2:O375),$O$2:$O$1001,0),0), INDEX($V$1004:$AE$1004,1,MATCH(COLUMNS($V$1006:AC1006),$V$1006:$AE$1006,0)))),"Fix")))</f>
        <v>0</v>
      </c>
      <c r="J375" s="3">
        <f>IF(OR(INDEX($P$2:$P$1001,MATCH(ROWS($O$2:O375),$O$2:$O$1001,0),1)&gt;=100000,INDEX($V$1005:$AE$1005,1,MATCH(COLUMNS($V$1006:AD1006),$V$1006:$AE$1006,0))&gt;=100000), " ",IF(INDEX($V$2:$AE$1001,MATCH(ROWS($O$2:O375),$O$2:$O$1001,0),MATCH(COLUMNS($V$1006:AD1006),$V$1006:$AE$1006,0)), HYPERLINK("#",""), HYPERLINK(CONCATENATE("#Metadata!", ADDRESS(INDEX($Q$2:$Q$1001,MATCH(ROWS($O$2:O375),$O$2:$O$1001,0),0), INDEX($V$1004:$AE$1004,1,MATCH(COLUMNS($V$1006:AD1006),$V$1006:$AE$1006,0)))),"Fix")))</f>
        <v>0</v>
      </c>
      <c r="K375" s="3">
        <f>IF(OR(INDEX($P$2:$P$1001,MATCH(ROWS($O$2:O375),$O$2:$O$1001,0),1)&gt;=100000,INDEX($V$1005:$AE$1005,1,MATCH(COLUMNS($V$1006:AE1006),$V$1006:$AE$1006,0))&gt;=100000), " ",IF(INDEX($V$2:$AE$1001,MATCH(ROWS($O$2:O375),$O$2:$O$1001,0),MATCH(COLUMNS($V$1006:AE1006),$V$1006:$AE$1006,0)), HYPERLINK("#",""), HYPERLINK(CONCATENATE("#Metadata!", ADDRESS(INDEX($Q$2:$Q$1001,MATCH(ROWS($O$2:O375),$O$2:$O$1001,0),0), INDEX($V$1004:$AE$1004,1,MATCH(COLUMNS($V$1006:AE1006),$V$1006:$AE$1006,0)))),"Fix")))</f>
        <v>0</v>
      </c>
      <c r="O375">
        <v>0</v>
      </c>
      <c r="P375">
        <v>0</v>
      </c>
      <c r="Q375">
        <v>0</v>
      </c>
      <c r="R375">
        <f>IF(S375,TRUE,AND(V375:AE375))</f>
        <v>0</v>
      </c>
      <c r="S375">
        <f>COUNTBLANK(Metadata!B375:K375)=COLUMNS(Metadata!B375:K375)</f>
        <v>0</v>
      </c>
      <c r="T375">
        <v>0</v>
      </c>
      <c r="V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W375">
        <f>AND(IF(Metadata!C375="",FALSE,TRUE),exact(Metadata!C375,"animal secretion"))</f>
        <v>0</v>
      </c>
      <c r="X375">
        <f>AND(IF(Metadata!D375="",FALSE,TRUE),exact(Metadata!D375,"saliva"))</f>
        <v>0</v>
      </c>
      <c r="Y375">
        <f>AND(IF(Metadata!E375="",FALSE,TRUE),exact(Metadata!E375,"human-oral"))</f>
        <v>0</v>
      </c>
      <c r="Z375">
        <f>AND(IF(Metadata!F375="",FALSE,TRUE),exact(Metadata!F375,"UBERON:oral cavity"))</f>
        <v>0</v>
      </c>
      <c r="AA375">
        <f>AND(IF(Metadata!G375="",FALSE,TRUE),exact(Metadata!G375,"UBERON:saliva"))</f>
        <v>0</v>
      </c>
      <c r="AB375">
        <f>AND(IF(Metadata!H375="",FALSE,TRUE),exact(Metadata!H375,"UBERON:tongue"))</f>
        <v>0</v>
      </c>
      <c r="AC375">
        <f>AND(IF(Metadata!I375="",FALSE,TRUE),exact(Metadata!I375,"tongue"))</f>
        <v>0</v>
      </c>
      <c r="AD375">
        <f>AND(IF(Metadata!J375="",FALSE,TRUE),exact(Metadata!J375,"human oral metagenome"))</f>
        <v>0</v>
      </c>
      <c r="AE375">
        <f>AND(IF(Metadata!K375="",FALSE,TRUE),exact(Metadata!K375,"447426"))</f>
        <v>0</v>
      </c>
    </row>
    <row r="376" spans="1:31">
      <c r="A376" s="4">
        <f>IF(B376=" "," ",HYPERLINK(CONCATENATE("#metadata!",ADDRESS(INDEX($Q$2:$Q$1001,MATCH(ROWS($O$2:O376),$O$2:$O$1001,0),0),1)),INDEX($T$2:$T$1001,MATCH(ROWS($O$2:O376),$O$2:$O$1001,0),0)))</f>
        <v>0</v>
      </c>
      <c r="B376" s="3">
        <f>IF(OR(INDEX($P$2:$P$1001,MATCH(ROWS($O$2:O376),$O$2:$O$1001,0),1)&gt;=100000,INDEX($V$1005:$AE$1005,1,MATCH(COLUMNS($V$1006:V1006),$V$1006:$AE$1006,0))&gt;=100000), " ",IF(INDEX($V$2:$AE$1001,MATCH(ROWS($O$2:O376),$O$2:$O$1001,0),MATCH(COLUMNS($V$1006:V1006),$V$1006:$AE$1006,0)), HYPERLINK("#",""), HYPERLINK(CONCATENATE("#Metadata!", ADDRESS(INDEX($Q$2:$Q$1001,MATCH(ROWS($O$2:O376),$O$2:$O$1001,0),0), INDEX($V$1004:$AE$1004,1,MATCH(COLUMNS($V$1006:V1006),$V$1006:$AE$1006,0)))),"Fix")))</f>
        <v>0</v>
      </c>
      <c r="C376" s="3">
        <f>IF(OR(INDEX($P$2:$P$1001,MATCH(ROWS($O$2:O376),$O$2:$O$1001,0),1)&gt;=100000,INDEX($V$1005:$AE$1005,1,MATCH(COLUMNS($V$1006:W1006),$V$1006:$AE$1006,0))&gt;=100000), " ",IF(INDEX($V$2:$AE$1001,MATCH(ROWS($O$2:O376),$O$2:$O$1001,0),MATCH(COLUMNS($V$1006:W1006),$V$1006:$AE$1006,0)), HYPERLINK("#",""), HYPERLINK(CONCATENATE("#Metadata!", ADDRESS(INDEX($Q$2:$Q$1001,MATCH(ROWS($O$2:O376),$O$2:$O$1001,0),0), INDEX($V$1004:$AE$1004,1,MATCH(COLUMNS($V$1006:W1006),$V$1006:$AE$1006,0)))),"Fix")))</f>
        <v>0</v>
      </c>
      <c r="D376" s="3">
        <f>IF(OR(INDEX($P$2:$P$1001,MATCH(ROWS($O$2:O376),$O$2:$O$1001,0),1)&gt;=100000,INDEX($V$1005:$AE$1005,1,MATCH(COLUMNS($V$1006:X1006),$V$1006:$AE$1006,0))&gt;=100000), " ",IF(INDEX($V$2:$AE$1001,MATCH(ROWS($O$2:O376),$O$2:$O$1001,0),MATCH(COLUMNS($V$1006:X1006),$V$1006:$AE$1006,0)), HYPERLINK("#",""), HYPERLINK(CONCATENATE("#Metadata!", ADDRESS(INDEX($Q$2:$Q$1001,MATCH(ROWS($O$2:O376),$O$2:$O$1001,0),0), INDEX($V$1004:$AE$1004,1,MATCH(COLUMNS($V$1006:X1006),$V$1006:$AE$1006,0)))),"Fix")))</f>
        <v>0</v>
      </c>
      <c r="E376" s="3">
        <f>IF(OR(INDEX($P$2:$P$1001,MATCH(ROWS($O$2:O376),$O$2:$O$1001,0),1)&gt;=100000,INDEX($V$1005:$AE$1005,1,MATCH(COLUMNS($V$1006:Y1006),$V$1006:$AE$1006,0))&gt;=100000), " ",IF(INDEX($V$2:$AE$1001,MATCH(ROWS($O$2:O376),$O$2:$O$1001,0),MATCH(COLUMNS($V$1006:Y1006),$V$1006:$AE$1006,0)), HYPERLINK("#",""), HYPERLINK(CONCATENATE("#Metadata!", ADDRESS(INDEX($Q$2:$Q$1001,MATCH(ROWS($O$2:O376),$O$2:$O$1001,0),0), INDEX($V$1004:$AE$1004,1,MATCH(COLUMNS($V$1006:Y1006),$V$1006:$AE$1006,0)))),"Fix")))</f>
        <v>0</v>
      </c>
      <c r="F376" s="3">
        <f>IF(OR(INDEX($P$2:$P$1001,MATCH(ROWS($O$2:O376),$O$2:$O$1001,0),1)&gt;=100000,INDEX($V$1005:$AE$1005,1,MATCH(COLUMNS($V$1006:Z1006),$V$1006:$AE$1006,0))&gt;=100000), " ",IF(INDEX($V$2:$AE$1001,MATCH(ROWS($O$2:O376),$O$2:$O$1001,0),MATCH(COLUMNS($V$1006:Z1006),$V$1006:$AE$1006,0)), HYPERLINK("#",""), HYPERLINK(CONCATENATE("#Metadata!", ADDRESS(INDEX($Q$2:$Q$1001,MATCH(ROWS($O$2:O376),$O$2:$O$1001,0),0), INDEX($V$1004:$AE$1004,1,MATCH(COLUMNS($V$1006:Z1006),$V$1006:$AE$1006,0)))),"Fix")))</f>
        <v>0</v>
      </c>
      <c r="G376" s="3">
        <f>IF(OR(INDEX($P$2:$P$1001,MATCH(ROWS($O$2:O376),$O$2:$O$1001,0),1)&gt;=100000,INDEX($V$1005:$AE$1005,1,MATCH(COLUMNS($V$1006:AA1006),$V$1006:$AE$1006,0))&gt;=100000), " ",IF(INDEX($V$2:$AE$1001,MATCH(ROWS($O$2:O376),$O$2:$O$1001,0),MATCH(COLUMNS($V$1006:AA1006),$V$1006:$AE$1006,0)), HYPERLINK("#",""), HYPERLINK(CONCATENATE("#Metadata!", ADDRESS(INDEX($Q$2:$Q$1001,MATCH(ROWS($O$2:O376),$O$2:$O$1001,0),0), INDEX($V$1004:$AE$1004,1,MATCH(COLUMNS($V$1006:AA1006),$V$1006:$AE$1006,0)))),"Fix")))</f>
        <v>0</v>
      </c>
      <c r="H376" s="3">
        <f>IF(OR(INDEX($P$2:$P$1001,MATCH(ROWS($O$2:O376),$O$2:$O$1001,0),1)&gt;=100000,INDEX($V$1005:$AE$1005,1,MATCH(COLUMNS($V$1006:AB1006),$V$1006:$AE$1006,0))&gt;=100000), " ",IF(INDEX($V$2:$AE$1001,MATCH(ROWS($O$2:O376),$O$2:$O$1001,0),MATCH(COLUMNS($V$1006:AB1006),$V$1006:$AE$1006,0)), HYPERLINK("#",""), HYPERLINK(CONCATENATE("#Metadata!", ADDRESS(INDEX($Q$2:$Q$1001,MATCH(ROWS($O$2:O376),$O$2:$O$1001,0),0), INDEX($V$1004:$AE$1004,1,MATCH(COLUMNS($V$1006:AB1006),$V$1006:$AE$1006,0)))),"Fix")))</f>
        <v>0</v>
      </c>
      <c r="I376" s="3">
        <f>IF(OR(INDEX($P$2:$P$1001,MATCH(ROWS($O$2:O376),$O$2:$O$1001,0),1)&gt;=100000,INDEX($V$1005:$AE$1005,1,MATCH(COLUMNS($V$1006:AC1006),$V$1006:$AE$1006,0))&gt;=100000), " ",IF(INDEX($V$2:$AE$1001,MATCH(ROWS($O$2:O376),$O$2:$O$1001,0),MATCH(COLUMNS($V$1006:AC1006),$V$1006:$AE$1006,0)), HYPERLINK("#",""), HYPERLINK(CONCATENATE("#Metadata!", ADDRESS(INDEX($Q$2:$Q$1001,MATCH(ROWS($O$2:O376),$O$2:$O$1001,0),0), INDEX($V$1004:$AE$1004,1,MATCH(COLUMNS($V$1006:AC1006),$V$1006:$AE$1006,0)))),"Fix")))</f>
        <v>0</v>
      </c>
      <c r="J376" s="3">
        <f>IF(OR(INDEX($P$2:$P$1001,MATCH(ROWS($O$2:O376),$O$2:$O$1001,0),1)&gt;=100000,INDEX($V$1005:$AE$1005,1,MATCH(COLUMNS($V$1006:AD1006),$V$1006:$AE$1006,0))&gt;=100000), " ",IF(INDEX($V$2:$AE$1001,MATCH(ROWS($O$2:O376),$O$2:$O$1001,0),MATCH(COLUMNS($V$1006:AD1006),$V$1006:$AE$1006,0)), HYPERLINK("#",""), HYPERLINK(CONCATENATE("#Metadata!", ADDRESS(INDEX($Q$2:$Q$1001,MATCH(ROWS($O$2:O376),$O$2:$O$1001,0),0), INDEX($V$1004:$AE$1004,1,MATCH(COLUMNS($V$1006:AD1006),$V$1006:$AE$1006,0)))),"Fix")))</f>
        <v>0</v>
      </c>
      <c r="K376" s="3">
        <f>IF(OR(INDEX($P$2:$P$1001,MATCH(ROWS($O$2:O376),$O$2:$O$1001,0),1)&gt;=100000,INDEX($V$1005:$AE$1005,1,MATCH(COLUMNS($V$1006:AE1006),$V$1006:$AE$1006,0))&gt;=100000), " ",IF(INDEX($V$2:$AE$1001,MATCH(ROWS($O$2:O376),$O$2:$O$1001,0),MATCH(COLUMNS($V$1006:AE1006),$V$1006:$AE$1006,0)), HYPERLINK("#",""), HYPERLINK(CONCATENATE("#Metadata!", ADDRESS(INDEX($Q$2:$Q$1001,MATCH(ROWS($O$2:O376),$O$2:$O$1001,0),0), INDEX($V$1004:$AE$1004,1,MATCH(COLUMNS($V$1006:AE1006),$V$1006:$AE$1006,0)))),"Fix")))</f>
        <v>0</v>
      </c>
      <c r="O376">
        <v>0</v>
      </c>
      <c r="P376">
        <v>0</v>
      </c>
      <c r="Q376">
        <v>0</v>
      </c>
      <c r="R376">
        <f>IF(S376,TRUE,AND(V376:AE376))</f>
        <v>0</v>
      </c>
      <c r="S376">
        <f>COUNTBLANK(Metadata!B376:K376)=COLUMNS(Metadata!B376:K376)</f>
        <v>0</v>
      </c>
      <c r="T376">
        <v>0</v>
      </c>
      <c r="V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W376">
        <f>AND(IF(Metadata!C376="",FALSE,TRUE),exact(Metadata!C376,"animal secretion"))</f>
        <v>0</v>
      </c>
      <c r="X376">
        <f>AND(IF(Metadata!D376="",FALSE,TRUE),exact(Metadata!D376,"saliva"))</f>
        <v>0</v>
      </c>
      <c r="Y376">
        <f>AND(IF(Metadata!E376="",FALSE,TRUE),exact(Metadata!E376,"human-oral"))</f>
        <v>0</v>
      </c>
      <c r="Z376">
        <f>AND(IF(Metadata!F376="",FALSE,TRUE),exact(Metadata!F376,"UBERON:oral cavity"))</f>
        <v>0</v>
      </c>
      <c r="AA376">
        <f>AND(IF(Metadata!G376="",FALSE,TRUE),exact(Metadata!G376,"UBERON:saliva"))</f>
        <v>0</v>
      </c>
      <c r="AB376">
        <f>AND(IF(Metadata!H376="",FALSE,TRUE),exact(Metadata!H376,"UBERON:tongue"))</f>
        <v>0</v>
      </c>
      <c r="AC376">
        <f>AND(IF(Metadata!I376="",FALSE,TRUE),exact(Metadata!I376,"tongue"))</f>
        <v>0</v>
      </c>
      <c r="AD376">
        <f>AND(IF(Metadata!J376="",FALSE,TRUE),exact(Metadata!J376,"human oral metagenome"))</f>
        <v>0</v>
      </c>
      <c r="AE376">
        <f>AND(IF(Metadata!K376="",FALSE,TRUE),exact(Metadata!K376,"447426"))</f>
        <v>0</v>
      </c>
    </row>
    <row r="377" spans="1:31">
      <c r="A377" s="4">
        <f>IF(B377=" "," ",HYPERLINK(CONCATENATE("#metadata!",ADDRESS(INDEX($Q$2:$Q$1001,MATCH(ROWS($O$2:O377),$O$2:$O$1001,0),0),1)),INDEX($T$2:$T$1001,MATCH(ROWS($O$2:O377),$O$2:$O$1001,0),0)))</f>
        <v>0</v>
      </c>
      <c r="B377" s="3">
        <f>IF(OR(INDEX($P$2:$P$1001,MATCH(ROWS($O$2:O377),$O$2:$O$1001,0),1)&gt;=100000,INDEX($V$1005:$AE$1005,1,MATCH(COLUMNS($V$1006:V1006),$V$1006:$AE$1006,0))&gt;=100000), " ",IF(INDEX($V$2:$AE$1001,MATCH(ROWS($O$2:O377),$O$2:$O$1001,0),MATCH(COLUMNS($V$1006:V1006),$V$1006:$AE$1006,0)), HYPERLINK("#",""), HYPERLINK(CONCATENATE("#Metadata!", ADDRESS(INDEX($Q$2:$Q$1001,MATCH(ROWS($O$2:O377),$O$2:$O$1001,0),0), INDEX($V$1004:$AE$1004,1,MATCH(COLUMNS($V$1006:V1006),$V$1006:$AE$1006,0)))),"Fix")))</f>
        <v>0</v>
      </c>
      <c r="C377" s="3">
        <f>IF(OR(INDEX($P$2:$P$1001,MATCH(ROWS($O$2:O377),$O$2:$O$1001,0),1)&gt;=100000,INDEX($V$1005:$AE$1005,1,MATCH(COLUMNS($V$1006:W1006),$V$1006:$AE$1006,0))&gt;=100000), " ",IF(INDEX($V$2:$AE$1001,MATCH(ROWS($O$2:O377),$O$2:$O$1001,0),MATCH(COLUMNS($V$1006:W1006),$V$1006:$AE$1006,0)), HYPERLINK("#",""), HYPERLINK(CONCATENATE("#Metadata!", ADDRESS(INDEX($Q$2:$Q$1001,MATCH(ROWS($O$2:O377),$O$2:$O$1001,0),0), INDEX($V$1004:$AE$1004,1,MATCH(COLUMNS($V$1006:W1006),$V$1006:$AE$1006,0)))),"Fix")))</f>
        <v>0</v>
      </c>
      <c r="D377" s="3">
        <f>IF(OR(INDEX($P$2:$P$1001,MATCH(ROWS($O$2:O377),$O$2:$O$1001,0),1)&gt;=100000,INDEX($V$1005:$AE$1005,1,MATCH(COLUMNS($V$1006:X1006),$V$1006:$AE$1006,0))&gt;=100000), " ",IF(INDEX($V$2:$AE$1001,MATCH(ROWS($O$2:O377),$O$2:$O$1001,0),MATCH(COLUMNS($V$1006:X1006),$V$1006:$AE$1006,0)), HYPERLINK("#",""), HYPERLINK(CONCATENATE("#Metadata!", ADDRESS(INDEX($Q$2:$Q$1001,MATCH(ROWS($O$2:O377),$O$2:$O$1001,0),0), INDEX($V$1004:$AE$1004,1,MATCH(COLUMNS($V$1006:X1006),$V$1006:$AE$1006,0)))),"Fix")))</f>
        <v>0</v>
      </c>
      <c r="E377" s="3">
        <f>IF(OR(INDEX($P$2:$P$1001,MATCH(ROWS($O$2:O377),$O$2:$O$1001,0),1)&gt;=100000,INDEX($V$1005:$AE$1005,1,MATCH(COLUMNS($V$1006:Y1006),$V$1006:$AE$1006,0))&gt;=100000), " ",IF(INDEX($V$2:$AE$1001,MATCH(ROWS($O$2:O377),$O$2:$O$1001,0),MATCH(COLUMNS($V$1006:Y1006),$V$1006:$AE$1006,0)), HYPERLINK("#",""), HYPERLINK(CONCATENATE("#Metadata!", ADDRESS(INDEX($Q$2:$Q$1001,MATCH(ROWS($O$2:O377),$O$2:$O$1001,0),0), INDEX($V$1004:$AE$1004,1,MATCH(COLUMNS($V$1006:Y1006),$V$1006:$AE$1006,0)))),"Fix")))</f>
        <v>0</v>
      </c>
      <c r="F377" s="3">
        <f>IF(OR(INDEX($P$2:$P$1001,MATCH(ROWS($O$2:O377),$O$2:$O$1001,0),1)&gt;=100000,INDEX($V$1005:$AE$1005,1,MATCH(COLUMNS($V$1006:Z1006),$V$1006:$AE$1006,0))&gt;=100000), " ",IF(INDEX($V$2:$AE$1001,MATCH(ROWS($O$2:O377),$O$2:$O$1001,0),MATCH(COLUMNS($V$1006:Z1006),$V$1006:$AE$1006,0)), HYPERLINK("#",""), HYPERLINK(CONCATENATE("#Metadata!", ADDRESS(INDEX($Q$2:$Q$1001,MATCH(ROWS($O$2:O377),$O$2:$O$1001,0),0), INDEX($V$1004:$AE$1004,1,MATCH(COLUMNS($V$1006:Z1006),$V$1006:$AE$1006,0)))),"Fix")))</f>
        <v>0</v>
      </c>
      <c r="G377" s="3">
        <f>IF(OR(INDEX($P$2:$P$1001,MATCH(ROWS($O$2:O377),$O$2:$O$1001,0),1)&gt;=100000,INDEX($V$1005:$AE$1005,1,MATCH(COLUMNS($V$1006:AA1006),$V$1006:$AE$1006,0))&gt;=100000), " ",IF(INDEX($V$2:$AE$1001,MATCH(ROWS($O$2:O377),$O$2:$O$1001,0),MATCH(COLUMNS($V$1006:AA1006),$V$1006:$AE$1006,0)), HYPERLINK("#",""), HYPERLINK(CONCATENATE("#Metadata!", ADDRESS(INDEX($Q$2:$Q$1001,MATCH(ROWS($O$2:O377),$O$2:$O$1001,0),0), INDEX($V$1004:$AE$1004,1,MATCH(COLUMNS($V$1006:AA1006),$V$1006:$AE$1006,0)))),"Fix")))</f>
        <v>0</v>
      </c>
      <c r="H377" s="3">
        <f>IF(OR(INDEX($P$2:$P$1001,MATCH(ROWS($O$2:O377),$O$2:$O$1001,0),1)&gt;=100000,INDEX($V$1005:$AE$1005,1,MATCH(COLUMNS($V$1006:AB1006),$V$1006:$AE$1006,0))&gt;=100000), " ",IF(INDEX($V$2:$AE$1001,MATCH(ROWS($O$2:O377),$O$2:$O$1001,0),MATCH(COLUMNS($V$1006:AB1006),$V$1006:$AE$1006,0)), HYPERLINK("#",""), HYPERLINK(CONCATENATE("#Metadata!", ADDRESS(INDEX($Q$2:$Q$1001,MATCH(ROWS($O$2:O377),$O$2:$O$1001,0),0), INDEX($V$1004:$AE$1004,1,MATCH(COLUMNS($V$1006:AB1006),$V$1006:$AE$1006,0)))),"Fix")))</f>
        <v>0</v>
      </c>
      <c r="I377" s="3">
        <f>IF(OR(INDEX($P$2:$P$1001,MATCH(ROWS($O$2:O377),$O$2:$O$1001,0),1)&gt;=100000,INDEX($V$1005:$AE$1005,1,MATCH(COLUMNS($V$1006:AC1006),$V$1006:$AE$1006,0))&gt;=100000), " ",IF(INDEX($V$2:$AE$1001,MATCH(ROWS($O$2:O377),$O$2:$O$1001,0),MATCH(COLUMNS($V$1006:AC1006),$V$1006:$AE$1006,0)), HYPERLINK("#",""), HYPERLINK(CONCATENATE("#Metadata!", ADDRESS(INDEX($Q$2:$Q$1001,MATCH(ROWS($O$2:O377),$O$2:$O$1001,0),0), INDEX($V$1004:$AE$1004,1,MATCH(COLUMNS($V$1006:AC1006),$V$1006:$AE$1006,0)))),"Fix")))</f>
        <v>0</v>
      </c>
      <c r="J377" s="3">
        <f>IF(OR(INDEX($P$2:$P$1001,MATCH(ROWS($O$2:O377),$O$2:$O$1001,0),1)&gt;=100000,INDEX($V$1005:$AE$1005,1,MATCH(COLUMNS($V$1006:AD1006),$V$1006:$AE$1006,0))&gt;=100000), " ",IF(INDEX($V$2:$AE$1001,MATCH(ROWS($O$2:O377),$O$2:$O$1001,0),MATCH(COLUMNS($V$1006:AD1006),$V$1006:$AE$1006,0)), HYPERLINK("#",""), HYPERLINK(CONCATENATE("#Metadata!", ADDRESS(INDEX($Q$2:$Q$1001,MATCH(ROWS($O$2:O377),$O$2:$O$1001,0),0), INDEX($V$1004:$AE$1004,1,MATCH(COLUMNS($V$1006:AD1006),$V$1006:$AE$1006,0)))),"Fix")))</f>
        <v>0</v>
      </c>
      <c r="K377" s="3">
        <f>IF(OR(INDEX($P$2:$P$1001,MATCH(ROWS($O$2:O377),$O$2:$O$1001,0),1)&gt;=100000,INDEX($V$1005:$AE$1005,1,MATCH(COLUMNS($V$1006:AE1006),$V$1006:$AE$1006,0))&gt;=100000), " ",IF(INDEX($V$2:$AE$1001,MATCH(ROWS($O$2:O377),$O$2:$O$1001,0),MATCH(COLUMNS($V$1006:AE1006),$V$1006:$AE$1006,0)), HYPERLINK("#",""), HYPERLINK(CONCATENATE("#Metadata!", ADDRESS(INDEX($Q$2:$Q$1001,MATCH(ROWS($O$2:O377),$O$2:$O$1001,0),0), INDEX($V$1004:$AE$1004,1,MATCH(COLUMNS($V$1006:AE1006),$V$1006:$AE$1006,0)))),"Fix")))</f>
        <v>0</v>
      </c>
      <c r="O377">
        <v>0</v>
      </c>
      <c r="P377">
        <v>0</v>
      </c>
      <c r="Q377">
        <v>0</v>
      </c>
      <c r="R377">
        <f>IF(S377,TRUE,AND(V377:AE377))</f>
        <v>0</v>
      </c>
      <c r="S377">
        <f>COUNTBLANK(Metadata!B377:K377)=COLUMNS(Metadata!B377:K377)</f>
        <v>0</v>
      </c>
      <c r="T377">
        <v>0</v>
      </c>
      <c r="V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W377">
        <f>AND(IF(Metadata!C377="",FALSE,TRUE),exact(Metadata!C377,"animal secretion"))</f>
        <v>0</v>
      </c>
      <c r="X377">
        <f>AND(IF(Metadata!D377="",FALSE,TRUE),exact(Metadata!D377,"saliva"))</f>
        <v>0</v>
      </c>
      <c r="Y377">
        <f>AND(IF(Metadata!E377="",FALSE,TRUE),exact(Metadata!E377,"human-oral"))</f>
        <v>0</v>
      </c>
      <c r="Z377">
        <f>AND(IF(Metadata!F377="",FALSE,TRUE),exact(Metadata!F377,"UBERON:oral cavity"))</f>
        <v>0</v>
      </c>
      <c r="AA377">
        <f>AND(IF(Metadata!G377="",FALSE,TRUE),exact(Metadata!G377,"UBERON:saliva"))</f>
        <v>0</v>
      </c>
      <c r="AB377">
        <f>AND(IF(Metadata!H377="",FALSE,TRUE),exact(Metadata!H377,"UBERON:tongue"))</f>
        <v>0</v>
      </c>
      <c r="AC377">
        <f>AND(IF(Metadata!I377="",FALSE,TRUE),exact(Metadata!I377,"tongue"))</f>
        <v>0</v>
      </c>
      <c r="AD377">
        <f>AND(IF(Metadata!J377="",FALSE,TRUE),exact(Metadata!J377,"human oral metagenome"))</f>
        <v>0</v>
      </c>
      <c r="AE377">
        <f>AND(IF(Metadata!K377="",FALSE,TRUE),exact(Metadata!K377,"447426"))</f>
        <v>0</v>
      </c>
    </row>
    <row r="378" spans="1:31">
      <c r="A378" s="4">
        <f>IF(B378=" "," ",HYPERLINK(CONCATENATE("#metadata!",ADDRESS(INDEX($Q$2:$Q$1001,MATCH(ROWS($O$2:O378),$O$2:$O$1001,0),0),1)),INDEX($T$2:$T$1001,MATCH(ROWS($O$2:O378),$O$2:$O$1001,0),0)))</f>
        <v>0</v>
      </c>
      <c r="B378" s="3">
        <f>IF(OR(INDEX($P$2:$P$1001,MATCH(ROWS($O$2:O378),$O$2:$O$1001,0),1)&gt;=100000,INDEX($V$1005:$AE$1005,1,MATCH(COLUMNS($V$1006:V1006),$V$1006:$AE$1006,0))&gt;=100000), " ",IF(INDEX($V$2:$AE$1001,MATCH(ROWS($O$2:O378),$O$2:$O$1001,0),MATCH(COLUMNS($V$1006:V1006),$V$1006:$AE$1006,0)), HYPERLINK("#",""), HYPERLINK(CONCATENATE("#Metadata!", ADDRESS(INDEX($Q$2:$Q$1001,MATCH(ROWS($O$2:O378),$O$2:$O$1001,0),0), INDEX($V$1004:$AE$1004,1,MATCH(COLUMNS($V$1006:V1006),$V$1006:$AE$1006,0)))),"Fix")))</f>
        <v>0</v>
      </c>
      <c r="C378" s="3">
        <f>IF(OR(INDEX($P$2:$P$1001,MATCH(ROWS($O$2:O378),$O$2:$O$1001,0),1)&gt;=100000,INDEX($V$1005:$AE$1005,1,MATCH(COLUMNS($V$1006:W1006),$V$1006:$AE$1006,0))&gt;=100000), " ",IF(INDEX($V$2:$AE$1001,MATCH(ROWS($O$2:O378),$O$2:$O$1001,0),MATCH(COLUMNS($V$1006:W1006),$V$1006:$AE$1006,0)), HYPERLINK("#",""), HYPERLINK(CONCATENATE("#Metadata!", ADDRESS(INDEX($Q$2:$Q$1001,MATCH(ROWS($O$2:O378),$O$2:$O$1001,0),0), INDEX($V$1004:$AE$1004,1,MATCH(COLUMNS($V$1006:W1006),$V$1006:$AE$1006,0)))),"Fix")))</f>
        <v>0</v>
      </c>
      <c r="D378" s="3">
        <f>IF(OR(INDEX($P$2:$P$1001,MATCH(ROWS($O$2:O378),$O$2:$O$1001,0),1)&gt;=100000,INDEX($V$1005:$AE$1005,1,MATCH(COLUMNS($V$1006:X1006),$V$1006:$AE$1006,0))&gt;=100000), " ",IF(INDEX($V$2:$AE$1001,MATCH(ROWS($O$2:O378),$O$2:$O$1001,0),MATCH(COLUMNS($V$1006:X1006),$V$1006:$AE$1006,0)), HYPERLINK("#",""), HYPERLINK(CONCATENATE("#Metadata!", ADDRESS(INDEX($Q$2:$Q$1001,MATCH(ROWS($O$2:O378),$O$2:$O$1001,0),0), INDEX($V$1004:$AE$1004,1,MATCH(COLUMNS($V$1006:X1006),$V$1006:$AE$1006,0)))),"Fix")))</f>
        <v>0</v>
      </c>
      <c r="E378" s="3">
        <f>IF(OR(INDEX($P$2:$P$1001,MATCH(ROWS($O$2:O378),$O$2:$O$1001,0),1)&gt;=100000,INDEX($V$1005:$AE$1005,1,MATCH(COLUMNS($V$1006:Y1006),$V$1006:$AE$1006,0))&gt;=100000), " ",IF(INDEX($V$2:$AE$1001,MATCH(ROWS($O$2:O378),$O$2:$O$1001,0),MATCH(COLUMNS($V$1006:Y1006),$V$1006:$AE$1006,0)), HYPERLINK("#",""), HYPERLINK(CONCATENATE("#Metadata!", ADDRESS(INDEX($Q$2:$Q$1001,MATCH(ROWS($O$2:O378),$O$2:$O$1001,0),0), INDEX($V$1004:$AE$1004,1,MATCH(COLUMNS($V$1006:Y1006),$V$1006:$AE$1006,0)))),"Fix")))</f>
        <v>0</v>
      </c>
      <c r="F378" s="3">
        <f>IF(OR(INDEX($P$2:$P$1001,MATCH(ROWS($O$2:O378),$O$2:$O$1001,0),1)&gt;=100000,INDEX($V$1005:$AE$1005,1,MATCH(COLUMNS($V$1006:Z1006),$V$1006:$AE$1006,0))&gt;=100000), " ",IF(INDEX($V$2:$AE$1001,MATCH(ROWS($O$2:O378),$O$2:$O$1001,0),MATCH(COLUMNS($V$1006:Z1006),$V$1006:$AE$1006,0)), HYPERLINK("#",""), HYPERLINK(CONCATENATE("#Metadata!", ADDRESS(INDEX($Q$2:$Q$1001,MATCH(ROWS($O$2:O378),$O$2:$O$1001,0),0), INDEX($V$1004:$AE$1004,1,MATCH(COLUMNS($V$1006:Z1006),$V$1006:$AE$1006,0)))),"Fix")))</f>
        <v>0</v>
      </c>
      <c r="G378" s="3">
        <f>IF(OR(INDEX($P$2:$P$1001,MATCH(ROWS($O$2:O378),$O$2:$O$1001,0),1)&gt;=100000,INDEX($V$1005:$AE$1005,1,MATCH(COLUMNS($V$1006:AA1006),$V$1006:$AE$1006,0))&gt;=100000), " ",IF(INDEX($V$2:$AE$1001,MATCH(ROWS($O$2:O378),$O$2:$O$1001,0),MATCH(COLUMNS($V$1006:AA1006),$V$1006:$AE$1006,0)), HYPERLINK("#",""), HYPERLINK(CONCATENATE("#Metadata!", ADDRESS(INDEX($Q$2:$Q$1001,MATCH(ROWS($O$2:O378),$O$2:$O$1001,0),0), INDEX($V$1004:$AE$1004,1,MATCH(COLUMNS($V$1006:AA1006),$V$1006:$AE$1006,0)))),"Fix")))</f>
        <v>0</v>
      </c>
      <c r="H378" s="3">
        <f>IF(OR(INDEX($P$2:$P$1001,MATCH(ROWS($O$2:O378),$O$2:$O$1001,0),1)&gt;=100000,INDEX($V$1005:$AE$1005,1,MATCH(COLUMNS($V$1006:AB1006),$V$1006:$AE$1006,0))&gt;=100000), " ",IF(INDEX($V$2:$AE$1001,MATCH(ROWS($O$2:O378),$O$2:$O$1001,0),MATCH(COLUMNS($V$1006:AB1006),$V$1006:$AE$1006,0)), HYPERLINK("#",""), HYPERLINK(CONCATENATE("#Metadata!", ADDRESS(INDEX($Q$2:$Q$1001,MATCH(ROWS($O$2:O378),$O$2:$O$1001,0),0), INDEX($V$1004:$AE$1004,1,MATCH(COLUMNS($V$1006:AB1006),$V$1006:$AE$1006,0)))),"Fix")))</f>
        <v>0</v>
      </c>
      <c r="I378" s="3">
        <f>IF(OR(INDEX($P$2:$P$1001,MATCH(ROWS($O$2:O378),$O$2:$O$1001,0),1)&gt;=100000,INDEX($V$1005:$AE$1005,1,MATCH(COLUMNS($V$1006:AC1006),$V$1006:$AE$1006,0))&gt;=100000), " ",IF(INDEX($V$2:$AE$1001,MATCH(ROWS($O$2:O378),$O$2:$O$1001,0),MATCH(COLUMNS($V$1006:AC1006),$V$1006:$AE$1006,0)), HYPERLINK("#",""), HYPERLINK(CONCATENATE("#Metadata!", ADDRESS(INDEX($Q$2:$Q$1001,MATCH(ROWS($O$2:O378),$O$2:$O$1001,0),0), INDEX($V$1004:$AE$1004,1,MATCH(COLUMNS($V$1006:AC1006),$V$1006:$AE$1006,0)))),"Fix")))</f>
        <v>0</v>
      </c>
      <c r="J378" s="3">
        <f>IF(OR(INDEX($P$2:$P$1001,MATCH(ROWS($O$2:O378),$O$2:$O$1001,0),1)&gt;=100000,INDEX($V$1005:$AE$1005,1,MATCH(COLUMNS($V$1006:AD1006),$V$1006:$AE$1006,0))&gt;=100000), " ",IF(INDEX($V$2:$AE$1001,MATCH(ROWS($O$2:O378),$O$2:$O$1001,0),MATCH(COLUMNS($V$1006:AD1006),$V$1006:$AE$1006,0)), HYPERLINK("#",""), HYPERLINK(CONCATENATE("#Metadata!", ADDRESS(INDEX($Q$2:$Q$1001,MATCH(ROWS($O$2:O378),$O$2:$O$1001,0),0), INDEX($V$1004:$AE$1004,1,MATCH(COLUMNS($V$1006:AD1006),$V$1006:$AE$1006,0)))),"Fix")))</f>
        <v>0</v>
      </c>
      <c r="K378" s="3">
        <f>IF(OR(INDEX($P$2:$P$1001,MATCH(ROWS($O$2:O378),$O$2:$O$1001,0),1)&gt;=100000,INDEX($V$1005:$AE$1005,1,MATCH(COLUMNS($V$1006:AE1006),$V$1006:$AE$1006,0))&gt;=100000), " ",IF(INDEX($V$2:$AE$1001,MATCH(ROWS($O$2:O378),$O$2:$O$1001,0),MATCH(COLUMNS($V$1006:AE1006),$V$1006:$AE$1006,0)), HYPERLINK("#",""), HYPERLINK(CONCATENATE("#Metadata!", ADDRESS(INDEX($Q$2:$Q$1001,MATCH(ROWS($O$2:O378),$O$2:$O$1001,0),0), INDEX($V$1004:$AE$1004,1,MATCH(COLUMNS($V$1006:AE1006),$V$1006:$AE$1006,0)))),"Fix")))</f>
        <v>0</v>
      </c>
      <c r="O378">
        <v>0</v>
      </c>
      <c r="P378">
        <v>0</v>
      </c>
      <c r="Q378">
        <v>0</v>
      </c>
      <c r="R378">
        <f>IF(S378,TRUE,AND(V378:AE378))</f>
        <v>0</v>
      </c>
      <c r="S378">
        <f>COUNTBLANK(Metadata!B378:K378)=COLUMNS(Metadata!B378:K378)</f>
        <v>0</v>
      </c>
      <c r="T378">
        <v>0</v>
      </c>
      <c r="V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W378">
        <f>AND(IF(Metadata!C378="",FALSE,TRUE),exact(Metadata!C378,"animal secretion"))</f>
        <v>0</v>
      </c>
      <c r="X378">
        <f>AND(IF(Metadata!D378="",FALSE,TRUE),exact(Metadata!D378,"saliva"))</f>
        <v>0</v>
      </c>
      <c r="Y378">
        <f>AND(IF(Metadata!E378="",FALSE,TRUE),exact(Metadata!E378,"human-oral"))</f>
        <v>0</v>
      </c>
      <c r="Z378">
        <f>AND(IF(Metadata!F378="",FALSE,TRUE),exact(Metadata!F378,"UBERON:oral cavity"))</f>
        <v>0</v>
      </c>
      <c r="AA378">
        <f>AND(IF(Metadata!G378="",FALSE,TRUE),exact(Metadata!G378,"UBERON:saliva"))</f>
        <v>0</v>
      </c>
      <c r="AB378">
        <f>AND(IF(Metadata!H378="",FALSE,TRUE),exact(Metadata!H378,"UBERON:tongue"))</f>
        <v>0</v>
      </c>
      <c r="AC378">
        <f>AND(IF(Metadata!I378="",FALSE,TRUE),exact(Metadata!I378,"tongue"))</f>
        <v>0</v>
      </c>
      <c r="AD378">
        <f>AND(IF(Metadata!J378="",FALSE,TRUE),exact(Metadata!J378,"human oral metagenome"))</f>
        <v>0</v>
      </c>
      <c r="AE378">
        <f>AND(IF(Metadata!K378="",FALSE,TRUE),exact(Metadata!K378,"447426"))</f>
        <v>0</v>
      </c>
    </row>
    <row r="379" spans="1:31">
      <c r="A379" s="4">
        <f>IF(B379=" "," ",HYPERLINK(CONCATENATE("#metadata!",ADDRESS(INDEX($Q$2:$Q$1001,MATCH(ROWS($O$2:O379),$O$2:$O$1001,0),0),1)),INDEX($T$2:$T$1001,MATCH(ROWS($O$2:O379),$O$2:$O$1001,0),0)))</f>
        <v>0</v>
      </c>
      <c r="B379" s="3">
        <f>IF(OR(INDEX($P$2:$P$1001,MATCH(ROWS($O$2:O379),$O$2:$O$1001,0),1)&gt;=100000,INDEX($V$1005:$AE$1005,1,MATCH(COLUMNS($V$1006:V1006),$V$1006:$AE$1006,0))&gt;=100000), " ",IF(INDEX($V$2:$AE$1001,MATCH(ROWS($O$2:O379),$O$2:$O$1001,0),MATCH(COLUMNS($V$1006:V1006),$V$1006:$AE$1006,0)), HYPERLINK("#",""), HYPERLINK(CONCATENATE("#Metadata!", ADDRESS(INDEX($Q$2:$Q$1001,MATCH(ROWS($O$2:O379),$O$2:$O$1001,0),0), INDEX($V$1004:$AE$1004,1,MATCH(COLUMNS($V$1006:V1006),$V$1006:$AE$1006,0)))),"Fix")))</f>
        <v>0</v>
      </c>
      <c r="C379" s="3">
        <f>IF(OR(INDEX($P$2:$P$1001,MATCH(ROWS($O$2:O379),$O$2:$O$1001,0),1)&gt;=100000,INDEX($V$1005:$AE$1005,1,MATCH(COLUMNS($V$1006:W1006),$V$1006:$AE$1006,0))&gt;=100000), " ",IF(INDEX($V$2:$AE$1001,MATCH(ROWS($O$2:O379),$O$2:$O$1001,0),MATCH(COLUMNS($V$1006:W1006),$V$1006:$AE$1006,0)), HYPERLINK("#",""), HYPERLINK(CONCATENATE("#Metadata!", ADDRESS(INDEX($Q$2:$Q$1001,MATCH(ROWS($O$2:O379),$O$2:$O$1001,0),0), INDEX($V$1004:$AE$1004,1,MATCH(COLUMNS($V$1006:W1006),$V$1006:$AE$1006,0)))),"Fix")))</f>
        <v>0</v>
      </c>
      <c r="D379" s="3">
        <f>IF(OR(INDEX($P$2:$P$1001,MATCH(ROWS($O$2:O379),$O$2:$O$1001,0),1)&gt;=100000,INDEX($V$1005:$AE$1005,1,MATCH(COLUMNS($V$1006:X1006),$V$1006:$AE$1006,0))&gt;=100000), " ",IF(INDEX($V$2:$AE$1001,MATCH(ROWS($O$2:O379),$O$2:$O$1001,0),MATCH(COLUMNS($V$1006:X1006),$V$1006:$AE$1006,0)), HYPERLINK("#",""), HYPERLINK(CONCATENATE("#Metadata!", ADDRESS(INDEX($Q$2:$Q$1001,MATCH(ROWS($O$2:O379),$O$2:$O$1001,0),0), INDEX($V$1004:$AE$1004,1,MATCH(COLUMNS($V$1006:X1006),$V$1006:$AE$1006,0)))),"Fix")))</f>
        <v>0</v>
      </c>
      <c r="E379" s="3">
        <f>IF(OR(INDEX($P$2:$P$1001,MATCH(ROWS($O$2:O379),$O$2:$O$1001,0),1)&gt;=100000,INDEX($V$1005:$AE$1005,1,MATCH(COLUMNS($V$1006:Y1006),$V$1006:$AE$1006,0))&gt;=100000), " ",IF(INDEX($V$2:$AE$1001,MATCH(ROWS($O$2:O379),$O$2:$O$1001,0),MATCH(COLUMNS($V$1006:Y1006),$V$1006:$AE$1006,0)), HYPERLINK("#",""), HYPERLINK(CONCATENATE("#Metadata!", ADDRESS(INDEX($Q$2:$Q$1001,MATCH(ROWS($O$2:O379),$O$2:$O$1001,0),0), INDEX($V$1004:$AE$1004,1,MATCH(COLUMNS($V$1006:Y1006),$V$1006:$AE$1006,0)))),"Fix")))</f>
        <v>0</v>
      </c>
      <c r="F379" s="3">
        <f>IF(OR(INDEX($P$2:$P$1001,MATCH(ROWS($O$2:O379),$O$2:$O$1001,0),1)&gt;=100000,INDEX($V$1005:$AE$1005,1,MATCH(COLUMNS($V$1006:Z1006),$V$1006:$AE$1006,0))&gt;=100000), " ",IF(INDEX($V$2:$AE$1001,MATCH(ROWS($O$2:O379),$O$2:$O$1001,0),MATCH(COLUMNS($V$1006:Z1006),$V$1006:$AE$1006,0)), HYPERLINK("#",""), HYPERLINK(CONCATENATE("#Metadata!", ADDRESS(INDEX($Q$2:$Q$1001,MATCH(ROWS($O$2:O379),$O$2:$O$1001,0),0), INDEX($V$1004:$AE$1004,1,MATCH(COLUMNS($V$1006:Z1006),$V$1006:$AE$1006,0)))),"Fix")))</f>
        <v>0</v>
      </c>
      <c r="G379" s="3">
        <f>IF(OR(INDEX($P$2:$P$1001,MATCH(ROWS($O$2:O379),$O$2:$O$1001,0),1)&gt;=100000,INDEX($V$1005:$AE$1005,1,MATCH(COLUMNS($V$1006:AA1006),$V$1006:$AE$1006,0))&gt;=100000), " ",IF(INDEX($V$2:$AE$1001,MATCH(ROWS($O$2:O379),$O$2:$O$1001,0),MATCH(COLUMNS($V$1006:AA1006),$V$1006:$AE$1006,0)), HYPERLINK("#",""), HYPERLINK(CONCATENATE("#Metadata!", ADDRESS(INDEX($Q$2:$Q$1001,MATCH(ROWS($O$2:O379),$O$2:$O$1001,0),0), INDEX($V$1004:$AE$1004,1,MATCH(COLUMNS($V$1006:AA1006),$V$1006:$AE$1006,0)))),"Fix")))</f>
        <v>0</v>
      </c>
      <c r="H379" s="3">
        <f>IF(OR(INDEX($P$2:$P$1001,MATCH(ROWS($O$2:O379),$O$2:$O$1001,0),1)&gt;=100000,INDEX($V$1005:$AE$1005,1,MATCH(COLUMNS($V$1006:AB1006),$V$1006:$AE$1006,0))&gt;=100000), " ",IF(INDEX($V$2:$AE$1001,MATCH(ROWS($O$2:O379),$O$2:$O$1001,0),MATCH(COLUMNS($V$1006:AB1006),$V$1006:$AE$1006,0)), HYPERLINK("#",""), HYPERLINK(CONCATENATE("#Metadata!", ADDRESS(INDEX($Q$2:$Q$1001,MATCH(ROWS($O$2:O379),$O$2:$O$1001,0),0), INDEX($V$1004:$AE$1004,1,MATCH(COLUMNS($V$1006:AB1006),$V$1006:$AE$1006,0)))),"Fix")))</f>
        <v>0</v>
      </c>
      <c r="I379" s="3">
        <f>IF(OR(INDEX($P$2:$P$1001,MATCH(ROWS($O$2:O379),$O$2:$O$1001,0),1)&gt;=100000,INDEX($V$1005:$AE$1005,1,MATCH(COLUMNS($V$1006:AC1006),$V$1006:$AE$1006,0))&gt;=100000), " ",IF(INDEX($V$2:$AE$1001,MATCH(ROWS($O$2:O379),$O$2:$O$1001,0),MATCH(COLUMNS($V$1006:AC1006),$V$1006:$AE$1006,0)), HYPERLINK("#",""), HYPERLINK(CONCATENATE("#Metadata!", ADDRESS(INDEX($Q$2:$Q$1001,MATCH(ROWS($O$2:O379),$O$2:$O$1001,0),0), INDEX($V$1004:$AE$1004,1,MATCH(COLUMNS($V$1006:AC1006),$V$1006:$AE$1006,0)))),"Fix")))</f>
        <v>0</v>
      </c>
      <c r="J379" s="3">
        <f>IF(OR(INDEX($P$2:$P$1001,MATCH(ROWS($O$2:O379),$O$2:$O$1001,0),1)&gt;=100000,INDEX($V$1005:$AE$1005,1,MATCH(COLUMNS($V$1006:AD1006),$V$1006:$AE$1006,0))&gt;=100000), " ",IF(INDEX($V$2:$AE$1001,MATCH(ROWS($O$2:O379),$O$2:$O$1001,0),MATCH(COLUMNS($V$1006:AD1006),$V$1006:$AE$1006,0)), HYPERLINK("#",""), HYPERLINK(CONCATENATE("#Metadata!", ADDRESS(INDEX($Q$2:$Q$1001,MATCH(ROWS($O$2:O379),$O$2:$O$1001,0),0), INDEX($V$1004:$AE$1004,1,MATCH(COLUMNS($V$1006:AD1006),$V$1006:$AE$1006,0)))),"Fix")))</f>
        <v>0</v>
      </c>
      <c r="K379" s="3">
        <f>IF(OR(INDEX($P$2:$P$1001,MATCH(ROWS($O$2:O379),$O$2:$O$1001,0),1)&gt;=100000,INDEX($V$1005:$AE$1005,1,MATCH(COLUMNS($V$1006:AE1006),$V$1006:$AE$1006,0))&gt;=100000), " ",IF(INDEX($V$2:$AE$1001,MATCH(ROWS($O$2:O379),$O$2:$O$1001,0),MATCH(COLUMNS($V$1006:AE1006),$V$1006:$AE$1006,0)), HYPERLINK("#",""), HYPERLINK(CONCATENATE("#Metadata!", ADDRESS(INDEX($Q$2:$Q$1001,MATCH(ROWS($O$2:O379),$O$2:$O$1001,0),0), INDEX($V$1004:$AE$1004,1,MATCH(COLUMNS($V$1006:AE1006),$V$1006:$AE$1006,0)))),"Fix")))</f>
        <v>0</v>
      </c>
      <c r="O379">
        <v>0</v>
      </c>
      <c r="P379">
        <v>0</v>
      </c>
      <c r="Q379">
        <v>0</v>
      </c>
      <c r="R379">
        <f>IF(S379,TRUE,AND(V379:AE379))</f>
        <v>0</v>
      </c>
      <c r="S379">
        <f>COUNTBLANK(Metadata!B379:K379)=COLUMNS(Metadata!B379:K379)</f>
        <v>0</v>
      </c>
      <c r="T379">
        <v>0</v>
      </c>
      <c r="V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W379">
        <f>AND(IF(Metadata!C379="",FALSE,TRUE),exact(Metadata!C379,"animal secretion"))</f>
        <v>0</v>
      </c>
      <c r="X379">
        <f>AND(IF(Metadata!D379="",FALSE,TRUE),exact(Metadata!D379,"saliva"))</f>
        <v>0</v>
      </c>
      <c r="Y379">
        <f>AND(IF(Metadata!E379="",FALSE,TRUE),exact(Metadata!E379,"human-oral"))</f>
        <v>0</v>
      </c>
      <c r="Z379">
        <f>AND(IF(Metadata!F379="",FALSE,TRUE),exact(Metadata!F379,"UBERON:oral cavity"))</f>
        <v>0</v>
      </c>
      <c r="AA379">
        <f>AND(IF(Metadata!G379="",FALSE,TRUE),exact(Metadata!G379,"UBERON:saliva"))</f>
        <v>0</v>
      </c>
      <c r="AB379">
        <f>AND(IF(Metadata!H379="",FALSE,TRUE),exact(Metadata!H379,"UBERON:tongue"))</f>
        <v>0</v>
      </c>
      <c r="AC379">
        <f>AND(IF(Metadata!I379="",FALSE,TRUE),exact(Metadata!I379,"tongue"))</f>
        <v>0</v>
      </c>
      <c r="AD379">
        <f>AND(IF(Metadata!J379="",FALSE,TRUE),exact(Metadata!J379,"human oral metagenome"))</f>
        <v>0</v>
      </c>
      <c r="AE379">
        <f>AND(IF(Metadata!K379="",FALSE,TRUE),exact(Metadata!K379,"447426"))</f>
        <v>0</v>
      </c>
    </row>
    <row r="380" spans="1:31">
      <c r="A380" s="4">
        <f>IF(B380=" "," ",HYPERLINK(CONCATENATE("#metadata!",ADDRESS(INDEX($Q$2:$Q$1001,MATCH(ROWS($O$2:O380),$O$2:$O$1001,0),0),1)),INDEX($T$2:$T$1001,MATCH(ROWS($O$2:O380),$O$2:$O$1001,0),0)))</f>
        <v>0</v>
      </c>
      <c r="B380" s="3">
        <f>IF(OR(INDEX($P$2:$P$1001,MATCH(ROWS($O$2:O380),$O$2:$O$1001,0),1)&gt;=100000,INDEX($V$1005:$AE$1005,1,MATCH(COLUMNS($V$1006:V1006),$V$1006:$AE$1006,0))&gt;=100000), " ",IF(INDEX($V$2:$AE$1001,MATCH(ROWS($O$2:O380),$O$2:$O$1001,0),MATCH(COLUMNS($V$1006:V1006),$V$1006:$AE$1006,0)), HYPERLINK("#",""), HYPERLINK(CONCATENATE("#Metadata!", ADDRESS(INDEX($Q$2:$Q$1001,MATCH(ROWS($O$2:O380),$O$2:$O$1001,0),0), INDEX($V$1004:$AE$1004,1,MATCH(COLUMNS($V$1006:V1006),$V$1006:$AE$1006,0)))),"Fix")))</f>
        <v>0</v>
      </c>
      <c r="C380" s="3">
        <f>IF(OR(INDEX($P$2:$P$1001,MATCH(ROWS($O$2:O380),$O$2:$O$1001,0),1)&gt;=100000,INDEX($V$1005:$AE$1005,1,MATCH(COLUMNS($V$1006:W1006),$V$1006:$AE$1006,0))&gt;=100000), " ",IF(INDEX($V$2:$AE$1001,MATCH(ROWS($O$2:O380),$O$2:$O$1001,0),MATCH(COLUMNS($V$1006:W1006),$V$1006:$AE$1006,0)), HYPERLINK("#",""), HYPERLINK(CONCATENATE("#Metadata!", ADDRESS(INDEX($Q$2:$Q$1001,MATCH(ROWS($O$2:O380),$O$2:$O$1001,0),0), INDEX($V$1004:$AE$1004,1,MATCH(COLUMNS($V$1006:W1006),$V$1006:$AE$1006,0)))),"Fix")))</f>
        <v>0</v>
      </c>
      <c r="D380" s="3">
        <f>IF(OR(INDEX($P$2:$P$1001,MATCH(ROWS($O$2:O380),$O$2:$O$1001,0),1)&gt;=100000,INDEX($V$1005:$AE$1005,1,MATCH(COLUMNS($V$1006:X1006),$V$1006:$AE$1006,0))&gt;=100000), " ",IF(INDEX($V$2:$AE$1001,MATCH(ROWS($O$2:O380),$O$2:$O$1001,0),MATCH(COLUMNS($V$1006:X1006),$V$1006:$AE$1006,0)), HYPERLINK("#",""), HYPERLINK(CONCATENATE("#Metadata!", ADDRESS(INDEX($Q$2:$Q$1001,MATCH(ROWS($O$2:O380),$O$2:$O$1001,0),0), INDEX($V$1004:$AE$1004,1,MATCH(COLUMNS($V$1006:X1006),$V$1006:$AE$1006,0)))),"Fix")))</f>
        <v>0</v>
      </c>
      <c r="E380" s="3">
        <f>IF(OR(INDEX($P$2:$P$1001,MATCH(ROWS($O$2:O380),$O$2:$O$1001,0),1)&gt;=100000,INDEX($V$1005:$AE$1005,1,MATCH(COLUMNS($V$1006:Y1006),$V$1006:$AE$1006,0))&gt;=100000), " ",IF(INDEX($V$2:$AE$1001,MATCH(ROWS($O$2:O380),$O$2:$O$1001,0),MATCH(COLUMNS($V$1006:Y1006),$V$1006:$AE$1006,0)), HYPERLINK("#",""), HYPERLINK(CONCATENATE("#Metadata!", ADDRESS(INDEX($Q$2:$Q$1001,MATCH(ROWS($O$2:O380),$O$2:$O$1001,0),0), INDEX($V$1004:$AE$1004,1,MATCH(COLUMNS($V$1006:Y1006),$V$1006:$AE$1006,0)))),"Fix")))</f>
        <v>0</v>
      </c>
      <c r="F380" s="3">
        <f>IF(OR(INDEX($P$2:$P$1001,MATCH(ROWS($O$2:O380),$O$2:$O$1001,0),1)&gt;=100000,INDEX($V$1005:$AE$1005,1,MATCH(COLUMNS($V$1006:Z1006),$V$1006:$AE$1006,0))&gt;=100000), " ",IF(INDEX($V$2:$AE$1001,MATCH(ROWS($O$2:O380),$O$2:$O$1001,0),MATCH(COLUMNS($V$1006:Z1006),$V$1006:$AE$1006,0)), HYPERLINK("#",""), HYPERLINK(CONCATENATE("#Metadata!", ADDRESS(INDEX($Q$2:$Q$1001,MATCH(ROWS($O$2:O380),$O$2:$O$1001,0),0), INDEX($V$1004:$AE$1004,1,MATCH(COLUMNS($V$1006:Z1006),$V$1006:$AE$1006,0)))),"Fix")))</f>
        <v>0</v>
      </c>
      <c r="G380" s="3">
        <f>IF(OR(INDEX($P$2:$P$1001,MATCH(ROWS($O$2:O380),$O$2:$O$1001,0),1)&gt;=100000,INDEX($V$1005:$AE$1005,1,MATCH(COLUMNS($V$1006:AA1006),$V$1006:$AE$1006,0))&gt;=100000), " ",IF(INDEX($V$2:$AE$1001,MATCH(ROWS($O$2:O380),$O$2:$O$1001,0),MATCH(COLUMNS($V$1006:AA1006),$V$1006:$AE$1006,0)), HYPERLINK("#",""), HYPERLINK(CONCATENATE("#Metadata!", ADDRESS(INDEX($Q$2:$Q$1001,MATCH(ROWS($O$2:O380),$O$2:$O$1001,0),0), INDEX($V$1004:$AE$1004,1,MATCH(COLUMNS($V$1006:AA1006),$V$1006:$AE$1006,0)))),"Fix")))</f>
        <v>0</v>
      </c>
      <c r="H380" s="3">
        <f>IF(OR(INDEX($P$2:$P$1001,MATCH(ROWS($O$2:O380),$O$2:$O$1001,0),1)&gt;=100000,INDEX($V$1005:$AE$1005,1,MATCH(COLUMNS($V$1006:AB1006),$V$1006:$AE$1006,0))&gt;=100000), " ",IF(INDEX($V$2:$AE$1001,MATCH(ROWS($O$2:O380),$O$2:$O$1001,0),MATCH(COLUMNS($V$1006:AB1006),$V$1006:$AE$1006,0)), HYPERLINK("#",""), HYPERLINK(CONCATENATE("#Metadata!", ADDRESS(INDEX($Q$2:$Q$1001,MATCH(ROWS($O$2:O380),$O$2:$O$1001,0),0), INDEX($V$1004:$AE$1004,1,MATCH(COLUMNS($V$1006:AB1006),$V$1006:$AE$1006,0)))),"Fix")))</f>
        <v>0</v>
      </c>
      <c r="I380" s="3">
        <f>IF(OR(INDEX($P$2:$P$1001,MATCH(ROWS($O$2:O380),$O$2:$O$1001,0),1)&gt;=100000,INDEX($V$1005:$AE$1005,1,MATCH(COLUMNS($V$1006:AC1006),$V$1006:$AE$1006,0))&gt;=100000), " ",IF(INDEX($V$2:$AE$1001,MATCH(ROWS($O$2:O380),$O$2:$O$1001,0),MATCH(COLUMNS($V$1006:AC1006),$V$1006:$AE$1006,0)), HYPERLINK("#",""), HYPERLINK(CONCATENATE("#Metadata!", ADDRESS(INDEX($Q$2:$Q$1001,MATCH(ROWS($O$2:O380),$O$2:$O$1001,0),0), INDEX($V$1004:$AE$1004,1,MATCH(COLUMNS($V$1006:AC1006),$V$1006:$AE$1006,0)))),"Fix")))</f>
        <v>0</v>
      </c>
      <c r="J380" s="3">
        <f>IF(OR(INDEX($P$2:$P$1001,MATCH(ROWS($O$2:O380),$O$2:$O$1001,0),1)&gt;=100000,INDEX($V$1005:$AE$1005,1,MATCH(COLUMNS($V$1006:AD1006),$V$1006:$AE$1006,0))&gt;=100000), " ",IF(INDEX($V$2:$AE$1001,MATCH(ROWS($O$2:O380),$O$2:$O$1001,0),MATCH(COLUMNS($V$1006:AD1006),$V$1006:$AE$1006,0)), HYPERLINK("#",""), HYPERLINK(CONCATENATE("#Metadata!", ADDRESS(INDEX($Q$2:$Q$1001,MATCH(ROWS($O$2:O380),$O$2:$O$1001,0),0), INDEX($V$1004:$AE$1004,1,MATCH(COLUMNS($V$1006:AD1006),$V$1006:$AE$1006,0)))),"Fix")))</f>
        <v>0</v>
      </c>
      <c r="K380" s="3">
        <f>IF(OR(INDEX($P$2:$P$1001,MATCH(ROWS($O$2:O380),$O$2:$O$1001,0),1)&gt;=100000,INDEX($V$1005:$AE$1005,1,MATCH(COLUMNS($V$1006:AE1006),$V$1006:$AE$1006,0))&gt;=100000), " ",IF(INDEX($V$2:$AE$1001,MATCH(ROWS($O$2:O380),$O$2:$O$1001,0),MATCH(COLUMNS($V$1006:AE1006),$V$1006:$AE$1006,0)), HYPERLINK("#",""), HYPERLINK(CONCATENATE("#Metadata!", ADDRESS(INDEX($Q$2:$Q$1001,MATCH(ROWS($O$2:O380),$O$2:$O$1001,0),0), INDEX($V$1004:$AE$1004,1,MATCH(COLUMNS($V$1006:AE1006),$V$1006:$AE$1006,0)))),"Fix")))</f>
        <v>0</v>
      </c>
      <c r="O380">
        <v>0</v>
      </c>
      <c r="P380">
        <v>0</v>
      </c>
      <c r="Q380">
        <v>0</v>
      </c>
      <c r="R380">
        <f>IF(S380,TRUE,AND(V380:AE380))</f>
        <v>0</v>
      </c>
      <c r="S380">
        <f>COUNTBLANK(Metadata!B380:K380)=COLUMNS(Metadata!B380:K380)</f>
        <v>0</v>
      </c>
      <c r="T380">
        <v>0</v>
      </c>
      <c r="V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W380">
        <f>AND(IF(Metadata!C380="",FALSE,TRUE),exact(Metadata!C380,"animal secretion"))</f>
        <v>0</v>
      </c>
      <c r="X380">
        <f>AND(IF(Metadata!D380="",FALSE,TRUE),exact(Metadata!D380,"saliva"))</f>
        <v>0</v>
      </c>
      <c r="Y380">
        <f>AND(IF(Metadata!E380="",FALSE,TRUE),exact(Metadata!E380,"human-oral"))</f>
        <v>0</v>
      </c>
      <c r="Z380">
        <f>AND(IF(Metadata!F380="",FALSE,TRUE),exact(Metadata!F380,"UBERON:oral cavity"))</f>
        <v>0</v>
      </c>
      <c r="AA380">
        <f>AND(IF(Metadata!G380="",FALSE,TRUE),exact(Metadata!G380,"UBERON:saliva"))</f>
        <v>0</v>
      </c>
      <c r="AB380">
        <f>AND(IF(Metadata!H380="",FALSE,TRUE),exact(Metadata!H380,"UBERON:tongue"))</f>
        <v>0</v>
      </c>
      <c r="AC380">
        <f>AND(IF(Metadata!I380="",FALSE,TRUE),exact(Metadata!I380,"tongue"))</f>
        <v>0</v>
      </c>
      <c r="AD380">
        <f>AND(IF(Metadata!J380="",FALSE,TRUE),exact(Metadata!J380,"human oral metagenome"))</f>
        <v>0</v>
      </c>
      <c r="AE380">
        <f>AND(IF(Metadata!K380="",FALSE,TRUE),exact(Metadata!K380,"447426"))</f>
        <v>0</v>
      </c>
    </row>
    <row r="381" spans="1:31">
      <c r="A381" s="4">
        <f>IF(B381=" "," ",HYPERLINK(CONCATENATE("#metadata!",ADDRESS(INDEX($Q$2:$Q$1001,MATCH(ROWS($O$2:O381),$O$2:$O$1001,0),0),1)),INDEX($T$2:$T$1001,MATCH(ROWS($O$2:O381),$O$2:$O$1001,0),0)))</f>
        <v>0</v>
      </c>
      <c r="B381" s="3">
        <f>IF(OR(INDEX($P$2:$P$1001,MATCH(ROWS($O$2:O381),$O$2:$O$1001,0),1)&gt;=100000,INDEX($V$1005:$AE$1005,1,MATCH(COLUMNS($V$1006:V1006),$V$1006:$AE$1006,0))&gt;=100000), " ",IF(INDEX($V$2:$AE$1001,MATCH(ROWS($O$2:O381),$O$2:$O$1001,0),MATCH(COLUMNS($V$1006:V1006),$V$1006:$AE$1006,0)), HYPERLINK("#",""), HYPERLINK(CONCATENATE("#Metadata!", ADDRESS(INDEX($Q$2:$Q$1001,MATCH(ROWS($O$2:O381),$O$2:$O$1001,0),0), INDEX($V$1004:$AE$1004,1,MATCH(COLUMNS($V$1006:V1006),$V$1006:$AE$1006,0)))),"Fix")))</f>
        <v>0</v>
      </c>
      <c r="C381" s="3">
        <f>IF(OR(INDEX($P$2:$P$1001,MATCH(ROWS($O$2:O381),$O$2:$O$1001,0),1)&gt;=100000,INDEX($V$1005:$AE$1005,1,MATCH(COLUMNS($V$1006:W1006),$V$1006:$AE$1006,0))&gt;=100000), " ",IF(INDEX($V$2:$AE$1001,MATCH(ROWS($O$2:O381),$O$2:$O$1001,0),MATCH(COLUMNS($V$1006:W1006),$V$1006:$AE$1006,0)), HYPERLINK("#",""), HYPERLINK(CONCATENATE("#Metadata!", ADDRESS(INDEX($Q$2:$Q$1001,MATCH(ROWS($O$2:O381),$O$2:$O$1001,0),0), INDEX($V$1004:$AE$1004,1,MATCH(COLUMNS($V$1006:W1006),$V$1006:$AE$1006,0)))),"Fix")))</f>
        <v>0</v>
      </c>
      <c r="D381" s="3">
        <f>IF(OR(INDEX($P$2:$P$1001,MATCH(ROWS($O$2:O381),$O$2:$O$1001,0),1)&gt;=100000,INDEX($V$1005:$AE$1005,1,MATCH(COLUMNS($V$1006:X1006),$V$1006:$AE$1006,0))&gt;=100000), " ",IF(INDEX($V$2:$AE$1001,MATCH(ROWS($O$2:O381),$O$2:$O$1001,0),MATCH(COLUMNS($V$1006:X1006),$V$1006:$AE$1006,0)), HYPERLINK("#",""), HYPERLINK(CONCATENATE("#Metadata!", ADDRESS(INDEX($Q$2:$Q$1001,MATCH(ROWS($O$2:O381),$O$2:$O$1001,0),0), INDEX($V$1004:$AE$1004,1,MATCH(COLUMNS($V$1006:X1006),$V$1006:$AE$1006,0)))),"Fix")))</f>
        <v>0</v>
      </c>
      <c r="E381" s="3">
        <f>IF(OR(INDEX($P$2:$P$1001,MATCH(ROWS($O$2:O381),$O$2:$O$1001,0),1)&gt;=100000,INDEX($V$1005:$AE$1005,1,MATCH(COLUMNS($V$1006:Y1006),$V$1006:$AE$1006,0))&gt;=100000), " ",IF(INDEX($V$2:$AE$1001,MATCH(ROWS($O$2:O381),$O$2:$O$1001,0),MATCH(COLUMNS($V$1006:Y1006),$V$1006:$AE$1006,0)), HYPERLINK("#",""), HYPERLINK(CONCATENATE("#Metadata!", ADDRESS(INDEX($Q$2:$Q$1001,MATCH(ROWS($O$2:O381),$O$2:$O$1001,0),0), INDEX($V$1004:$AE$1004,1,MATCH(COLUMNS($V$1006:Y1006),$V$1006:$AE$1006,0)))),"Fix")))</f>
        <v>0</v>
      </c>
      <c r="F381" s="3">
        <f>IF(OR(INDEX($P$2:$P$1001,MATCH(ROWS($O$2:O381),$O$2:$O$1001,0),1)&gt;=100000,INDEX($V$1005:$AE$1005,1,MATCH(COLUMNS($V$1006:Z1006),$V$1006:$AE$1006,0))&gt;=100000), " ",IF(INDEX($V$2:$AE$1001,MATCH(ROWS($O$2:O381),$O$2:$O$1001,0),MATCH(COLUMNS($V$1006:Z1006),$V$1006:$AE$1006,0)), HYPERLINK("#",""), HYPERLINK(CONCATENATE("#Metadata!", ADDRESS(INDEX($Q$2:$Q$1001,MATCH(ROWS($O$2:O381),$O$2:$O$1001,0),0), INDEX($V$1004:$AE$1004,1,MATCH(COLUMNS($V$1006:Z1006),$V$1006:$AE$1006,0)))),"Fix")))</f>
        <v>0</v>
      </c>
      <c r="G381" s="3">
        <f>IF(OR(INDEX($P$2:$P$1001,MATCH(ROWS($O$2:O381),$O$2:$O$1001,0),1)&gt;=100000,INDEX($V$1005:$AE$1005,1,MATCH(COLUMNS($V$1006:AA1006),$V$1006:$AE$1006,0))&gt;=100000), " ",IF(INDEX($V$2:$AE$1001,MATCH(ROWS($O$2:O381),$O$2:$O$1001,0),MATCH(COLUMNS($V$1006:AA1006),$V$1006:$AE$1006,0)), HYPERLINK("#",""), HYPERLINK(CONCATENATE("#Metadata!", ADDRESS(INDEX($Q$2:$Q$1001,MATCH(ROWS($O$2:O381),$O$2:$O$1001,0),0), INDEX($V$1004:$AE$1004,1,MATCH(COLUMNS($V$1006:AA1006),$V$1006:$AE$1006,0)))),"Fix")))</f>
        <v>0</v>
      </c>
      <c r="H381" s="3">
        <f>IF(OR(INDEX($P$2:$P$1001,MATCH(ROWS($O$2:O381),$O$2:$O$1001,0),1)&gt;=100000,INDEX($V$1005:$AE$1005,1,MATCH(COLUMNS($V$1006:AB1006),$V$1006:$AE$1006,0))&gt;=100000), " ",IF(INDEX($V$2:$AE$1001,MATCH(ROWS($O$2:O381),$O$2:$O$1001,0),MATCH(COLUMNS($V$1006:AB1006),$V$1006:$AE$1006,0)), HYPERLINK("#",""), HYPERLINK(CONCATENATE("#Metadata!", ADDRESS(INDEX($Q$2:$Q$1001,MATCH(ROWS($O$2:O381),$O$2:$O$1001,0),0), INDEX($V$1004:$AE$1004,1,MATCH(COLUMNS($V$1006:AB1006),$V$1006:$AE$1006,0)))),"Fix")))</f>
        <v>0</v>
      </c>
      <c r="I381" s="3">
        <f>IF(OR(INDEX($P$2:$P$1001,MATCH(ROWS($O$2:O381),$O$2:$O$1001,0),1)&gt;=100000,INDEX($V$1005:$AE$1005,1,MATCH(COLUMNS($V$1006:AC1006),$V$1006:$AE$1006,0))&gt;=100000), " ",IF(INDEX($V$2:$AE$1001,MATCH(ROWS($O$2:O381),$O$2:$O$1001,0),MATCH(COLUMNS($V$1006:AC1006),$V$1006:$AE$1006,0)), HYPERLINK("#",""), HYPERLINK(CONCATENATE("#Metadata!", ADDRESS(INDEX($Q$2:$Q$1001,MATCH(ROWS($O$2:O381),$O$2:$O$1001,0),0), INDEX($V$1004:$AE$1004,1,MATCH(COLUMNS($V$1006:AC1006),$V$1006:$AE$1006,0)))),"Fix")))</f>
        <v>0</v>
      </c>
      <c r="J381" s="3">
        <f>IF(OR(INDEX($P$2:$P$1001,MATCH(ROWS($O$2:O381),$O$2:$O$1001,0),1)&gt;=100000,INDEX($V$1005:$AE$1005,1,MATCH(COLUMNS($V$1006:AD1006),$V$1006:$AE$1006,0))&gt;=100000), " ",IF(INDEX($V$2:$AE$1001,MATCH(ROWS($O$2:O381),$O$2:$O$1001,0),MATCH(COLUMNS($V$1006:AD1006),$V$1006:$AE$1006,0)), HYPERLINK("#",""), HYPERLINK(CONCATENATE("#Metadata!", ADDRESS(INDEX($Q$2:$Q$1001,MATCH(ROWS($O$2:O381),$O$2:$O$1001,0),0), INDEX($V$1004:$AE$1004,1,MATCH(COLUMNS($V$1006:AD1006),$V$1006:$AE$1006,0)))),"Fix")))</f>
        <v>0</v>
      </c>
      <c r="K381" s="3">
        <f>IF(OR(INDEX($P$2:$P$1001,MATCH(ROWS($O$2:O381),$O$2:$O$1001,0),1)&gt;=100000,INDEX($V$1005:$AE$1005,1,MATCH(COLUMNS($V$1006:AE1006),$V$1006:$AE$1006,0))&gt;=100000), " ",IF(INDEX($V$2:$AE$1001,MATCH(ROWS($O$2:O381),$O$2:$O$1001,0),MATCH(COLUMNS($V$1006:AE1006),$V$1006:$AE$1006,0)), HYPERLINK("#",""), HYPERLINK(CONCATENATE("#Metadata!", ADDRESS(INDEX($Q$2:$Q$1001,MATCH(ROWS($O$2:O381),$O$2:$O$1001,0),0), INDEX($V$1004:$AE$1004,1,MATCH(COLUMNS($V$1006:AE1006),$V$1006:$AE$1006,0)))),"Fix")))</f>
        <v>0</v>
      </c>
      <c r="O381">
        <v>0</v>
      </c>
      <c r="P381">
        <v>0</v>
      </c>
      <c r="Q381">
        <v>0</v>
      </c>
      <c r="R381">
        <f>IF(S381,TRUE,AND(V381:AE381))</f>
        <v>0</v>
      </c>
      <c r="S381">
        <f>COUNTBLANK(Metadata!B381:K381)=COLUMNS(Metadata!B381:K381)</f>
        <v>0</v>
      </c>
      <c r="T381">
        <v>0</v>
      </c>
      <c r="V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W381">
        <f>AND(IF(Metadata!C381="",FALSE,TRUE),exact(Metadata!C381,"animal secretion"))</f>
        <v>0</v>
      </c>
      <c r="X381">
        <f>AND(IF(Metadata!D381="",FALSE,TRUE),exact(Metadata!D381,"saliva"))</f>
        <v>0</v>
      </c>
      <c r="Y381">
        <f>AND(IF(Metadata!E381="",FALSE,TRUE),exact(Metadata!E381,"human-oral"))</f>
        <v>0</v>
      </c>
      <c r="Z381">
        <f>AND(IF(Metadata!F381="",FALSE,TRUE),exact(Metadata!F381,"UBERON:oral cavity"))</f>
        <v>0</v>
      </c>
      <c r="AA381">
        <f>AND(IF(Metadata!G381="",FALSE,TRUE),exact(Metadata!G381,"UBERON:saliva"))</f>
        <v>0</v>
      </c>
      <c r="AB381">
        <f>AND(IF(Metadata!H381="",FALSE,TRUE),exact(Metadata!H381,"UBERON:tongue"))</f>
        <v>0</v>
      </c>
      <c r="AC381">
        <f>AND(IF(Metadata!I381="",FALSE,TRUE),exact(Metadata!I381,"tongue"))</f>
        <v>0</v>
      </c>
      <c r="AD381">
        <f>AND(IF(Metadata!J381="",FALSE,TRUE),exact(Metadata!J381,"human oral metagenome"))</f>
        <v>0</v>
      </c>
      <c r="AE381">
        <f>AND(IF(Metadata!K381="",FALSE,TRUE),exact(Metadata!K381,"447426"))</f>
        <v>0</v>
      </c>
    </row>
    <row r="382" spans="1:31">
      <c r="A382" s="4">
        <f>IF(B382=" "," ",HYPERLINK(CONCATENATE("#metadata!",ADDRESS(INDEX($Q$2:$Q$1001,MATCH(ROWS($O$2:O382),$O$2:$O$1001,0),0),1)),INDEX($T$2:$T$1001,MATCH(ROWS($O$2:O382),$O$2:$O$1001,0),0)))</f>
        <v>0</v>
      </c>
      <c r="B382" s="3">
        <f>IF(OR(INDEX($P$2:$P$1001,MATCH(ROWS($O$2:O382),$O$2:$O$1001,0),1)&gt;=100000,INDEX($V$1005:$AE$1005,1,MATCH(COLUMNS($V$1006:V1006),$V$1006:$AE$1006,0))&gt;=100000), " ",IF(INDEX($V$2:$AE$1001,MATCH(ROWS($O$2:O382),$O$2:$O$1001,0),MATCH(COLUMNS($V$1006:V1006),$V$1006:$AE$1006,0)), HYPERLINK("#",""), HYPERLINK(CONCATENATE("#Metadata!", ADDRESS(INDEX($Q$2:$Q$1001,MATCH(ROWS($O$2:O382),$O$2:$O$1001,0),0), INDEX($V$1004:$AE$1004,1,MATCH(COLUMNS($V$1006:V1006),$V$1006:$AE$1006,0)))),"Fix")))</f>
        <v>0</v>
      </c>
      <c r="C382" s="3">
        <f>IF(OR(INDEX($P$2:$P$1001,MATCH(ROWS($O$2:O382),$O$2:$O$1001,0),1)&gt;=100000,INDEX($V$1005:$AE$1005,1,MATCH(COLUMNS($V$1006:W1006),$V$1006:$AE$1006,0))&gt;=100000), " ",IF(INDEX($V$2:$AE$1001,MATCH(ROWS($O$2:O382),$O$2:$O$1001,0),MATCH(COLUMNS($V$1006:W1006),$V$1006:$AE$1006,0)), HYPERLINK("#",""), HYPERLINK(CONCATENATE("#Metadata!", ADDRESS(INDEX($Q$2:$Q$1001,MATCH(ROWS($O$2:O382),$O$2:$O$1001,0),0), INDEX($V$1004:$AE$1004,1,MATCH(COLUMNS($V$1006:W1006),$V$1006:$AE$1006,0)))),"Fix")))</f>
        <v>0</v>
      </c>
      <c r="D382" s="3">
        <f>IF(OR(INDEX($P$2:$P$1001,MATCH(ROWS($O$2:O382),$O$2:$O$1001,0),1)&gt;=100000,INDEX($V$1005:$AE$1005,1,MATCH(COLUMNS($V$1006:X1006),$V$1006:$AE$1006,0))&gt;=100000), " ",IF(INDEX($V$2:$AE$1001,MATCH(ROWS($O$2:O382),$O$2:$O$1001,0),MATCH(COLUMNS($V$1006:X1006),$V$1006:$AE$1006,0)), HYPERLINK("#",""), HYPERLINK(CONCATENATE("#Metadata!", ADDRESS(INDEX($Q$2:$Q$1001,MATCH(ROWS($O$2:O382),$O$2:$O$1001,0),0), INDEX($V$1004:$AE$1004,1,MATCH(COLUMNS($V$1006:X1006),$V$1006:$AE$1006,0)))),"Fix")))</f>
        <v>0</v>
      </c>
      <c r="E382" s="3">
        <f>IF(OR(INDEX($P$2:$P$1001,MATCH(ROWS($O$2:O382),$O$2:$O$1001,0),1)&gt;=100000,INDEX($V$1005:$AE$1005,1,MATCH(COLUMNS($V$1006:Y1006),$V$1006:$AE$1006,0))&gt;=100000), " ",IF(INDEX($V$2:$AE$1001,MATCH(ROWS($O$2:O382),$O$2:$O$1001,0),MATCH(COLUMNS($V$1006:Y1006),$V$1006:$AE$1006,0)), HYPERLINK("#",""), HYPERLINK(CONCATENATE("#Metadata!", ADDRESS(INDEX($Q$2:$Q$1001,MATCH(ROWS($O$2:O382),$O$2:$O$1001,0),0), INDEX($V$1004:$AE$1004,1,MATCH(COLUMNS($V$1006:Y1006),$V$1006:$AE$1006,0)))),"Fix")))</f>
        <v>0</v>
      </c>
      <c r="F382" s="3">
        <f>IF(OR(INDEX($P$2:$P$1001,MATCH(ROWS($O$2:O382),$O$2:$O$1001,0),1)&gt;=100000,INDEX($V$1005:$AE$1005,1,MATCH(COLUMNS($V$1006:Z1006),$V$1006:$AE$1006,0))&gt;=100000), " ",IF(INDEX($V$2:$AE$1001,MATCH(ROWS($O$2:O382),$O$2:$O$1001,0),MATCH(COLUMNS($V$1006:Z1006),$V$1006:$AE$1006,0)), HYPERLINK("#",""), HYPERLINK(CONCATENATE("#Metadata!", ADDRESS(INDEX($Q$2:$Q$1001,MATCH(ROWS($O$2:O382),$O$2:$O$1001,0),0), INDEX($V$1004:$AE$1004,1,MATCH(COLUMNS($V$1006:Z1006),$V$1006:$AE$1006,0)))),"Fix")))</f>
        <v>0</v>
      </c>
      <c r="G382" s="3">
        <f>IF(OR(INDEX($P$2:$P$1001,MATCH(ROWS($O$2:O382),$O$2:$O$1001,0),1)&gt;=100000,INDEX($V$1005:$AE$1005,1,MATCH(COLUMNS($V$1006:AA1006),$V$1006:$AE$1006,0))&gt;=100000), " ",IF(INDEX($V$2:$AE$1001,MATCH(ROWS($O$2:O382),$O$2:$O$1001,0),MATCH(COLUMNS($V$1006:AA1006),$V$1006:$AE$1006,0)), HYPERLINK("#",""), HYPERLINK(CONCATENATE("#Metadata!", ADDRESS(INDEX($Q$2:$Q$1001,MATCH(ROWS($O$2:O382),$O$2:$O$1001,0),0), INDEX($V$1004:$AE$1004,1,MATCH(COLUMNS($V$1006:AA1006),$V$1006:$AE$1006,0)))),"Fix")))</f>
        <v>0</v>
      </c>
      <c r="H382" s="3">
        <f>IF(OR(INDEX($P$2:$P$1001,MATCH(ROWS($O$2:O382),$O$2:$O$1001,0),1)&gt;=100000,INDEX($V$1005:$AE$1005,1,MATCH(COLUMNS($V$1006:AB1006),$V$1006:$AE$1006,0))&gt;=100000), " ",IF(INDEX($V$2:$AE$1001,MATCH(ROWS($O$2:O382),$O$2:$O$1001,0),MATCH(COLUMNS($V$1006:AB1006),$V$1006:$AE$1006,0)), HYPERLINK("#",""), HYPERLINK(CONCATENATE("#Metadata!", ADDRESS(INDEX($Q$2:$Q$1001,MATCH(ROWS($O$2:O382),$O$2:$O$1001,0),0), INDEX($V$1004:$AE$1004,1,MATCH(COLUMNS($V$1006:AB1006),$V$1006:$AE$1006,0)))),"Fix")))</f>
        <v>0</v>
      </c>
      <c r="I382" s="3">
        <f>IF(OR(INDEX($P$2:$P$1001,MATCH(ROWS($O$2:O382),$O$2:$O$1001,0),1)&gt;=100000,INDEX($V$1005:$AE$1005,1,MATCH(COLUMNS($V$1006:AC1006),$V$1006:$AE$1006,0))&gt;=100000), " ",IF(INDEX($V$2:$AE$1001,MATCH(ROWS($O$2:O382),$O$2:$O$1001,0),MATCH(COLUMNS($V$1006:AC1006),$V$1006:$AE$1006,0)), HYPERLINK("#",""), HYPERLINK(CONCATENATE("#Metadata!", ADDRESS(INDEX($Q$2:$Q$1001,MATCH(ROWS($O$2:O382),$O$2:$O$1001,0),0), INDEX($V$1004:$AE$1004,1,MATCH(COLUMNS($V$1006:AC1006),$V$1006:$AE$1006,0)))),"Fix")))</f>
        <v>0</v>
      </c>
      <c r="J382" s="3">
        <f>IF(OR(INDEX($P$2:$P$1001,MATCH(ROWS($O$2:O382),$O$2:$O$1001,0),1)&gt;=100000,INDEX($V$1005:$AE$1005,1,MATCH(COLUMNS($V$1006:AD1006),$V$1006:$AE$1006,0))&gt;=100000), " ",IF(INDEX($V$2:$AE$1001,MATCH(ROWS($O$2:O382),$O$2:$O$1001,0),MATCH(COLUMNS($V$1006:AD1006),$V$1006:$AE$1006,0)), HYPERLINK("#",""), HYPERLINK(CONCATENATE("#Metadata!", ADDRESS(INDEX($Q$2:$Q$1001,MATCH(ROWS($O$2:O382),$O$2:$O$1001,0),0), INDEX($V$1004:$AE$1004,1,MATCH(COLUMNS($V$1006:AD1006),$V$1006:$AE$1006,0)))),"Fix")))</f>
        <v>0</v>
      </c>
      <c r="K382" s="3">
        <f>IF(OR(INDEX($P$2:$P$1001,MATCH(ROWS($O$2:O382),$O$2:$O$1001,0),1)&gt;=100000,INDEX($V$1005:$AE$1005,1,MATCH(COLUMNS($V$1006:AE1006),$V$1006:$AE$1006,0))&gt;=100000), " ",IF(INDEX($V$2:$AE$1001,MATCH(ROWS($O$2:O382),$O$2:$O$1001,0),MATCH(COLUMNS($V$1006:AE1006),$V$1006:$AE$1006,0)), HYPERLINK("#",""), HYPERLINK(CONCATENATE("#Metadata!", ADDRESS(INDEX($Q$2:$Q$1001,MATCH(ROWS($O$2:O382),$O$2:$O$1001,0),0), INDEX($V$1004:$AE$1004,1,MATCH(COLUMNS($V$1006:AE1006),$V$1006:$AE$1006,0)))),"Fix")))</f>
        <v>0</v>
      </c>
      <c r="O382">
        <v>0</v>
      </c>
      <c r="P382">
        <v>0</v>
      </c>
      <c r="Q382">
        <v>0</v>
      </c>
      <c r="R382">
        <f>IF(S382,TRUE,AND(V382:AE382))</f>
        <v>0</v>
      </c>
      <c r="S382">
        <f>COUNTBLANK(Metadata!B382:K382)=COLUMNS(Metadata!B382:K382)</f>
        <v>0</v>
      </c>
      <c r="T382">
        <v>0</v>
      </c>
      <c r="V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W382">
        <f>AND(IF(Metadata!C382="",FALSE,TRUE),exact(Metadata!C382,"animal secretion"))</f>
        <v>0</v>
      </c>
      <c r="X382">
        <f>AND(IF(Metadata!D382="",FALSE,TRUE),exact(Metadata!D382,"saliva"))</f>
        <v>0</v>
      </c>
      <c r="Y382">
        <f>AND(IF(Metadata!E382="",FALSE,TRUE),exact(Metadata!E382,"human-oral"))</f>
        <v>0</v>
      </c>
      <c r="Z382">
        <f>AND(IF(Metadata!F382="",FALSE,TRUE),exact(Metadata!F382,"UBERON:oral cavity"))</f>
        <v>0</v>
      </c>
      <c r="AA382">
        <f>AND(IF(Metadata!G382="",FALSE,TRUE),exact(Metadata!G382,"UBERON:saliva"))</f>
        <v>0</v>
      </c>
      <c r="AB382">
        <f>AND(IF(Metadata!H382="",FALSE,TRUE),exact(Metadata!H382,"UBERON:tongue"))</f>
        <v>0</v>
      </c>
      <c r="AC382">
        <f>AND(IF(Metadata!I382="",FALSE,TRUE),exact(Metadata!I382,"tongue"))</f>
        <v>0</v>
      </c>
      <c r="AD382">
        <f>AND(IF(Metadata!J382="",FALSE,TRUE),exact(Metadata!J382,"human oral metagenome"))</f>
        <v>0</v>
      </c>
      <c r="AE382">
        <f>AND(IF(Metadata!K382="",FALSE,TRUE),exact(Metadata!K382,"447426"))</f>
        <v>0</v>
      </c>
    </row>
    <row r="383" spans="1:31">
      <c r="A383" s="4">
        <f>IF(B383=" "," ",HYPERLINK(CONCATENATE("#metadata!",ADDRESS(INDEX($Q$2:$Q$1001,MATCH(ROWS($O$2:O383),$O$2:$O$1001,0),0),1)),INDEX($T$2:$T$1001,MATCH(ROWS($O$2:O383),$O$2:$O$1001,0),0)))</f>
        <v>0</v>
      </c>
      <c r="B383" s="3">
        <f>IF(OR(INDEX($P$2:$P$1001,MATCH(ROWS($O$2:O383),$O$2:$O$1001,0),1)&gt;=100000,INDEX($V$1005:$AE$1005,1,MATCH(COLUMNS($V$1006:V1006),$V$1006:$AE$1006,0))&gt;=100000), " ",IF(INDEX($V$2:$AE$1001,MATCH(ROWS($O$2:O383),$O$2:$O$1001,0),MATCH(COLUMNS($V$1006:V1006),$V$1006:$AE$1006,0)), HYPERLINK("#",""), HYPERLINK(CONCATENATE("#Metadata!", ADDRESS(INDEX($Q$2:$Q$1001,MATCH(ROWS($O$2:O383),$O$2:$O$1001,0),0), INDEX($V$1004:$AE$1004,1,MATCH(COLUMNS($V$1006:V1006),$V$1006:$AE$1006,0)))),"Fix")))</f>
        <v>0</v>
      </c>
      <c r="C383" s="3">
        <f>IF(OR(INDEX($P$2:$P$1001,MATCH(ROWS($O$2:O383),$O$2:$O$1001,0),1)&gt;=100000,INDEX($V$1005:$AE$1005,1,MATCH(COLUMNS($V$1006:W1006),$V$1006:$AE$1006,0))&gt;=100000), " ",IF(INDEX($V$2:$AE$1001,MATCH(ROWS($O$2:O383),$O$2:$O$1001,0),MATCH(COLUMNS($V$1006:W1006),$V$1006:$AE$1006,0)), HYPERLINK("#",""), HYPERLINK(CONCATENATE("#Metadata!", ADDRESS(INDEX($Q$2:$Q$1001,MATCH(ROWS($O$2:O383),$O$2:$O$1001,0),0), INDEX($V$1004:$AE$1004,1,MATCH(COLUMNS($V$1006:W1006),$V$1006:$AE$1006,0)))),"Fix")))</f>
        <v>0</v>
      </c>
      <c r="D383" s="3">
        <f>IF(OR(INDEX($P$2:$P$1001,MATCH(ROWS($O$2:O383),$O$2:$O$1001,0),1)&gt;=100000,INDEX($V$1005:$AE$1005,1,MATCH(COLUMNS($V$1006:X1006),$V$1006:$AE$1006,0))&gt;=100000), " ",IF(INDEX($V$2:$AE$1001,MATCH(ROWS($O$2:O383),$O$2:$O$1001,0),MATCH(COLUMNS($V$1006:X1006),$V$1006:$AE$1006,0)), HYPERLINK("#",""), HYPERLINK(CONCATENATE("#Metadata!", ADDRESS(INDEX($Q$2:$Q$1001,MATCH(ROWS($O$2:O383),$O$2:$O$1001,0),0), INDEX($V$1004:$AE$1004,1,MATCH(COLUMNS($V$1006:X1006),$V$1006:$AE$1006,0)))),"Fix")))</f>
        <v>0</v>
      </c>
      <c r="E383" s="3">
        <f>IF(OR(INDEX($P$2:$P$1001,MATCH(ROWS($O$2:O383),$O$2:$O$1001,0),1)&gt;=100000,INDEX($V$1005:$AE$1005,1,MATCH(COLUMNS($V$1006:Y1006),$V$1006:$AE$1006,0))&gt;=100000), " ",IF(INDEX($V$2:$AE$1001,MATCH(ROWS($O$2:O383),$O$2:$O$1001,0),MATCH(COLUMNS($V$1006:Y1006),$V$1006:$AE$1006,0)), HYPERLINK("#",""), HYPERLINK(CONCATENATE("#Metadata!", ADDRESS(INDEX($Q$2:$Q$1001,MATCH(ROWS($O$2:O383),$O$2:$O$1001,0),0), INDEX($V$1004:$AE$1004,1,MATCH(COLUMNS($V$1006:Y1006),$V$1006:$AE$1006,0)))),"Fix")))</f>
        <v>0</v>
      </c>
      <c r="F383" s="3">
        <f>IF(OR(INDEX($P$2:$P$1001,MATCH(ROWS($O$2:O383),$O$2:$O$1001,0),1)&gt;=100000,INDEX($V$1005:$AE$1005,1,MATCH(COLUMNS($V$1006:Z1006),$V$1006:$AE$1006,0))&gt;=100000), " ",IF(INDEX($V$2:$AE$1001,MATCH(ROWS($O$2:O383),$O$2:$O$1001,0),MATCH(COLUMNS($V$1006:Z1006),$V$1006:$AE$1006,0)), HYPERLINK("#",""), HYPERLINK(CONCATENATE("#Metadata!", ADDRESS(INDEX($Q$2:$Q$1001,MATCH(ROWS($O$2:O383),$O$2:$O$1001,0),0), INDEX($V$1004:$AE$1004,1,MATCH(COLUMNS($V$1006:Z1006),$V$1006:$AE$1006,0)))),"Fix")))</f>
        <v>0</v>
      </c>
      <c r="G383" s="3">
        <f>IF(OR(INDEX($P$2:$P$1001,MATCH(ROWS($O$2:O383),$O$2:$O$1001,0),1)&gt;=100000,INDEX($V$1005:$AE$1005,1,MATCH(COLUMNS($V$1006:AA1006),$V$1006:$AE$1006,0))&gt;=100000), " ",IF(INDEX($V$2:$AE$1001,MATCH(ROWS($O$2:O383),$O$2:$O$1001,0),MATCH(COLUMNS($V$1006:AA1006),$V$1006:$AE$1006,0)), HYPERLINK("#",""), HYPERLINK(CONCATENATE("#Metadata!", ADDRESS(INDEX($Q$2:$Q$1001,MATCH(ROWS($O$2:O383),$O$2:$O$1001,0),0), INDEX($V$1004:$AE$1004,1,MATCH(COLUMNS($V$1006:AA1006),$V$1006:$AE$1006,0)))),"Fix")))</f>
        <v>0</v>
      </c>
      <c r="H383" s="3">
        <f>IF(OR(INDEX($P$2:$P$1001,MATCH(ROWS($O$2:O383),$O$2:$O$1001,0),1)&gt;=100000,INDEX($V$1005:$AE$1005,1,MATCH(COLUMNS($V$1006:AB1006),$V$1006:$AE$1006,0))&gt;=100000), " ",IF(INDEX($V$2:$AE$1001,MATCH(ROWS($O$2:O383),$O$2:$O$1001,0),MATCH(COLUMNS($V$1006:AB1006),$V$1006:$AE$1006,0)), HYPERLINK("#",""), HYPERLINK(CONCATENATE("#Metadata!", ADDRESS(INDEX($Q$2:$Q$1001,MATCH(ROWS($O$2:O383),$O$2:$O$1001,0),0), INDEX($V$1004:$AE$1004,1,MATCH(COLUMNS($V$1006:AB1006),$V$1006:$AE$1006,0)))),"Fix")))</f>
        <v>0</v>
      </c>
      <c r="I383" s="3">
        <f>IF(OR(INDEX($P$2:$P$1001,MATCH(ROWS($O$2:O383),$O$2:$O$1001,0),1)&gt;=100000,INDEX($V$1005:$AE$1005,1,MATCH(COLUMNS($V$1006:AC1006),$V$1006:$AE$1006,0))&gt;=100000), " ",IF(INDEX($V$2:$AE$1001,MATCH(ROWS($O$2:O383),$O$2:$O$1001,0),MATCH(COLUMNS($V$1006:AC1006),$V$1006:$AE$1006,0)), HYPERLINK("#",""), HYPERLINK(CONCATENATE("#Metadata!", ADDRESS(INDEX($Q$2:$Q$1001,MATCH(ROWS($O$2:O383),$O$2:$O$1001,0),0), INDEX($V$1004:$AE$1004,1,MATCH(COLUMNS($V$1006:AC1006),$V$1006:$AE$1006,0)))),"Fix")))</f>
        <v>0</v>
      </c>
      <c r="J383" s="3">
        <f>IF(OR(INDEX($P$2:$P$1001,MATCH(ROWS($O$2:O383),$O$2:$O$1001,0),1)&gt;=100000,INDEX($V$1005:$AE$1005,1,MATCH(COLUMNS($V$1006:AD1006),$V$1006:$AE$1006,0))&gt;=100000), " ",IF(INDEX($V$2:$AE$1001,MATCH(ROWS($O$2:O383),$O$2:$O$1001,0),MATCH(COLUMNS($V$1006:AD1006),$V$1006:$AE$1006,0)), HYPERLINK("#",""), HYPERLINK(CONCATENATE("#Metadata!", ADDRESS(INDEX($Q$2:$Q$1001,MATCH(ROWS($O$2:O383),$O$2:$O$1001,0),0), INDEX($V$1004:$AE$1004,1,MATCH(COLUMNS($V$1006:AD1006),$V$1006:$AE$1006,0)))),"Fix")))</f>
        <v>0</v>
      </c>
      <c r="K383" s="3">
        <f>IF(OR(INDEX($P$2:$P$1001,MATCH(ROWS($O$2:O383),$O$2:$O$1001,0),1)&gt;=100000,INDEX($V$1005:$AE$1005,1,MATCH(COLUMNS($V$1006:AE1006),$V$1006:$AE$1006,0))&gt;=100000), " ",IF(INDEX($V$2:$AE$1001,MATCH(ROWS($O$2:O383),$O$2:$O$1001,0),MATCH(COLUMNS($V$1006:AE1006),$V$1006:$AE$1006,0)), HYPERLINK("#",""), HYPERLINK(CONCATENATE("#Metadata!", ADDRESS(INDEX($Q$2:$Q$1001,MATCH(ROWS($O$2:O383),$O$2:$O$1001,0),0), INDEX($V$1004:$AE$1004,1,MATCH(COLUMNS($V$1006:AE1006),$V$1006:$AE$1006,0)))),"Fix")))</f>
        <v>0</v>
      </c>
      <c r="O383">
        <v>0</v>
      </c>
      <c r="P383">
        <v>0</v>
      </c>
      <c r="Q383">
        <v>0</v>
      </c>
      <c r="R383">
        <f>IF(S383,TRUE,AND(V383:AE383))</f>
        <v>0</v>
      </c>
      <c r="S383">
        <f>COUNTBLANK(Metadata!B383:K383)=COLUMNS(Metadata!B383:K383)</f>
        <v>0</v>
      </c>
      <c r="T383">
        <v>0</v>
      </c>
      <c r="V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W383">
        <f>AND(IF(Metadata!C383="",FALSE,TRUE),exact(Metadata!C383,"animal secretion"))</f>
        <v>0</v>
      </c>
      <c r="X383">
        <f>AND(IF(Metadata!D383="",FALSE,TRUE),exact(Metadata!D383,"saliva"))</f>
        <v>0</v>
      </c>
      <c r="Y383">
        <f>AND(IF(Metadata!E383="",FALSE,TRUE),exact(Metadata!E383,"human-oral"))</f>
        <v>0</v>
      </c>
      <c r="Z383">
        <f>AND(IF(Metadata!F383="",FALSE,TRUE),exact(Metadata!F383,"UBERON:oral cavity"))</f>
        <v>0</v>
      </c>
      <c r="AA383">
        <f>AND(IF(Metadata!G383="",FALSE,TRUE),exact(Metadata!G383,"UBERON:saliva"))</f>
        <v>0</v>
      </c>
      <c r="AB383">
        <f>AND(IF(Metadata!H383="",FALSE,TRUE),exact(Metadata!H383,"UBERON:tongue"))</f>
        <v>0</v>
      </c>
      <c r="AC383">
        <f>AND(IF(Metadata!I383="",FALSE,TRUE),exact(Metadata!I383,"tongue"))</f>
        <v>0</v>
      </c>
      <c r="AD383">
        <f>AND(IF(Metadata!J383="",FALSE,TRUE),exact(Metadata!J383,"human oral metagenome"))</f>
        <v>0</v>
      </c>
      <c r="AE383">
        <f>AND(IF(Metadata!K383="",FALSE,TRUE),exact(Metadata!K383,"447426"))</f>
        <v>0</v>
      </c>
    </row>
    <row r="384" spans="1:31">
      <c r="A384" s="4">
        <f>IF(B384=" "," ",HYPERLINK(CONCATENATE("#metadata!",ADDRESS(INDEX($Q$2:$Q$1001,MATCH(ROWS($O$2:O384),$O$2:$O$1001,0),0),1)),INDEX($T$2:$T$1001,MATCH(ROWS($O$2:O384),$O$2:$O$1001,0),0)))</f>
        <v>0</v>
      </c>
      <c r="B384" s="3">
        <f>IF(OR(INDEX($P$2:$P$1001,MATCH(ROWS($O$2:O384),$O$2:$O$1001,0),1)&gt;=100000,INDEX($V$1005:$AE$1005,1,MATCH(COLUMNS($V$1006:V1006),$V$1006:$AE$1006,0))&gt;=100000), " ",IF(INDEX($V$2:$AE$1001,MATCH(ROWS($O$2:O384),$O$2:$O$1001,0),MATCH(COLUMNS($V$1006:V1006),$V$1006:$AE$1006,0)), HYPERLINK("#",""), HYPERLINK(CONCATENATE("#Metadata!", ADDRESS(INDEX($Q$2:$Q$1001,MATCH(ROWS($O$2:O384),$O$2:$O$1001,0),0), INDEX($V$1004:$AE$1004,1,MATCH(COLUMNS($V$1006:V1006),$V$1006:$AE$1006,0)))),"Fix")))</f>
        <v>0</v>
      </c>
      <c r="C384" s="3">
        <f>IF(OR(INDEX($P$2:$P$1001,MATCH(ROWS($O$2:O384),$O$2:$O$1001,0),1)&gt;=100000,INDEX($V$1005:$AE$1005,1,MATCH(COLUMNS($V$1006:W1006),$V$1006:$AE$1006,0))&gt;=100000), " ",IF(INDEX($V$2:$AE$1001,MATCH(ROWS($O$2:O384),$O$2:$O$1001,0),MATCH(COLUMNS($V$1006:W1006),$V$1006:$AE$1006,0)), HYPERLINK("#",""), HYPERLINK(CONCATENATE("#Metadata!", ADDRESS(INDEX($Q$2:$Q$1001,MATCH(ROWS($O$2:O384),$O$2:$O$1001,0),0), INDEX($V$1004:$AE$1004,1,MATCH(COLUMNS($V$1006:W1006),$V$1006:$AE$1006,0)))),"Fix")))</f>
        <v>0</v>
      </c>
      <c r="D384" s="3">
        <f>IF(OR(INDEX($P$2:$P$1001,MATCH(ROWS($O$2:O384),$O$2:$O$1001,0),1)&gt;=100000,INDEX($V$1005:$AE$1005,1,MATCH(COLUMNS($V$1006:X1006),$V$1006:$AE$1006,0))&gt;=100000), " ",IF(INDEX($V$2:$AE$1001,MATCH(ROWS($O$2:O384),$O$2:$O$1001,0),MATCH(COLUMNS($V$1006:X1006),$V$1006:$AE$1006,0)), HYPERLINK("#",""), HYPERLINK(CONCATENATE("#Metadata!", ADDRESS(INDEX($Q$2:$Q$1001,MATCH(ROWS($O$2:O384),$O$2:$O$1001,0),0), INDEX($V$1004:$AE$1004,1,MATCH(COLUMNS($V$1006:X1006),$V$1006:$AE$1006,0)))),"Fix")))</f>
        <v>0</v>
      </c>
      <c r="E384" s="3">
        <f>IF(OR(INDEX($P$2:$P$1001,MATCH(ROWS($O$2:O384),$O$2:$O$1001,0),1)&gt;=100000,INDEX($V$1005:$AE$1005,1,MATCH(COLUMNS($V$1006:Y1006),$V$1006:$AE$1006,0))&gt;=100000), " ",IF(INDEX($V$2:$AE$1001,MATCH(ROWS($O$2:O384),$O$2:$O$1001,0),MATCH(COLUMNS($V$1006:Y1006),$V$1006:$AE$1006,0)), HYPERLINK("#",""), HYPERLINK(CONCATENATE("#Metadata!", ADDRESS(INDEX($Q$2:$Q$1001,MATCH(ROWS($O$2:O384),$O$2:$O$1001,0),0), INDEX($V$1004:$AE$1004,1,MATCH(COLUMNS($V$1006:Y1006),$V$1006:$AE$1006,0)))),"Fix")))</f>
        <v>0</v>
      </c>
      <c r="F384" s="3">
        <f>IF(OR(INDEX($P$2:$P$1001,MATCH(ROWS($O$2:O384),$O$2:$O$1001,0),1)&gt;=100000,INDEX($V$1005:$AE$1005,1,MATCH(COLUMNS($V$1006:Z1006),$V$1006:$AE$1006,0))&gt;=100000), " ",IF(INDEX($V$2:$AE$1001,MATCH(ROWS($O$2:O384),$O$2:$O$1001,0),MATCH(COLUMNS($V$1006:Z1006),$V$1006:$AE$1006,0)), HYPERLINK("#",""), HYPERLINK(CONCATENATE("#Metadata!", ADDRESS(INDEX($Q$2:$Q$1001,MATCH(ROWS($O$2:O384),$O$2:$O$1001,0),0), INDEX($V$1004:$AE$1004,1,MATCH(COLUMNS($V$1006:Z1006),$V$1006:$AE$1006,0)))),"Fix")))</f>
        <v>0</v>
      </c>
      <c r="G384" s="3">
        <f>IF(OR(INDEX($P$2:$P$1001,MATCH(ROWS($O$2:O384),$O$2:$O$1001,0),1)&gt;=100000,INDEX($V$1005:$AE$1005,1,MATCH(COLUMNS($V$1006:AA1006),$V$1006:$AE$1006,0))&gt;=100000), " ",IF(INDEX($V$2:$AE$1001,MATCH(ROWS($O$2:O384),$O$2:$O$1001,0),MATCH(COLUMNS($V$1006:AA1006),$V$1006:$AE$1006,0)), HYPERLINK("#",""), HYPERLINK(CONCATENATE("#Metadata!", ADDRESS(INDEX($Q$2:$Q$1001,MATCH(ROWS($O$2:O384),$O$2:$O$1001,0),0), INDEX($V$1004:$AE$1004,1,MATCH(COLUMNS($V$1006:AA1006),$V$1006:$AE$1006,0)))),"Fix")))</f>
        <v>0</v>
      </c>
      <c r="H384" s="3">
        <f>IF(OR(INDEX($P$2:$P$1001,MATCH(ROWS($O$2:O384),$O$2:$O$1001,0),1)&gt;=100000,INDEX($V$1005:$AE$1005,1,MATCH(COLUMNS($V$1006:AB1006),$V$1006:$AE$1006,0))&gt;=100000), " ",IF(INDEX($V$2:$AE$1001,MATCH(ROWS($O$2:O384),$O$2:$O$1001,0),MATCH(COLUMNS($V$1006:AB1006),$V$1006:$AE$1006,0)), HYPERLINK("#",""), HYPERLINK(CONCATENATE("#Metadata!", ADDRESS(INDEX($Q$2:$Q$1001,MATCH(ROWS($O$2:O384),$O$2:$O$1001,0),0), INDEX($V$1004:$AE$1004,1,MATCH(COLUMNS($V$1006:AB1006),$V$1006:$AE$1006,0)))),"Fix")))</f>
        <v>0</v>
      </c>
      <c r="I384" s="3">
        <f>IF(OR(INDEX($P$2:$P$1001,MATCH(ROWS($O$2:O384),$O$2:$O$1001,0),1)&gt;=100000,INDEX($V$1005:$AE$1005,1,MATCH(COLUMNS($V$1006:AC1006),$V$1006:$AE$1006,0))&gt;=100000), " ",IF(INDEX($V$2:$AE$1001,MATCH(ROWS($O$2:O384),$O$2:$O$1001,0),MATCH(COLUMNS($V$1006:AC1006),$V$1006:$AE$1006,0)), HYPERLINK("#",""), HYPERLINK(CONCATENATE("#Metadata!", ADDRESS(INDEX($Q$2:$Q$1001,MATCH(ROWS($O$2:O384),$O$2:$O$1001,0),0), INDEX($V$1004:$AE$1004,1,MATCH(COLUMNS($V$1006:AC1006),$V$1006:$AE$1006,0)))),"Fix")))</f>
        <v>0</v>
      </c>
      <c r="J384" s="3">
        <f>IF(OR(INDEX($P$2:$P$1001,MATCH(ROWS($O$2:O384),$O$2:$O$1001,0),1)&gt;=100000,INDEX($V$1005:$AE$1005,1,MATCH(COLUMNS($V$1006:AD1006),$V$1006:$AE$1006,0))&gt;=100000), " ",IF(INDEX($V$2:$AE$1001,MATCH(ROWS($O$2:O384),$O$2:$O$1001,0),MATCH(COLUMNS($V$1006:AD1006),$V$1006:$AE$1006,0)), HYPERLINK("#",""), HYPERLINK(CONCATENATE("#Metadata!", ADDRESS(INDEX($Q$2:$Q$1001,MATCH(ROWS($O$2:O384),$O$2:$O$1001,0),0), INDEX($V$1004:$AE$1004,1,MATCH(COLUMNS($V$1006:AD1006),$V$1006:$AE$1006,0)))),"Fix")))</f>
        <v>0</v>
      </c>
      <c r="K384" s="3">
        <f>IF(OR(INDEX($P$2:$P$1001,MATCH(ROWS($O$2:O384),$O$2:$O$1001,0),1)&gt;=100000,INDEX($V$1005:$AE$1005,1,MATCH(COLUMNS($V$1006:AE1006),$V$1006:$AE$1006,0))&gt;=100000), " ",IF(INDEX($V$2:$AE$1001,MATCH(ROWS($O$2:O384),$O$2:$O$1001,0),MATCH(COLUMNS($V$1006:AE1006),$V$1006:$AE$1006,0)), HYPERLINK("#",""), HYPERLINK(CONCATENATE("#Metadata!", ADDRESS(INDEX($Q$2:$Q$1001,MATCH(ROWS($O$2:O384),$O$2:$O$1001,0),0), INDEX($V$1004:$AE$1004,1,MATCH(COLUMNS($V$1006:AE1006),$V$1006:$AE$1006,0)))),"Fix")))</f>
        <v>0</v>
      </c>
      <c r="O384">
        <v>0</v>
      </c>
      <c r="P384">
        <v>0</v>
      </c>
      <c r="Q384">
        <v>0</v>
      </c>
      <c r="R384">
        <f>IF(S384,TRUE,AND(V384:AE384))</f>
        <v>0</v>
      </c>
      <c r="S384">
        <f>COUNTBLANK(Metadata!B384:K384)=COLUMNS(Metadata!B384:K384)</f>
        <v>0</v>
      </c>
      <c r="T384">
        <v>0</v>
      </c>
      <c r="V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W384">
        <f>AND(IF(Metadata!C384="",FALSE,TRUE),exact(Metadata!C384,"animal secretion"))</f>
        <v>0</v>
      </c>
      <c r="X384">
        <f>AND(IF(Metadata!D384="",FALSE,TRUE),exact(Metadata!D384,"saliva"))</f>
        <v>0</v>
      </c>
      <c r="Y384">
        <f>AND(IF(Metadata!E384="",FALSE,TRUE),exact(Metadata!E384,"human-oral"))</f>
        <v>0</v>
      </c>
      <c r="Z384">
        <f>AND(IF(Metadata!F384="",FALSE,TRUE),exact(Metadata!F384,"UBERON:oral cavity"))</f>
        <v>0</v>
      </c>
      <c r="AA384">
        <f>AND(IF(Metadata!G384="",FALSE,TRUE),exact(Metadata!G384,"UBERON:saliva"))</f>
        <v>0</v>
      </c>
      <c r="AB384">
        <f>AND(IF(Metadata!H384="",FALSE,TRUE),exact(Metadata!H384,"UBERON:tongue"))</f>
        <v>0</v>
      </c>
      <c r="AC384">
        <f>AND(IF(Metadata!I384="",FALSE,TRUE),exact(Metadata!I384,"tongue"))</f>
        <v>0</v>
      </c>
      <c r="AD384">
        <f>AND(IF(Metadata!J384="",FALSE,TRUE),exact(Metadata!J384,"human oral metagenome"))</f>
        <v>0</v>
      </c>
      <c r="AE384">
        <f>AND(IF(Metadata!K384="",FALSE,TRUE),exact(Metadata!K384,"447426"))</f>
        <v>0</v>
      </c>
    </row>
    <row r="385" spans="1:31">
      <c r="A385" s="4">
        <f>IF(B385=" "," ",HYPERLINK(CONCATENATE("#metadata!",ADDRESS(INDEX($Q$2:$Q$1001,MATCH(ROWS($O$2:O385),$O$2:$O$1001,0),0),1)),INDEX($T$2:$T$1001,MATCH(ROWS($O$2:O385),$O$2:$O$1001,0),0)))</f>
        <v>0</v>
      </c>
      <c r="B385" s="3">
        <f>IF(OR(INDEX($P$2:$P$1001,MATCH(ROWS($O$2:O385),$O$2:$O$1001,0),1)&gt;=100000,INDEX($V$1005:$AE$1005,1,MATCH(COLUMNS($V$1006:V1006),$V$1006:$AE$1006,0))&gt;=100000), " ",IF(INDEX($V$2:$AE$1001,MATCH(ROWS($O$2:O385),$O$2:$O$1001,0),MATCH(COLUMNS($V$1006:V1006),$V$1006:$AE$1006,0)), HYPERLINK("#",""), HYPERLINK(CONCATENATE("#Metadata!", ADDRESS(INDEX($Q$2:$Q$1001,MATCH(ROWS($O$2:O385),$O$2:$O$1001,0),0), INDEX($V$1004:$AE$1004,1,MATCH(COLUMNS($V$1006:V1006),$V$1006:$AE$1006,0)))),"Fix")))</f>
        <v>0</v>
      </c>
      <c r="C385" s="3">
        <f>IF(OR(INDEX($P$2:$P$1001,MATCH(ROWS($O$2:O385),$O$2:$O$1001,0),1)&gt;=100000,INDEX($V$1005:$AE$1005,1,MATCH(COLUMNS($V$1006:W1006),$V$1006:$AE$1006,0))&gt;=100000), " ",IF(INDEX($V$2:$AE$1001,MATCH(ROWS($O$2:O385),$O$2:$O$1001,0),MATCH(COLUMNS($V$1006:W1006),$V$1006:$AE$1006,0)), HYPERLINK("#",""), HYPERLINK(CONCATENATE("#Metadata!", ADDRESS(INDEX($Q$2:$Q$1001,MATCH(ROWS($O$2:O385),$O$2:$O$1001,0),0), INDEX($V$1004:$AE$1004,1,MATCH(COLUMNS($V$1006:W1006),$V$1006:$AE$1006,0)))),"Fix")))</f>
        <v>0</v>
      </c>
      <c r="D385" s="3">
        <f>IF(OR(INDEX($P$2:$P$1001,MATCH(ROWS($O$2:O385),$O$2:$O$1001,0),1)&gt;=100000,INDEX($V$1005:$AE$1005,1,MATCH(COLUMNS($V$1006:X1006),$V$1006:$AE$1006,0))&gt;=100000), " ",IF(INDEX($V$2:$AE$1001,MATCH(ROWS($O$2:O385),$O$2:$O$1001,0),MATCH(COLUMNS($V$1006:X1006),$V$1006:$AE$1006,0)), HYPERLINK("#",""), HYPERLINK(CONCATENATE("#Metadata!", ADDRESS(INDEX($Q$2:$Q$1001,MATCH(ROWS($O$2:O385),$O$2:$O$1001,0),0), INDEX($V$1004:$AE$1004,1,MATCH(COLUMNS($V$1006:X1006),$V$1006:$AE$1006,0)))),"Fix")))</f>
        <v>0</v>
      </c>
      <c r="E385" s="3">
        <f>IF(OR(INDEX($P$2:$P$1001,MATCH(ROWS($O$2:O385),$O$2:$O$1001,0),1)&gt;=100000,INDEX($V$1005:$AE$1005,1,MATCH(COLUMNS($V$1006:Y1006),$V$1006:$AE$1006,0))&gt;=100000), " ",IF(INDEX($V$2:$AE$1001,MATCH(ROWS($O$2:O385),$O$2:$O$1001,0),MATCH(COLUMNS($V$1006:Y1006),$V$1006:$AE$1006,0)), HYPERLINK("#",""), HYPERLINK(CONCATENATE("#Metadata!", ADDRESS(INDEX($Q$2:$Q$1001,MATCH(ROWS($O$2:O385),$O$2:$O$1001,0),0), INDEX($V$1004:$AE$1004,1,MATCH(COLUMNS($V$1006:Y1006),$V$1006:$AE$1006,0)))),"Fix")))</f>
        <v>0</v>
      </c>
      <c r="F385" s="3">
        <f>IF(OR(INDEX($P$2:$P$1001,MATCH(ROWS($O$2:O385),$O$2:$O$1001,0),1)&gt;=100000,INDEX($V$1005:$AE$1005,1,MATCH(COLUMNS($V$1006:Z1006),$V$1006:$AE$1006,0))&gt;=100000), " ",IF(INDEX($V$2:$AE$1001,MATCH(ROWS($O$2:O385),$O$2:$O$1001,0),MATCH(COLUMNS($V$1006:Z1006),$V$1006:$AE$1006,0)), HYPERLINK("#",""), HYPERLINK(CONCATENATE("#Metadata!", ADDRESS(INDEX($Q$2:$Q$1001,MATCH(ROWS($O$2:O385),$O$2:$O$1001,0),0), INDEX($V$1004:$AE$1004,1,MATCH(COLUMNS($V$1006:Z1006),$V$1006:$AE$1006,0)))),"Fix")))</f>
        <v>0</v>
      </c>
      <c r="G385" s="3">
        <f>IF(OR(INDEX($P$2:$P$1001,MATCH(ROWS($O$2:O385),$O$2:$O$1001,0),1)&gt;=100000,INDEX($V$1005:$AE$1005,1,MATCH(COLUMNS($V$1006:AA1006),$V$1006:$AE$1006,0))&gt;=100000), " ",IF(INDEX($V$2:$AE$1001,MATCH(ROWS($O$2:O385),$O$2:$O$1001,0),MATCH(COLUMNS($V$1006:AA1006),$V$1006:$AE$1006,0)), HYPERLINK("#",""), HYPERLINK(CONCATENATE("#Metadata!", ADDRESS(INDEX($Q$2:$Q$1001,MATCH(ROWS($O$2:O385),$O$2:$O$1001,0),0), INDEX($V$1004:$AE$1004,1,MATCH(COLUMNS($V$1006:AA1006),$V$1006:$AE$1006,0)))),"Fix")))</f>
        <v>0</v>
      </c>
      <c r="H385" s="3">
        <f>IF(OR(INDEX($P$2:$P$1001,MATCH(ROWS($O$2:O385),$O$2:$O$1001,0),1)&gt;=100000,INDEX($V$1005:$AE$1005,1,MATCH(COLUMNS($V$1006:AB1006),$V$1006:$AE$1006,0))&gt;=100000), " ",IF(INDEX($V$2:$AE$1001,MATCH(ROWS($O$2:O385),$O$2:$O$1001,0),MATCH(COLUMNS($V$1006:AB1006),$V$1006:$AE$1006,0)), HYPERLINK("#",""), HYPERLINK(CONCATENATE("#Metadata!", ADDRESS(INDEX($Q$2:$Q$1001,MATCH(ROWS($O$2:O385),$O$2:$O$1001,0),0), INDEX($V$1004:$AE$1004,1,MATCH(COLUMNS($V$1006:AB1006),$V$1006:$AE$1006,0)))),"Fix")))</f>
        <v>0</v>
      </c>
      <c r="I385" s="3">
        <f>IF(OR(INDEX($P$2:$P$1001,MATCH(ROWS($O$2:O385),$O$2:$O$1001,0),1)&gt;=100000,INDEX($V$1005:$AE$1005,1,MATCH(COLUMNS($V$1006:AC1006),$V$1006:$AE$1006,0))&gt;=100000), " ",IF(INDEX($V$2:$AE$1001,MATCH(ROWS($O$2:O385),$O$2:$O$1001,0),MATCH(COLUMNS($V$1006:AC1006),$V$1006:$AE$1006,0)), HYPERLINK("#",""), HYPERLINK(CONCATENATE("#Metadata!", ADDRESS(INDEX($Q$2:$Q$1001,MATCH(ROWS($O$2:O385),$O$2:$O$1001,0),0), INDEX($V$1004:$AE$1004,1,MATCH(COLUMNS($V$1006:AC1006),$V$1006:$AE$1006,0)))),"Fix")))</f>
        <v>0</v>
      </c>
      <c r="J385" s="3">
        <f>IF(OR(INDEX($P$2:$P$1001,MATCH(ROWS($O$2:O385),$O$2:$O$1001,0),1)&gt;=100000,INDEX($V$1005:$AE$1005,1,MATCH(COLUMNS($V$1006:AD1006),$V$1006:$AE$1006,0))&gt;=100000), " ",IF(INDEX($V$2:$AE$1001,MATCH(ROWS($O$2:O385),$O$2:$O$1001,0),MATCH(COLUMNS($V$1006:AD1006),$V$1006:$AE$1006,0)), HYPERLINK("#",""), HYPERLINK(CONCATENATE("#Metadata!", ADDRESS(INDEX($Q$2:$Q$1001,MATCH(ROWS($O$2:O385),$O$2:$O$1001,0),0), INDEX($V$1004:$AE$1004,1,MATCH(COLUMNS($V$1006:AD1006),$V$1006:$AE$1006,0)))),"Fix")))</f>
        <v>0</v>
      </c>
      <c r="K385" s="3">
        <f>IF(OR(INDEX($P$2:$P$1001,MATCH(ROWS($O$2:O385),$O$2:$O$1001,0),1)&gt;=100000,INDEX($V$1005:$AE$1005,1,MATCH(COLUMNS($V$1006:AE1006),$V$1006:$AE$1006,0))&gt;=100000), " ",IF(INDEX($V$2:$AE$1001,MATCH(ROWS($O$2:O385),$O$2:$O$1001,0),MATCH(COLUMNS($V$1006:AE1006),$V$1006:$AE$1006,0)), HYPERLINK("#",""), HYPERLINK(CONCATENATE("#Metadata!", ADDRESS(INDEX($Q$2:$Q$1001,MATCH(ROWS($O$2:O385),$O$2:$O$1001,0),0), INDEX($V$1004:$AE$1004,1,MATCH(COLUMNS($V$1006:AE1006),$V$1006:$AE$1006,0)))),"Fix")))</f>
        <v>0</v>
      </c>
      <c r="O385">
        <v>0</v>
      </c>
      <c r="P385">
        <v>0</v>
      </c>
      <c r="Q385">
        <v>0</v>
      </c>
      <c r="R385">
        <f>IF(S385,TRUE,AND(V385:AE385))</f>
        <v>0</v>
      </c>
      <c r="S385">
        <f>COUNTBLANK(Metadata!B385:K385)=COLUMNS(Metadata!B385:K385)</f>
        <v>0</v>
      </c>
      <c r="T385">
        <v>0</v>
      </c>
      <c r="V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W385">
        <f>AND(IF(Metadata!C385="",FALSE,TRUE),exact(Metadata!C385,"animal secretion"))</f>
        <v>0</v>
      </c>
      <c r="X385">
        <f>AND(IF(Metadata!D385="",FALSE,TRUE),exact(Metadata!D385,"saliva"))</f>
        <v>0</v>
      </c>
      <c r="Y385">
        <f>AND(IF(Metadata!E385="",FALSE,TRUE),exact(Metadata!E385,"human-oral"))</f>
        <v>0</v>
      </c>
      <c r="Z385">
        <f>AND(IF(Metadata!F385="",FALSE,TRUE),exact(Metadata!F385,"UBERON:oral cavity"))</f>
        <v>0</v>
      </c>
      <c r="AA385">
        <f>AND(IF(Metadata!G385="",FALSE,TRUE),exact(Metadata!G385,"UBERON:saliva"))</f>
        <v>0</v>
      </c>
      <c r="AB385">
        <f>AND(IF(Metadata!H385="",FALSE,TRUE),exact(Metadata!H385,"UBERON:tongue"))</f>
        <v>0</v>
      </c>
      <c r="AC385">
        <f>AND(IF(Metadata!I385="",FALSE,TRUE),exact(Metadata!I385,"tongue"))</f>
        <v>0</v>
      </c>
      <c r="AD385">
        <f>AND(IF(Metadata!J385="",FALSE,TRUE),exact(Metadata!J385,"human oral metagenome"))</f>
        <v>0</v>
      </c>
      <c r="AE385">
        <f>AND(IF(Metadata!K385="",FALSE,TRUE),exact(Metadata!K385,"447426"))</f>
        <v>0</v>
      </c>
    </row>
    <row r="386" spans="1:31">
      <c r="A386" s="4">
        <f>IF(B386=" "," ",HYPERLINK(CONCATENATE("#metadata!",ADDRESS(INDEX($Q$2:$Q$1001,MATCH(ROWS($O$2:O386),$O$2:$O$1001,0),0),1)),INDEX($T$2:$T$1001,MATCH(ROWS($O$2:O386),$O$2:$O$1001,0),0)))</f>
        <v>0</v>
      </c>
      <c r="B386" s="3">
        <f>IF(OR(INDEX($P$2:$P$1001,MATCH(ROWS($O$2:O386),$O$2:$O$1001,0),1)&gt;=100000,INDEX($V$1005:$AE$1005,1,MATCH(COLUMNS($V$1006:V1006),$V$1006:$AE$1006,0))&gt;=100000), " ",IF(INDEX($V$2:$AE$1001,MATCH(ROWS($O$2:O386),$O$2:$O$1001,0),MATCH(COLUMNS($V$1006:V1006),$V$1006:$AE$1006,0)), HYPERLINK("#",""), HYPERLINK(CONCATENATE("#Metadata!", ADDRESS(INDEX($Q$2:$Q$1001,MATCH(ROWS($O$2:O386),$O$2:$O$1001,0),0), INDEX($V$1004:$AE$1004,1,MATCH(COLUMNS($V$1006:V1006),$V$1006:$AE$1006,0)))),"Fix")))</f>
        <v>0</v>
      </c>
      <c r="C386" s="3">
        <f>IF(OR(INDEX($P$2:$P$1001,MATCH(ROWS($O$2:O386),$O$2:$O$1001,0),1)&gt;=100000,INDEX($V$1005:$AE$1005,1,MATCH(COLUMNS($V$1006:W1006),$V$1006:$AE$1006,0))&gt;=100000), " ",IF(INDEX($V$2:$AE$1001,MATCH(ROWS($O$2:O386),$O$2:$O$1001,0),MATCH(COLUMNS($V$1006:W1006),$V$1006:$AE$1006,0)), HYPERLINK("#",""), HYPERLINK(CONCATENATE("#Metadata!", ADDRESS(INDEX($Q$2:$Q$1001,MATCH(ROWS($O$2:O386),$O$2:$O$1001,0),0), INDEX($V$1004:$AE$1004,1,MATCH(COLUMNS($V$1006:W1006),$V$1006:$AE$1006,0)))),"Fix")))</f>
        <v>0</v>
      </c>
      <c r="D386" s="3">
        <f>IF(OR(INDEX($P$2:$P$1001,MATCH(ROWS($O$2:O386),$O$2:$O$1001,0),1)&gt;=100000,INDEX($V$1005:$AE$1005,1,MATCH(COLUMNS($V$1006:X1006),$V$1006:$AE$1006,0))&gt;=100000), " ",IF(INDEX($V$2:$AE$1001,MATCH(ROWS($O$2:O386),$O$2:$O$1001,0),MATCH(COLUMNS($V$1006:X1006),$V$1006:$AE$1006,0)), HYPERLINK("#",""), HYPERLINK(CONCATENATE("#Metadata!", ADDRESS(INDEX($Q$2:$Q$1001,MATCH(ROWS($O$2:O386),$O$2:$O$1001,0),0), INDEX($V$1004:$AE$1004,1,MATCH(COLUMNS($V$1006:X1006),$V$1006:$AE$1006,0)))),"Fix")))</f>
        <v>0</v>
      </c>
      <c r="E386" s="3">
        <f>IF(OR(INDEX($P$2:$P$1001,MATCH(ROWS($O$2:O386),$O$2:$O$1001,0),1)&gt;=100000,INDEX($V$1005:$AE$1005,1,MATCH(COLUMNS($V$1006:Y1006),$V$1006:$AE$1006,0))&gt;=100000), " ",IF(INDEX($V$2:$AE$1001,MATCH(ROWS($O$2:O386),$O$2:$O$1001,0),MATCH(COLUMNS($V$1006:Y1006),$V$1006:$AE$1006,0)), HYPERLINK("#",""), HYPERLINK(CONCATENATE("#Metadata!", ADDRESS(INDEX($Q$2:$Q$1001,MATCH(ROWS($O$2:O386),$O$2:$O$1001,0),0), INDEX($V$1004:$AE$1004,1,MATCH(COLUMNS($V$1006:Y1006),$V$1006:$AE$1006,0)))),"Fix")))</f>
        <v>0</v>
      </c>
      <c r="F386" s="3">
        <f>IF(OR(INDEX($P$2:$P$1001,MATCH(ROWS($O$2:O386),$O$2:$O$1001,0),1)&gt;=100000,INDEX($V$1005:$AE$1005,1,MATCH(COLUMNS($V$1006:Z1006),$V$1006:$AE$1006,0))&gt;=100000), " ",IF(INDEX($V$2:$AE$1001,MATCH(ROWS($O$2:O386),$O$2:$O$1001,0),MATCH(COLUMNS($V$1006:Z1006),$V$1006:$AE$1006,0)), HYPERLINK("#",""), HYPERLINK(CONCATENATE("#Metadata!", ADDRESS(INDEX($Q$2:$Q$1001,MATCH(ROWS($O$2:O386),$O$2:$O$1001,0),0), INDEX($V$1004:$AE$1004,1,MATCH(COLUMNS($V$1006:Z1006),$V$1006:$AE$1006,0)))),"Fix")))</f>
        <v>0</v>
      </c>
      <c r="G386" s="3">
        <f>IF(OR(INDEX($P$2:$P$1001,MATCH(ROWS($O$2:O386),$O$2:$O$1001,0),1)&gt;=100000,INDEX($V$1005:$AE$1005,1,MATCH(COLUMNS($V$1006:AA1006),$V$1006:$AE$1006,0))&gt;=100000), " ",IF(INDEX($V$2:$AE$1001,MATCH(ROWS($O$2:O386),$O$2:$O$1001,0),MATCH(COLUMNS($V$1006:AA1006),$V$1006:$AE$1006,0)), HYPERLINK("#",""), HYPERLINK(CONCATENATE("#Metadata!", ADDRESS(INDEX($Q$2:$Q$1001,MATCH(ROWS($O$2:O386),$O$2:$O$1001,0),0), INDEX($V$1004:$AE$1004,1,MATCH(COLUMNS($V$1006:AA1006),$V$1006:$AE$1006,0)))),"Fix")))</f>
        <v>0</v>
      </c>
      <c r="H386" s="3">
        <f>IF(OR(INDEX($P$2:$P$1001,MATCH(ROWS($O$2:O386),$O$2:$O$1001,0),1)&gt;=100000,INDEX($V$1005:$AE$1005,1,MATCH(COLUMNS($V$1006:AB1006),$V$1006:$AE$1006,0))&gt;=100000), " ",IF(INDEX($V$2:$AE$1001,MATCH(ROWS($O$2:O386),$O$2:$O$1001,0),MATCH(COLUMNS($V$1006:AB1006),$V$1006:$AE$1006,0)), HYPERLINK("#",""), HYPERLINK(CONCATENATE("#Metadata!", ADDRESS(INDEX($Q$2:$Q$1001,MATCH(ROWS($O$2:O386),$O$2:$O$1001,0),0), INDEX($V$1004:$AE$1004,1,MATCH(COLUMNS($V$1006:AB1006),$V$1006:$AE$1006,0)))),"Fix")))</f>
        <v>0</v>
      </c>
      <c r="I386" s="3">
        <f>IF(OR(INDEX($P$2:$P$1001,MATCH(ROWS($O$2:O386),$O$2:$O$1001,0),1)&gt;=100000,INDEX($V$1005:$AE$1005,1,MATCH(COLUMNS($V$1006:AC1006),$V$1006:$AE$1006,0))&gt;=100000), " ",IF(INDEX($V$2:$AE$1001,MATCH(ROWS($O$2:O386),$O$2:$O$1001,0),MATCH(COLUMNS($V$1006:AC1006),$V$1006:$AE$1006,0)), HYPERLINK("#",""), HYPERLINK(CONCATENATE("#Metadata!", ADDRESS(INDEX($Q$2:$Q$1001,MATCH(ROWS($O$2:O386),$O$2:$O$1001,0),0), INDEX($V$1004:$AE$1004,1,MATCH(COLUMNS($V$1006:AC1006),$V$1006:$AE$1006,0)))),"Fix")))</f>
        <v>0</v>
      </c>
      <c r="J386" s="3">
        <f>IF(OR(INDEX($P$2:$P$1001,MATCH(ROWS($O$2:O386),$O$2:$O$1001,0),1)&gt;=100000,INDEX($V$1005:$AE$1005,1,MATCH(COLUMNS($V$1006:AD1006),$V$1006:$AE$1006,0))&gt;=100000), " ",IF(INDEX($V$2:$AE$1001,MATCH(ROWS($O$2:O386),$O$2:$O$1001,0),MATCH(COLUMNS($V$1006:AD1006),$V$1006:$AE$1006,0)), HYPERLINK("#",""), HYPERLINK(CONCATENATE("#Metadata!", ADDRESS(INDEX($Q$2:$Q$1001,MATCH(ROWS($O$2:O386),$O$2:$O$1001,0),0), INDEX($V$1004:$AE$1004,1,MATCH(COLUMNS($V$1006:AD1006),$V$1006:$AE$1006,0)))),"Fix")))</f>
        <v>0</v>
      </c>
      <c r="K386" s="3">
        <f>IF(OR(INDEX($P$2:$P$1001,MATCH(ROWS($O$2:O386),$O$2:$O$1001,0),1)&gt;=100000,INDEX($V$1005:$AE$1005,1,MATCH(COLUMNS($V$1006:AE1006),$V$1006:$AE$1006,0))&gt;=100000), " ",IF(INDEX($V$2:$AE$1001,MATCH(ROWS($O$2:O386),$O$2:$O$1001,0),MATCH(COLUMNS($V$1006:AE1006),$V$1006:$AE$1006,0)), HYPERLINK("#",""), HYPERLINK(CONCATENATE("#Metadata!", ADDRESS(INDEX($Q$2:$Q$1001,MATCH(ROWS($O$2:O386),$O$2:$O$1001,0),0), INDEX($V$1004:$AE$1004,1,MATCH(COLUMNS($V$1006:AE1006),$V$1006:$AE$1006,0)))),"Fix")))</f>
        <v>0</v>
      </c>
      <c r="O386">
        <v>0</v>
      </c>
      <c r="P386">
        <v>0</v>
      </c>
      <c r="Q386">
        <v>0</v>
      </c>
      <c r="R386">
        <f>IF(S386,TRUE,AND(V386:AE386))</f>
        <v>0</v>
      </c>
      <c r="S386">
        <f>COUNTBLANK(Metadata!B386:K386)=COLUMNS(Metadata!B386:K386)</f>
        <v>0</v>
      </c>
      <c r="T386">
        <v>0</v>
      </c>
      <c r="V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W386">
        <f>AND(IF(Metadata!C386="",FALSE,TRUE),exact(Metadata!C386,"animal secretion"))</f>
        <v>0</v>
      </c>
      <c r="X386">
        <f>AND(IF(Metadata!D386="",FALSE,TRUE),exact(Metadata!D386,"saliva"))</f>
        <v>0</v>
      </c>
      <c r="Y386">
        <f>AND(IF(Metadata!E386="",FALSE,TRUE),exact(Metadata!E386,"human-oral"))</f>
        <v>0</v>
      </c>
      <c r="Z386">
        <f>AND(IF(Metadata!F386="",FALSE,TRUE),exact(Metadata!F386,"UBERON:oral cavity"))</f>
        <v>0</v>
      </c>
      <c r="AA386">
        <f>AND(IF(Metadata!G386="",FALSE,TRUE),exact(Metadata!G386,"UBERON:saliva"))</f>
        <v>0</v>
      </c>
      <c r="AB386">
        <f>AND(IF(Metadata!H386="",FALSE,TRUE),exact(Metadata!H386,"UBERON:tongue"))</f>
        <v>0</v>
      </c>
      <c r="AC386">
        <f>AND(IF(Metadata!I386="",FALSE,TRUE),exact(Metadata!I386,"tongue"))</f>
        <v>0</v>
      </c>
      <c r="AD386">
        <f>AND(IF(Metadata!J386="",FALSE,TRUE),exact(Metadata!J386,"human oral metagenome"))</f>
        <v>0</v>
      </c>
      <c r="AE386">
        <f>AND(IF(Metadata!K386="",FALSE,TRUE),exact(Metadata!K386,"447426"))</f>
        <v>0</v>
      </c>
    </row>
    <row r="387" spans="1:31">
      <c r="A387" s="4">
        <f>IF(B387=" "," ",HYPERLINK(CONCATENATE("#metadata!",ADDRESS(INDEX($Q$2:$Q$1001,MATCH(ROWS($O$2:O387),$O$2:$O$1001,0),0),1)),INDEX($T$2:$T$1001,MATCH(ROWS($O$2:O387),$O$2:$O$1001,0),0)))</f>
        <v>0</v>
      </c>
      <c r="B387" s="3">
        <f>IF(OR(INDEX($P$2:$P$1001,MATCH(ROWS($O$2:O387),$O$2:$O$1001,0),1)&gt;=100000,INDEX($V$1005:$AE$1005,1,MATCH(COLUMNS($V$1006:V1006),$V$1006:$AE$1006,0))&gt;=100000), " ",IF(INDEX($V$2:$AE$1001,MATCH(ROWS($O$2:O387),$O$2:$O$1001,0),MATCH(COLUMNS($V$1006:V1006),$V$1006:$AE$1006,0)), HYPERLINK("#",""), HYPERLINK(CONCATENATE("#Metadata!", ADDRESS(INDEX($Q$2:$Q$1001,MATCH(ROWS($O$2:O387),$O$2:$O$1001,0),0), INDEX($V$1004:$AE$1004,1,MATCH(COLUMNS($V$1006:V1006),$V$1006:$AE$1006,0)))),"Fix")))</f>
        <v>0</v>
      </c>
      <c r="C387" s="3">
        <f>IF(OR(INDEX($P$2:$P$1001,MATCH(ROWS($O$2:O387),$O$2:$O$1001,0),1)&gt;=100000,INDEX($V$1005:$AE$1005,1,MATCH(COLUMNS($V$1006:W1006),$V$1006:$AE$1006,0))&gt;=100000), " ",IF(INDEX($V$2:$AE$1001,MATCH(ROWS($O$2:O387),$O$2:$O$1001,0),MATCH(COLUMNS($V$1006:W1006),$V$1006:$AE$1006,0)), HYPERLINK("#",""), HYPERLINK(CONCATENATE("#Metadata!", ADDRESS(INDEX($Q$2:$Q$1001,MATCH(ROWS($O$2:O387),$O$2:$O$1001,0),0), INDEX($V$1004:$AE$1004,1,MATCH(COLUMNS($V$1006:W1006),$V$1006:$AE$1006,0)))),"Fix")))</f>
        <v>0</v>
      </c>
      <c r="D387" s="3">
        <f>IF(OR(INDEX($P$2:$P$1001,MATCH(ROWS($O$2:O387),$O$2:$O$1001,0),1)&gt;=100000,INDEX($V$1005:$AE$1005,1,MATCH(COLUMNS($V$1006:X1006),$V$1006:$AE$1006,0))&gt;=100000), " ",IF(INDEX($V$2:$AE$1001,MATCH(ROWS($O$2:O387),$O$2:$O$1001,0),MATCH(COLUMNS($V$1006:X1006),$V$1006:$AE$1006,0)), HYPERLINK("#",""), HYPERLINK(CONCATENATE("#Metadata!", ADDRESS(INDEX($Q$2:$Q$1001,MATCH(ROWS($O$2:O387),$O$2:$O$1001,0),0), INDEX($V$1004:$AE$1004,1,MATCH(COLUMNS($V$1006:X1006),$V$1006:$AE$1006,0)))),"Fix")))</f>
        <v>0</v>
      </c>
      <c r="E387" s="3">
        <f>IF(OR(INDEX($P$2:$P$1001,MATCH(ROWS($O$2:O387),$O$2:$O$1001,0),1)&gt;=100000,INDEX($V$1005:$AE$1005,1,MATCH(COLUMNS($V$1006:Y1006),$V$1006:$AE$1006,0))&gt;=100000), " ",IF(INDEX($V$2:$AE$1001,MATCH(ROWS($O$2:O387),$O$2:$O$1001,0),MATCH(COLUMNS($V$1006:Y1006),$V$1006:$AE$1006,0)), HYPERLINK("#",""), HYPERLINK(CONCATENATE("#Metadata!", ADDRESS(INDEX($Q$2:$Q$1001,MATCH(ROWS($O$2:O387),$O$2:$O$1001,0),0), INDEX($V$1004:$AE$1004,1,MATCH(COLUMNS($V$1006:Y1006),$V$1006:$AE$1006,0)))),"Fix")))</f>
        <v>0</v>
      </c>
      <c r="F387" s="3">
        <f>IF(OR(INDEX($P$2:$P$1001,MATCH(ROWS($O$2:O387),$O$2:$O$1001,0),1)&gt;=100000,INDEX($V$1005:$AE$1005,1,MATCH(COLUMNS($V$1006:Z1006),$V$1006:$AE$1006,0))&gt;=100000), " ",IF(INDEX($V$2:$AE$1001,MATCH(ROWS($O$2:O387),$O$2:$O$1001,0),MATCH(COLUMNS($V$1006:Z1006),$V$1006:$AE$1006,0)), HYPERLINK("#",""), HYPERLINK(CONCATENATE("#Metadata!", ADDRESS(INDEX($Q$2:$Q$1001,MATCH(ROWS($O$2:O387),$O$2:$O$1001,0),0), INDEX($V$1004:$AE$1004,1,MATCH(COLUMNS($V$1006:Z1006),$V$1006:$AE$1006,0)))),"Fix")))</f>
        <v>0</v>
      </c>
      <c r="G387" s="3">
        <f>IF(OR(INDEX($P$2:$P$1001,MATCH(ROWS($O$2:O387),$O$2:$O$1001,0),1)&gt;=100000,INDEX($V$1005:$AE$1005,1,MATCH(COLUMNS($V$1006:AA1006),$V$1006:$AE$1006,0))&gt;=100000), " ",IF(INDEX($V$2:$AE$1001,MATCH(ROWS($O$2:O387),$O$2:$O$1001,0),MATCH(COLUMNS($V$1006:AA1006),$V$1006:$AE$1006,0)), HYPERLINK("#",""), HYPERLINK(CONCATENATE("#Metadata!", ADDRESS(INDEX($Q$2:$Q$1001,MATCH(ROWS($O$2:O387),$O$2:$O$1001,0),0), INDEX($V$1004:$AE$1004,1,MATCH(COLUMNS($V$1006:AA1006),$V$1006:$AE$1006,0)))),"Fix")))</f>
        <v>0</v>
      </c>
      <c r="H387" s="3">
        <f>IF(OR(INDEX($P$2:$P$1001,MATCH(ROWS($O$2:O387),$O$2:$O$1001,0),1)&gt;=100000,INDEX($V$1005:$AE$1005,1,MATCH(COLUMNS($V$1006:AB1006),$V$1006:$AE$1006,0))&gt;=100000), " ",IF(INDEX($V$2:$AE$1001,MATCH(ROWS($O$2:O387),$O$2:$O$1001,0),MATCH(COLUMNS($V$1006:AB1006),$V$1006:$AE$1006,0)), HYPERLINK("#",""), HYPERLINK(CONCATENATE("#Metadata!", ADDRESS(INDEX($Q$2:$Q$1001,MATCH(ROWS($O$2:O387),$O$2:$O$1001,0),0), INDEX($V$1004:$AE$1004,1,MATCH(COLUMNS($V$1006:AB1006),$V$1006:$AE$1006,0)))),"Fix")))</f>
        <v>0</v>
      </c>
      <c r="I387" s="3">
        <f>IF(OR(INDEX($P$2:$P$1001,MATCH(ROWS($O$2:O387),$O$2:$O$1001,0),1)&gt;=100000,INDEX($V$1005:$AE$1005,1,MATCH(COLUMNS($V$1006:AC1006),$V$1006:$AE$1006,0))&gt;=100000), " ",IF(INDEX($V$2:$AE$1001,MATCH(ROWS($O$2:O387),$O$2:$O$1001,0),MATCH(COLUMNS($V$1006:AC1006),$V$1006:$AE$1006,0)), HYPERLINK("#",""), HYPERLINK(CONCATENATE("#Metadata!", ADDRESS(INDEX($Q$2:$Q$1001,MATCH(ROWS($O$2:O387),$O$2:$O$1001,0),0), INDEX($V$1004:$AE$1004,1,MATCH(COLUMNS($V$1006:AC1006),$V$1006:$AE$1006,0)))),"Fix")))</f>
        <v>0</v>
      </c>
      <c r="J387" s="3">
        <f>IF(OR(INDEX($P$2:$P$1001,MATCH(ROWS($O$2:O387),$O$2:$O$1001,0),1)&gt;=100000,INDEX($V$1005:$AE$1005,1,MATCH(COLUMNS($V$1006:AD1006),$V$1006:$AE$1006,0))&gt;=100000), " ",IF(INDEX($V$2:$AE$1001,MATCH(ROWS($O$2:O387),$O$2:$O$1001,0),MATCH(COLUMNS($V$1006:AD1006),$V$1006:$AE$1006,0)), HYPERLINK("#",""), HYPERLINK(CONCATENATE("#Metadata!", ADDRESS(INDEX($Q$2:$Q$1001,MATCH(ROWS($O$2:O387),$O$2:$O$1001,0),0), INDEX($V$1004:$AE$1004,1,MATCH(COLUMNS($V$1006:AD1006),$V$1006:$AE$1006,0)))),"Fix")))</f>
        <v>0</v>
      </c>
      <c r="K387" s="3">
        <f>IF(OR(INDEX($P$2:$P$1001,MATCH(ROWS($O$2:O387),$O$2:$O$1001,0),1)&gt;=100000,INDEX($V$1005:$AE$1005,1,MATCH(COLUMNS($V$1006:AE1006),$V$1006:$AE$1006,0))&gt;=100000), " ",IF(INDEX($V$2:$AE$1001,MATCH(ROWS($O$2:O387),$O$2:$O$1001,0),MATCH(COLUMNS($V$1006:AE1006),$V$1006:$AE$1006,0)), HYPERLINK("#",""), HYPERLINK(CONCATENATE("#Metadata!", ADDRESS(INDEX($Q$2:$Q$1001,MATCH(ROWS($O$2:O387),$O$2:$O$1001,0),0), INDEX($V$1004:$AE$1004,1,MATCH(COLUMNS($V$1006:AE1006),$V$1006:$AE$1006,0)))),"Fix")))</f>
        <v>0</v>
      </c>
      <c r="O387">
        <v>0</v>
      </c>
      <c r="P387">
        <v>0</v>
      </c>
      <c r="Q387">
        <v>0</v>
      </c>
      <c r="R387">
        <f>IF(S387,TRUE,AND(V387:AE387))</f>
        <v>0</v>
      </c>
      <c r="S387">
        <f>COUNTBLANK(Metadata!B387:K387)=COLUMNS(Metadata!B387:K387)</f>
        <v>0</v>
      </c>
      <c r="T387">
        <v>0</v>
      </c>
      <c r="V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W387">
        <f>AND(IF(Metadata!C387="",FALSE,TRUE),exact(Metadata!C387,"animal secretion"))</f>
        <v>0</v>
      </c>
      <c r="X387">
        <f>AND(IF(Metadata!D387="",FALSE,TRUE),exact(Metadata!D387,"saliva"))</f>
        <v>0</v>
      </c>
      <c r="Y387">
        <f>AND(IF(Metadata!E387="",FALSE,TRUE),exact(Metadata!E387,"human-oral"))</f>
        <v>0</v>
      </c>
      <c r="Z387">
        <f>AND(IF(Metadata!F387="",FALSE,TRUE),exact(Metadata!F387,"UBERON:oral cavity"))</f>
        <v>0</v>
      </c>
      <c r="AA387">
        <f>AND(IF(Metadata!G387="",FALSE,TRUE),exact(Metadata!G387,"UBERON:saliva"))</f>
        <v>0</v>
      </c>
      <c r="AB387">
        <f>AND(IF(Metadata!H387="",FALSE,TRUE),exact(Metadata!H387,"UBERON:tongue"))</f>
        <v>0</v>
      </c>
      <c r="AC387">
        <f>AND(IF(Metadata!I387="",FALSE,TRUE),exact(Metadata!I387,"tongue"))</f>
        <v>0</v>
      </c>
      <c r="AD387">
        <f>AND(IF(Metadata!J387="",FALSE,TRUE),exact(Metadata!J387,"human oral metagenome"))</f>
        <v>0</v>
      </c>
      <c r="AE387">
        <f>AND(IF(Metadata!K387="",FALSE,TRUE),exact(Metadata!K387,"447426"))</f>
        <v>0</v>
      </c>
    </row>
    <row r="388" spans="1:31">
      <c r="A388" s="4">
        <f>IF(B388=" "," ",HYPERLINK(CONCATENATE("#metadata!",ADDRESS(INDEX($Q$2:$Q$1001,MATCH(ROWS($O$2:O388),$O$2:$O$1001,0),0),1)),INDEX($T$2:$T$1001,MATCH(ROWS($O$2:O388),$O$2:$O$1001,0),0)))</f>
        <v>0</v>
      </c>
      <c r="B388" s="3">
        <f>IF(OR(INDEX($P$2:$P$1001,MATCH(ROWS($O$2:O388),$O$2:$O$1001,0),1)&gt;=100000,INDEX($V$1005:$AE$1005,1,MATCH(COLUMNS($V$1006:V1006),$V$1006:$AE$1006,0))&gt;=100000), " ",IF(INDEX($V$2:$AE$1001,MATCH(ROWS($O$2:O388),$O$2:$O$1001,0),MATCH(COLUMNS($V$1006:V1006),$V$1006:$AE$1006,0)), HYPERLINK("#",""), HYPERLINK(CONCATENATE("#Metadata!", ADDRESS(INDEX($Q$2:$Q$1001,MATCH(ROWS($O$2:O388),$O$2:$O$1001,0),0), INDEX($V$1004:$AE$1004,1,MATCH(COLUMNS($V$1006:V1006),$V$1006:$AE$1006,0)))),"Fix")))</f>
        <v>0</v>
      </c>
      <c r="C388" s="3">
        <f>IF(OR(INDEX($P$2:$P$1001,MATCH(ROWS($O$2:O388),$O$2:$O$1001,0),1)&gt;=100000,INDEX($V$1005:$AE$1005,1,MATCH(COLUMNS($V$1006:W1006),$V$1006:$AE$1006,0))&gt;=100000), " ",IF(INDEX($V$2:$AE$1001,MATCH(ROWS($O$2:O388),$O$2:$O$1001,0),MATCH(COLUMNS($V$1006:W1006),$V$1006:$AE$1006,0)), HYPERLINK("#",""), HYPERLINK(CONCATENATE("#Metadata!", ADDRESS(INDEX($Q$2:$Q$1001,MATCH(ROWS($O$2:O388),$O$2:$O$1001,0),0), INDEX($V$1004:$AE$1004,1,MATCH(COLUMNS($V$1006:W1006),$V$1006:$AE$1006,0)))),"Fix")))</f>
        <v>0</v>
      </c>
      <c r="D388" s="3">
        <f>IF(OR(INDEX($P$2:$P$1001,MATCH(ROWS($O$2:O388),$O$2:$O$1001,0),1)&gt;=100000,INDEX($V$1005:$AE$1005,1,MATCH(COLUMNS($V$1006:X1006),$V$1006:$AE$1006,0))&gt;=100000), " ",IF(INDEX($V$2:$AE$1001,MATCH(ROWS($O$2:O388),$O$2:$O$1001,0),MATCH(COLUMNS($V$1006:X1006),$V$1006:$AE$1006,0)), HYPERLINK("#",""), HYPERLINK(CONCATENATE("#Metadata!", ADDRESS(INDEX($Q$2:$Q$1001,MATCH(ROWS($O$2:O388),$O$2:$O$1001,0),0), INDEX($V$1004:$AE$1004,1,MATCH(COLUMNS($V$1006:X1006),$V$1006:$AE$1006,0)))),"Fix")))</f>
        <v>0</v>
      </c>
      <c r="E388" s="3">
        <f>IF(OR(INDEX($P$2:$P$1001,MATCH(ROWS($O$2:O388),$O$2:$O$1001,0),1)&gt;=100000,INDEX($V$1005:$AE$1005,1,MATCH(COLUMNS($V$1006:Y1006),$V$1006:$AE$1006,0))&gt;=100000), " ",IF(INDEX($V$2:$AE$1001,MATCH(ROWS($O$2:O388),$O$2:$O$1001,0),MATCH(COLUMNS($V$1006:Y1006),$V$1006:$AE$1006,0)), HYPERLINK("#",""), HYPERLINK(CONCATENATE("#Metadata!", ADDRESS(INDEX($Q$2:$Q$1001,MATCH(ROWS($O$2:O388),$O$2:$O$1001,0),0), INDEX($V$1004:$AE$1004,1,MATCH(COLUMNS($V$1006:Y1006),$V$1006:$AE$1006,0)))),"Fix")))</f>
        <v>0</v>
      </c>
      <c r="F388" s="3">
        <f>IF(OR(INDEX($P$2:$P$1001,MATCH(ROWS($O$2:O388),$O$2:$O$1001,0),1)&gt;=100000,INDEX($V$1005:$AE$1005,1,MATCH(COLUMNS($V$1006:Z1006),$V$1006:$AE$1006,0))&gt;=100000), " ",IF(INDEX($V$2:$AE$1001,MATCH(ROWS($O$2:O388),$O$2:$O$1001,0),MATCH(COLUMNS($V$1006:Z1006),$V$1006:$AE$1006,0)), HYPERLINK("#",""), HYPERLINK(CONCATENATE("#Metadata!", ADDRESS(INDEX($Q$2:$Q$1001,MATCH(ROWS($O$2:O388),$O$2:$O$1001,0),0), INDEX($V$1004:$AE$1004,1,MATCH(COLUMNS($V$1006:Z1006),$V$1006:$AE$1006,0)))),"Fix")))</f>
        <v>0</v>
      </c>
      <c r="G388" s="3">
        <f>IF(OR(INDEX($P$2:$P$1001,MATCH(ROWS($O$2:O388),$O$2:$O$1001,0),1)&gt;=100000,INDEX($V$1005:$AE$1005,1,MATCH(COLUMNS($V$1006:AA1006),$V$1006:$AE$1006,0))&gt;=100000), " ",IF(INDEX($V$2:$AE$1001,MATCH(ROWS($O$2:O388),$O$2:$O$1001,0),MATCH(COLUMNS($V$1006:AA1006),$V$1006:$AE$1006,0)), HYPERLINK("#",""), HYPERLINK(CONCATENATE("#Metadata!", ADDRESS(INDEX($Q$2:$Q$1001,MATCH(ROWS($O$2:O388),$O$2:$O$1001,0),0), INDEX($V$1004:$AE$1004,1,MATCH(COLUMNS($V$1006:AA1006),$V$1006:$AE$1006,0)))),"Fix")))</f>
        <v>0</v>
      </c>
      <c r="H388" s="3">
        <f>IF(OR(INDEX($P$2:$P$1001,MATCH(ROWS($O$2:O388),$O$2:$O$1001,0),1)&gt;=100000,INDEX($V$1005:$AE$1005,1,MATCH(COLUMNS($V$1006:AB1006),$V$1006:$AE$1006,0))&gt;=100000), " ",IF(INDEX($V$2:$AE$1001,MATCH(ROWS($O$2:O388),$O$2:$O$1001,0),MATCH(COLUMNS($V$1006:AB1006),$V$1006:$AE$1006,0)), HYPERLINK("#",""), HYPERLINK(CONCATENATE("#Metadata!", ADDRESS(INDEX($Q$2:$Q$1001,MATCH(ROWS($O$2:O388),$O$2:$O$1001,0),0), INDEX($V$1004:$AE$1004,1,MATCH(COLUMNS($V$1006:AB1006),$V$1006:$AE$1006,0)))),"Fix")))</f>
        <v>0</v>
      </c>
      <c r="I388" s="3">
        <f>IF(OR(INDEX($P$2:$P$1001,MATCH(ROWS($O$2:O388),$O$2:$O$1001,0),1)&gt;=100000,INDEX($V$1005:$AE$1005,1,MATCH(COLUMNS($V$1006:AC1006),$V$1006:$AE$1006,0))&gt;=100000), " ",IF(INDEX($V$2:$AE$1001,MATCH(ROWS($O$2:O388),$O$2:$O$1001,0),MATCH(COLUMNS($V$1006:AC1006),$V$1006:$AE$1006,0)), HYPERLINK("#",""), HYPERLINK(CONCATENATE("#Metadata!", ADDRESS(INDEX($Q$2:$Q$1001,MATCH(ROWS($O$2:O388),$O$2:$O$1001,0),0), INDEX($V$1004:$AE$1004,1,MATCH(COLUMNS($V$1006:AC1006),$V$1006:$AE$1006,0)))),"Fix")))</f>
        <v>0</v>
      </c>
      <c r="J388" s="3">
        <f>IF(OR(INDEX($P$2:$P$1001,MATCH(ROWS($O$2:O388),$O$2:$O$1001,0),1)&gt;=100000,INDEX($V$1005:$AE$1005,1,MATCH(COLUMNS($V$1006:AD1006),$V$1006:$AE$1006,0))&gt;=100000), " ",IF(INDEX($V$2:$AE$1001,MATCH(ROWS($O$2:O388),$O$2:$O$1001,0),MATCH(COLUMNS($V$1006:AD1006),$V$1006:$AE$1006,0)), HYPERLINK("#",""), HYPERLINK(CONCATENATE("#Metadata!", ADDRESS(INDEX($Q$2:$Q$1001,MATCH(ROWS($O$2:O388),$O$2:$O$1001,0),0), INDEX($V$1004:$AE$1004,1,MATCH(COLUMNS($V$1006:AD1006),$V$1006:$AE$1006,0)))),"Fix")))</f>
        <v>0</v>
      </c>
      <c r="K388" s="3">
        <f>IF(OR(INDEX($P$2:$P$1001,MATCH(ROWS($O$2:O388),$O$2:$O$1001,0),1)&gt;=100000,INDEX($V$1005:$AE$1005,1,MATCH(COLUMNS($V$1006:AE1006),$V$1006:$AE$1006,0))&gt;=100000), " ",IF(INDEX($V$2:$AE$1001,MATCH(ROWS($O$2:O388),$O$2:$O$1001,0),MATCH(COLUMNS($V$1006:AE1006),$V$1006:$AE$1006,0)), HYPERLINK("#",""), HYPERLINK(CONCATENATE("#Metadata!", ADDRESS(INDEX($Q$2:$Q$1001,MATCH(ROWS($O$2:O388),$O$2:$O$1001,0),0), INDEX($V$1004:$AE$1004,1,MATCH(COLUMNS($V$1006:AE1006),$V$1006:$AE$1006,0)))),"Fix")))</f>
        <v>0</v>
      </c>
      <c r="O388">
        <v>0</v>
      </c>
      <c r="P388">
        <v>0</v>
      </c>
      <c r="Q388">
        <v>0</v>
      </c>
      <c r="R388">
        <f>IF(S388,TRUE,AND(V388:AE388))</f>
        <v>0</v>
      </c>
      <c r="S388">
        <f>COUNTBLANK(Metadata!B388:K388)=COLUMNS(Metadata!B388:K388)</f>
        <v>0</v>
      </c>
      <c r="T388">
        <v>0</v>
      </c>
      <c r="V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W388">
        <f>AND(IF(Metadata!C388="",FALSE,TRUE),exact(Metadata!C388,"animal secretion"))</f>
        <v>0</v>
      </c>
      <c r="X388">
        <f>AND(IF(Metadata!D388="",FALSE,TRUE),exact(Metadata!D388,"saliva"))</f>
        <v>0</v>
      </c>
      <c r="Y388">
        <f>AND(IF(Metadata!E388="",FALSE,TRUE),exact(Metadata!E388,"human-oral"))</f>
        <v>0</v>
      </c>
      <c r="Z388">
        <f>AND(IF(Metadata!F388="",FALSE,TRUE),exact(Metadata!F388,"UBERON:oral cavity"))</f>
        <v>0</v>
      </c>
      <c r="AA388">
        <f>AND(IF(Metadata!G388="",FALSE,TRUE),exact(Metadata!G388,"UBERON:saliva"))</f>
        <v>0</v>
      </c>
      <c r="AB388">
        <f>AND(IF(Metadata!H388="",FALSE,TRUE),exact(Metadata!H388,"UBERON:tongue"))</f>
        <v>0</v>
      </c>
      <c r="AC388">
        <f>AND(IF(Metadata!I388="",FALSE,TRUE),exact(Metadata!I388,"tongue"))</f>
        <v>0</v>
      </c>
      <c r="AD388">
        <f>AND(IF(Metadata!J388="",FALSE,TRUE),exact(Metadata!J388,"human oral metagenome"))</f>
        <v>0</v>
      </c>
      <c r="AE388">
        <f>AND(IF(Metadata!K388="",FALSE,TRUE),exact(Metadata!K388,"447426"))</f>
        <v>0</v>
      </c>
    </row>
    <row r="389" spans="1:31">
      <c r="A389" s="4">
        <f>IF(B389=" "," ",HYPERLINK(CONCATENATE("#metadata!",ADDRESS(INDEX($Q$2:$Q$1001,MATCH(ROWS($O$2:O389),$O$2:$O$1001,0),0),1)),INDEX($T$2:$T$1001,MATCH(ROWS($O$2:O389),$O$2:$O$1001,0),0)))</f>
        <v>0</v>
      </c>
      <c r="B389" s="3">
        <f>IF(OR(INDEX($P$2:$P$1001,MATCH(ROWS($O$2:O389),$O$2:$O$1001,0),1)&gt;=100000,INDEX($V$1005:$AE$1005,1,MATCH(COLUMNS($V$1006:V1006),$V$1006:$AE$1006,0))&gt;=100000), " ",IF(INDEX($V$2:$AE$1001,MATCH(ROWS($O$2:O389),$O$2:$O$1001,0),MATCH(COLUMNS($V$1006:V1006),$V$1006:$AE$1006,0)), HYPERLINK("#",""), HYPERLINK(CONCATENATE("#Metadata!", ADDRESS(INDEX($Q$2:$Q$1001,MATCH(ROWS($O$2:O389),$O$2:$O$1001,0),0), INDEX($V$1004:$AE$1004,1,MATCH(COLUMNS($V$1006:V1006),$V$1006:$AE$1006,0)))),"Fix")))</f>
        <v>0</v>
      </c>
      <c r="C389" s="3">
        <f>IF(OR(INDEX($P$2:$P$1001,MATCH(ROWS($O$2:O389),$O$2:$O$1001,0),1)&gt;=100000,INDEX($V$1005:$AE$1005,1,MATCH(COLUMNS($V$1006:W1006),$V$1006:$AE$1006,0))&gt;=100000), " ",IF(INDEX($V$2:$AE$1001,MATCH(ROWS($O$2:O389),$O$2:$O$1001,0),MATCH(COLUMNS($V$1006:W1006),$V$1006:$AE$1006,0)), HYPERLINK("#",""), HYPERLINK(CONCATENATE("#Metadata!", ADDRESS(INDEX($Q$2:$Q$1001,MATCH(ROWS($O$2:O389),$O$2:$O$1001,0),0), INDEX($V$1004:$AE$1004,1,MATCH(COLUMNS($V$1006:W1006),$V$1006:$AE$1006,0)))),"Fix")))</f>
        <v>0</v>
      </c>
      <c r="D389" s="3">
        <f>IF(OR(INDEX($P$2:$P$1001,MATCH(ROWS($O$2:O389),$O$2:$O$1001,0),1)&gt;=100000,INDEX($V$1005:$AE$1005,1,MATCH(COLUMNS($V$1006:X1006),$V$1006:$AE$1006,0))&gt;=100000), " ",IF(INDEX($V$2:$AE$1001,MATCH(ROWS($O$2:O389),$O$2:$O$1001,0),MATCH(COLUMNS($V$1006:X1006),$V$1006:$AE$1006,0)), HYPERLINK("#",""), HYPERLINK(CONCATENATE("#Metadata!", ADDRESS(INDEX($Q$2:$Q$1001,MATCH(ROWS($O$2:O389),$O$2:$O$1001,0),0), INDEX($V$1004:$AE$1004,1,MATCH(COLUMNS($V$1006:X1006),$V$1006:$AE$1006,0)))),"Fix")))</f>
        <v>0</v>
      </c>
      <c r="E389" s="3">
        <f>IF(OR(INDEX($P$2:$P$1001,MATCH(ROWS($O$2:O389),$O$2:$O$1001,0),1)&gt;=100000,INDEX($V$1005:$AE$1005,1,MATCH(COLUMNS($V$1006:Y1006),$V$1006:$AE$1006,0))&gt;=100000), " ",IF(INDEX($V$2:$AE$1001,MATCH(ROWS($O$2:O389),$O$2:$O$1001,0),MATCH(COLUMNS($V$1006:Y1006),$V$1006:$AE$1006,0)), HYPERLINK("#",""), HYPERLINK(CONCATENATE("#Metadata!", ADDRESS(INDEX($Q$2:$Q$1001,MATCH(ROWS($O$2:O389),$O$2:$O$1001,0),0), INDEX($V$1004:$AE$1004,1,MATCH(COLUMNS($V$1006:Y1006),$V$1006:$AE$1006,0)))),"Fix")))</f>
        <v>0</v>
      </c>
      <c r="F389" s="3">
        <f>IF(OR(INDEX($P$2:$P$1001,MATCH(ROWS($O$2:O389),$O$2:$O$1001,0),1)&gt;=100000,INDEX($V$1005:$AE$1005,1,MATCH(COLUMNS($V$1006:Z1006),$V$1006:$AE$1006,0))&gt;=100000), " ",IF(INDEX($V$2:$AE$1001,MATCH(ROWS($O$2:O389),$O$2:$O$1001,0),MATCH(COLUMNS($V$1006:Z1006),$V$1006:$AE$1006,0)), HYPERLINK("#",""), HYPERLINK(CONCATENATE("#Metadata!", ADDRESS(INDEX($Q$2:$Q$1001,MATCH(ROWS($O$2:O389),$O$2:$O$1001,0),0), INDEX($V$1004:$AE$1004,1,MATCH(COLUMNS($V$1006:Z1006),$V$1006:$AE$1006,0)))),"Fix")))</f>
        <v>0</v>
      </c>
      <c r="G389" s="3">
        <f>IF(OR(INDEX($P$2:$P$1001,MATCH(ROWS($O$2:O389),$O$2:$O$1001,0),1)&gt;=100000,INDEX($V$1005:$AE$1005,1,MATCH(COLUMNS($V$1006:AA1006),$V$1006:$AE$1006,0))&gt;=100000), " ",IF(INDEX($V$2:$AE$1001,MATCH(ROWS($O$2:O389),$O$2:$O$1001,0),MATCH(COLUMNS($V$1006:AA1006),$V$1006:$AE$1006,0)), HYPERLINK("#",""), HYPERLINK(CONCATENATE("#Metadata!", ADDRESS(INDEX($Q$2:$Q$1001,MATCH(ROWS($O$2:O389),$O$2:$O$1001,0),0), INDEX($V$1004:$AE$1004,1,MATCH(COLUMNS($V$1006:AA1006),$V$1006:$AE$1006,0)))),"Fix")))</f>
        <v>0</v>
      </c>
      <c r="H389" s="3">
        <f>IF(OR(INDEX($P$2:$P$1001,MATCH(ROWS($O$2:O389),$O$2:$O$1001,0),1)&gt;=100000,INDEX($V$1005:$AE$1005,1,MATCH(COLUMNS($V$1006:AB1006),$V$1006:$AE$1006,0))&gt;=100000), " ",IF(INDEX($V$2:$AE$1001,MATCH(ROWS($O$2:O389),$O$2:$O$1001,0),MATCH(COLUMNS($V$1006:AB1006),$V$1006:$AE$1006,0)), HYPERLINK("#",""), HYPERLINK(CONCATENATE("#Metadata!", ADDRESS(INDEX($Q$2:$Q$1001,MATCH(ROWS($O$2:O389),$O$2:$O$1001,0),0), INDEX($V$1004:$AE$1004,1,MATCH(COLUMNS($V$1006:AB1006),$V$1006:$AE$1006,0)))),"Fix")))</f>
        <v>0</v>
      </c>
      <c r="I389" s="3">
        <f>IF(OR(INDEX($P$2:$P$1001,MATCH(ROWS($O$2:O389),$O$2:$O$1001,0),1)&gt;=100000,INDEX($V$1005:$AE$1005,1,MATCH(COLUMNS($V$1006:AC1006),$V$1006:$AE$1006,0))&gt;=100000), " ",IF(INDEX($V$2:$AE$1001,MATCH(ROWS($O$2:O389),$O$2:$O$1001,0),MATCH(COLUMNS($V$1006:AC1006),$V$1006:$AE$1006,0)), HYPERLINK("#",""), HYPERLINK(CONCATENATE("#Metadata!", ADDRESS(INDEX($Q$2:$Q$1001,MATCH(ROWS($O$2:O389),$O$2:$O$1001,0),0), INDEX($V$1004:$AE$1004,1,MATCH(COLUMNS($V$1006:AC1006),$V$1006:$AE$1006,0)))),"Fix")))</f>
        <v>0</v>
      </c>
      <c r="J389" s="3">
        <f>IF(OR(INDEX($P$2:$P$1001,MATCH(ROWS($O$2:O389),$O$2:$O$1001,0),1)&gt;=100000,INDEX($V$1005:$AE$1005,1,MATCH(COLUMNS($V$1006:AD1006),$V$1006:$AE$1006,0))&gt;=100000), " ",IF(INDEX($V$2:$AE$1001,MATCH(ROWS($O$2:O389),$O$2:$O$1001,0),MATCH(COLUMNS($V$1006:AD1006),$V$1006:$AE$1006,0)), HYPERLINK("#",""), HYPERLINK(CONCATENATE("#Metadata!", ADDRESS(INDEX($Q$2:$Q$1001,MATCH(ROWS($O$2:O389),$O$2:$O$1001,0),0), INDEX($V$1004:$AE$1004,1,MATCH(COLUMNS($V$1006:AD1006),$V$1006:$AE$1006,0)))),"Fix")))</f>
        <v>0</v>
      </c>
      <c r="K389" s="3">
        <f>IF(OR(INDEX($P$2:$P$1001,MATCH(ROWS($O$2:O389),$O$2:$O$1001,0),1)&gt;=100000,INDEX($V$1005:$AE$1005,1,MATCH(COLUMNS($V$1006:AE1006),$V$1006:$AE$1006,0))&gt;=100000), " ",IF(INDEX($V$2:$AE$1001,MATCH(ROWS($O$2:O389),$O$2:$O$1001,0),MATCH(COLUMNS($V$1006:AE1006),$V$1006:$AE$1006,0)), HYPERLINK("#",""), HYPERLINK(CONCATENATE("#Metadata!", ADDRESS(INDEX($Q$2:$Q$1001,MATCH(ROWS($O$2:O389),$O$2:$O$1001,0),0), INDEX($V$1004:$AE$1004,1,MATCH(COLUMNS($V$1006:AE1006),$V$1006:$AE$1006,0)))),"Fix")))</f>
        <v>0</v>
      </c>
      <c r="O389">
        <v>0</v>
      </c>
      <c r="P389">
        <v>0</v>
      </c>
      <c r="Q389">
        <v>0</v>
      </c>
      <c r="R389">
        <f>IF(S389,TRUE,AND(V389:AE389))</f>
        <v>0</v>
      </c>
      <c r="S389">
        <f>COUNTBLANK(Metadata!B389:K389)=COLUMNS(Metadata!B389:K389)</f>
        <v>0</v>
      </c>
      <c r="T389">
        <v>0</v>
      </c>
      <c r="V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W389">
        <f>AND(IF(Metadata!C389="",FALSE,TRUE),exact(Metadata!C389,"animal secretion"))</f>
        <v>0</v>
      </c>
      <c r="X389">
        <f>AND(IF(Metadata!D389="",FALSE,TRUE),exact(Metadata!D389,"saliva"))</f>
        <v>0</v>
      </c>
      <c r="Y389">
        <f>AND(IF(Metadata!E389="",FALSE,TRUE),exact(Metadata!E389,"human-oral"))</f>
        <v>0</v>
      </c>
      <c r="Z389">
        <f>AND(IF(Metadata!F389="",FALSE,TRUE),exact(Metadata!F389,"UBERON:oral cavity"))</f>
        <v>0</v>
      </c>
      <c r="AA389">
        <f>AND(IF(Metadata!G389="",FALSE,TRUE),exact(Metadata!G389,"UBERON:saliva"))</f>
        <v>0</v>
      </c>
      <c r="AB389">
        <f>AND(IF(Metadata!H389="",FALSE,TRUE),exact(Metadata!H389,"UBERON:tongue"))</f>
        <v>0</v>
      </c>
      <c r="AC389">
        <f>AND(IF(Metadata!I389="",FALSE,TRUE),exact(Metadata!I389,"tongue"))</f>
        <v>0</v>
      </c>
      <c r="AD389">
        <f>AND(IF(Metadata!J389="",FALSE,TRUE),exact(Metadata!J389,"human oral metagenome"))</f>
        <v>0</v>
      </c>
      <c r="AE389">
        <f>AND(IF(Metadata!K389="",FALSE,TRUE),exact(Metadata!K389,"447426"))</f>
        <v>0</v>
      </c>
    </row>
    <row r="390" spans="1:31">
      <c r="A390" s="4">
        <f>IF(B390=" "," ",HYPERLINK(CONCATENATE("#metadata!",ADDRESS(INDEX($Q$2:$Q$1001,MATCH(ROWS($O$2:O390),$O$2:$O$1001,0),0),1)),INDEX($T$2:$T$1001,MATCH(ROWS($O$2:O390),$O$2:$O$1001,0),0)))</f>
        <v>0</v>
      </c>
      <c r="B390" s="3">
        <f>IF(OR(INDEX($P$2:$P$1001,MATCH(ROWS($O$2:O390),$O$2:$O$1001,0),1)&gt;=100000,INDEX($V$1005:$AE$1005,1,MATCH(COLUMNS($V$1006:V1006),$V$1006:$AE$1006,0))&gt;=100000), " ",IF(INDEX($V$2:$AE$1001,MATCH(ROWS($O$2:O390),$O$2:$O$1001,0),MATCH(COLUMNS($V$1006:V1006),$V$1006:$AE$1006,0)), HYPERLINK("#",""), HYPERLINK(CONCATENATE("#Metadata!", ADDRESS(INDEX($Q$2:$Q$1001,MATCH(ROWS($O$2:O390),$O$2:$O$1001,0),0), INDEX($V$1004:$AE$1004,1,MATCH(COLUMNS($V$1006:V1006),$V$1006:$AE$1006,0)))),"Fix")))</f>
        <v>0</v>
      </c>
      <c r="C390" s="3">
        <f>IF(OR(INDEX($P$2:$P$1001,MATCH(ROWS($O$2:O390),$O$2:$O$1001,0),1)&gt;=100000,INDEX($V$1005:$AE$1005,1,MATCH(COLUMNS($V$1006:W1006),$V$1006:$AE$1006,0))&gt;=100000), " ",IF(INDEX($V$2:$AE$1001,MATCH(ROWS($O$2:O390),$O$2:$O$1001,0),MATCH(COLUMNS($V$1006:W1006),$V$1006:$AE$1006,0)), HYPERLINK("#",""), HYPERLINK(CONCATENATE("#Metadata!", ADDRESS(INDEX($Q$2:$Q$1001,MATCH(ROWS($O$2:O390),$O$2:$O$1001,0),0), INDEX($V$1004:$AE$1004,1,MATCH(COLUMNS($V$1006:W1006),$V$1006:$AE$1006,0)))),"Fix")))</f>
        <v>0</v>
      </c>
      <c r="D390" s="3">
        <f>IF(OR(INDEX($P$2:$P$1001,MATCH(ROWS($O$2:O390),$O$2:$O$1001,0),1)&gt;=100000,INDEX($V$1005:$AE$1005,1,MATCH(COLUMNS($V$1006:X1006),$V$1006:$AE$1006,0))&gt;=100000), " ",IF(INDEX($V$2:$AE$1001,MATCH(ROWS($O$2:O390),$O$2:$O$1001,0),MATCH(COLUMNS($V$1006:X1006),$V$1006:$AE$1006,0)), HYPERLINK("#",""), HYPERLINK(CONCATENATE("#Metadata!", ADDRESS(INDEX($Q$2:$Q$1001,MATCH(ROWS($O$2:O390),$O$2:$O$1001,0),0), INDEX($V$1004:$AE$1004,1,MATCH(COLUMNS($V$1006:X1006),$V$1006:$AE$1006,0)))),"Fix")))</f>
        <v>0</v>
      </c>
      <c r="E390" s="3">
        <f>IF(OR(INDEX($P$2:$P$1001,MATCH(ROWS($O$2:O390),$O$2:$O$1001,0),1)&gt;=100000,INDEX($V$1005:$AE$1005,1,MATCH(COLUMNS($V$1006:Y1006),$V$1006:$AE$1006,0))&gt;=100000), " ",IF(INDEX($V$2:$AE$1001,MATCH(ROWS($O$2:O390),$O$2:$O$1001,0),MATCH(COLUMNS($V$1006:Y1006),$V$1006:$AE$1006,0)), HYPERLINK("#",""), HYPERLINK(CONCATENATE("#Metadata!", ADDRESS(INDEX($Q$2:$Q$1001,MATCH(ROWS($O$2:O390),$O$2:$O$1001,0),0), INDEX($V$1004:$AE$1004,1,MATCH(COLUMNS($V$1006:Y1006),$V$1006:$AE$1006,0)))),"Fix")))</f>
        <v>0</v>
      </c>
      <c r="F390" s="3">
        <f>IF(OR(INDEX($P$2:$P$1001,MATCH(ROWS($O$2:O390),$O$2:$O$1001,0),1)&gt;=100000,INDEX($V$1005:$AE$1005,1,MATCH(COLUMNS($V$1006:Z1006),$V$1006:$AE$1006,0))&gt;=100000), " ",IF(INDEX($V$2:$AE$1001,MATCH(ROWS($O$2:O390),$O$2:$O$1001,0),MATCH(COLUMNS($V$1006:Z1006),$V$1006:$AE$1006,0)), HYPERLINK("#",""), HYPERLINK(CONCATENATE("#Metadata!", ADDRESS(INDEX($Q$2:$Q$1001,MATCH(ROWS($O$2:O390),$O$2:$O$1001,0),0), INDEX($V$1004:$AE$1004,1,MATCH(COLUMNS($V$1006:Z1006),$V$1006:$AE$1006,0)))),"Fix")))</f>
        <v>0</v>
      </c>
      <c r="G390" s="3">
        <f>IF(OR(INDEX($P$2:$P$1001,MATCH(ROWS($O$2:O390),$O$2:$O$1001,0),1)&gt;=100000,INDEX($V$1005:$AE$1005,1,MATCH(COLUMNS($V$1006:AA1006),$V$1006:$AE$1006,0))&gt;=100000), " ",IF(INDEX($V$2:$AE$1001,MATCH(ROWS($O$2:O390),$O$2:$O$1001,0),MATCH(COLUMNS($V$1006:AA1006),$V$1006:$AE$1006,0)), HYPERLINK("#",""), HYPERLINK(CONCATENATE("#Metadata!", ADDRESS(INDEX($Q$2:$Q$1001,MATCH(ROWS($O$2:O390),$O$2:$O$1001,0),0), INDEX($V$1004:$AE$1004,1,MATCH(COLUMNS($V$1006:AA1006),$V$1006:$AE$1006,0)))),"Fix")))</f>
        <v>0</v>
      </c>
      <c r="H390" s="3">
        <f>IF(OR(INDEX($P$2:$P$1001,MATCH(ROWS($O$2:O390),$O$2:$O$1001,0),1)&gt;=100000,INDEX($V$1005:$AE$1005,1,MATCH(COLUMNS($V$1006:AB1006),$V$1006:$AE$1006,0))&gt;=100000), " ",IF(INDEX($V$2:$AE$1001,MATCH(ROWS($O$2:O390),$O$2:$O$1001,0),MATCH(COLUMNS($V$1006:AB1006),$V$1006:$AE$1006,0)), HYPERLINK("#",""), HYPERLINK(CONCATENATE("#Metadata!", ADDRESS(INDEX($Q$2:$Q$1001,MATCH(ROWS($O$2:O390),$O$2:$O$1001,0),0), INDEX($V$1004:$AE$1004,1,MATCH(COLUMNS($V$1006:AB1006),$V$1006:$AE$1006,0)))),"Fix")))</f>
        <v>0</v>
      </c>
      <c r="I390" s="3">
        <f>IF(OR(INDEX($P$2:$P$1001,MATCH(ROWS($O$2:O390),$O$2:$O$1001,0),1)&gt;=100000,INDEX($V$1005:$AE$1005,1,MATCH(COLUMNS($V$1006:AC1006),$V$1006:$AE$1006,0))&gt;=100000), " ",IF(INDEX($V$2:$AE$1001,MATCH(ROWS($O$2:O390),$O$2:$O$1001,0),MATCH(COLUMNS($V$1006:AC1006),$V$1006:$AE$1006,0)), HYPERLINK("#",""), HYPERLINK(CONCATENATE("#Metadata!", ADDRESS(INDEX($Q$2:$Q$1001,MATCH(ROWS($O$2:O390),$O$2:$O$1001,0),0), INDEX($V$1004:$AE$1004,1,MATCH(COLUMNS($V$1006:AC1006),$V$1006:$AE$1006,0)))),"Fix")))</f>
        <v>0</v>
      </c>
      <c r="J390" s="3">
        <f>IF(OR(INDEX($P$2:$P$1001,MATCH(ROWS($O$2:O390),$O$2:$O$1001,0),1)&gt;=100000,INDEX($V$1005:$AE$1005,1,MATCH(COLUMNS($V$1006:AD1006),$V$1006:$AE$1006,0))&gt;=100000), " ",IF(INDEX($V$2:$AE$1001,MATCH(ROWS($O$2:O390),$O$2:$O$1001,0),MATCH(COLUMNS($V$1006:AD1006),$V$1006:$AE$1006,0)), HYPERLINK("#",""), HYPERLINK(CONCATENATE("#Metadata!", ADDRESS(INDEX($Q$2:$Q$1001,MATCH(ROWS($O$2:O390),$O$2:$O$1001,0),0), INDEX($V$1004:$AE$1004,1,MATCH(COLUMNS($V$1006:AD1006),$V$1006:$AE$1006,0)))),"Fix")))</f>
        <v>0</v>
      </c>
      <c r="K390" s="3">
        <f>IF(OR(INDEX($P$2:$P$1001,MATCH(ROWS($O$2:O390),$O$2:$O$1001,0),1)&gt;=100000,INDEX($V$1005:$AE$1005,1,MATCH(COLUMNS($V$1006:AE1006),$V$1006:$AE$1006,0))&gt;=100000), " ",IF(INDEX($V$2:$AE$1001,MATCH(ROWS($O$2:O390),$O$2:$O$1001,0),MATCH(COLUMNS($V$1006:AE1006),$V$1006:$AE$1006,0)), HYPERLINK("#",""), HYPERLINK(CONCATENATE("#Metadata!", ADDRESS(INDEX($Q$2:$Q$1001,MATCH(ROWS($O$2:O390),$O$2:$O$1001,0),0), INDEX($V$1004:$AE$1004,1,MATCH(COLUMNS($V$1006:AE1006),$V$1006:$AE$1006,0)))),"Fix")))</f>
        <v>0</v>
      </c>
      <c r="O390">
        <v>0</v>
      </c>
      <c r="P390">
        <v>0</v>
      </c>
      <c r="Q390">
        <v>0</v>
      </c>
      <c r="R390">
        <f>IF(S390,TRUE,AND(V390:AE390))</f>
        <v>0</v>
      </c>
      <c r="S390">
        <f>COUNTBLANK(Metadata!B390:K390)=COLUMNS(Metadata!B390:K390)</f>
        <v>0</v>
      </c>
      <c r="T390">
        <v>0</v>
      </c>
      <c r="V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W390">
        <f>AND(IF(Metadata!C390="",FALSE,TRUE),exact(Metadata!C390,"animal secretion"))</f>
        <v>0</v>
      </c>
      <c r="X390">
        <f>AND(IF(Metadata!D390="",FALSE,TRUE),exact(Metadata!D390,"saliva"))</f>
        <v>0</v>
      </c>
      <c r="Y390">
        <f>AND(IF(Metadata!E390="",FALSE,TRUE),exact(Metadata!E390,"human-oral"))</f>
        <v>0</v>
      </c>
      <c r="Z390">
        <f>AND(IF(Metadata!F390="",FALSE,TRUE),exact(Metadata!F390,"UBERON:oral cavity"))</f>
        <v>0</v>
      </c>
      <c r="AA390">
        <f>AND(IF(Metadata!G390="",FALSE,TRUE),exact(Metadata!G390,"UBERON:saliva"))</f>
        <v>0</v>
      </c>
      <c r="AB390">
        <f>AND(IF(Metadata!H390="",FALSE,TRUE),exact(Metadata!H390,"UBERON:tongue"))</f>
        <v>0</v>
      </c>
      <c r="AC390">
        <f>AND(IF(Metadata!I390="",FALSE,TRUE),exact(Metadata!I390,"tongue"))</f>
        <v>0</v>
      </c>
      <c r="AD390">
        <f>AND(IF(Metadata!J390="",FALSE,TRUE),exact(Metadata!J390,"human oral metagenome"))</f>
        <v>0</v>
      </c>
      <c r="AE390">
        <f>AND(IF(Metadata!K390="",FALSE,TRUE),exact(Metadata!K390,"447426"))</f>
        <v>0</v>
      </c>
    </row>
    <row r="391" spans="1:31">
      <c r="A391" s="4">
        <f>IF(B391=" "," ",HYPERLINK(CONCATENATE("#metadata!",ADDRESS(INDEX($Q$2:$Q$1001,MATCH(ROWS($O$2:O391),$O$2:$O$1001,0),0),1)),INDEX($T$2:$T$1001,MATCH(ROWS($O$2:O391),$O$2:$O$1001,0),0)))</f>
        <v>0</v>
      </c>
      <c r="B391" s="3">
        <f>IF(OR(INDEX($P$2:$P$1001,MATCH(ROWS($O$2:O391),$O$2:$O$1001,0),1)&gt;=100000,INDEX($V$1005:$AE$1005,1,MATCH(COLUMNS($V$1006:V1006),$V$1006:$AE$1006,0))&gt;=100000), " ",IF(INDEX($V$2:$AE$1001,MATCH(ROWS($O$2:O391),$O$2:$O$1001,0),MATCH(COLUMNS($V$1006:V1006),$V$1006:$AE$1006,0)), HYPERLINK("#",""), HYPERLINK(CONCATENATE("#Metadata!", ADDRESS(INDEX($Q$2:$Q$1001,MATCH(ROWS($O$2:O391),$O$2:$O$1001,0),0), INDEX($V$1004:$AE$1004,1,MATCH(COLUMNS($V$1006:V1006),$V$1006:$AE$1006,0)))),"Fix")))</f>
        <v>0</v>
      </c>
      <c r="C391" s="3">
        <f>IF(OR(INDEX($P$2:$P$1001,MATCH(ROWS($O$2:O391),$O$2:$O$1001,0),1)&gt;=100000,INDEX($V$1005:$AE$1005,1,MATCH(COLUMNS($V$1006:W1006),$V$1006:$AE$1006,0))&gt;=100000), " ",IF(INDEX($V$2:$AE$1001,MATCH(ROWS($O$2:O391),$O$2:$O$1001,0),MATCH(COLUMNS($V$1006:W1006),$V$1006:$AE$1006,0)), HYPERLINK("#",""), HYPERLINK(CONCATENATE("#Metadata!", ADDRESS(INDEX($Q$2:$Q$1001,MATCH(ROWS($O$2:O391),$O$2:$O$1001,0),0), INDEX($V$1004:$AE$1004,1,MATCH(COLUMNS($V$1006:W1006),$V$1006:$AE$1006,0)))),"Fix")))</f>
        <v>0</v>
      </c>
      <c r="D391" s="3">
        <f>IF(OR(INDEX($P$2:$P$1001,MATCH(ROWS($O$2:O391),$O$2:$O$1001,0),1)&gt;=100000,INDEX($V$1005:$AE$1005,1,MATCH(COLUMNS($V$1006:X1006),$V$1006:$AE$1006,0))&gt;=100000), " ",IF(INDEX($V$2:$AE$1001,MATCH(ROWS($O$2:O391),$O$2:$O$1001,0),MATCH(COLUMNS($V$1006:X1006),$V$1006:$AE$1006,0)), HYPERLINK("#",""), HYPERLINK(CONCATENATE("#Metadata!", ADDRESS(INDEX($Q$2:$Q$1001,MATCH(ROWS($O$2:O391),$O$2:$O$1001,0),0), INDEX($V$1004:$AE$1004,1,MATCH(COLUMNS($V$1006:X1006),$V$1006:$AE$1006,0)))),"Fix")))</f>
        <v>0</v>
      </c>
      <c r="E391" s="3">
        <f>IF(OR(INDEX($P$2:$P$1001,MATCH(ROWS($O$2:O391),$O$2:$O$1001,0),1)&gt;=100000,INDEX($V$1005:$AE$1005,1,MATCH(COLUMNS($V$1006:Y1006),$V$1006:$AE$1006,0))&gt;=100000), " ",IF(INDEX($V$2:$AE$1001,MATCH(ROWS($O$2:O391),$O$2:$O$1001,0),MATCH(COLUMNS($V$1006:Y1006),$V$1006:$AE$1006,0)), HYPERLINK("#",""), HYPERLINK(CONCATENATE("#Metadata!", ADDRESS(INDEX($Q$2:$Q$1001,MATCH(ROWS($O$2:O391),$O$2:$O$1001,0),0), INDEX($V$1004:$AE$1004,1,MATCH(COLUMNS($V$1006:Y1006),$V$1006:$AE$1006,0)))),"Fix")))</f>
        <v>0</v>
      </c>
      <c r="F391" s="3">
        <f>IF(OR(INDEX($P$2:$P$1001,MATCH(ROWS($O$2:O391),$O$2:$O$1001,0),1)&gt;=100000,INDEX($V$1005:$AE$1005,1,MATCH(COLUMNS($V$1006:Z1006),$V$1006:$AE$1006,0))&gt;=100000), " ",IF(INDEX($V$2:$AE$1001,MATCH(ROWS($O$2:O391),$O$2:$O$1001,0),MATCH(COLUMNS($V$1006:Z1006),$V$1006:$AE$1006,0)), HYPERLINK("#",""), HYPERLINK(CONCATENATE("#Metadata!", ADDRESS(INDEX($Q$2:$Q$1001,MATCH(ROWS($O$2:O391),$O$2:$O$1001,0),0), INDEX($V$1004:$AE$1004,1,MATCH(COLUMNS($V$1006:Z1006),$V$1006:$AE$1006,0)))),"Fix")))</f>
        <v>0</v>
      </c>
      <c r="G391" s="3">
        <f>IF(OR(INDEX($P$2:$P$1001,MATCH(ROWS($O$2:O391),$O$2:$O$1001,0),1)&gt;=100000,INDEX($V$1005:$AE$1005,1,MATCH(COLUMNS($V$1006:AA1006),$V$1006:$AE$1006,0))&gt;=100000), " ",IF(INDEX($V$2:$AE$1001,MATCH(ROWS($O$2:O391),$O$2:$O$1001,0),MATCH(COLUMNS($V$1006:AA1006),$V$1006:$AE$1006,0)), HYPERLINK("#",""), HYPERLINK(CONCATENATE("#Metadata!", ADDRESS(INDEX($Q$2:$Q$1001,MATCH(ROWS($O$2:O391),$O$2:$O$1001,0),0), INDEX($V$1004:$AE$1004,1,MATCH(COLUMNS($V$1006:AA1006),$V$1006:$AE$1006,0)))),"Fix")))</f>
        <v>0</v>
      </c>
      <c r="H391" s="3">
        <f>IF(OR(INDEX($P$2:$P$1001,MATCH(ROWS($O$2:O391),$O$2:$O$1001,0),1)&gt;=100000,INDEX($V$1005:$AE$1005,1,MATCH(COLUMNS($V$1006:AB1006),$V$1006:$AE$1006,0))&gt;=100000), " ",IF(INDEX($V$2:$AE$1001,MATCH(ROWS($O$2:O391),$O$2:$O$1001,0),MATCH(COLUMNS($V$1006:AB1006),$V$1006:$AE$1006,0)), HYPERLINK("#",""), HYPERLINK(CONCATENATE("#Metadata!", ADDRESS(INDEX($Q$2:$Q$1001,MATCH(ROWS($O$2:O391),$O$2:$O$1001,0),0), INDEX($V$1004:$AE$1004,1,MATCH(COLUMNS($V$1006:AB1006),$V$1006:$AE$1006,0)))),"Fix")))</f>
        <v>0</v>
      </c>
      <c r="I391" s="3">
        <f>IF(OR(INDEX($P$2:$P$1001,MATCH(ROWS($O$2:O391),$O$2:$O$1001,0),1)&gt;=100000,INDEX($V$1005:$AE$1005,1,MATCH(COLUMNS($V$1006:AC1006),$V$1006:$AE$1006,0))&gt;=100000), " ",IF(INDEX($V$2:$AE$1001,MATCH(ROWS($O$2:O391),$O$2:$O$1001,0),MATCH(COLUMNS($V$1006:AC1006),$V$1006:$AE$1006,0)), HYPERLINK("#",""), HYPERLINK(CONCATENATE("#Metadata!", ADDRESS(INDEX($Q$2:$Q$1001,MATCH(ROWS($O$2:O391),$O$2:$O$1001,0),0), INDEX($V$1004:$AE$1004,1,MATCH(COLUMNS($V$1006:AC1006),$V$1006:$AE$1006,0)))),"Fix")))</f>
        <v>0</v>
      </c>
      <c r="J391" s="3">
        <f>IF(OR(INDEX($P$2:$P$1001,MATCH(ROWS($O$2:O391),$O$2:$O$1001,0),1)&gt;=100000,INDEX($V$1005:$AE$1005,1,MATCH(COLUMNS($V$1006:AD1006),$V$1006:$AE$1006,0))&gt;=100000), " ",IF(INDEX($V$2:$AE$1001,MATCH(ROWS($O$2:O391),$O$2:$O$1001,0),MATCH(COLUMNS($V$1006:AD1006),$V$1006:$AE$1006,0)), HYPERLINK("#",""), HYPERLINK(CONCATENATE("#Metadata!", ADDRESS(INDEX($Q$2:$Q$1001,MATCH(ROWS($O$2:O391),$O$2:$O$1001,0),0), INDEX($V$1004:$AE$1004,1,MATCH(COLUMNS($V$1006:AD1006),$V$1006:$AE$1006,0)))),"Fix")))</f>
        <v>0</v>
      </c>
      <c r="K391" s="3">
        <f>IF(OR(INDEX($P$2:$P$1001,MATCH(ROWS($O$2:O391),$O$2:$O$1001,0),1)&gt;=100000,INDEX($V$1005:$AE$1005,1,MATCH(COLUMNS($V$1006:AE1006),$V$1006:$AE$1006,0))&gt;=100000), " ",IF(INDEX($V$2:$AE$1001,MATCH(ROWS($O$2:O391),$O$2:$O$1001,0),MATCH(COLUMNS($V$1006:AE1006),$V$1006:$AE$1006,0)), HYPERLINK("#",""), HYPERLINK(CONCATENATE("#Metadata!", ADDRESS(INDEX($Q$2:$Q$1001,MATCH(ROWS($O$2:O391),$O$2:$O$1001,0),0), INDEX($V$1004:$AE$1004,1,MATCH(COLUMNS($V$1006:AE1006),$V$1006:$AE$1006,0)))),"Fix")))</f>
        <v>0</v>
      </c>
      <c r="O391">
        <v>0</v>
      </c>
      <c r="P391">
        <v>0</v>
      </c>
      <c r="Q391">
        <v>0</v>
      </c>
      <c r="R391">
        <f>IF(S391,TRUE,AND(V391:AE391))</f>
        <v>0</v>
      </c>
      <c r="S391">
        <f>COUNTBLANK(Metadata!B391:K391)=COLUMNS(Metadata!B391:K391)</f>
        <v>0</v>
      </c>
      <c r="T391">
        <v>0</v>
      </c>
      <c r="V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W391">
        <f>AND(IF(Metadata!C391="",FALSE,TRUE),exact(Metadata!C391,"animal secretion"))</f>
        <v>0</v>
      </c>
      <c r="X391">
        <f>AND(IF(Metadata!D391="",FALSE,TRUE),exact(Metadata!D391,"saliva"))</f>
        <v>0</v>
      </c>
      <c r="Y391">
        <f>AND(IF(Metadata!E391="",FALSE,TRUE),exact(Metadata!E391,"human-oral"))</f>
        <v>0</v>
      </c>
      <c r="Z391">
        <f>AND(IF(Metadata!F391="",FALSE,TRUE),exact(Metadata!F391,"UBERON:oral cavity"))</f>
        <v>0</v>
      </c>
      <c r="AA391">
        <f>AND(IF(Metadata!G391="",FALSE,TRUE),exact(Metadata!G391,"UBERON:saliva"))</f>
        <v>0</v>
      </c>
      <c r="AB391">
        <f>AND(IF(Metadata!H391="",FALSE,TRUE),exact(Metadata!H391,"UBERON:tongue"))</f>
        <v>0</v>
      </c>
      <c r="AC391">
        <f>AND(IF(Metadata!I391="",FALSE,TRUE),exact(Metadata!I391,"tongue"))</f>
        <v>0</v>
      </c>
      <c r="AD391">
        <f>AND(IF(Metadata!J391="",FALSE,TRUE),exact(Metadata!J391,"human oral metagenome"))</f>
        <v>0</v>
      </c>
      <c r="AE391">
        <f>AND(IF(Metadata!K391="",FALSE,TRUE),exact(Metadata!K391,"447426"))</f>
        <v>0</v>
      </c>
    </row>
    <row r="392" spans="1:31">
      <c r="A392" s="4">
        <f>IF(B392=" "," ",HYPERLINK(CONCATENATE("#metadata!",ADDRESS(INDEX($Q$2:$Q$1001,MATCH(ROWS($O$2:O392),$O$2:$O$1001,0),0),1)),INDEX($T$2:$T$1001,MATCH(ROWS($O$2:O392),$O$2:$O$1001,0),0)))</f>
        <v>0</v>
      </c>
      <c r="B392" s="3">
        <f>IF(OR(INDEX($P$2:$P$1001,MATCH(ROWS($O$2:O392),$O$2:$O$1001,0),1)&gt;=100000,INDEX($V$1005:$AE$1005,1,MATCH(COLUMNS($V$1006:V1006),$V$1006:$AE$1006,0))&gt;=100000), " ",IF(INDEX($V$2:$AE$1001,MATCH(ROWS($O$2:O392),$O$2:$O$1001,0),MATCH(COLUMNS($V$1006:V1006),$V$1006:$AE$1006,0)), HYPERLINK("#",""), HYPERLINK(CONCATENATE("#Metadata!", ADDRESS(INDEX($Q$2:$Q$1001,MATCH(ROWS($O$2:O392),$O$2:$O$1001,0),0), INDEX($V$1004:$AE$1004,1,MATCH(COLUMNS($V$1006:V1006),$V$1006:$AE$1006,0)))),"Fix")))</f>
        <v>0</v>
      </c>
      <c r="C392" s="3">
        <f>IF(OR(INDEX($P$2:$P$1001,MATCH(ROWS($O$2:O392),$O$2:$O$1001,0),1)&gt;=100000,INDEX($V$1005:$AE$1005,1,MATCH(COLUMNS($V$1006:W1006),$V$1006:$AE$1006,0))&gt;=100000), " ",IF(INDEX($V$2:$AE$1001,MATCH(ROWS($O$2:O392),$O$2:$O$1001,0),MATCH(COLUMNS($V$1006:W1006),$V$1006:$AE$1006,0)), HYPERLINK("#",""), HYPERLINK(CONCATENATE("#Metadata!", ADDRESS(INDEX($Q$2:$Q$1001,MATCH(ROWS($O$2:O392),$O$2:$O$1001,0),0), INDEX($V$1004:$AE$1004,1,MATCH(COLUMNS($V$1006:W1006),$V$1006:$AE$1006,0)))),"Fix")))</f>
        <v>0</v>
      </c>
      <c r="D392" s="3">
        <f>IF(OR(INDEX($P$2:$P$1001,MATCH(ROWS($O$2:O392),$O$2:$O$1001,0),1)&gt;=100000,INDEX($V$1005:$AE$1005,1,MATCH(COLUMNS($V$1006:X1006),$V$1006:$AE$1006,0))&gt;=100000), " ",IF(INDEX($V$2:$AE$1001,MATCH(ROWS($O$2:O392),$O$2:$O$1001,0),MATCH(COLUMNS($V$1006:X1006),$V$1006:$AE$1006,0)), HYPERLINK("#",""), HYPERLINK(CONCATENATE("#Metadata!", ADDRESS(INDEX($Q$2:$Q$1001,MATCH(ROWS($O$2:O392),$O$2:$O$1001,0),0), INDEX($V$1004:$AE$1004,1,MATCH(COLUMNS($V$1006:X1006),$V$1006:$AE$1006,0)))),"Fix")))</f>
        <v>0</v>
      </c>
      <c r="E392" s="3">
        <f>IF(OR(INDEX($P$2:$P$1001,MATCH(ROWS($O$2:O392),$O$2:$O$1001,0),1)&gt;=100000,INDEX($V$1005:$AE$1005,1,MATCH(COLUMNS($V$1006:Y1006),$V$1006:$AE$1006,0))&gt;=100000), " ",IF(INDEX($V$2:$AE$1001,MATCH(ROWS($O$2:O392),$O$2:$O$1001,0),MATCH(COLUMNS($V$1006:Y1006),$V$1006:$AE$1006,0)), HYPERLINK("#",""), HYPERLINK(CONCATENATE("#Metadata!", ADDRESS(INDEX($Q$2:$Q$1001,MATCH(ROWS($O$2:O392),$O$2:$O$1001,0),0), INDEX($V$1004:$AE$1004,1,MATCH(COLUMNS($V$1006:Y1006),$V$1006:$AE$1006,0)))),"Fix")))</f>
        <v>0</v>
      </c>
      <c r="F392" s="3">
        <f>IF(OR(INDEX($P$2:$P$1001,MATCH(ROWS($O$2:O392),$O$2:$O$1001,0),1)&gt;=100000,INDEX($V$1005:$AE$1005,1,MATCH(COLUMNS($V$1006:Z1006),$V$1006:$AE$1006,0))&gt;=100000), " ",IF(INDEX($V$2:$AE$1001,MATCH(ROWS($O$2:O392),$O$2:$O$1001,0),MATCH(COLUMNS($V$1006:Z1006),$V$1006:$AE$1006,0)), HYPERLINK("#",""), HYPERLINK(CONCATENATE("#Metadata!", ADDRESS(INDEX($Q$2:$Q$1001,MATCH(ROWS($O$2:O392),$O$2:$O$1001,0),0), INDEX($V$1004:$AE$1004,1,MATCH(COLUMNS($V$1006:Z1006),$V$1006:$AE$1006,0)))),"Fix")))</f>
        <v>0</v>
      </c>
      <c r="G392" s="3">
        <f>IF(OR(INDEX($P$2:$P$1001,MATCH(ROWS($O$2:O392),$O$2:$O$1001,0),1)&gt;=100000,INDEX($V$1005:$AE$1005,1,MATCH(COLUMNS($V$1006:AA1006),$V$1006:$AE$1006,0))&gt;=100000), " ",IF(INDEX($V$2:$AE$1001,MATCH(ROWS($O$2:O392),$O$2:$O$1001,0),MATCH(COLUMNS($V$1006:AA1006),$V$1006:$AE$1006,0)), HYPERLINK("#",""), HYPERLINK(CONCATENATE("#Metadata!", ADDRESS(INDEX($Q$2:$Q$1001,MATCH(ROWS($O$2:O392),$O$2:$O$1001,0),0), INDEX($V$1004:$AE$1004,1,MATCH(COLUMNS($V$1006:AA1006),$V$1006:$AE$1006,0)))),"Fix")))</f>
        <v>0</v>
      </c>
      <c r="H392" s="3">
        <f>IF(OR(INDEX($P$2:$P$1001,MATCH(ROWS($O$2:O392),$O$2:$O$1001,0),1)&gt;=100000,INDEX($V$1005:$AE$1005,1,MATCH(COLUMNS($V$1006:AB1006),$V$1006:$AE$1006,0))&gt;=100000), " ",IF(INDEX($V$2:$AE$1001,MATCH(ROWS($O$2:O392),$O$2:$O$1001,0),MATCH(COLUMNS($V$1006:AB1006),$V$1006:$AE$1006,0)), HYPERLINK("#",""), HYPERLINK(CONCATENATE("#Metadata!", ADDRESS(INDEX($Q$2:$Q$1001,MATCH(ROWS($O$2:O392),$O$2:$O$1001,0),0), INDEX($V$1004:$AE$1004,1,MATCH(COLUMNS($V$1006:AB1006),$V$1006:$AE$1006,0)))),"Fix")))</f>
        <v>0</v>
      </c>
      <c r="I392" s="3">
        <f>IF(OR(INDEX($P$2:$P$1001,MATCH(ROWS($O$2:O392),$O$2:$O$1001,0),1)&gt;=100000,INDEX($V$1005:$AE$1005,1,MATCH(COLUMNS($V$1006:AC1006),$V$1006:$AE$1006,0))&gt;=100000), " ",IF(INDEX($V$2:$AE$1001,MATCH(ROWS($O$2:O392),$O$2:$O$1001,0),MATCH(COLUMNS($V$1006:AC1006),$V$1006:$AE$1006,0)), HYPERLINK("#",""), HYPERLINK(CONCATENATE("#Metadata!", ADDRESS(INDEX($Q$2:$Q$1001,MATCH(ROWS($O$2:O392),$O$2:$O$1001,0),0), INDEX($V$1004:$AE$1004,1,MATCH(COLUMNS($V$1006:AC1006),$V$1006:$AE$1006,0)))),"Fix")))</f>
        <v>0</v>
      </c>
      <c r="J392" s="3">
        <f>IF(OR(INDEX($P$2:$P$1001,MATCH(ROWS($O$2:O392),$O$2:$O$1001,0),1)&gt;=100000,INDEX($V$1005:$AE$1005,1,MATCH(COLUMNS($V$1006:AD1006),$V$1006:$AE$1006,0))&gt;=100000), " ",IF(INDEX($V$2:$AE$1001,MATCH(ROWS($O$2:O392),$O$2:$O$1001,0),MATCH(COLUMNS($V$1006:AD1006),$V$1006:$AE$1006,0)), HYPERLINK("#",""), HYPERLINK(CONCATENATE("#Metadata!", ADDRESS(INDEX($Q$2:$Q$1001,MATCH(ROWS($O$2:O392),$O$2:$O$1001,0),0), INDEX($V$1004:$AE$1004,1,MATCH(COLUMNS($V$1006:AD1006),$V$1006:$AE$1006,0)))),"Fix")))</f>
        <v>0</v>
      </c>
      <c r="K392" s="3">
        <f>IF(OR(INDEX($P$2:$P$1001,MATCH(ROWS($O$2:O392),$O$2:$O$1001,0),1)&gt;=100000,INDEX($V$1005:$AE$1005,1,MATCH(COLUMNS($V$1006:AE1006),$V$1006:$AE$1006,0))&gt;=100000), " ",IF(INDEX($V$2:$AE$1001,MATCH(ROWS($O$2:O392),$O$2:$O$1001,0),MATCH(COLUMNS($V$1006:AE1006),$V$1006:$AE$1006,0)), HYPERLINK("#",""), HYPERLINK(CONCATENATE("#Metadata!", ADDRESS(INDEX($Q$2:$Q$1001,MATCH(ROWS($O$2:O392),$O$2:$O$1001,0),0), INDEX($V$1004:$AE$1004,1,MATCH(COLUMNS($V$1006:AE1006),$V$1006:$AE$1006,0)))),"Fix")))</f>
        <v>0</v>
      </c>
      <c r="O392">
        <v>0</v>
      </c>
      <c r="P392">
        <v>0</v>
      </c>
      <c r="Q392">
        <v>0</v>
      </c>
      <c r="R392">
        <f>IF(S392,TRUE,AND(V392:AE392))</f>
        <v>0</v>
      </c>
      <c r="S392">
        <f>COUNTBLANK(Metadata!B392:K392)=COLUMNS(Metadata!B392:K392)</f>
        <v>0</v>
      </c>
      <c r="T392">
        <v>0</v>
      </c>
      <c r="V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W392">
        <f>AND(IF(Metadata!C392="",FALSE,TRUE),exact(Metadata!C392,"animal secretion"))</f>
        <v>0</v>
      </c>
      <c r="X392">
        <f>AND(IF(Metadata!D392="",FALSE,TRUE),exact(Metadata!D392,"saliva"))</f>
        <v>0</v>
      </c>
      <c r="Y392">
        <f>AND(IF(Metadata!E392="",FALSE,TRUE),exact(Metadata!E392,"human-oral"))</f>
        <v>0</v>
      </c>
      <c r="Z392">
        <f>AND(IF(Metadata!F392="",FALSE,TRUE),exact(Metadata!F392,"UBERON:oral cavity"))</f>
        <v>0</v>
      </c>
      <c r="AA392">
        <f>AND(IF(Metadata!G392="",FALSE,TRUE),exact(Metadata!G392,"UBERON:saliva"))</f>
        <v>0</v>
      </c>
      <c r="AB392">
        <f>AND(IF(Metadata!H392="",FALSE,TRUE),exact(Metadata!H392,"UBERON:tongue"))</f>
        <v>0</v>
      </c>
      <c r="AC392">
        <f>AND(IF(Metadata!I392="",FALSE,TRUE),exact(Metadata!I392,"tongue"))</f>
        <v>0</v>
      </c>
      <c r="AD392">
        <f>AND(IF(Metadata!J392="",FALSE,TRUE),exact(Metadata!J392,"human oral metagenome"))</f>
        <v>0</v>
      </c>
      <c r="AE392">
        <f>AND(IF(Metadata!K392="",FALSE,TRUE),exact(Metadata!K392,"447426"))</f>
        <v>0</v>
      </c>
    </row>
    <row r="393" spans="1:31">
      <c r="A393" s="4">
        <f>IF(B393=" "," ",HYPERLINK(CONCATENATE("#metadata!",ADDRESS(INDEX($Q$2:$Q$1001,MATCH(ROWS($O$2:O393),$O$2:$O$1001,0),0),1)),INDEX($T$2:$T$1001,MATCH(ROWS($O$2:O393),$O$2:$O$1001,0),0)))</f>
        <v>0</v>
      </c>
      <c r="B393" s="3">
        <f>IF(OR(INDEX($P$2:$P$1001,MATCH(ROWS($O$2:O393),$O$2:$O$1001,0),1)&gt;=100000,INDEX($V$1005:$AE$1005,1,MATCH(COLUMNS($V$1006:V1006),$V$1006:$AE$1006,0))&gt;=100000), " ",IF(INDEX($V$2:$AE$1001,MATCH(ROWS($O$2:O393),$O$2:$O$1001,0),MATCH(COLUMNS($V$1006:V1006),$V$1006:$AE$1006,0)), HYPERLINK("#",""), HYPERLINK(CONCATENATE("#Metadata!", ADDRESS(INDEX($Q$2:$Q$1001,MATCH(ROWS($O$2:O393),$O$2:$O$1001,0),0), INDEX($V$1004:$AE$1004,1,MATCH(COLUMNS($V$1006:V1006),$V$1006:$AE$1006,0)))),"Fix")))</f>
        <v>0</v>
      </c>
      <c r="C393" s="3">
        <f>IF(OR(INDEX($P$2:$P$1001,MATCH(ROWS($O$2:O393),$O$2:$O$1001,0),1)&gt;=100000,INDEX($V$1005:$AE$1005,1,MATCH(COLUMNS($V$1006:W1006),$V$1006:$AE$1006,0))&gt;=100000), " ",IF(INDEX($V$2:$AE$1001,MATCH(ROWS($O$2:O393),$O$2:$O$1001,0),MATCH(COLUMNS($V$1006:W1006),$V$1006:$AE$1006,0)), HYPERLINK("#",""), HYPERLINK(CONCATENATE("#Metadata!", ADDRESS(INDEX($Q$2:$Q$1001,MATCH(ROWS($O$2:O393),$O$2:$O$1001,0),0), INDEX($V$1004:$AE$1004,1,MATCH(COLUMNS($V$1006:W1006),$V$1006:$AE$1006,0)))),"Fix")))</f>
        <v>0</v>
      </c>
      <c r="D393" s="3">
        <f>IF(OR(INDEX($P$2:$P$1001,MATCH(ROWS($O$2:O393),$O$2:$O$1001,0),1)&gt;=100000,INDEX($V$1005:$AE$1005,1,MATCH(COLUMNS($V$1006:X1006),$V$1006:$AE$1006,0))&gt;=100000), " ",IF(INDEX($V$2:$AE$1001,MATCH(ROWS($O$2:O393),$O$2:$O$1001,0),MATCH(COLUMNS($V$1006:X1006),$V$1006:$AE$1006,0)), HYPERLINK("#",""), HYPERLINK(CONCATENATE("#Metadata!", ADDRESS(INDEX($Q$2:$Q$1001,MATCH(ROWS($O$2:O393),$O$2:$O$1001,0),0), INDEX($V$1004:$AE$1004,1,MATCH(COLUMNS($V$1006:X1006),$V$1006:$AE$1006,0)))),"Fix")))</f>
        <v>0</v>
      </c>
      <c r="E393" s="3">
        <f>IF(OR(INDEX($P$2:$P$1001,MATCH(ROWS($O$2:O393),$O$2:$O$1001,0),1)&gt;=100000,INDEX($V$1005:$AE$1005,1,MATCH(COLUMNS($V$1006:Y1006),$V$1006:$AE$1006,0))&gt;=100000), " ",IF(INDEX($V$2:$AE$1001,MATCH(ROWS($O$2:O393),$O$2:$O$1001,0),MATCH(COLUMNS($V$1006:Y1006),$V$1006:$AE$1006,0)), HYPERLINK("#",""), HYPERLINK(CONCATENATE("#Metadata!", ADDRESS(INDEX($Q$2:$Q$1001,MATCH(ROWS($O$2:O393),$O$2:$O$1001,0),0), INDEX($V$1004:$AE$1004,1,MATCH(COLUMNS($V$1006:Y1006),$V$1006:$AE$1006,0)))),"Fix")))</f>
        <v>0</v>
      </c>
      <c r="F393" s="3">
        <f>IF(OR(INDEX($P$2:$P$1001,MATCH(ROWS($O$2:O393),$O$2:$O$1001,0),1)&gt;=100000,INDEX($V$1005:$AE$1005,1,MATCH(COLUMNS($V$1006:Z1006),$V$1006:$AE$1006,0))&gt;=100000), " ",IF(INDEX($V$2:$AE$1001,MATCH(ROWS($O$2:O393),$O$2:$O$1001,0),MATCH(COLUMNS($V$1006:Z1006),$V$1006:$AE$1006,0)), HYPERLINK("#",""), HYPERLINK(CONCATENATE("#Metadata!", ADDRESS(INDEX($Q$2:$Q$1001,MATCH(ROWS($O$2:O393),$O$2:$O$1001,0),0), INDEX($V$1004:$AE$1004,1,MATCH(COLUMNS($V$1006:Z1006),$V$1006:$AE$1006,0)))),"Fix")))</f>
        <v>0</v>
      </c>
      <c r="G393" s="3">
        <f>IF(OR(INDEX($P$2:$P$1001,MATCH(ROWS($O$2:O393),$O$2:$O$1001,0),1)&gt;=100000,INDEX($V$1005:$AE$1005,1,MATCH(COLUMNS($V$1006:AA1006),$V$1006:$AE$1006,0))&gt;=100000), " ",IF(INDEX($V$2:$AE$1001,MATCH(ROWS($O$2:O393),$O$2:$O$1001,0),MATCH(COLUMNS($V$1006:AA1006),$V$1006:$AE$1006,0)), HYPERLINK("#",""), HYPERLINK(CONCATENATE("#Metadata!", ADDRESS(INDEX($Q$2:$Q$1001,MATCH(ROWS($O$2:O393),$O$2:$O$1001,0),0), INDEX($V$1004:$AE$1004,1,MATCH(COLUMNS($V$1006:AA1006),$V$1006:$AE$1006,0)))),"Fix")))</f>
        <v>0</v>
      </c>
      <c r="H393" s="3">
        <f>IF(OR(INDEX($P$2:$P$1001,MATCH(ROWS($O$2:O393),$O$2:$O$1001,0),1)&gt;=100000,INDEX($V$1005:$AE$1005,1,MATCH(COLUMNS($V$1006:AB1006),$V$1006:$AE$1006,0))&gt;=100000), " ",IF(INDEX($V$2:$AE$1001,MATCH(ROWS($O$2:O393),$O$2:$O$1001,0),MATCH(COLUMNS($V$1006:AB1006),$V$1006:$AE$1006,0)), HYPERLINK("#",""), HYPERLINK(CONCATENATE("#Metadata!", ADDRESS(INDEX($Q$2:$Q$1001,MATCH(ROWS($O$2:O393),$O$2:$O$1001,0),0), INDEX($V$1004:$AE$1004,1,MATCH(COLUMNS($V$1006:AB1006),$V$1006:$AE$1006,0)))),"Fix")))</f>
        <v>0</v>
      </c>
      <c r="I393" s="3">
        <f>IF(OR(INDEX($P$2:$P$1001,MATCH(ROWS($O$2:O393),$O$2:$O$1001,0),1)&gt;=100000,INDEX($V$1005:$AE$1005,1,MATCH(COLUMNS($V$1006:AC1006),$V$1006:$AE$1006,0))&gt;=100000), " ",IF(INDEX($V$2:$AE$1001,MATCH(ROWS($O$2:O393),$O$2:$O$1001,0),MATCH(COLUMNS($V$1006:AC1006),$V$1006:$AE$1006,0)), HYPERLINK("#",""), HYPERLINK(CONCATENATE("#Metadata!", ADDRESS(INDEX($Q$2:$Q$1001,MATCH(ROWS($O$2:O393),$O$2:$O$1001,0),0), INDEX($V$1004:$AE$1004,1,MATCH(COLUMNS($V$1006:AC1006),$V$1006:$AE$1006,0)))),"Fix")))</f>
        <v>0</v>
      </c>
      <c r="J393" s="3">
        <f>IF(OR(INDEX($P$2:$P$1001,MATCH(ROWS($O$2:O393),$O$2:$O$1001,0),1)&gt;=100000,INDEX($V$1005:$AE$1005,1,MATCH(COLUMNS($V$1006:AD1006),$V$1006:$AE$1006,0))&gt;=100000), " ",IF(INDEX($V$2:$AE$1001,MATCH(ROWS($O$2:O393),$O$2:$O$1001,0),MATCH(COLUMNS($V$1006:AD1006),$V$1006:$AE$1006,0)), HYPERLINK("#",""), HYPERLINK(CONCATENATE("#Metadata!", ADDRESS(INDEX($Q$2:$Q$1001,MATCH(ROWS($O$2:O393),$O$2:$O$1001,0),0), INDEX($V$1004:$AE$1004,1,MATCH(COLUMNS($V$1006:AD1006),$V$1006:$AE$1006,0)))),"Fix")))</f>
        <v>0</v>
      </c>
      <c r="K393" s="3">
        <f>IF(OR(INDEX($P$2:$P$1001,MATCH(ROWS($O$2:O393),$O$2:$O$1001,0),1)&gt;=100000,INDEX($V$1005:$AE$1005,1,MATCH(COLUMNS($V$1006:AE1006),$V$1006:$AE$1006,0))&gt;=100000), " ",IF(INDEX($V$2:$AE$1001,MATCH(ROWS($O$2:O393),$O$2:$O$1001,0),MATCH(COLUMNS($V$1006:AE1006),$V$1006:$AE$1006,0)), HYPERLINK("#",""), HYPERLINK(CONCATENATE("#Metadata!", ADDRESS(INDEX($Q$2:$Q$1001,MATCH(ROWS($O$2:O393),$O$2:$O$1001,0),0), INDEX($V$1004:$AE$1004,1,MATCH(COLUMNS($V$1006:AE1006),$V$1006:$AE$1006,0)))),"Fix")))</f>
        <v>0</v>
      </c>
      <c r="O393">
        <v>0</v>
      </c>
      <c r="P393">
        <v>0</v>
      </c>
      <c r="Q393">
        <v>0</v>
      </c>
      <c r="R393">
        <f>IF(S393,TRUE,AND(V393:AE393))</f>
        <v>0</v>
      </c>
      <c r="S393">
        <f>COUNTBLANK(Metadata!B393:K393)=COLUMNS(Metadata!B393:K393)</f>
        <v>0</v>
      </c>
      <c r="T393">
        <v>0</v>
      </c>
      <c r="V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W393">
        <f>AND(IF(Metadata!C393="",FALSE,TRUE),exact(Metadata!C393,"animal secretion"))</f>
        <v>0</v>
      </c>
      <c r="X393">
        <f>AND(IF(Metadata!D393="",FALSE,TRUE),exact(Metadata!D393,"saliva"))</f>
        <v>0</v>
      </c>
      <c r="Y393">
        <f>AND(IF(Metadata!E393="",FALSE,TRUE),exact(Metadata!E393,"human-oral"))</f>
        <v>0</v>
      </c>
      <c r="Z393">
        <f>AND(IF(Metadata!F393="",FALSE,TRUE),exact(Metadata!F393,"UBERON:oral cavity"))</f>
        <v>0</v>
      </c>
      <c r="AA393">
        <f>AND(IF(Metadata!G393="",FALSE,TRUE),exact(Metadata!G393,"UBERON:saliva"))</f>
        <v>0</v>
      </c>
      <c r="AB393">
        <f>AND(IF(Metadata!H393="",FALSE,TRUE),exact(Metadata!H393,"UBERON:tongue"))</f>
        <v>0</v>
      </c>
      <c r="AC393">
        <f>AND(IF(Metadata!I393="",FALSE,TRUE),exact(Metadata!I393,"tongue"))</f>
        <v>0</v>
      </c>
      <c r="AD393">
        <f>AND(IF(Metadata!J393="",FALSE,TRUE),exact(Metadata!J393,"human oral metagenome"))</f>
        <v>0</v>
      </c>
      <c r="AE393">
        <f>AND(IF(Metadata!K393="",FALSE,TRUE),exact(Metadata!K393,"447426"))</f>
        <v>0</v>
      </c>
    </row>
    <row r="394" spans="1:31">
      <c r="A394" s="4">
        <f>IF(B394=" "," ",HYPERLINK(CONCATENATE("#metadata!",ADDRESS(INDEX($Q$2:$Q$1001,MATCH(ROWS($O$2:O394),$O$2:$O$1001,0),0),1)),INDEX($T$2:$T$1001,MATCH(ROWS($O$2:O394),$O$2:$O$1001,0),0)))</f>
        <v>0</v>
      </c>
      <c r="B394" s="3">
        <f>IF(OR(INDEX($P$2:$P$1001,MATCH(ROWS($O$2:O394),$O$2:$O$1001,0),1)&gt;=100000,INDEX($V$1005:$AE$1005,1,MATCH(COLUMNS($V$1006:V1006),$V$1006:$AE$1006,0))&gt;=100000), " ",IF(INDEX($V$2:$AE$1001,MATCH(ROWS($O$2:O394),$O$2:$O$1001,0),MATCH(COLUMNS($V$1006:V1006),$V$1006:$AE$1006,0)), HYPERLINK("#",""), HYPERLINK(CONCATENATE("#Metadata!", ADDRESS(INDEX($Q$2:$Q$1001,MATCH(ROWS($O$2:O394),$O$2:$O$1001,0),0), INDEX($V$1004:$AE$1004,1,MATCH(COLUMNS($V$1006:V1006),$V$1006:$AE$1006,0)))),"Fix")))</f>
        <v>0</v>
      </c>
      <c r="C394" s="3">
        <f>IF(OR(INDEX($P$2:$P$1001,MATCH(ROWS($O$2:O394),$O$2:$O$1001,0),1)&gt;=100000,INDEX($V$1005:$AE$1005,1,MATCH(COLUMNS($V$1006:W1006),$V$1006:$AE$1006,0))&gt;=100000), " ",IF(INDEX($V$2:$AE$1001,MATCH(ROWS($O$2:O394),$O$2:$O$1001,0),MATCH(COLUMNS($V$1006:W1006),$V$1006:$AE$1006,0)), HYPERLINK("#",""), HYPERLINK(CONCATENATE("#Metadata!", ADDRESS(INDEX($Q$2:$Q$1001,MATCH(ROWS($O$2:O394),$O$2:$O$1001,0),0), INDEX($V$1004:$AE$1004,1,MATCH(COLUMNS($V$1006:W1006),$V$1006:$AE$1006,0)))),"Fix")))</f>
        <v>0</v>
      </c>
      <c r="D394" s="3">
        <f>IF(OR(INDEX($P$2:$P$1001,MATCH(ROWS($O$2:O394),$O$2:$O$1001,0),1)&gt;=100000,INDEX($V$1005:$AE$1005,1,MATCH(COLUMNS($V$1006:X1006),$V$1006:$AE$1006,0))&gt;=100000), " ",IF(INDEX($V$2:$AE$1001,MATCH(ROWS($O$2:O394),$O$2:$O$1001,0),MATCH(COLUMNS($V$1006:X1006),$V$1006:$AE$1006,0)), HYPERLINK("#",""), HYPERLINK(CONCATENATE("#Metadata!", ADDRESS(INDEX($Q$2:$Q$1001,MATCH(ROWS($O$2:O394),$O$2:$O$1001,0),0), INDEX($V$1004:$AE$1004,1,MATCH(COLUMNS($V$1006:X1006),$V$1006:$AE$1006,0)))),"Fix")))</f>
        <v>0</v>
      </c>
      <c r="E394" s="3">
        <f>IF(OR(INDEX($P$2:$P$1001,MATCH(ROWS($O$2:O394),$O$2:$O$1001,0),1)&gt;=100000,INDEX($V$1005:$AE$1005,1,MATCH(COLUMNS($V$1006:Y1006),$V$1006:$AE$1006,0))&gt;=100000), " ",IF(INDEX($V$2:$AE$1001,MATCH(ROWS($O$2:O394),$O$2:$O$1001,0),MATCH(COLUMNS($V$1006:Y1006),$V$1006:$AE$1006,0)), HYPERLINK("#",""), HYPERLINK(CONCATENATE("#Metadata!", ADDRESS(INDEX($Q$2:$Q$1001,MATCH(ROWS($O$2:O394),$O$2:$O$1001,0),0), INDEX($V$1004:$AE$1004,1,MATCH(COLUMNS($V$1006:Y1006),$V$1006:$AE$1006,0)))),"Fix")))</f>
        <v>0</v>
      </c>
      <c r="F394" s="3">
        <f>IF(OR(INDEX($P$2:$P$1001,MATCH(ROWS($O$2:O394),$O$2:$O$1001,0),1)&gt;=100000,INDEX($V$1005:$AE$1005,1,MATCH(COLUMNS($V$1006:Z1006),$V$1006:$AE$1006,0))&gt;=100000), " ",IF(INDEX($V$2:$AE$1001,MATCH(ROWS($O$2:O394),$O$2:$O$1001,0),MATCH(COLUMNS($V$1006:Z1006),$V$1006:$AE$1006,0)), HYPERLINK("#",""), HYPERLINK(CONCATENATE("#Metadata!", ADDRESS(INDEX($Q$2:$Q$1001,MATCH(ROWS($O$2:O394),$O$2:$O$1001,0),0), INDEX($V$1004:$AE$1004,1,MATCH(COLUMNS($V$1006:Z1006),$V$1006:$AE$1006,0)))),"Fix")))</f>
        <v>0</v>
      </c>
      <c r="G394" s="3">
        <f>IF(OR(INDEX($P$2:$P$1001,MATCH(ROWS($O$2:O394),$O$2:$O$1001,0),1)&gt;=100000,INDEX($V$1005:$AE$1005,1,MATCH(COLUMNS($V$1006:AA1006),$V$1006:$AE$1006,0))&gt;=100000), " ",IF(INDEX($V$2:$AE$1001,MATCH(ROWS($O$2:O394),$O$2:$O$1001,0),MATCH(COLUMNS($V$1006:AA1006),$V$1006:$AE$1006,0)), HYPERLINK("#",""), HYPERLINK(CONCATENATE("#Metadata!", ADDRESS(INDEX($Q$2:$Q$1001,MATCH(ROWS($O$2:O394),$O$2:$O$1001,0),0), INDEX($V$1004:$AE$1004,1,MATCH(COLUMNS($V$1006:AA1006),$V$1006:$AE$1006,0)))),"Fix")))</f>
        <v>0</v>
      </c>
      <c r="H394" s="3">
        <f>IF(OR(INDEX($P$2:$P$1001,MATCH(ROWS($O$2:O394),$O$2:$O$1001,0),1)&gt;=100000,INDEX($V$1005:$AE$1005,1,MATCH(COLUMNS($V$1006:AB1006),$V$1006:$AE$1006,0))&gt;=100000), " ",IF(INDEX($V$2:$AE$1001,MATCH(ROWS($O$2:O394),$O$2:$O$1001,0),MATCH(COLUMNS($V$1006:AB1006),$V$1006:$AE$1006,0)), HYPERLINK("#",""), HYPERLINK(CONCATENATE("#Metadata!", ADDRESS(INDEX($Q$2:$Q$1001,MATCH(ROWS($O$2:O394),$O$2:$O$1001,0),0), INDEX($V$1004:$AE$1004,1,MATCH(COLUMNS($V$1006:AB1006),$V$1006:$AE$1006,0)))),"Fix")))</f>
        <v>0</v>
      </c>
      <c r="I394" s="3">
        <f>IF(OR(INDEX($P$2:$P$1001,MATCH(ROWS($O$2:O394),$O$2:$O$1001,0),1)&gt;=100000,INDEX($V$1005:$AE$1005,1,MATCH(COLUMNS($V$1006:AC1006),$V$1006:$AE$1006,0))&gt;=100000), " ",IF(INDEX($V$2:$AE$1001,MATCH(ROWS($O$2:O394),$O$2:$O$1001,0),MATCH(COLUMNS($V$1006:AC1006),$V$1006:$AE$1006,0)), HYPERLINK("#",""), HYPERLINK(CONCATENATE("#Metadata!", ADDRESS(INDEX($Q$2:$Q$1001,MATCH(ROWS($O$2:O394),$O$2:$O$1001,0),0), INDEX($V$1004:$AE$1004,1,MATCH(COLUMNS($V$1006:AC1006),$V$1006:$AE$1006,0)))),"Fix")))</f>
        <v>0</v>
      </c>
      <c r="J394" s="3">
        <f>IF(OR(INDEX($P$2:$P$1001,MATCH(ROWS($O$2:O394),$O$2:$O$1001,0),1)&gt;=100000,INDEX($V$1005:$AE$1005,1,MATCH(COLUMNS($V$1006:AD1006),$V$1006:$AE$1006,0))&gt;=100000), " ",IF(INDEX($V$2:$AE$1001,MATCH(ROWS($O$2:O394),$O$2:$O$1001,0),MATCH(COLUMNS($V$1006:AD1006),$V$1006:$AE$1006,0)), HYPERLINK("#",""), HYPERLINK(CONCATENATE("#Metadata!", ADDRESS(INDEX($Q$2:$Q$1001,MATCH(ROWS($O$2:O394),$O$2:$O$1001,0),0), INDEX($V$1004:$AE$1004,1,MATCH(COLUMNS($V$1006:AD1006),$V$1006:$AE$1006,0)))),"Fix")))</f>
        <v>0</v>
      </c>
      <c r="K394" s="3">
        <f>IF(OR(INDEX($P$2:$P$1001,MATCH(ROWS($O$2:O394),$O$2:$O$1001,0),1)&gt;=100000,INDEX($V$1005:$AE$1005,1,MATCH(COLUMNS($V$1006:AE1006),$V$1006:$AE$1006,0))&gt;=100000), " ",IF(INDEX($V$2:$AE$1001,MATCH(ROWS($O$2:O394),$O$2:$O$1001,0),MATCH(COLUMNS($V$1006:AE1006),$V$1006:$AE$1006,0)), HYPERLINK("#",""), HYPERLINK(CONCATENATE("#Metadata!", ADDRESS(INDEX($Q$2:$Q$1001,MATCH(ROWS($O$2:O394),$O$2:$O$1001,0),0), INDEX($V$1004:$AE$1004,1,MATCH(COLUMNS($V$1006:AE1006),$V$1006:$AE$1006,0)))),"Fix")))</f>
        <v>0</v>
      </c>
      <c r="O394">
        <v>0</v>
      </c>
      <c r="P394">
        <v>0</v>
      </c>
      <c r="Q394">
        <v>0</v>
      </c>
      <c r="R394">
        <f>IF(S394,TRUE,AND(V394:AE394))</f>
        <v>0</v>
      </c>
      <c r="S394">
        <f>COUNTBLANK(Metadata!B394:K394)=COLUMNS(Metadata!B394:K394)</f>
        <v>0</v>
      </c>
      <c r="T394">
        <v>0</v>
      </c>
      <c r="V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W394">
        <f>AND(IF(Metadata!C394="",FALSE,TRUE),exact(Metadata!C394,"animal secretion"))</f>
        <v>0</v>
      </c>
      <c r="X394">
        <f>AND(IF(Metadata!D394="",FALSE,TRUE),exact(Metadata!D394,"saliva"))</f>
        <v>0</v>
      </c>
      <c r="Y394">
        <f>AND(IF(Metadata!E394="",FALSE,TRUE),exact(Metadata!E394,"human-oral"))</f>
        <v>0</v>
      </c>
      <c r="Z394">
        <f>AND(IF(Metadata!F394="",FALSE,TRUE),exact(Metadata!F394,"UBERON:oral cavity"))</f>
        <v>0</v>
      </c>
      <c r="AA394">
        <f>AND(IF(Metadata!G394="",FALSE,TRUE),exact(Metadata!G394,"UBERON:saliva"))</f>
        <v>0</v>
      </c>
      <c r="AB394">
        <f>AND(IF(Metadata!H394="",FALSE,TRUE),exact(Metadata!H394,"UBERON:tongue"))</f>
        <v>0</v>
      </c>
      <c r="AC394">
        <f>AND(IF(Metadata!I394="",FALSE,TRUE),exact(Metadata!I394,"tongue"))</f>
        <v>0</v>
      </c>
      <c r="AD394">
        <f>AND(IF(Metadata!J394="",FALSE,TRUE),exact(Metadata!J394,"human oral metagenome"))</f>
        <v>0</v>
      </c>
      <c r="AE394">
        <f>AND(IF(Metadata!K394="",FALSE,TRUE),exact(Metadata!K394,"447426"))</f>
        <v>0</v>
      </c>
    </row>
    <row r="395" spans="1:31">
      <c r="A395" s="4">
        <f>IF(B395=" "," ",HYPERLINK(CONCATENATE("#metadata!",ADDRESS(INDEX($Q$2:$Q$1001,MATCH(ROWS($O$2:O395),$O$2:$O$1001,0),0),1)),INDEX($T$2:$T$1001,MATCH(ROWS($O$2:O395),$O$2:$O$1001,0),0)))</f>
        <v>0</v>
      </c>
      <c r="B395" s="3">
        <f>IF(OR(INDEX($P$2:$P$1001,MATCH(ROWS($O$2:O395),$O$2:$O$1001,0),1)&gt;=100000,INDEX($V$1005:$AE$1005,1,MATCH(COLUMNS($V$1006:V1006),$V$1006:$AE$1006,0))&gt;=100000), " ",IF(INDEX($V$2:$AE$1001,MATCH(ROWS($O$2:O395),$O$2:$O$1001,0),MATCH(COLUMNS($V$1006:V1006),$V$1006:$AE$1006,0)), HYPERLINK("#",""), HYPERLINK(CONCATENATE("#Metadata!", ADDRESS(INDEX($Q$2:$Q$1001,MATCH(ROWS($O$2:O395),$O$2:$O$1001,0),0), INDEX($V$1004:$AE$1004,1,MATCH(COLUMNS($V$1006:V1006),$V$1006:$AE$1006,0)))),"Fix")))</f>
        <v>0</v>
      </c>
      <c r="C395" s="3">
        <f>IF(OR(INDEX($P$2:$P$1001,MATCH(ROWS($O$2:O395),$O$2:$O$1001,0),1)&gt;=100000,INDEX($V$1005:$AE$1005,1,MATCH(COLUMNS($V$1006:W1006),$V$1006:$AE$1006,0))&gt;=100000), " ",IF(INDEX($V$2:$AE$1001,MATCH(ROWS($O$2:O395),$O$2:$O$1001,0),MATCH(COLUMNS($V$1006:W1006),$V$1006:$AE$1006,0)), HYPERLINK("#",""), HYPERLINK(CONCATENATE("#Metadata!", ADDRESS(INDEX($Q$2:$Q$1001,MATCH(ROWS($O$2:O395),$O$2:$O$1001,0),0), INDEX($V$1004:$AE$1004,1,MATCH(COLUMNS($V$1006:W1006),$V$1006:$AE$1006,0)))),"Fix")))</f>
        <v>0</v>
      </c>
      <c r="D395" s="3">
        <f>IF(OR(INDEX($P$2:$P$1001,MATCH(ROWS($O$2:O395),$O$2:$O$1001,0),1)&gt;=100000,INDEX($V$1005:$AE$1005,1,MATCH(COLUMNS($V$1006:X1006),$V$1006:$AE$1006,0))&gt;=100000), " ",IF(INDEX($V$2:$AE$1001,MATCH(ROWS($O$2:O395),$O$2:$O$1001,0),MATCH(COLUMNS($V$1006:X1006),$V$1006:$AE$1006,0)), HYPERLINK("#",""), HYPERLINK(CONCATENATE("#Metadata!", ADDRESS(INDEX($Q$2:$Q$1001,MATCH(ROWS($O$2:O395),$O$2:$O$1001,0),0), INDEX($V$1004:$AE$1004,1,MATCH(COLUMNS($V$1006:X1006),$V$1006:$AE$1006,0)))),"Fix")))</f>
        <v>0</v>
      </c>
      <c r="E395" s="3">
        <f>IF(OR(INDEX($P$2:$P$1001,MATCH(ROWS($O$2:O395),$O$2:$O$1001,0),1)&gt;=100000,INDEX($V$1005:$AE$1005,1,MATCH(COLUMNS($V$1006:Y1006),$V$1006:$AE$1006,0))&gt;=100000), " ",IF(INDEX($V$2:$AE$1001,MATCH(ROWS($O$2:O395),$O$2:$O$1001,0),MATCH(COLUMNS($V$1006:Y1006),$V$1006:$AE$1006,0)), HYPERLINK("#",""), HYPERLINK(CONCATENATE("#Metadata!", ADDRESS(INDEX($Q$2:$Q$1001,MATCH(ROWS($O$2:O395),$O$2:$O$1001,0),0), INDEX($V$1004:$AE$1004,1,MATCH(COLUMNS($V$1006:Y1006),$V$1006:$AE$1006,0)))),"Fix")))</f>
        <v>0</v>
      </c>
      <c r="F395" s="3">
        <f>IF(OR(INDEX($P$2:$P$1001,MATCH(ROWS($O$2:O395),$O$2:$O$1001,0),1)&gt;=100000,INDEX($V$1005:$AE$1005,1,MATCH(COLUMNS($V$1006:Z1006),$V$1006:$AE$1006,0))&gt;=100000), " ",IF(INDEX($V$2:$AE$1001,MATCH(ROWS($O$2:O395),$O$2:$O$1001,0),MATCH(COLUMNS($V$1006:Z1006),$V$1006:$AE$1006,0)), HYPERLINK("#",""), HYPERLINK(CONCATENATE("#Metadata!", ADDRESS(INDEX($Q$2:$Q$1001,MATCH(ROWS($O$2:O395),$O$2:$O$1001,0),0), INDEX($V$1004:$AE$1004,1,MATCH(COLUMNS($V$1006:Z1006),$V$1006:$AE$1006,0)))),"Fix")))</f>
        <v>0</v>
      </c>
      <c r="G395" s="3">
        <f>IF(OR(INDEX($P$2:$P$1001,MATCH(ROWS($O$2:O395),$O$2:$O$1001,0),1)&gt;=100000,INDEX($V$1005:$AE$1005,1,MATCH(COLUMNS($V$1006:AA1006),$V$1006:$AE$1006,0))&gt;=100000), " ",IF(INDEX($V$2:$AE$1001,MATCH(ROWS($O$2:O395),$O$2:$O$1001,0),MATCH(COLUMNS($V$1006:AA1006),$V$1006:$AE$1006,0)), HYPERLINK("#",""), HYPERLINK(CONCATENATE("#Metadata!", ADDRESS(INDEX($Q$2:$Q$1001,MATCH(ROWS($O$2:O395),$O$2:$O$1001,0),0), INDEX($V$1004:$AE$1004,1,MATCH(COLUMNS($V$1006:AA1006),$V$1006:$AE$1006,0)))),"Fix")))</f>
        <v>0</v>
      </c>
      <c r="H395" s="3">
        <f>IF(OR(INDEX($P$2:$P$1001,MATCH(ROWS($O$2:O395),$O$2:$O$1001,0),1)&gt;=100000,INDEX($V$1005:$AE$1005,1,MATCH(COLUMNS($V$1006:AB1006),$V$1006:$AE$1006,0))&gt;=100000), " ",IF(INDEX($V$2:$AE$1001,MATCH(ROWS($O$2:O395),$O$2:$O$1001,0),MATCH(COLUMNS($V$1006:AB1006),$V$1006:$AE$1006,0)), HYPERLINK("#",""), HYPERLINK(CONCATENATE("#Metadata!", ADDRESS(INDEX($Q$2:$Q$1001,MATCH(ROWS($O$2:O395),$O$2:$O$1001,0),0), INDEX($V$1004:$AE$1004,1,MATCH(COLUMNS($V$1006:AB1006),$V$1006:$AE$1006,0)))),"Fix")))</f>
        <v>0</v>
      </c>
      <c r="I395" s="3">
        <f>IF(OR(INDEX($P$2:$P$1001,MATCH(ROWS($O$2:O395),$O$2:$O$1001,0),1)&gt;=100000,INDEX($V$1005:$AE$1005,1,MATCH(COLUMNS($V$1006:AC1006),$V$1006:$AE$1006,0))&gt;=100000), " ",IF(INDEX($V$2:$AE$1001,MATCH(ROWS($O$2:O395),$O$2:$O$1001,0),MATCH(COLUMNS($V$1006:AC1006),$V$1006:$AE$1006,0)), HYPERLINK("#",""), HYPERLINK(CONCATENATE("#Metadata!", ADDRESS(INDEX($Q$2:$Q$1001,MATCH(ROWS($O$2:O395),$O$2:$O$1001,0),0), INDEX($V$1004:$AE$1004,1,MATCH(COLUMNS($V$1006:AC1006),$V$1006:$AE$1006,0)))),"Fix")))</f>
        <v>0</v>
      </c>
      <c r="J395" s="3">
        <f>IF(OR(INDEX($P$2:$P$1001,MATCH(ROWS($O$2:O395),$O$2:$O$1001,0),1)&gt;=100000,INDEX($V$1005:$AE$1005,1,MATCH(COLUMNS($V$1006:AD1006),$V$1006:$AE$1006,0))&gt;=100000), " ",IF(INDEX($V$2:$AE$1001,MATCH(ROWS($O$2:O395),$O$2:$O$1001,0),MATCH(COLUMNS($V$1006:AD1006),$V$1006:$AE$1006,0)), HYPERLINK("#",""), HYPERLINK(CONCATENATE("#Metadata!", ADDRESS(INDEX($Q$2:$Q$1001,MATCH(ROWS($O$2:O395),$O$2:$O$1001,0),0), INDEX($V$1004:$AE$1004,1,MATCH(COLUMNS($V$1006:AD1006),$V$1006:$AE$1006,0)))),"Fix")))</f>
        <v>0</v>
      </c>
      <c r="K395" s="3">
        <f>IF(OR(INDEX($P$2:$P$1001,MATCH(ROWS($O$2:O395),$O$2:$O$1001,0),1)&gt;=100000,INDEX($V$1005:$AE$1005,1,MATCH(COLUMNS($V$1006:AE1006),$V$1006:$AE$1006,0))&gt;=100000), " ",IF(INDEX($V$2:$AE$1001,MATCH(ROWS($O$2:O395),$O$2:$O$1001,0),MATCH(COLUMNS($V$1006:AE1006),$V$1006:$AE$1006,0)), HYPERLINK("#",""), HYPERLINK(CONCATENATE("#Metadata!", ADDRESS(INDEX($Q$2:$Q$1001,MATCH(ROWS($O$2:O395),$O$2:$O$1001,0),0), INDEX($V$1004:$AE$1004,1,MATCH(COLUMNS($V$1006:AE1006),$V$1006:$AE$1006,0)))),"Fix")))</f>
        <v>0</v>
      </c>
      <c r="O395">
        <v>0</v>
      </c>
      <c r="P395">
        <v>0</v>
      </c>
      <c r="Q395">
        <v>0</v>
      </c>
      <c r="R395">
        <f>IF(S395,TRUE,AND(V395:AE395))</f>
        <v>0</v>
      </c>
      <c r="S395">
        <f>COUNTBLANK(Metadata!B395:K395)=COLUMNS(Metadata!B395:K395)</f>
        <v>0</v>
      </c>
      <c r="T395">
        <v>0</v>
      </c>
      <c r="V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W395">
        <f>AND(IF(Metadata!C395="",FALSE,TRUE),exact(Metadata!C395,"animal secretion"))</f>
        <v>0</v>
      </c>
      <c r="X395">
        <f>AND(IF(Metadata!D395="",FALSE,TRUE),exact(Metadata!D395,"saliva"))</f>
        <v>0</v>
      </c>
      <c r="Y395">
        <f>AND(IF(Metadata!E395="",FALSE,TRUE),exact(Metadata!E395,"human-oral"))</f>
        <v>0</v>
      </c>
      <c r="Z395">
        <f>AND(IF(Metadata!F395="",FALSE,TRUE),exact(Metadata!F395,"UBERON:oral cavity"))</f>
        <v>0</v>
      </c>
      <c r="AA395">
        <f>AND(IF(Metadata!G395="",FALSE,TRUE),exact(Metadata!G395,"UBERON:saliva"))</f>
        <v>0</v>
      </c>
      <c r="AB395">
        <f>AND(IF(Metadata!H395="",FALSE,TRUE),exact(Metadata!H395,"UBERON:tongue"))</f>
        <v>0</v>
      </c>
      <c r="AC395">
        <f>AND(IF(Metadata!I395="",FALSE,TRUE),exact(Metadata!I395,"tongue"))</f>
        <v>0</v>
      </c>
      <c r="AD395">
        <f>AND(IF(Metadata!J395="",FALSE,TRUE),exact(Metadata!J395,"human oral metagenome"))</f>
        <v>0</v>
      </c>
      <c r="AE395">
        <f>AND(IF(Metadata!K395="",FALSE,TRUE),exact(Metadata!K395,"447426"))</f>
        <v>0</v>
      </c>
    </row>
    <row r="396" spans="1:31">
      <c r="A396" s="4">
        <f>IF(B396=" "," ",HYPERLINK(CONCATENATE("#metadata!",ADDRESS(INDEX($Q$2:$Q$1001,MATCH(ROWS($O$2:O396),$O$2:$O$1001,0),0),1)),INDEX($T$2:$T$1001,MATCH(ROWS($O$2:O396),$O$2:$O$1001,0),0)))</f>
        <v>0</v>
      </c>
      <c r="B396" s="3">
        <f>IF(OR(INDEX($P$2:$P$1001,MATCH(ROWS($O$2:O396),$O$2:$O$1001,0),1)&gt;=100000,INDEX($V$1005:$AE$1005,1,MATCH(COLUMNS($V$1006:V1006),$V$1006:$AE$1006,0))&gt;=100000), " ",IF(INDEX($V$2:$AE$1001,MATCH(ROWS($O$2:O396),$O$2:$O$1001,0),MATCH(COLUMNS($V$1006:V1006),$V$1006:$AE$1006,0)), HYPERLINK("#",""), HYPERLINK(CONCATENATE("#Metadata!", ADDRESS(INDEX($Q$2:$Q$1001,MATCH(ROWS($O$2:O396),$O$2:$O$1001,0),0), INDEX($V$1004:$AE$1004,1,MATCH(COLUMNS($V$1006:V1006),$V$1006:$AE$1006,0)))),"Fix")))</f>
        <v>0</v>
      </c>
      <c r="C396" s="3">
        <f>IF(OR(INDEX($P$2:$P$1001,MATCH(ROWS($O$2:O396),$O$2:$O$1001,0),1)&gt;=100000,INDEX($V$1005:$AE$1005,1,MATCH(COLUMNS($V$1006:W1006),$V$1006:$AE$1006,0))&gt;=100000), " ",IF(INDEX($V$2:$AE$1001,MATCH(ROWS($O$2:O396),$O$2:$O$1001,0),MATCH(COLUMNS($V$1006:W1006),$V$1006:$AE$1006,0)), HYPERLINK("#",""), HYPERLINK(CONCATENATE("#Metadata!", ADDRESS(INDEX($Q$2:$Q$1001,MATCH(ROWS($O$2:O396),$O$2:$O$1001,0),0), INDEX($V$1004:$AE$1004,1,MATCH(COLUMNS($V$1006:W1006),$V$1006:$AE$1006,0)))),"Fix")))</f>
        <v>0</v>
      </c>
      <c r="D396" s="3">
        <f>IF(OR(INDEX($P$2:$P$1001,MATCH(ROWS($O$2:O396),$O$2:$O$1001,0),1)&gt;=100000,INDEX($V$1005:$AE$1005,1,MATCH(COLUMNS($V$1006:X1006),$V$1006:$AE$1006,0))&gt;=100000), " ",IF(INDEX($V$2:$AE$1001,MATCH(ROWS($O$2:O396),$O$2:$O$1001,0),MATCH(COLUMNS($V$1006:X1006),$V$1006:$AE$1006,0)), HYPERLINK("#",""), HYPERLINK(CONCATENATE("#Metadata!", ADDRESS(INDEX($Q$2:$Q$1001,MATCH(ROWS($O$2:O396),$O$2:$O$1001,0),0), INDEX($V$1004:$AE$1004,1,MATCH(COLUMNS($V$1006:X1006),$V$1006:$AE$1006,0)))),"Fix")))</f>
        <v>0</v>
      </c>
      <c r="E396" s="3">
        <f>IF(OR(INDEX($P$2:$P$1001,MATCH(ROWS($O$2:O396),$O$2:$O$1001,0),1)&gt;=100000,INDEX($V$1005:$AE$1005,1,MATCH(COLUMNS($V$1006:Y1006),$V$1006:$AE$1006,0))&gt;=100000), " ",IF(INDEX($V$2:$AE$1001,MATCH(ROWS($O$2:O396),$O$2:$O$1001,0),MATCH(COLUMNS($V$1006:Y1006),$V$1006:$AE$1006,0)), HYPERLINK("#",""), HYPERLINK(CONCATENATE("#Metadata!", ADDRESS(INDEX($Q$2:$Q$1001,MATCH(ROWS($O$2:O396),$O$2:$O$1001,0),0), INDEX($V$1004:$AE$1004,1,MATCH(COLUMNS($V$1006:Y1006),$V$1006:$AE$1006,0)))),"Fix")))</f>
        <v>0</v>
      </c>
      <c r="F396" s="3">
        <f>IF(OR(INDEX($P$2:$P$1001,MATCH(ROWS($O$2:O396),$O$2:$O$1001,0),1)&gt;=100000,INDEX($V$1005:$AE$1005,1,MATCH(COLUMNS($V$1006:Z1006),$V$1006:$AE$1006,0))&gt;=100000), " ",IF(INDEX($V$2:$AE$1001,MATCH(ROWS($O$2:O396),$O$2:$O$1001,0),MATCH(COLUMNS($V$1006:Z1006),$V$1006:$AE$1006,0)), HYPERLINK("#",""), HYPERLINK(CONCATENATE("#Metadata!", ADDRESS(INDEX($Q$2:$Q$1001,MATCH(ROWS($O$2:O396),$O$2:$O$1001,0),0), INDEX($V$1004:$AE$1004,1,MATCH(COLUMNS($V$1006:Z1006),$V$1006:$AE$1006,0)))),"Fix")))</f>
        <v>0</v>
      </c>
      <c r="G396" s="3">
        <f>IF(OR(INDEX($P$2:$P$1001,MATCH(ROWS($O$2:O396),$O$2:$O$1001,0),1)&gt;=100000,INDEX($V$1005:$AE$1005,1,MATCH(COLUMNS($V$1006:AA1006),$V$1006:$AE$1006,0))&gt;=100000), " ",IF(INDEX($V$2:$AE$1001,MATCH(ROWS($O$2:O396),$O$2:$O$1001,0),MATCH(COLUMNS($V$1006:AA1006),$V$1006:$AE$1006,0)), HYPERLINK("#",""), HYPERLINK(CONCATENATE("#Metadata!", ADDRESS(INDEX($Q$2:$Q$1001,MATCH(ROWS($O$2:O396),$O$2:$O$1001,0),0), INDEX($V$1004:$AE$1004,1,MATCH(COLUMNS($V$1006:AA1006),$V$1006:$AE$1006,0)))),"Fix")))</f>
        <v>0</v>
      </c>
      <c r="H396" s="3">
        <f>IF(OR(INDEX($P$2:$P$1001,MATCH(ROWS($O$2:O396),$O$2:$O$1001,0),1)&gt;=100000,INDEX($V$1005:$AE$1005,1,MATCH(COLUMNS($V$1006:AB1006),$V$1006:$AE$1006,0))&gt;=100000), " ",IF(INDEX($V$2:$AE$1001,MATCH(ROWS($O$2:O396),$O$2:$O$1001,0),MATCH(COLUMNS($V$1006:AB1006),$V$1006:$AE$1006,0)), HYPERLINK("#",""), HYPERLINK(CONCATENATE("#Metadata!", ADDRESS(INDEX($Q$2:$Q$1001,MATCH(ROWS($O$2:O396),$O$2:$O$1001,0),0), INDEX($V$1004:$AE$1004,1,MATCH(COLUMNS($V$1006:AB1006),$V$1006:$AE$1006,0)))),"Fix")))</f>
        <v>0</v>
      </c>
      <c r="I396" s="3">
        <f>IF(OR(INDEX($P$2:$P$1001,MATCH(ROWS($O$2:O396),$O$2:$O$1001,0),1)&gt;=100000,INDEX($V$1005:$AE$1005,1,MATCH(COLUMNS($V$1006:AC1006),$V$1006:$AE$1006,0))&gt;=100000), " ",IF(INDEX($V$2:$AE$1001,MATCH(ROWS($O$2:O396),$O$2:$O$1001,0),MATCH(COLUMNS($V$1006:AC1006),$V$1006:$AE$1006,0)), HYPERLINK("#",""), HYPERLINK(CONCATENATE("#Metadata!", ADDRESS(INDEX($Q$2:$Q$1001,MATCH(ROWS($O$2:O396),$O$2:$O$1001,0),0), INDEX($V$1004:$AE$1004,1,MATCH(COLUMNS($V$1006:AC1006),$V$1006:$AE$1006,0)))),"Fix")))</f>
        <v>0</v>
      </c>
      <c r="J396" s="3">
        <f>IF(OR(INDEX($P$2:$P$1001,MATCH(ROWS($O$2:O396),$O$2:$O$1001,0),1)&gt;=100000,INDEX($V$1005:$AE$1005,1,MATCH(COLUMNS($V$1006:AD1006),$V$1006:$AE$1006,0))&gt;=100000), " ",IF(INDEX($V$2:$AE$1001,MATCH(ROWS($O$2:O396),$O$2:$O$1001,0),MATCH(COLUMNS($V$1006:AD1006),$V$1006:$AE$1006,0)), HYPERLINK("#",""), HYPERLINK(CONCATENATE("#Metadata!", ADDRESS(INDEX($Q$2:$Q$1001,MATCH(ROWS($O$2:O396),$O$2:$O$1001,0),0), INDEX($V$1004:$AE$1004,1,MATCH(COLUMNS($V$1006:AD1006),$V$1006:$AE$1006,0)))),"Fix")))</f>
        <v>0</v>
      </c>
      <c r="K396" s="3">
        <f>IF(OR(INDEX($P$2:$P$1001,MATCH(ROWS($O$2:O396),$O$2:$O$1001,0),1)&gt;=100000,INDEX($V$1005:$AE$1005,1,MATCH(COLUMNS($V$1006:AE1006),$V$1006:$AE$1006,0))&gt;=100000), " ",IF(INDEX($V$2:$AE$1001,MATCH(ROWS($O$2:O396),$O$2:$O$1001,0),MATCH(COLUMNS($V$1006:AE1006),$V$1006:$AE$1006,0)), HYPERLINK("#",""), HYPERLINK(CONCATENATE("#Metadata!", ADDRESS(INDEX($Q$2:$Q$1001,MATCH(ROWS($O$2:O396),$O$2:$O$1001,0),0), INDEX($V$1004:$AE$1004,1,MATCH(COLUMNS($V$1006:AE1006),$V$1006:$AE$1006,0)))),"Fix")))</f>
        <v>0</v>
      </c>
      <c r="O396">
        <v>0</v>
      </c>
      <c r="P396">
        <v>0</v>
      </c>
      <c r="Q396">
        <v>0</v>
      </c>
      <c r="R396">
        <f>IF(S396,TRUE,AND(V396:AE396))</f>
        <v>0</v>
      </c>
      <c r="S396">
        <f>COUNTBLANK(Metadata!B396:K396)=COLUMNS(Metadata!B396:K396)</f>
        <v>0</v>
      </c>
      <c r="T396">
        <v>0</v>
      </c>
      <c r="V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W396">
        <f>AND(IF(Metadata!C396="",FALSE,TRUE),exact(Metadata!C396,"animal secretion"))</f>
        <v>0</v>
      </c>
      <c r="X396">
        <f>AND(IF(Metadata!D396="",FALSE,TRUE),exact(Metadata!D396,"saliva"))</f>
        <v>0</v>
      </c>
      <c r="Y396">
        <f>AND(IF(Metadata!E396="",FALSE,TRUE),exact(Metadata!E396,"human-oral"))</f>
        <v>0</v>
      </c>
      <c r="Z396">
        <f>AND(IF(Metadata!F396="",FALSE,TRUE),exact(Metadata!F396,"UBERON:oral cavity"))</f>
        <v>0</v>
      </c>
      <c r="AA396">
        <f>AND(IF(Metadata!G396="",FALSE,TRUE),exact(Metadata!G396,"UBERON:saliva"))</f>
        <v>0</v>
      </c>
      <c r="AB396">
        <f>AND(IF(Metadata!H396="",FALSE,TRUE),exact(Metadata!H396,"UBERON:tongue"))</f>
        <v>0</v>
      </c>
      <c r="AC396">
        <f>AND(IF(Metadata!I396="",FALSE,TRUE),exact(Metadata!I396,"tongue"))</f>
        <v>0</v>
      </c>
      <c r="AD396">
        <f>AND(IF(Metadata!J396="",FALSE,TRUE),exact(Metadata!J396,"human oral metagenome"))</f>
        <v>0</v>
      </c>
      <c r="AE396">
        <f>AND(IF(Metadata!K396="",FALSE,TRUE),exact(Metadata!K396,"447426"))</f>
        <v>0</v>
      </c>
    </row>
    <row r="397" spans="1:31">
      <c r="A397" s="4">
        <f>IF(B397=" "," ",HYPERLINK(CONCATENATE("#metadata!",ADDRESS(INDEX($Q$2:$Q$1001,MATCH(ROWS($O$2:O397),$O$2:$O$1001,0),0),1)),INDEX($T$2:$T$1001,MATCH(ROWS($O$2:O397),$O$2:$O$1001,0),0)))</f>
        <v>0</v>
      </c>
      <c r="B397" s="3">
        <f>IF(OR(INDEX($P$2:$P$1001,MATCH(ROWS($O$2:O397),$O$2:$O$1001,0),1)&gt;=100000,INDEX($V$1005:$AE$1005,1,MATCH(COLUMNS($V$1006:V1006),$V$1006:$AE$1006,0))&gt;=100000), " ",IF(INDEX($V$2:$AE$1001,MATCH(ROWS($O$2:O397),$O$2:$O$1001,0),MATCH(COLUMNS($V$1006:V1006),$V$1006:$AE$1006,0)), HYPERLINK("#",""), HYPERLINK(CONCATENATE("#Metadata!", ADDRESS(INDEX($Q$2:$Q$1001,MATCH(ROWS($O$2:O397),$O$2:$O$1001,0),0), INDEX($V$1004:$AE$1004,1,MATCH(COLUMNS($V$1006:V1006),$V$1006:$AE$1006,0)))),"Fix")))</f>
        <v>0</v>
      </c>
      <c r="C397" s="3">
        <f>IF(OR(INDEX($P$2:$P$1001,MATCH(ROWS($O$2:O397),$O$2:$O$1001,0),1)&gt;=100000,INDEX($V$1005:$AE$1005,1,MATCH(COLUMNS($V$1006:W1006),$V$1006:$AE$1006,0))&gt;=100000), " ",IF(INDEX($V$2:$AE$1001,MATCH(ROWS($O$2:O397),$O$2:$O$1001,0),MATCH(COLUMNS($V$1006:W1006),$V$1006:$AE$1006,0)), HYPERLINK("#",""), HYPERLINK(CONCATENATE("#Metadata!", ADDRESS(INDEX($Q$2:$Q$1001,MATCH(ROWS($O$2:O397),$O$2:$O$1001,0),0), INDEX($V$1004:$AE$1004,1,MATCH(COLUMNS($V$1006:W1006),$V$1006:$AE$1006,0)))),"Fix")))</f>
        <v>0</v>
      </c>
      <c r="D397" s="3">
        <f>IF(OR(INDEX($P$2:$P$1001,MATCH(ROWS($O$2:O397),$O$2:$O$1001,0),1)&gt;=100000,INDEX($V$1005:$AE$1005,1,MATCH(COLUMNS($V$1006:X1006),$V$1006:$AE$1006,0))&gt;=100000), " ",IF(INDEX($V$2:$AE$1001,MATCH(ROWS($O$2:O397),$O$2:$O$1001,0),MATCH(COLUMNS($V$1006:X1006),$V$1006:$AE$1006,0)), HYPERLINK("#",""), HYPERLINK(CONCATENATE("#Metadata!", ADDRESS(INDEX($Q$2:$Q$1001,MATCH(ROWS($O$2:O397),$O$2:$O$1001,0),0), INDEX($V$1004:$AE$1004,1,MATCH(COLUMNS($V$1006:X1006),$V$1006:$AE$1006,0)))),"Fix")))</f>
        <v>0</v>
      </c>
      <c r="E397" s="3">
        <f>IF(OR(INDEX($P$2:$P$1001,MATCH(ROWS($O$2:O397),$O$2:$O$1001,0),1)&gt;=100000,INDEX($V$1005:$AE$1005,1,MATCH(COLUMNS($V$1006:Y1006),$V$1006:$AE$1006,0))&gt;=100000), " ",IF(INDEX($V$2:$AE$1001,MATCH(ROWS($O$2:O397),$O$2:$O$1001,0),MATCH(COLUMNS($V$1006:Y1006),$V$1006:$AE$1006,0)), HYPERLINK("#",""), HYPERLINK(CONCATENATE("#Metadata!", ADDRESS(INDEX($Q$2:$Q$1001,MATCH(ROWS($O$2:O397),$O$2:$O$1001,0),0), INDEX($V$1004:$AE$1004,1,MATCH(COLUMNS($V$1006:Y1006),$V$1006:$AE$1006,0)))),"Fix")))</f>
        <v>0</v>
      </c>
      <c r="F397" s="3">
        <f>IF(OR(INDEX($P$2:$P$1001,MATCH(ROWS($O$2:O397),$O$2:$O$1001,0),1)&gt;=100000,INDEX($V$1005:$AE$1005,1,MATCH(COLUMNS($V$1006:Z1006),$V$1006:$AE$1006,0))&gt;=100000), " ",IF(INDEX($V$2:$AE$1001,MATCH(ROWS($O$2:O397),$O$2:$O$1001,0),MATCH(COLUMNS($V$1006:Z1006),$V$1006:$AE$1006,0)), HYPERLINK("#",""), HYPERLINK(CONCATENATE("#Metadata!", ADDRESS(INDEX($Q$2:$Q$1001,MATCH(ROWS($O$2:O397),$O$2:$O$1001,0),0), INDEX($V$1004:$AE$1004,1,MATCH(COLUMNS($V$1006:Z1006),$V$1006:$AE$1006,0)))),"Fix")))</f>
        <v>0</v>
      </c>
      <c r="G397" s="3">
        <f>IF(OR(INDEX($P$2:$P$1001,MATCH(ROWS($O$2:O397),$O$2:$O$1001,0),1)&gt;=100000,INDEX($V$1005:$AE$1005,1,MATCH(COLUMNS($V$1006:AA1006),$V$1006:$AE$1006,0))&gt;=100000), " ",IF(INDEX($V$2:$AE$1001,MATCH(ROWS($O$2:O397),$O$2:$O$1001,0),MATCH(COLUMNS($V$1006:AA1006),$V$1006:$AE$1006,0)), HYPERLINK("#",""), HYPERLINK(CONCATENATE("#Metadata!", ADDRESS(INDEX($Q$2:$Q$1001,MATCH(ROWS($O$2:O397),$O$2:$O$1001,0),0), INDEX($V$1004:$AE$1004,1,MATCH(COLUMNS($V$1006:AA1006),$V$1006:$AE$1006,0)))),"Fix")))</f>
        <v>0</v>
      </c>
      <c r="H397" s="3">
        <f>IF(OR(INDEX($P$2:$P$1001,MATCH(ROWS($O$2:O397),$O$2:$O$1001,0),1)&gt;=100000,INDEX($V$1005:$AE$1005,1,MATCH(COLUMNS($V$1006:AB1006),$V$1006:$AE$1006,0))&gt;=100000), " ",IF(INDEX($V$2:$AE$1001,MATCH(ROWS($O$2:O397),$O$2:$O$1001,0),MATCH(COLUMNS($V$1006:AB1006),$V$1006:$AE$1006,0)), HYPERLINK("#",""), HYPERLINK(CONCATENATE("#Metadata!", ADDRESS(INDEX($Q$2:$Q$1001,MATCH(ROWS($O$2:O397),$O$2:$O$1001,0),0), INDEX($V$1004:$AE$1004,1,MATCH(COLUMNS($V$1006:AB1006),$V$1006:$AE$1006,0)))),"Fix")))</f>
        <v>0</v>
      </c>
      <c r="I397" s="3">
        <f>IF(OR(INDEX($P$2:$P$1001,MATCH(ROWS($O$2:O397),$O$2:$O$1001,0),1)&gt;=100000,INDEX($V$1005:$AE$1005,1,MATCH(COLUMNS($V$1006:AC1006),$V$1006:$AE$1006,0))&gt;=100000), " ",IF(INDEX($V$2:$AE$1001,MATCH(ROWS($O$2:O397),$O$2:$O$1001,0),MATCH(COLUMNS($V$1006:AC1006),$V$1006:$AE$1006,0)), HYPERLINK("#",""), HYPERLINK(CONCATENATE("#Metadata!", ADDRESS(INDEX($Q$2:$Q$1001,MATCH(ROWS($O$2:O397),$O$2:$O$1001,0),0), INDEX($V$1004:$AE$1004,1,MATCH(COLUMNS($V$1006:AC1006),$V$1006:$AE$1006,0)))),"Fix")))</f>
        <v>0</v>
      </c>
      <c r="J397" s="3">
        <f>IF(OR(INDEX($P$2:$P$1001,MATCH(ROWS($O$2:O397),$O$2:$O$1001,0),1)&gt;=100000,INDEX($V$1005:$AE$1005,1,MATCH(COLUMNS($V$1006:AD1006),$V$1006:$AE$1006,0))&gt;=100000), " ",IF(INDEX($V$2:$AE$1001,MATCH(ROWS($O$2:O397),$O$2:$O$1001,0),MATCH(COLUMNS($V$1006:AD1006),$V$1006:$AE$1006,0)), HYPERLINK("#",""), HYPERLINK(CONCATENATE("#Metadata!", ADDRESS(INDEX($Q$2:$Q$1001,MATCH(ROWS($O$2:O397),$O$2:$O$1001,0),0), INDEX($V$1004:$AE$1004,1,MATCH(COLUMNS($V$1006:AD1006),$V$1006:$AE$1006,0)))),"Fix")))</f>
        <v>0</v>
      </c>
      <c r="K397" s="3">
        <f>IF(OR(INDEX($P$2:$P$1001,MATCH(ROWS($O$2:O397),$O$2:$O$1001,0),1)&gt;=100000,INDEX($V$1005:$AE$1005,1,MATCH(COLUMNS($V$1006:AE1006),$V$1006:$AE$1006,0))&gt;=100000), " ",IF(INDEX($V$2:$AE$1001,MATCH(ROWS($O$2:O397),$O$2:$O$1001,0),MATCH(COLUMNS($V$1006:AE1006),$V$1006:$AE$1006,0)), HYPERLINK("#",""), HYPERLINK(CONCATENATE("#Metadata!", ADDRESS(INDEX($Q$2:$Q$1001,MATCH(ROWS($O$2:O397),$O$2:$O$1001,0),0), INDEX($V$1004:$AE$1004,1,MATCH(COLUMNS($V$1006:AE1006),$V$1006:$AE$1006,0)))),"Fix")))</f>
        <v>0</v>
      </c>
      <c r="O397">
        <v>0</v>
      </c>
      <c r="P397">
        <v>0</v>
      </c>
      <c r="Q397">
        <v>0</v>
      </c>
      <c r="R397">
        <f>IF(S397,TRUE,AND(V397:AE397))</f>
        <v>0</v>
      </c>
      <c r="S397">
        <f>COUNTBLANK(Metadata!B397:K397)=COLUMNS(Metadata!B397:K397)</f>
        <v>0</v>
      </c>
      <c r="T397">
        <v>0</v>
      </c>
      <c r="V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W397">
        <f>AND(IF(Metadata!C397="",FALSE,TRUE),exact(Metadata!C397,"animal secretion"))</f>
        <v>0</v>
      </c>
      <c r="X397">
        <f>AND(IF(Metadata!D397="",FALSE,TRUE),exact(Metadata!D397,"saliva"))</f>
        <v>0</v>
      </c>
      <c r="Y397">
        <f>AND(IF(Metadata!E397="",FALSE,TRUE),exact(Metadata!E397,"human-oral"))</f>
        <v>0</v>
      </c>
      <c r="Z397">
        <f>AND(IF(Metadata!F397="",FALSE,TRUE),exact(Metadata!F397,"UBERON:oral cavity"))</f>
        <v>0</v>
      </c>
      <c r="AA397">
        <f>AND(IF(Metadata!G397="",FALSE,TRUE),exact(Metadata!G397,"UBERON:saliva"))</f>
        <v>0</v>
      </c>
      <c r="AB397">
        <f>AND(IF(Metadata!H397="",FALSE,TRUE),exact(Metadata!H397,"UBERON:tongue"))</f>
        <v>0</v>
      </c>
      <c r="AC397">
        <f>AND(IF(Metadata!I397="",FALSE,TRUE),exact(Metadata!I397,"tongue"))</f>
        <v>0</v>
      </c>
      <c r="AD397">
        <f>AND(IF(Metadata!J397="",FALSE,TRUE),exact(Metadata!J397,"human oral metagenome"))</f>
        <v>0</v>
      </c>
      <c r="AE397">
        <f>AND(IF(Metadata!K397="",FALSE,TRUE),exact(Metadata!K397,"447426"))</f>
        <v>0</v>
      </c>
    </row>
    <row r="398" spans="1:31">
      <c r="A398" s="4">
        <f>IF(B398=" "," ",HYPERLINK(CONCATENATE("#metadata!",ADDRESS(INDEX($Q$2:$Q$1001,MATCH(ROWS($O$2:O398),$O$2:$O$1001,0),0),1)),INDEX($T$2:$T$1001,MATCH(ROWS($O$2:O398),$O$2:$O$1001,0),0)))</f>
        <v>0</v>
      </c>
      <c r="B398" s="3">
        <f>IF(OR(INDEX($P$2:$P$1001,MATCH(ROWS($O$2:O398),$O$2:$O$1001,0),1)&gt;=100000,INDEX($V$1005:$AE$1005,1,MATCH(COLUMNS($V$1006:V1006),$V$1006:$AE$1006,0))&gt;=100000), " ",IF(INDEX($V$2:$AE$1001,MATCH(ROWS($O$2:O398),$O$2:$O$1001,0),MATCH(COLUMNS($V$1006:V1006),$V$1006:$AE$1006,0)), HYPERLINK("#",""), HYPERLINK(CONCATENATE("#Metadata!", ADDRESS(INDEX($Q$2:$Q$1001,MATCH(ROWS($O$2:O398),$O$2:$O$1001,0),0), INDEX($V$1004:$AE$1004,1,MATCH(COLUMNS($V$1006:V1006),$V$1006:$AE$1006,0)))),"Fix")))</f>
        <v>0</v>
      </c>
      <c r="C398" s="3">
        <f>IF(OR(INDEX($P$2:$P$1001,MATCH(ROWS($O$2:O398),$O$2:$O$1001,0),1)&gt;=100000,INDEX($V$1005:$AE$1005,1,MATCH(COLUMNS($V$1006:W1006),$V$1006:$AE$1006,0))&gt;=100000), " ",IF(INDEX($V$2:$AE$1001,MATCH(ROWS($O$2:O398),$O$2:$O$1001,0),MATCH(COLUMNS($V$1006:W1006),$V$1006:$AE$1006,0)), HYPERLINK("#",""), HYPERLINK(CONCATENATE("#Metadata!", ADDRESS(INDEX($Q$2:$Q$1001,MATCH(ROWS($O$2:O398),$O$2:$O$1001,0),0), INDEX($V$1004:$AE$1004,1,MATCH(COLUMNS($V$1006:W1006),$V$1006:$AE$1006,0)))),"Fix")))</f>
        <v>0</v>
      </c>
      <c r="D398" s="3">
        <f>IF(OR(INDEX($P$2:$P$1001,MATCH(ROWS($O$2:O398),$O$2:$O$1001,0),1)&gt;=100000,INDEX($V$1005:$AE$1005,1,MATCH(COLUMNS($V$1006:X1006),$V$1006:$AE$1006,0))&gt;=100000), " ",IF(INDEX($V$2:$AE$1001,MATCH(ROWS($O$2:O398),$O$2:$O$1001,0),MATCH(COLUMNS($V$1006:X1006),$V$1006:$AE$1006,0)), HYPERLINK("#",""), HYPERLINK(CONCATENATE("#Metadata!", ADDRESS(INDEX($Q$2:$Q$1001,MATCH(ROWS($O$2:O398),$O$2:$O$1001,0),0), INDEX($V$1004:$AE$1004,1,MATCH(COLUMNS($V$1006:X1006),$V$1006:$AE$1006,0)))),"Fix")))</f>
        <v>0</v>
      </c>
      <c r="E398" s="3">
        <f>IF(OR(INDEX($P$2:$P$1001,MATCH(ROWS($O$2:O398),$O$2:$O$1001,0),1)&gt;=100000,INDEX($V$1005:$AE$1005,1,MATCH(COLUMNS($V$1006:Y1006),$V$1006:$AE$1006,0))&gt;=100000), " ",IF(INDEX($V$2:$AE$1001,MATCH(ROWS($O$2:O398),$O$2:$O$1001,0),MATCH(COLUMNS($V$1006:Y1006),$V$1006:$AE$1006,0)), HYPERLINK("#",""), HYPERLINK(CONCATENATE("#Metadata!", ADDRESS(INDEX($Q$2:$Q$1001,MATCH(ROWS($O$2:O398),$O$2:$O$1001,0),0), INDEX($V$1004:$AE$1004,1,MATCH(COLUMNS($V$1006:Y1006),$V$1006:$AE$1006,0)))),"Fix")))</f>
        <v>0</v>
      </c>
      <c r="F398" s="3">
        <f>IF(OR(INDEX($P$2:$P$1001,MATCH(ROWS($O$2:O398),$O$2:$O$1001,0),1)&gt;=100000,INDEX($V$1005:$AE$1005,1,MATCH(COLUMNS($V$1006:Z1006),$V$1006:$AE$1006,0))&gt;=100000), " ",IF(INDEX($V$2:$AE$1001,MATCH(ROWS($O$2:O398),$O$2:$O$1001,0),MATCH(COLUMNS($V$1006:Z1006),$V$1006:$AE$1006,0)), HYPERLINK("#",""), HYPERLINK(CONCATENATE("#Metadata!", ADDRESS(INDEX($Q$2:$Q$1001,MATCH(ROWS($O$2:O398),$O$2:$O$1001,0),0), INDEX($V$1004:$AE$1004,1,MATCH(COLUMNS($V$1006:Z1006),$V$1006:$AE$1006,0)))),"Fix")))</f>
        <v>0</v>
      </c>
      <c r="G398" s="3">
        <f>IF(OR(INDEX($P$2:$P$1001,MATCH(ROWS($O$2:O398),$O$2:$O$1001,0),1)&gt;=100000,INDEX($V$1005:$AE$1005,1,MATCH(COLUMNS($V$1006:AA1006),$V$1006:$AE$1006,0))&gt;=100000), " ",IF(INDEX($V$2:$AE$1001,MATCH(ROWS($O$2:O398),$O$2:$O$1001,0),MATCH(COLUMNS($V$1006:AA1006),$V$1006:$AE$1006,0)), HYPERLINK("#",""), HYPERLINK(CONCATENATE("#Metadata!", ADDRESS(INDEX($Q$2:$Q$1001,MATCH(ROWS($O$2:O398),$O$2:$O$1001,0),0), INDEX($V$1004:$AE$1004,1,MATCH(COLUMNS($V$1006:AA1006),$V$1006:$AE$1006,0)))),"Fix")))</f>
        <v>0</v>
      </c>
      <c r="H398" s="3">
        <f>IF(OR(INDEX($P$2:$P$1001,MATCH(ROWS($O$2:O398),$O$2:$O$1001,0),1)&gt;=100000,INDEX($V$1005:$AE$1005,1,MATCH(COLUMNS($V$1006:AB1006),$V$1006:$AE$1006,0))&gt;=100000), " ",IF(INDEX($V$2:$AE$1001,MATCH(ROWS($O$2:O398),$O$2:$O$1001,0),MATCH(COLUMNS($V$1006:AB1006),$V$1006:$AE$1006,0)), HYPERLINK("#",""), HYPERLINK(CONCATENATE("#Metadata!", ADDRESS(INDEX($Q$2:$Q$1001,MATCH(ROWS($O$2:O398),$O$2:$O$1001,0),0), INDEX($V$1004:$AE$1004,1,MATCH(COLUMNS($V$1006:AB1006),$V$1006:$AE$1006,0)))),"Fix")))</f>
        <v>0</v>
      </c>
      <c r="I398" s="3">
        <f>IF(OR(INDEX($P$2:$P$1001,MATCH(ROWS($O$2:O398),$O$2:$O$1001,0),1)&gt;=100000,INDEX($V$1005:$AE$1005,1,MATCH(COLUMNS($V$1006:AC1006),$V$1006:$AE$1006,0))&gt;=100000), " ",IF(INDEX($V$2:$AE$1001,MATCH(ROWS($O$2:O398),$O$2:$O$1001,0),MATCH(COLUMNS($V$1006:AC1006),$V$1006:$AE$1006,0)), HYPERLINK("#",""), HYPERLINK(CONCATENATE("#Metadata!", ADDRESS(INDEX($Q$2:$Q$1001,MATCH(ROWS($O$2:O398),$O$2:$O$1001,0),0), INDEX($V$1004:$AE$1004,1,MATCH(COLUMNS($V$1006:AC1006),$V$1006:$AE$1006,0)))),"Fix")))</f>
        <v>0</v>
      </c>
      <c r="J398" s="3">
        <f>IF(OR(INDEX($P$2:$P$1001,MATCH(ROWS($O$2:O398),$O$2:$O$1001,0),1)&gt;=100000,INDEX($V$1005:$AE$1005,1,MATCH(COLUMNS($V$1006:AD1006),$V$1006:$AE$1006,0))&gt;=100000), " ",IF(INDEX($V$2:$AE$1001,MATCH(ROWS($O$2:O398),$O$2:$O$1001,0),MATCH(COLUMNS($V$1006:AD1006),$V$1006:$AE$1006,0)), HYPERLINK("#",""), HYPERLINK(CONCATENATE("#Metadata!", ADDRESS(INDEX($Q$2:$Q$1001,MATCH(ROWS($O$2:O398),$O$2:$O$1001,0),0), INDEX($V$1004:$AE$1004,1,MATCH(COLUMNS($V$1006:AD1006),$V$1006:$AE$1006,0)))),"Fix")))</f>
        <v>0</v>
      </c>
      <c r="K398" s="3">
        <f>IF(OR(INDEX($P$2:$P$1001,MATCH(ROWS($O$2:O398),$O$2:$O$1001,0),1)&gt;=100000,INDEX($V$1005:$AE$1005,1,MATCH(COLUMNS($V$1006:AE1006),$V$1006:$AE$1006,0))&gt;=100000), " ",IF(INDEX($V$2:$AE$1001,MATCH(ROWS($O$2:O398),$O$2:$O$1001,0),MATCH(COLUMNS($V$1006:AE1006),$V$1006:$AE$1006,0)), HYPERLINK("#",""), HYPERLINK(CONCATENATE("#Metadata!", ADDRESS(INDEX($Q$2:$Q$1001,MATCH(ROWS($O$2:O398),$O$2:$O$1001,0),0), INDEX($V$1004:$AE$1004,1,MATCH(COLUMNS($V$1006:AE1006),$V$1006:$AE$1006,0)))),"Fix")))</f>
        <v>0</v>
      </c>
      <c r="O398">
        <v>0</v>
      </c>
      <c r="P398">
        <v>0</v>
      </c>
      <c r="Q398">
        <v>0</v>
      </c>
      <c r="R398">
        <f>IF(S398,TRUE,AND(V398:AE398))</f>
        <v>0</v>
      </c>
      <c r="S398">
        <f>COUNTBLANK(Metadata!B398:K398)=COLUMNS(Metadata!B398:K398)</f>
        <v>0</v>
      </c>
      <c r="T398">
        <v>0</v>
      </c>
      <c r="V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W398">
        <f>AND(IF(Metadata!C398="",FALSE,TRUE),exact(Metadata!C398,"animal secretion"))</f>
        <v>0</v>
      </c>
      <c r="X398">
        <f>AND(IF(Metadata!D398="",FALSE,TRUE),exact(Metadata!D398,"saliva"))</f>
        <v>0</v>
      </c>
      <c r="Y398">
        <f>AND(IF(Metadata!E398="",FALSE,TRUE),exact(Metadata!E398,"human-oral"))</f>
        <v>0</v>
      </c>
      <c r="Z398">
        <f>AND(IF(Metadata!F398="",FALSE,TRUE),exact(Metadata!F398,"UBERON:oral cavity"))</f>
        <v>0</v>
      </c>
      <c r="AA398">
        <f>AND(IF(Metadata!G398="",FALSE,TRUE),exact(Metadata!G398,"UBERON:saliva"))</f>
        <v>0</v>
      </c>
      <c r="AB398">
        <f>AND(IF(Metadata!H398="",FALSE,TRUE),exact(Metadata!H398,"UBERON:tongue"))</f>
        <v>0</v>
      </c>
      <c r="AC398">
        <f>AND(IF(Metadata!I398="",FALSE,TRUE),exact(Metadata!I398,"tongue"))</f>
        <v>0</v>
      </c>
      <c r="AD398">
        <f>AND(IF(Metadata!J398="",FALSE,TRUE),exact(Metadata!J398,"human oral metagenome"))</f>
        <v>0</v>
      </c>
      <c r="AE398">
        <f>AND(IF(Metadata!K398="",FALSE,TRUE),exact(Metadata!K398,"447426"))</f>
        <v>0</v>
      </c>
    </row>
    <row r="399" spans="1:31">
      <c r="A399" s="4">
        <f>IF(B399=" "," ",HYPERLINK(CONCATENATE("#metadata!",ADDRESS(INDEX($Q$2:$Q$1001,MATCH(ROWS($O$2:O399),$O$2:$O$1001,0),0),1)),INDEX($T$2:$T$1001,MATCH(ROWS($O$2:O399),$O$2:$O$1001,0),0)))</f>
        <v>0</v>
      </c>
      <c r="B399" s="3">
        <f>IF(OR(INDEX($P$2:$P$1001,MATCH(ROWS($O$2:O399),$O$2:$O$1001,0),1)&gt;=100000,INDEX($V$1005:$AE$1005,1,MATCH(COLUMNS($V$1006:V1006),$V$1006:$AE$1006,0))&gt;=100000), " ",IF(INDEX($V$2:$AE$1001,MATCH(ROWS($O$2:O399),$O$2:$O$1001,0),MATCH(COLUMNS($V$1006:V1006),$V$1006:$AE$1006,0)), HYPERLINK("#",""), HYPERLINK(CONCATENATE("#Metadata!", ADDRESS(INDEX($Q$2:$Q$1001,MATCH(ROWS($O$2:O399),$O$2:$O$1001,0),0), INDEX($V$1004:$AE$1004,1,MATCH(COLUMNS($V$1006:V1006),$V$1006:$AE$1006,0)))),"Fix")))</f>
        <v>0</v>
      </c>
      <c r="C399" s="3">
        <f>IF(OR(INDEX($P$2:$P$1001,MATCH(ROWS($O$2:O399),$O$2:$O$1001,0),1)&gt;=100000,INDEX($V$1005:$AE$1005,1,MATCH(COLUMNS($V$1006:W1006),$V$1006:$AE$1006,0))&gt;=100000), " ",IF(INDEX($V$2:$AE$1001,MATCH(ROWS($O$2:O399),$O$2:$O$1001,0),MATCH(COLUMNS($V$1006:W1006),$V$1006:$AE$1006,0)), HYPERLINK("#",""), HYPERLINK(CONCATENATE("#Metadata!", ADDRESS(INDEX($Q$2:$Q$1001,MATCH(ROWS($O$2:O399),$O$2:$O$1001,0),0), INDEX($V$1004:$AE$1004,1,MATCH(COLUMNS($V$1006:W1006),$V$1006:$AE$1006,0)))),"Fix")))</f>
        <v>0</v>
      </c>
      <c r="D399" s="3">
        <f>IF(OR(INDEX($P$2:$P$1001,MATCH(ROWS($O$2:O399),$O$2:$O$1001,0),1)&gt;=100000,INDEX($V$1005:$AE$1005,1,MATCH(COLUMNS($V$1006:X1006),$V$1006:$AE$1006,0))&gt;=100000), " ",IF(INDEX($V$2:$AE$1001,MATCH(ROWS($O$2:O399),$O$2:$O$1001,0),MATCH(COLUMNS($V$1006:X1006),$V$1006:$AE$1006,0)), HYPERLINK("#",""), HYPERLINK(CONCATENATE("#Metadata!", ADDRESS(INDEX($Q$2:$Q$1001,MATCH(ROWS($O$2:O399),$O$2:$O$1001,0),0), INDEX($V$1004:$AE$1004,1,MATCH(COLUMNS($V$1006:X1006),$V$1006:$AE$1006,0)))),"Fix")))</f>
        <v>0</v>
      </c>
      <c r="E399" s="3">
        <f>IF(OR(INDEX($P$2:$P$1001,MATCH(ROWS($O$2:O399),$O$2:$O$1001,0),1)&gt;=100000,INDEX($V$1005:$AE$1005,1,MATCH(COLUMNS($V$1006:Y1006),$V$1006:$AE$1006,0))&gt;=100000), " ",IF(INDEX($V$2:$AE$1001,MATCH(ROWS($O$2:O399),$O$2:$O$1001,0),MATCH(COLUMNS($V$1006:Y1006),$V$1006:$AE$1006,0)), HYPERLINK("#",""), HYPERLINK(CONCATENATE("#Metadata!", ADDRESS(INDEX($Q$2:$Q$1001,MATCH(ROWS($O$2:O399),$O$2:$O$1001,0),0), INDEX($V$1004:$AE$1004,1,MATCH(COLUMNS($V$1006:Y1006),$V$1006:$AE$1006,0)))),"Fix")))</f>
        <v>0</v>
      </c>
      <c r="F399" s="3">
        <f>IF(OR(INDEX($P$2:$P$1001,MATCH(ROWS($O$2:O399),$O$2:$O$1001,0),1)&gt;=100000,INDEX($V$1005:$AE$1005,1,MATCH(COLUMNS($V$1006:Z1006),$V$1006:$AE$1006,0))&gt;=100000), " ",IF(INDEX($V$2:$AE$1001,MATCH(ROWS($O$2:O399),$O$2:$O$1001,0),MATCH(COLUMNS($V$1006:Z1006),$V$1006:$AE$1006,0)), HYPERLINK("#",""), HYPERLINK(CONCATENATE("#Metadata!", ADDRESS(INDEX($Q$2:$Q$1001,MATCH(ROWS($O$2:O399),$O$2:$O$1001,0),0), INDEX($V$1004:$AE$1004,1,MATCH(COLUMNS($V$1006:Z1006),$V$1006:$AE$1006,0)))),"Fix")))</f>
        <v>0</v>
      </c>
      <c r="G399" s="3">
        <f>IF(OR(INDEX($P$2:$P$1001,MATCH(ROWS($O$2:O399),$O$2:$O$1001,0),1)&gt;=100000,INDEX($V$1005:$AE$1005,1,MATCH(COLUMNS($V$1006:AA1006),$V$1006:$AE$1006,0))&gt;=100000), " ",IF(INDEX($V$2:$AE$1001,MATCH(ROWS($O$2:O399),$O$2:$O$1001,0),MATCH(COLUMNS($V$1006:AA1006),$V$1006:$AE$1006,0)), HYPERLINK("#",""), HYPERLINK(CONCATENATE("#Metadata!", ADDRESS(INDEX($Q$2:$Q$1001,MATCH(ROWS($O$2:O399),$O$2:$O$1001,0),0), INDEX($V$1004:$AE$1004,1,MATCH(COLUMNS($V$1006:AA1006),$V$1006:$AE$1006,0)))),"Fix")))</f>
        <v>0</v>
      </c>
      <c r="H399" s="3">
        <f>IF(OR(INDEX($P$2:$P$1001,MATCH(ROWS($O$2:O399),$O$2:$O$1001,0),1)&gt;=100000,INDEX($V$1005:$AE$1005,1,MATCH(COLUMNS($V$1006:AB1006),$V$1006:$AE$1006,0))&gt;=100000), " ",IF(INDEX($V$2:$AE$1001,MATCH(ROWS($O$2:O399),$O$2:$O$1001,0),MATCH(COLUMNS($V$1006:AB1006),$V$1006:$AE$1006,0)), HYPERLINK("#",""), HYPERLINK(CONCATENATE("#Metadata!", ADDRESS(INDEX($Q$2:$Q$1001,MATCH(ROWS($O$2:O399),$O$2:$O$1001,0),0), INDEX($V$1004:$AE$1004,1,MATCH(COLUMNS($V$1006:AB1006),$V$1006:$AE$1006,0)))),"Fix")))</f>
        <v>0</v>
      </c>
      <c r="I399" s="3">
        <f>IF(OR(INDEX($P$2:$P$1001,MATCH(ROWS($O$2:O399),$O$2:$O$1001,0),1)&gt;=100000,INDEX($V$1005:$AE$1005,1,MATCH(COLUMNS($V$1006:AC1006),$V$1006:$AE$1006,0))&gt;=100000), " ",IF(INDEX($V$2:$AE$1001,MATCH(ROWS($O$2:O399),$O$2:$O$1001,0),MATCH(COLUMNS($V$1006:AC1006),$V$1006:$AE$1006,0)), HYPERLINK("#",""), HYPERLINK(CONCATENATE("#Metadata!", ADDRESS(INDEX($Q$2:$Q$1001,MATCH(ROWS($O$2:O399),$O$2:$O$1001,0),0), INDEX($V$1004:$AE$1004,1,MATCH(COLUMNS($V$1006:AC1006),$V$1006:$AE$1006,0)))),"Fix")))</f>
        <v>0</v>
      </c>
      <c r="J399" s="3">
        <f>IF(OR(INDEX($P$2:$P$1001,MATCH(ROWS($O$2:O399),$O$2:$O$1001,0),1)&gt;=100000,INDEX($V$1005:$AE$1005,1,MATCH(COLUMNS($V$1006:AD1006),$V$1006:$AE$1006,0))&gt;=100000), " ",IF(INDEX($V$2:$AE$1001,MATCH(ROWS($O$2:O399),$O$2:$O$1001,0),MATCH(COLUMNS($V$1006:AD1006),$V$1006:$AE$1006,0)), HYPERLINK("#",""), HYPERLINK(CONCATENATE("#Metadata!", ADDRESS(INDEX($Q$2:$Q$1001,MATCH(ROWS($O$2:O399),$O$2:$O$1001,0),0), INDEX($V$1004:$AE$1004,1,MATCH(COLUMNS($V$1006:AD1006),$V$1006:$AE$1006,0)))),"Fix")))</f>
        <v>0</v>
      </c>
      <c r="K399" s="3">
        <f>IF(OR(INDEX($P$2:$P$1001,MATCH(ROWS($O$2:O399),$O$2:$O$1001,0),1)&gt;=100000,INDEX($V$1005:$AE$1005,1,MATCH(COLUMNS($V$1006:AE1006),$V$1006:$AE$1006,0))&gt;=100000), " ",IF(INDEX($V$2:$AE$1001,MATCH(ROWS($O$2:O399),$O$2:$O$1001,0),MATCH(COLUMNS($V$1006:AE1006),$V$1006:$AE$1006,0)), HYPERLINK("#",""), HYPERLINK(CONCATENATE("#Metadata!", ADDRESS(INDEX($Q$2:$Q$1001,MATCH(ROWS($O$2:O399),$O$2:$O$1001,0),0), INDEX($V$1004:$AE$1004,1,MATCH(COLUMNS($V$1006:AE1006),$V$1006:$AE$1006,0)))),"Fix")))</f>
        <v>0</v>
      </c>
      <c r="O399">
        <v>0</v>
      </c>
      <c r="P399">
        <v>0</v>
      </c>
      <c r="Q399">
        <v>0</v>
      </c>
      <c r="R399">
        <f>IF(S399,TRUE,AND(V399:AE399))</f>
        <v>0</v>
      </c>
      <c r="S399">
        <f>COUNTBLANK(Metadata!B399:K399)=COLUMNS(Metadata!B399:K399)</f>
        <v>0</v>
      </c>
      <c r="T399">
        <v>0</v>
      </c>
      <c r="V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W399">
        <f>AND(IF(Metadata!C399="",FALSE,TRUE),exact(Metadata!C399,"animal secretion"))</f>
        <v>0</v>
      </c>
      <c r="X399">
        <f>AND(IF(Metadata!D399="",FALSE,TRUE),exact(Metadata!D399,"saliva"))</f>
        <v>0</v>
      </c>
      <c r="Y399">
        <f>AND(IF(Metadata!E399="",FALSE,TRUE),exact(Metadata!E399,"human-oral"))</f>
        <v>0</v>
      </c>
      <c r="Z399">
        <f>AND(IF(Metadata!F399="",FALSE,TRUE),exact(Metadata!F399,"UBERON:oral cavity"))</f>
        <v>0</v>
      </c>
      <c r="AA399">
        <f>AND(IF(Metadata!G399="",FALSE,TRUE),exact(Metadata!G399,"UBERON:saliva"))</f>
        <v>0</v>
      </c>
      <c r="AB399">
        <f>AND(IF(Metadata!H399="",FALSE,TRUE),exact(Metadata!H399,"UBERON:tongue"))</f>
        <v>0</v>
      </c>
      <c r="AC399">
        <f>AND(IF(Metadata!I399="",FALSE,TRUE),exact(Metadata!I399,"tongue"))</f>
        <v>0</v>
      </c>
      <c r="AD399">
        <f>AND(IF(Metadata!J399="",FALSE,TRUE),exact(Metadata!J399,"human oral metagenome"))</f>
        <v>0</v>
      </c>
      <c r="AE399">
        <f>AND(IF(Metadata!K399="",FALSE,TRUE),exact(Metadata!K399,"447426"))</f>
        <v>0</v>
      </c>
    </row>
    <row r="400" spans="1:31">
      <c r="A400" s="4">
        <f>IF(B400=" "," ",HYPERLINK(CONCATENATE("#metadata!",ADDRESS(INDEX($Q$2:$Q$1001,MATCH(ROWS($O$2:O400),$O$2:$O$1001,0),0),1)),INDEX($T$2:$T$1001,MATCH(ROWS($O$2:O400),$O$2:$O$1001,0),0)))</f>
        <v>0</v>
      </c>
      <c r="B400" s="3">
        <f>IF(OR(INDEX($P$2:$P$1001,MATCH(ROWS($O$2:O400),$O$2:$O$1001,0),1)&gt;=100000,INDEX($V$1005:$AE$1005,1,MATCH(COLUMNS($V$1006:V1006),$V$1006:$AE$1006,0))&gt;=100000), " ",IF(INDEX($V$2:$AE$1001,MATCH(ROWS($O$2:O400),$O$2:$O$1001,0),MATCH(COLUMNS($V$1006:V1006),$V$1006:$AE$1006,0)), HYPERLINK("#",""), HYPERLINK(CONCATENATE("#Metadata!", ADDRESS(INDEX($Q$2:$Q$1001,MATCH(ROWS($O$2:O400),$O$2:$O$1001,0),0), INDEX($V$1004:$AE$1004,1,MATCH(COLUMNS($V$1006:V1006),$V$1006:$AE$1006,0)))),"Fix")))</f>
        <v>0</v>
      </c>
      <c r="C400" s="3">
        <f>IF(OR(INDEX($P$2:$P$1001,MATCH(ROWS($O$2:O400),$O$2:$O$1001,0),1)&gt;=100000,INDEX($V$1005:$AE$1005,1,MATCH(COLUMNS($V$1006:W1006),$V$1006:$AE$1006,0))&gt;=100000), " ",IF(INDEX($V$2:$AE$1001,MATCH(ROWS($O$2:O400),$O$2:$O$1001,0),MATCH(COLUMNS($V$1006:W1006),$V$1006:$AE$1006,0)), HYPERLINK("#",""), HYPERLINK(CONCATENATE("#Metadata!", ADDRESS(INDEX($Q$2:$Q$1001,MATCH(ROWS($O$2:O400),$O$2:$O$1001,0),0), INDEX($V$1004:$AE$1004,1,MATCH(COLUMNS($V$1006:W1006),$V$1006:$AE$1006,0)))),"Fix")))</f>
        <v>0</v>
      </c>
      <c r="D400" s="3">
        <f>IF(OR(INDEX($P$2:$P$1001,MATCH(ROWS($O$2:O400),$O$2:$O$1001,0),1)&gt;=100000,INDEX($V$1005:$AE$1005,1,MATCH(COLUMNS($V$1006:X1006),$V$1006:$AE$1006,0))&gt;=100000), " ",IF(INDEX($V$2:$AE$1001,MATCH(ROWS($O$2:O400),$O$2:$O$1001,0),MATCH(COLUMNS($V$1006:X1006),$V$1006:$AE$1006,0)), HYPERLINK("#",""), HYPERLINK(CONCATENATE("#Metadata!", ADDRESS(INDEX($Q$2:$Q$1001,MATCH(ROWS($O$2:O400),$O$2:$O$1001,0),0), INDEX($V$1004:$AE$1004,1,MATCH(COLUMNS($V$1006:X1006),$V$1006:$AE$1006,0)))),"Fix")))</f>
        <v>0</v>
      </c>
      <c r="E400" s="3">
        <f>IF(OR(INDEX($P$2:$P$1001,MATCH(ROWS($O$2:O400),$O$2:$O$1001,0),1)&gt;=100000,INDEX($V$1005:$AE$1005,1,MATCH(COLUMNS($V$1006:Y1006),$V$1006:$AE$1006,0))&gt;=100000), " ",IF(INDEX($V$2:$AE$1001,MATCH(ROWS($O$2:O400),$O$2:$O$1001,0),MATCH(COLUMNS($V$1006:Y1006),$V$1006:$AE$1006,0)), HYPERLINK("#",""), HYPERLINK(CONCATENATE("#Metadata!", ADDRESS(INDEX($Q$2:$Q$1001,MATCH(ROWS($O$2:O400),$O$2:$O$1001,0),0), INDEX($V$1004:$AE$1004,1,MATCH(COLUMNS($V$1006:Y1006),$V$1006:$AE$1006,0)))),"Fix")))</f>
        <v>0</v>
      </c>
      <c r="F400" s="3">
        <f>IF(OR(INDEX($P$2:$P$1001,MATCH(ROWS($O$2:O400),$O$2:$O$1001,0),1)&gt;=100000,INDEX($V$1005:$AE$1005,1,MATCH(COLUMNS($V$1006:Z1006),$V$1006:$AE$1006,0))&gt;=100000), " ",IF(INDEX($V$2:$AE$1001,MATCH(ROWS($O$2:O400),$O$2:$O$1001,0),MATCH(COLUMNS($V$1006:Z1006),$V$1006:$AE$1006,0)), HYPERLINK("#",""), HYPERLINK(CONCATENATE("#Metadata!", ADDRESS(INDEX($Q$2:$Q$1001,MATCH(ROWS($O$2:O400),$O$2:$O$1001,0),0), INDEX($V$1004:$AE$1004,1,MATCH(COLUMNS($V$1006:Z1006),$V$1006:$AE$1006,0)))),"Fix")))</f>
        <v>0</v>
      </c>
      <c r="G400" s="3">
        <f>IF(OR(INDEX($P$2:$P$1001,MATCH(ROWS($O$2:O400),$O$2:$O$1001,0),1)&gt;=100000,INDEX($V$1005:$AE$1005,1,MATCH(COLUMNS($V$1006:AA1006),$V$1006:$AE$1006,0))&gt;=100000), " ",IF(INDEX($V$2:$AE$1001,MATCH(ROWS($O$2:O400),$O$2:$O$1001,0),MATCH(COLUMNS($V$1006:AA1006),$V$1006:$AE$1006,0)), HYPERLINK("#",""), HYPERLINK(CONCATENATE("#Metadata!", ADDRESS(INDEX($Q$2:$Q$1001,MATCH(ROWS($O$2:O400),$O$2:$O$1001,0),0), INDEX($V$1004:$AE$1004,1,MATCH(COLUMNS($V$1006:AA1006),$V$1006:$AE$1006,0)))),"Fix")))</f>
        <v>0</v>
      </c>
      <c r="H400" s="3">
        <f>IF(OR(INDEX($P$2:$P$1001,MATCH(ROWS($O$2:O400),$O$2:$O$1001,0),1)&gt;=100000,INDEX($V$1005:$AE$1005,1,MATCH(COLUMNS($V$1006:AB1006),$V$1006:$AE$1006,0))&gt;=100000), " ",IF(INDEX($V$2:$AE$1001,MATCH(ROWS($O$2:O400),$O$2:$O$1001,0),MATCH(COLUMNS($V$1006:AB1006),$V$1006:$AE$1006,0)), HYPERLINK("#",""), HYPERLINK(CONCATENATE("#Metadata!", ADDRESS(INDEX($Q$2:$Q$1001,MATCH(ROWS($O$2:O400),$O$2:$O$1001,0),0), INDEX($V$1004:$AE$1004,1,MATCH(COLUMNS($V$1006:AB1006),$V$1006:$AE$1006,0)))),"Fix")))</f>
        <v>0</v>
      </c>
      <c r="I400" s="3">
        <f>IF(OR(INDEX($P$2:$P$1001,MATCH(ROWS($O$2:O400),$O$2:$O$1001,0),1)&gt;=100000,INDEX($V$1005:$AE$1005,1,MATCH(COLUMNS($V$1006:AC1006),$V$1006:$AE$1006,0))&gt;=100000), " ",IF(INDEX($V$2:$AE$1001,MATCH(ROWS($O$2:O400),$O$2:$O$1001,0),MATCH(COLUMNS($V$1006:AC1006),$V$1006:$AE$1006,0)), HYPERLINK("#",""), HYPERLINK(CONCATENATE("#Metadata!", ADDRESS(INDEX($Q$2:$Q$1001,MATCH(ROWS($O$2:O400),$O$2:$O$1001,0),0), INDEX($V$1004:$AE$1004,1,MATCH(COLUMNS($V$1006:AC1006),$V$1006:$AE$1006,0)))),"Fix")))</f>
        <v>0</v>
      </c>
      <c r="J400" s="3">
        <f>IF(OR(INDEX($P$2:$P$1001,MATCH(ROWS($O$2:O400),$O$2:$O$1001,0),1)&gt;=100000,INDEX($V$1005:$AE$1005,1,MATCH(COLUMNS($V$1006:AD1006),$V$1006:$AE$1006,0))&gt;=100000), " ",IF(INDEX($V$2:$AE$1001,MATCH(ROWS($O$2:O400),$O$2:$O$1001,0),MATCH(COLUMNS($V$1006:AD1006),$V$1006:$AE$1006,0)), HYPERLINK("#",""), HYPERLINK(CONCATENATE("#Metadata!", ADDRESS(INDEX($Q$2:$Q$1001,MATCH(ROWS($O$2:O400),$O$2:$O$1001,0),0), INDEX($V$1004:$AE$1004,1,MATCH(COLUMNS($V$1006:AD1006),$V$1006:$AE$1006,0)))),"Fix")))</f>
        <v>0</v>
      </c>
      <c r="K400" s="3">
        <f>IF(OR(INDEX($P$2:$P$1001,MATCH(ROWS($O$2:O400),$O$2:$O$1001,0),1)&gt;=100000,INDEX($V$1005:$AE$1005,1,MATCH(COLUMNS($V$1006:AE1006),$V$1006:$AE$1006,0))&gt;=100000), " ",IF(INDEX($V$2:$AE$1001,MATCH(ROWS($O$2:O400),$O$2:$O$1001,0),MATCH(COLUMNS($V$1006:AE1006),$V$1006:$AE$1006,0)), HYPERLINK("#",""), HYPERLINK(CONCATENATE("#Metadata!", ADDRESS(INDEX($Q$2:$Q$1001,MATCH(ROWS($O$2:O400),$O$2:$O$1001,0),0), INDEX($V$1004:$AE$1004,1,MATCH(COLUMNS($V$1006:AE1006),$V$1006:$AE$1006,0)))),"Fix")))</f>
        <v>0</v>
      </c>
      <c r="O400">
        <v>0</v>
      </c>
      <c r="P400">
        <v>0</v>
      </c>
      <c r="Q400">
        <v>0</v>
      </c>
      <c r="R400">
        <f>IF(S400,TRUE,AND(V400:AE400))</f>
        <v>0</v>
      </c>
      <c r="S400">
        <f>COUNTBLANK(Metadata!B400:K400)=COLUMNS(Metadata!B400:K400)</f>
        <v>0</v>
      </c>
      <c r="T400">
        <v>0</v>
      </c>
      <c r="V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W400">
        <f>AND(IF(Metadata!C400="",FALSE,TRUE),exact(Metadata!C400,"animal secretion"))</f>
        <v>0</v>
      </c>
      <c r="X400">
        <f>AND(IF(Metadata!D400="",FALSE,TRUE),exact(Metadata!D400,"saliva"))</f>
        <v>0</v>
      </c>
      <c r="Y400">
        <f>AND(IF(Metadata!E400="",FALSE,TRUE),exact(Metadata!E400,"human-oral"))</f>
        <v>0</v>
      </c>
      <c r="Z400">
        <f>AND(IF(Metadata!F400="",FALSE,TRUE),exact(Metadata!F400,"UBERON:oral cavity"))</f>
        <v>0</v>
      </c>
      <c r="AA400">
        <f>AND(IF(Metadata!G400="",FALSE,TRUE),exact(Metadata!G400,"UBERON:saliva"))</f>
        <v>0</v>
      </c>
      <c r="AB400">
        <f>AND(IF(Metadata!H400="",FALSE,TRUE),exact(Metadata!H400,"UBERON:tongue"))</f>
        <v>0</v>
      </c>
      <c r="AC400">
        <f>AND(IF(Metadata!I400="",FALSE,TRUE),exact(Metadata!I400,"tongue"))</f>
        <v>0</v>
      </c>
      <c r="AD400">
        <f>AND(IF(Metadata!J400="",FALSE,TRUE),exact(Metadata!J400,"human oral metagenome"))</f>
        <v>0</v>
      </c>
      <c r="AE400">
        <f>AND(IF(Metadata!K400="",FALSE,TRUE),exact(Metadata!K400,"447426"))</f>
        <v>0</v>
      </c>
    </row>
    <row r="401" spans="1:31">
      <c r="A401" s="4">
        <f>IF(B401=" "," ",HYPERLINK(CONCATENATE("#metadata!",ADDRESS(INDEX($Q$2:$Q$1001,MATCH(ROWS($O$2:O401),$O$2:$O$1001,0),0),1)),INDEX($T$2:$T$1001,MATCH(ROWS($O$2:O401),$O$2:$O$1001,0),0)))</f>
        <v>0</v>
      </c>
      <c r="B401" s="3">
        <f>IF(OR(INDEX($P$2:$P$1001,MATCH(ROWS($O$2:O401),$O$2:$O$1001,0),1)&gt;=100000,INDEX($V$1005:$AE$1005,1,MATCH(COLUMNS($V$1006:V1006),$V$1006:$AE$1006,0))&gt;=100000), " ",IF(INDEX($V$2:$AE$1001,MATCH(ROWS($O$2:O401),$O$2:$O$1001,0),MATCH(COLUMNS($V$1006:V1006),$V$1006:$AE$1006,0)), HYPERLINK("#",""), HYPERLINK(CONCATENATE("#Metadata!", ADDRESS(INDEX($Q$2:$Q$1001,MATCH(ROWS($O$2:O401),$O$2:$O$1001,0),0), INDEX($V$1004:$AE$1004,1,MATCH(COLUMNS($V$1006:V1006),$V$1006:$AE$1006,0)))),"Fix")))</f>
        <v>0</v>
      </c>
      <c r="C401" s="3">
        <f>IF(OR(INDEX($P$2:$P$1001,MATCH(ROWS($O$2:O401),$O$2:$O$1001,0),1)&gt;=100000,INDEX($V$1005:$AE$1005,1,MATCH(COLUMNS($V$1006:W1006),$V$1006:$AE$1006,0))&gt;=100000), " ",IF(INDEX($V$2:$AE$1001,MATCH(ROWS($O$2:O401),$O$2:$O$1001,0),MATCH(COLUMNS($V$1006:W1006),$V$1006:$AE$1006,0)), HYPERLINK("#",""), HYPERLINK(CONCATENATE("#Metadata!", ADDRESS(INDEX($Q$2:$Q$1001,MATCH(ROWS($O$2:O401),$O$2:$O$1001,0),0), INDEX($V$1004:$AE$1004,1,MATCH(COLUMNS($V$1006:W1006),$V$1006:$AE$1006,0)))),"Fix")))</f>
        <v>0</v>
      </c>
      <c r="D401" s="3">
        <f>IF(OR(INDEX($P$2:$P$1001,MATCH(ROWS($O$2:O401),$O$2:$O$1001,0),1)&gt;=100000,INDEX($V$1005:$AE$1005,1,MATCH(COLUMNS($V$1006:X1006),$V$1006:$AE$1006,0))&gt;=100000), " ",IF(INDEX($V$2:$AE$1001,MATCH(ROWS($O$2:O401),$O$2:$O$1001,0),MATCH(COLUMNS($V$1006:X1006),$V$1006:$AE$1006,0)), HYPERLINK("#",""), HYPERLINK(CONCATENATE("#Metadata!", ADDRESS(INDEX($Q$2:$Q$1001,MATCH(ROWS($O$2:O401),$O$2:$O$1001,0),0), INDEX($V$1004:$AE$1004,1,MATCH(COLUMNS($V$1006:X1006),$V$1006:$AE$1006,0)))),"Fix")))</f>
        <v>0</v>
      </c>
      <c r="E401" s="3">
        <f>IF(OR(INDEX($P$2:$P$1001,MATCH(ROWS($O$2:O401),$O$2:$O$1001,0),1)&gt;=100000,INDEX($V$1005:$AE$1005,1,MATCH(COLUMNS($V$1006:Y1006),$V$1006:$AE$1006,0))&gt;=100000), " ",IF(INDEX($V$2:$AE$1001,MATCH(ROWS($O$2:O401),$O$2:$O$1001,0),MATCH(COLUMNS($V$1006:Y1006),$V$1006:$AE$1006,0)), HYPERLINK("#",""), HYPERLINK(CONCATENATE("#Metadata!", ADDRESS(INDEX($Q$2:$Q$1001,MATCH(ROWS($O$2:O401),$O$2:$O$1001,0),0), INDEX($V$1004:$AE$1004,1,MATCH(COLUMNS($V$1006:Y1006),$V$1006:$AE$1006,0)))),"Fix")))</f>
        <v>0</v>
      </c>
      <c r="F401" s="3">
        <f>IF(OR(INDEX($P$2:$P$1001,MATCH(ROWS($O$2:O401),$O$2:$O$1001,0),1)&gt;=100000,INDEX($V$1005:$AE$1005,1,MATCH(COLUMNS($V$1006:Z1006),$V$1006:$AE$1006,0))&gt;=100000), " ",IF(INDEX($V$2:$AE$1001,MATCH(ROWS($O$2:O401),$O$2:$O$1001,0),MATCH(COLUMNS($V$1006:Z1006),$V$1006:$AE$1006,0)), HYPERLINK("#",""), HYPERLINK(CONCATENATE("#Metadata!", ADDRESS(INDEX($Q$2:$Q$1001,MATCH(ROWS($O$2:O401),$O$2:$O$1001,0),0), INDEX($V$1004:$AE$1004,1,MATCH(COLUMNS($V$1006:Z1006),$V$1006:$AE$1006,0)))),"Fix")))</f>
        <v>0</v>
      </c>
      <c r="G401" s="3">
        <f>IF(OR(INDEX($P$2:$P$1001,MATCH(ROWS($O$2:O401),$O$2:$O$1001,0),1)&gt;=100000,INDEX($V$1005:$AE$1005,1,MATCH(COLUMNS($V$1006:AA1006),$V$1006:$AE$1006,0))&gt;=100000), " ",IF(INDEX($V$2:$AE$1001,MATCH(ROWS($O$2:O401),$O$2:$O$1001,0),MATCH(COLUMNS($V$1006:AA1006),$V$1006:$AE$1006,0)), HYPERLINK("#",""), HYPERLINK(CONCATENATE("#Metadata!", ADDRESS(INDEX($Q$2:$Q$1001,MATCH(ROWS($O$2:O401),$O$2:$O$1001,0),0), INDEX($V$1004:$AE$1004,1,MATCH(COLUMNS($V$1006:AA1006),$V$1006:$AE$1006,0)))),"Fix")))</f>
        <v>0</v>
      </c>
      <c r="H401" s="3">
        <f>IF(OR(INDEX($P$2:$P$1001,MATCH(ROWS($O$2:O401),$O$2:$O$1001,0),1)&gt;=100000,INDEX($V$1005:$AE$1005,1,MATCH(COLUMNS($V$1006:AB1006),$V$1006:$AE$1006,0))&gt;=100000), " ",IF(INDEX($V$2:$AE$1001,MATCH(ROWS($O$2:O401),$O$2:$O$1001,0),MATCH(COLUMNS($V$1006:AB1006),$V$1006:$AE$1006,0)), HYPERLINK("#",""), HYPERLINK(CONCATENATE("#Metadata!", ADDRESS(INDEX($Q$2:$Q$1001,MATCH(ROWS($O$2:O401),$O$2:$O$1001,0),0), INDEX($V$1004:$AE$1004,1,MATCH(COLUMNS($V$1006:AB1006),$V$1006:$AE$1006,0)))),"Fix")))</f>
        <v>0</v>
      </c>
      <c r="I401" s="3">
        <f>IF(OR(INDEX($P$2:$P$1001,MATCH(ROWS($O$2:O401),$O$2:$O$1001,0),1)&gt;=100000,INDEX($V$1005:$AE$1005,1,MATCH(COLUMNS($V$1006:AC1006),$V$1006:$AE$1006,0))&gt;=100000), " ",IF(INDEX($V$2:$AE$1001,MATCH(ROWS($O$2:O401),$O$2:$O$1001,0),MATCH(COLUMNS($V$1006:AC1006),$V$1006:$AE$1006,0)), HYPERLINK("#",""), HYPERLINK(CONCATENATE("#Metadata!", ADDRESS(INDEX($Q$2:$Q$1001,MATCH(ROWS($O$2:O401),$O$2:$O$1001,0),0), INDEX($V$1004:$AE$1004,1,MATCH(COLUMNS($V$1006:AC1006),$V$1006:$AE$1006,0)))),"Fix")))</f>
        <v>0</v>
      </c>
      <c r="J401" s="3">
        <f>IF(OR(INDEX($P$2:$P$1001,MATCH(ROWS($O$2:O401),$O$2:$O$1001,0),1)&gt;=100000,INDEX($V$1005:$AE$1005,1,MATCH(COLUMNS($V$1006:AD1006),$V$1006:$AE$1006,0))&gt;=100000), " ",IF(INDEX($V$2:$AE$1001,MATCH(ROWS($O$2:O401),$O$2:$O$1001,0),MATCH(COLUMNS($V$1006:AD1006),$V$1006:$AE$1006,0)), HYPERLINK("#",""), HYPERLINK(CONCATENATE("#Metadata!", ADDRESS(INDEX($Q$2:$Q$1001,MATCH(ROWS($O$2:O401),$O$2:$O$1001,0),0), INDEX($V$1004:$AE$1004,1,MATCH(COLUMNS($V$1006:AD1006),$V$1006:$AE$1006,0)))),"Fix")))</f>
        <v>0</v>
      </c>
      <c r="K401" s="3">
        <f>IF(OR(INDEX($P$2:$P$1001,MATCH(ROWS($O$2:O401),$O$2:$O$1001,0),1)&gt;=100000,INDEX($V$1005:$AE$1005,1,MATCH(COLUMNS($V$1006:AE1006),$V$1006:$AE$1006,0))&gt;=100000), " ",IF(INDEX($V$2:$AE$1001,MATCH(ROWS($O$2:O401),$O$2:$O$1001,0),MATCH(COLUMNS($V$1006:AE1006),$V$1006:$AE$1006,0)), HYPERLINK("#",""), HYPERLINK(CONCATENATE("#Metadata!", ADDRESS(INDEX($Q$2:$Q$1001,MATCH(ROWS($O$2:O401),$O$2:$O$1001,0),0), INDEX($V$1004:$AE$1004,1,MATCH(COLUMNS($V$1006:AE1006),$V$1006:$AE$1006,0)))),"Fix")))</f>
        <v>0</v>
      </c>
      <c r="O401">
        <v>0</v>
      </c>
      <c r="P401">
        <v>0</v>
      </c>
      <c r="Q401">
        <v>0</v>
      </c>
      <c r="R401">
        <f>IF(S401,TRUE,AND(V401:AE401))</f>
        <v>0</v>
      </c>
      <c r="S401">
        <f>COUNTBLANK(Metadata!B401:K401)=COLUMNS(Metadata!B401:K401)</f>
        <v>0</v>
      </c>
      <c r="T401">
        <v>0</v>
      </c>
      <c r="V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W401">
        <f>AND(IF(Metadata!C401="",FALSE,TRUE),exact(Metadata!C401,"animal secretion"))</f>
        <v>0</v>
      </c>
      <c r="X401">
        <f>AND(IF(Metadata!D401="",FALSE,TRUE),exact(Metadata!D401,"saliva"))</f>
        <v>0</v>
      </c>
      <c r="Y401">
        <f>AND(IF(Metadata!E401="",FALSE,TRUE),exact(Metadata!E401,"human-oral"))</f>
        <v>0</v>
      </c>
      <c r="Z401">
        <f>AND(IF(Metadata!F401="",FALSE,TRUE),exact(Metadata!F401,"UBERON:oral cavity"))</f>
        <v>0</v>
      </c>
      <c r="AA401">
        <f>AND(IF(Metadata!G401="",FALSE,TRUE),exact(Metadata!G401,"UBERON:saliva"))</f>
        <v>0</v>
      </c>
      <c r="AB401">
        <f>AND(IF(Metadata!H401="",FALSE,TRUE),exact(Metadata!H401,"UBERON:tongue"))</f>
        <v>0</v>
      </c>
      <c r="AC401">
        <f>AND(IF(Metadata!I401="",FALSE,TRUE),exact(Metadata!I401,"tongue"))</f>
        <v>0</v>
      </c>
      <c r="AD401">
        <f>AND(IF(Metadata!J401="",FALSE,TRUE),exact(Metadata!J401,"human oral metagenome"))</f>
        <v>0</v>
      </c>
      <c r="AE401">
        <f>AND(IF(Metadata!K401="",FALSE,TRUE),exact(Metadata!K401,"447426"))</f>
        <v>0</v>
      </c>
    </row>
    <row r="402" spans="1:31">
      <c r="A402" s="4">
        <f>IF(B402=" "," ",HYPERLINK(CONCATENATE("#metadata!",ADDRESS(INDEX($Q$2:$Q$1001,MATCH(ROWS($O$2:O402),$O$2:$O$1001,0),0),1)),INDEX($T$2:$T$1001,MATCH(ROWS($O$2:O402),$O$2:$O$1001,0),0)))</f>
        <v>0</v>
      </c>
      <c r="B402" s="3">
        <f>IF(OR(INDEX($P$2:$P$1001,MATCH(ROWS($O$2:O402),$O$2:$O$1001,0),1)&gt;=100000,INDEX($V$1005:$AE$1005,1,MATCH(COLUMNS($V$1006:V1006),$V$1006:$AE$1006,0))&gt;=100000), " ",IF(INDEX($V$2:$AE$1001,MATCH(ROWS($O$2:O402),$O$2:$O$1001,0),MATCH(COLUMNS($V$1006:V1006),$V$1006:$AE$1006,0)), HYPERLINK("#",""), HYPERLINK(CONCATENATE("#Metadata!", ADDRESS(INDEX($Q$2:$Q$1001,MATCH(ROWS($O$2:O402),$O$2:$O$1001,0),0), INDEX($V$1004:$AE$1004,1,MATCH(COLUMNS($V$1006:V1006),$V$1006:$AE$1006,0)))),"Fix")))</f>
        <v>0</v>
      </c>
      <c r="C402" s="3">
        <f>IF(OR(INDEX($P$2:$P$1001,MATCH(ROWS($O$2:O402),$O$2:$O$1001,0),1)&gt;=100000,INDEX($V$1005:$AE$1005,1,MATCH(COLUMNS($V$1006:W1006),$V$1006:$AE$1006,0))&gt;=100000), " ",IF(INDEX($V$2:$AE$1001,MATCH(ROWS($O$2:O402),$O$2:$O$1001,0),MATCH(COLUMNS($V$1006:W1006),$V$1006:$AE$1006,0)), HYPERLINK("#",""), HYPERLINK(CONCATENATE("#Metadata!", ADDRESS(INDEX($Q$2:$Q$1001,MATCH(ROWS($O$2:O402),$O$2:$O$1001,0),0), INDEX($V$1004:$AE$1004,1,MATCH(COLUMNS($V$1006:W1006),$V$1006:$AE$1006,0)))),"Fix")))</f>
        <v>0</v>
      </c>
      <c r="D402" s="3">
        <f>IF(OR(INDEX($P$2:$P$1001,MATCH(ROWS($O$2:O402),$O$2:$O$1001,0),1)&gt;=100000,INDEX($V$1005:$AE$1005,1,MATCH(COLUMNS($V$1006:X1006),$V$1006:$AE$1006,0))&gt;=100000), " ",IF(INDEX($V$2:$AE$1001,MATCH(ROWS($O$2:O402),$O$2:$O$1001,0),MATCH(COLUMNS($V$1006:X1006),$V$1006:$AE$1006,0)), HYPERLINK("#",""), HYPERLINK(CONCATENATE("#Metadata!", ADDRESS(INDEX($Q$2:$Q$1001,MATCH(ROWS($O$2:O402),$O$2:$O$1001,0),0), INDEX($V$1004:$AE$1004,1,MATCH(COLUMNS($V$1006:X1006),$V$1006:$AE$1006,0)))),"Fix")))</f>
        <v>0</v>
      </c>
      <c r="E402" s="3">
        <f>IF(OR(INDEX($P$2:$P$1001,MATCH(ROWS($O$2:O402),$O$2:$O$1001,0),1)&gt;=100000,INDEX($V$1005:$AE$1005,1,MATCH(COLUMNS($V$1006:Y1006),$V$1006:$AE$1006,0))&gt;=100000), " ",IF(INDEX($V$2:$AE$1001,MATCH(ROWS($O$2:O402),$O$2:$O$1001,0),MATCH(COLUMNS($V$1006:Y1006),$V$1006:$AE$1006,0)), HYPERLINK("#",""), HYPERLINK(CONCATENATE("#Metadata!", ADDRESS(INDEX($Q$2:$Q$1001,MATCH(ROWS($O$2:O402),$O$2:$O$1001,0),0), INDEX($V$1004:$AE$1004,1,MATCH(COLUMNS($V$1006:Y1006),$V$1006:$AE$1006,0)))),"Fix")))</f>
        <v>0</v>
      </c>
      <c r="F402" s="3">
        <f>IF(OR(INDEX($P$2:$P$1001,MATCH(ROWS($O$2:O402),$O$2:$O$1001,0),1)&gt;=100000,INDEX($V$1005:$AE$1005,1,MATCH(COLUMNS($V$1006:Z1006),$V$1006:$AE$1006,0))&gt;=100000), " ",IF(INDEX($V$2:$AE$1001,MATCH(ROWS($O$2:O402),$O$2:$O$1001,0),MATCH(COLUMNS($V$1006:Z1006),$V$1006:$AE$1006,0)), HYPERLINK("#",""), HYPERLINK(CONCATENATE("#Metadata!", ADDRESS(INDEX($Q$2:$Q$1001,MATCH(ROWS($O$2:O402),$O$2:$O$1001,0),0), INDEX($V$1004:$AE$1004,1,MATCH(COLUMNS($V$1006:Z1006),$V$1006:$AE$1006,0)))),"Fix")))</f>
        <v>0</v>
      </c>
      <c r="G402" s="3">
        <f>IF(OR(INDEX($P$2:$P$1001,MATCH(ROWS($O$2:O402),$O$2:$O$1001,0),1)&gt;=100000,INDEX($V$1005:$AE$1005,1,MATCH(COLUMNS($V$1006:AA1006),$V$1006:$AE$1006,0))&gt;=100000), " ",IF(INDEX($V$2:$AE$1001,MATCH(ROWS($O$2:O402),$O$2:$O$1001,0),MATCH(COLUMNS($V$1006:AA1006),$V$1006:$AE$1006,0)), HYPERLINK("#",""), HYPERLINK(CONCATENATE("#Metadata!", ADDRESS(INDEX($Q$2:$Q$1001,MATCH(ROWS($O$2:O402),$O$2:$O$1001,0),0), INDEX($V$1004:$AE$1004,1,MATCH(COLUMNS($V$1006:AA1006),$V$1006:$AE$1006,0)))),"Fix")))</f>
        <v>0</v>
      </c>
      <c r="H402" s="3">
        <f>IF(OR(INDEX($P$2:$P$1001,MATCH(ROWS($O$2:O402),$O$2:$O$1001,0),1)&gt;=100000,INDEX($V$1005:$AE$1005,1,MATCH(COLUMNS($V$1006:AB1006),$V$1006:$AE$1006,0))&gt;=100000), " ",IF(INDEX($V$2:$AE$1001,MATCH(ROWS($O$2:O402),$O$2:$O$1001,0),MATCH(COLUMNS($V$1006:AB1006),$V$1006:$AE$1006,0)), HYPERLINK("#",""), HYPERLINK(CONCATENATE("#Metadata!", ADDRESS(INDEX($Q$2:$Q$1001,MATCH(ROWS($O$2:O402),$O$2:$O$1001,0),0), INDEX($V$1004:$AE$1004,1,MATCH(COLUMNS($V$1006:AB1006),$V$1006:$AE$1006,0)))),"Fix")))</f>
        <v>0</v>
      </c>
      <c r="I402" s="3">
        <f>IF(OR(INDEX($P$2:$P$1001,MATCH(ROWS($O$2:O402),$O$2:$O$1001,0),1)&gt;=100000,INDEX($V$1005:$AE$1005,1,MATCH(COLUMNS($V$1006:AC1006),$V$1006:$AE$1006,0))&gt;=100000), " ",IF(INDEX($V$2:$AE$1001,MATCH(ROWS($O$2:O402),$O$2:$O$1001,0),MATCH(COLUMNS($V$1006:AC1006),$V$1006:$AE$1006,0)), HYPERLINK("#",""), HYPERLINK(CONCATENATE("#Metadata!", ADDRESS(INDEX($Q$2:$Q$1001,MATCH(ROWS($O$2:O402),$O$2:$O$1001,0),0), INDEX($V$1004:$AE$1004,1,MATCH(COLUMNS($V$1006:AC1006),$V$1006:$AE$1006,0)))),"Fix")))</f>
        <v>0</v>
      </c>
      <c r="J402" s="3">
        <f>IF(OR(INDEX($P$2:$P$1001,MATCH(ROWS($O$2:O402),$O$2:$O$1001,0),1)&gt;=100000,INDEX($V$1005:$AE$1005,1,MATCH(COLUMNS($V$1006:AD1006),$V$1006:$AE$1006,0))&gt;=100000), " ",IF(INDEX($V$2:$AE$1001,MATCH(ROWS($O$2:O402),$O$2:$O$1001,0),MATCH(COLUMNS($V$1006:AD1006),$V$1006:$AE$1006,0)), HYPERLINK("#",""), HYPERLINK(CONCATENATE("#Metadata!", ADDRESS(INDEX($Q$2:$Q$1001,MATCH(ROWS($O$2:O402),$O$2:$O$1001,0),0), INDEX($V$1004:$AE$1004,1,MATCH(COLUMNS($V$1006:AD1006),$V$1006:$AE$1006,0)))),"Fix")))</f>
        <v>0</v>
      </c>
      <c r="K402" s="3">
        <f>IF(OR(INDEX($P$2:$P$1001,MATCH(ROWS($O$2:O402),$O$2:$O$1001,0),1)&gt;=100000,INDEX($V$1005:$AE$1005,1,MATCH(COLUMNS($V$1006:AE1006),$V$1006:$AE$1006,0))&gt;=100000), " ",IF(INDEX($V$2:$AE$1001,MATCH(ROWS($O$2:O402),$O$2:$O$1001,0),MATCH(COLUMNS($V$1006:AE1006),$V$1006:$AE$1006,0)), HYPERLINK("#",""), HYPERLINK(CONCATENATE("#Metadata!", ADDRESS(INDEX($Q$2:$Q$1001,MATCH(ROWS($O$2:O402),$O$2:$O$1001,0),0), INDEX($V$1004:$AE$1004,1,MATCH(COLUMNS($V$1006:AE1006),$V$1006:$AE$1006,0)))),"Fix")))</f>
        <v>0</v>
      </c>
      <c r="O402">
        <v>0</v>
      </c>
      <c r="P402">
        <v>0</v>
      </c>
      <c r="Q402">
        <v>0</v>
      </c>
      <c r="R402">
        <f>IF(S402,TRUE,AND(V402:AE402))</f>
        <v>0</v>
      </c>
      <c r="S402">
        <f>COUNTBLANK(Metadata!B402:K402)=COLUMNS(Metadata!B402:K402)</f>
        <v>0</v>
      </c>
      <c r="T402">
        <v>0</v>
      </c>
      <c r="V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W402">
        <f>AND(IF(Metadata!C402="",FALSE,TRUE),exact(Metadata!C402,"animal secretion"))</f>
        <v>0</v>
      </c>
      <c r="X402">
        <f>AND(IF(Metadata!D402="",FALSE,TRUE),exact(Metadata!D402,"saliva"))</f>
        <v>0</v>
      </c>
      <c r="Y402">
        <f>AND(IF(Metadata!E402="",FALSE,TRUE),exact(Metadata!E402,"human-oral"))</f>
        <v>0</v>
      </c>
      <c r="Z402">
        <f>AND(IF(Metadata!F402="",FALSE,TRUE),exact(Metadata!F402,"UBERON:oral cavity"))</f>
        <v>0</v>
      </c>
      <c r="AA402">
        <f>AND(IF(Metadata!G402="",FALSE,TRUE),exact(Metadata!G402,"UBERON:saliva"))</f>
        <v>0</v>
      </c>
      <c r="AB402">
        <f>AND(IF(Metadata!H402="",FALSE,TRUE),exact(Metadata!H402,"UBERON:tongue"))</f>
        <v>0</v>
      </c>
      <c r="AC402">
        <f>AND(IF(Metadata!I402="",FALSE,TRUE),exact(Metadata!I402,"tongue"))</f>
        <v>0</v>
      </c>
      <c r="AD402">
        <f>AND(IF(Metadata!J402="",FALSE,TRUE),exact(Metadata!J402,"human oral metagenome"))</f>
        <v>0</v>
      </c>
      <c r="AE402">
        <f>AND(IF(Metadata!K402="",FALSE,TRUE),exact(Metadata!K402,"447426"))</f>
        <v>0</v>
      </c>
    </row>
    <row r="403" spans="1:31">
      <c r="A403" s="4">
        <f>IF(B403=" "," ",HYPERLINK(CONCATENATE("#metadata!",ADDRESS(INDEX($Q$2:$Q$1001,MATCH(ROWS($O$2:O403),$O$2:$O$1001,0),0),1)),INDEX($T$2:$T$1001,MATCH(ROWS($O$2:O403),$O$2:$O$1001,0),0)))</f>
        <v>0</v>
      </c>
      <c r="B403" s="3">
        <f>IF(OR(INDEX($P$2:$P$1001,MATCH(ROWS($O$2:O403),$O$2:$O$1001,0),1)&gt;=100000,INDEX($V$1005:$AE$1005,1,MATCH(COLUMNS($V$1006:V1006),$V$1006:$AE$1006,0))&gt;=100000), " ",IF(INDEX($V$2:$AE$1001,MATCH(ROWS($O$2:O403),$O$2:$O$1001,0),MATCH(COLUMNS($V$1006:V1006),$V$1006:$AE$1006,0)), HYPERLINK("#",""), HYPERLINK(CONCATENATE("#Metadata!", ADDRESS(INDEX($Q$2:$Q$1001,MATCH(ROWS($O$2:O403),$O$2:$O$1001,0),0), INDEX($V$1004:$AE$1004,1,MATCH(COLUMNS($V$1006:V1006),$V$1006:$AE$1006,0)))),"Fix")))</f>
        <v>0</v>
      </c>
      <c r="C403" s="3">
        <f>IF(OR(INDEX($P$2:$P$1001,MATCH(ROWS($O$2:O403),$O$2:$O$1001,0),1)&gt;=100000,INDEX($V$1005:$AE$1005,1,MATCH(COLUMNS($V$1006:W1006),$V$1006:$AE$1006,0))&gt;=100000), " ",IF(INDEX($V$2:$AE$1001,MATCH(ROWS($O$2:O403),$O$2:$O$1001,0),MATCH(COLUMNS($V$1006:W1006),$V$1006:$AE$1006,0)), HYPERLINK("#",""), HYPERLINK(CONCATENATE("#Metadata!", ADDRESS(INDEX($Q$2:$Q$1001,MATCH(ROWS($O$2:O403),$O$2:$O$1001,0),0), INDEX($V$1004:$AE$1004,1,MATCH(COLUMNS($V$1006:W1006),$V$1006:$AE$1006,0)))),"Fix")))</f>
        <v>0</v>
      </c>
      <c r="D403" s="3">
        <f>IF(OR(INDEX($P$2:$P$1001,MATCH(ROWS($O$2:O403),$O$2:$O$1001,0),1)&gt;=100000,INDEX($V$1005:$AE$1005,1,MATCH(COLUMNS($V$1006:X1006),$V$1006:$AE$1006,0))&gt;=100000), " ",IF(INDEX($V$2:$AE$1001,MATCH(ROWS($O$2:O403),$O$2:$O$1001,0),MATCH(COLUMNS($V$1006:X1006),$V$1006:$AE$1006,0)), HYPERLINK("#",""), HYPERLINK(CONCATENATE("#Metadata!", ADDRESS(INDEX($Q$2:$Q$1001,MATCH(ROWS($O$2:O403),$O$2:$O$1001,0),0), INDEX($V$1004:$AE$1004,1,MATCH(COLUMNS($V$1006:X1006),$V$1006:$AE$1006,0)))),"Fix")))</f>
        <v>0</v>
      </c>
      <c r="E403" s="3">
        <f>IF(OR(INDEX($P$2:$P$1001,MATCH(ROWS($O$2:O403),$O$2:$O$1001,0),1)&gt;=100000,INDEX($V$1005:$AE$1005,1,MATCH(COLUMNS($V$1006:Y1006),$V$1006:$AE$1006,0))&gt;=100000), " ",IF(INDEX($V$2:$AE$1001,MATCH(ROWS($O$2:O403),$O$2:$O$1001,0),MATCH(COLUMNS($V$1006:Y1006),$V$1006:$AE$1006,0)), HYPERLINK("#",""), HYPERLINK(CONCATENATE("#Metadata!", ADDRESS(INDEX($Q$2:$Q$1001,MATCH(ROWS($O$2:O403),$O$2:$O$1001,0),0), INDEX($V$1004:$AE$1004,1,MATCH(COLUMNS($V$1006:Y1006),$V$1006:$AE$1006,0)))),"Fix")))</f>
        <v>0</v>
      </c>
      <c r="F403" s="3">
        <f>IF(OR(INDEX($P$2:$P$1001,MATCH(ROWS($O$2:O403),$O$2:$O$1001,0),1)&gt;=100000,INDEX($V$1005:$AE$1005,1,MATCH(COLUMNS($V$1006:Z1006),$V$1006:$AE$1006,0))&gt;=100000), " ",IF(INDEX($V$2:$AE$1001,MATCH(ROWS($O$2:O403),$O$2:$O$1001,0),MATCH(COLUMNS($V$1006:Z1006),$V$1006:$AE$1006,0)), HYPERLINK("#",""), HYPERLINK(CONCATENATE("#Metadata!", ADDRESS(INDEX($Q$2:$Q$1001,MATCH(ROWS($O$2:O403),$O$2:$O$1001,0),0), INDEX($V$1004:$AE$1004,1,MATCH(COLUMNS($V$1006:Z1006),$V$1006:$AE$1006,0)))),"Fix")))</f>
        <v>0</v>
      </c>
      <c r="G403" s="3">
        <f>IF(OR(INDEX($P$2:$P$1001,MATCH(ROWS($O$2:O403),$O$2:$O$1001,0),1)&gt;=100000,INDEX($V$1005:$AE$1005,1,MATCH(COLUMNS($V$1006:AA1006),$V$1006:$AE$1006,0))&gt;=100000), " ",IF(INDEX($V$2:$AE$1001,MATCH(ROWS($O$2:O403),$O$2:$O$1001,0),MATCH(COLUMNS($V$1006:AA1006),$V$1006:$AE$1006,0)), HYPERLINK("#",""), HYPERLINK(CONCATENATE("#Metadata!", ADDRESS(INDEX($Q$2:$Q$1001,MATCH(ROWS($O$2:O403),$O$2:$O$1001,0),0), INDEX($V$1004:$AE$1004,1,MATCH(COLUMNS($V$1006:AA1006),$V$1006:$AE$1006,0)))),"Fix")))</f>
        <v>0</v>
      </c>
      <c r="H403" s="3">
        <f>IF(OR(INDEX($P$2:$P$1001,MATCH(ROWS($O$2:O403),$O$2:$O$1001,0),1)&gt;=100000,INDEX($V$1005:$AE$1005,1,MATCH(COLUMNS($V$1006:AB1006),$V$1006:$AE$1006,0))&gt;=100000), " ",IF(INDEX($V$2:$AE$1001,MATCH(ROWS($O$2:O403),$O$2:$O$1001,0),MATCH(COLUMNS($V$1006:AB1006),$V$1006:$AE$1006,0)), HYPERLINK("#",""), HYPERLINK(CONCATENATE("#Metadata!", ADDRESS(INDEX($Q$2:$Q$1001,MATCH(ROWS($O$2:O403),$O$2:$O$1001,0),0), INDEX($V$1004:$AE$1004,1,MATCH(COLUMNS($V$1006:AB1006),$V$1006:$AE$1006,0)))),"Fix")))</f>
        <v>0</v>
      </c>
      <c r="I403" s="3">
        <f>IF(OR(INDEX($P$2:$P$1001,MATCH(ROWS($O$2:O403),$O$2:$O$1001,0),1)&gt;=100000,INDEX($V$1005:$AE$1005,1,MATCH(COLUMNS($V$1006:AC1006),$V$1006:$AE$1006,0))&gt;=100000), " ",IF(INDEX($V$2:$AE$1001,MATCH(ROWS($O$2:O403),$O$2:$O$1001,0),MATCH(COLUMNS($V$1006:AC1006),$V$1006:$AE$1006,0)), HYPERLINK("#",""), HYPERLINK(CONCATENATE("#Metadata!", ADDRESS(INDEX($Q$2:$Q$1001,MATCH(ROWS($O$2:O403),$O$2:$O$1001,0),0), INDEX($V$1004:$AE$1004,1,MATCH(COLUMNS($V$1006:AC1006),$V$1006:$AE$1006,0)))),"Fix")))</f>
        <v>0</v>
      </c>
      <c r="J403" s="3">
        <f>IF(OR(INDEX($P$2:$P$1001,MATCH(ROWS($O$2:O403),$O$2:$O$1001,0),1)&gt;=100000,INDEX($V$1005:$AE$1005,1,MATCH(COLUMNS($V$1006:AD1006),$V$1006:$AE$1006,0))&gt;=100000), " ",IF(INDEX($V$2:$AE$1001,MATCH(ROWS($O$2:O403),$O$2:$O$1001,0),MATCH(COLUMNS($V$1006:AD1006),$V$1006:$AE$1006,0)), HYPERLINK("#",""), HYPERLINK(CONCATENATE("#Metadata!", ADDRESS(INDEX($Q$2:$Q$1001,MATCH(ROWS($O$2:O403),$O$2:$O$1001,0),0), INDEX($V$1004:$AE$1004,1,MATCH(COLUMNS($V$1006:AD1006),$V$1006:$AE$1006,0)))),"Fix")))</f>
        <v>0</v>
      </c>
      <c r="K403" s="3">
        <f>IF(OR(INDEX($P$2:$P$1001,MATCH(ROWS($O$2:O403),$O$2:$O$1001,0),1)&gt;=100000,INDEX($V$1005:$AE$1005,1,MATCH(COLUMNS($V$1006:AE1006),$V$1006:$AE$1006,0))&gt;=100000), " ",IF(INDEX($V$2:$AE$1001,MATCH(ROWS($O$2:O403),$O$2:$O$1001,0),MATCH(COLUMNS($V$1006:AE1006),$V$1006:$AE$1006,0)), HYPERLINK("#",""), HYPERLINK(CONCATENATE("#Metadata!", ADDRESS(INDEX($Q$2:$Q$1001,MATCH(ROWS($O$2:O403),$O$2:$O$1001,0),0), INDEX($V$1004:$AE$1004,1,MATCH(COLUMNS($V$1006:AE1006),$V$1006:$AE$1006,0)))),"Fix")))</f>
        <v>0</v>
      </c>
      <c r="O403">
        <v>0</v>
      </c>
      <c r="P403">
        <v>0</v>
      </c>
      <c r="Q403">
        <v>0</v>
      </c>
      <c r="R403">
        <f>IF(S403,TRUE,AND(V403:AE403))</f>
        <v>0</v>
      </c>
      <c r="S403">
        <f>COUNTBLANK(Metadata!B403:K403)=COLUMNS(Metadata!B403:K403)</f>
        <v>0</v>
      </c>
      <c r="T403">
        <v>0</v>
      </c>
      <c r="V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W403">
        <f>AND(IF(Metadata!C403="",FALSE,TRUE),exact(Metadata!C403,"animal secretion"))</f>
        <v>0</v>
      </c>
      <c r="X403">
        <f>AND(IF(Metadata!D403="",FALSE,TRUE),exact(Metadata!D403,"saliva"))</f>
        <v>0</v>
      </c>
      <c r="Y403">
        <f>AND(IF(Metadata!E403="",FALSE,TRUE),exact(Metadata!E403,"human-oral"))</f>
        <v>0</v>
      </c>
      <c r="Z403">
        <f>AND(IF(Metadata!F403="",FALSE,TRUE),exact(Metadata!F403,"UBERON:oral cavity"))</f>
        <v>0</v>
      </c>
      <c r="AA403">
        <f>AND(IF(Metadata!G403="",FALSE,TRUE),exact(Metadata!G403,"UBERON:saliva"))</f>
        <v>0</v>
      </c>
      <c r="AB403">
        <f>AND(IF(Metadata!H403="",FALSE,TRUE),exact(Metadata!H403,"UBERON:tongue"))</f>
        <v>0</v>
      </c>
      <c r="AC403">
        <f>AND(IF(Metadata!I403="",FALSE,TRUE),exact(Metadata!I403,"tongue"))</f>
        <v>0</v>
      </c>
      <c r="AD403">
        <f>AND(IF(Metadata!J403="",FALSE,TRUE),exact(Metadata!J403,"human oral metagenome"))</f>
        <v>0</v>
      </c>
      <c r="AE403">
        <f>AND(IF(Metadata!K403="",FALSE,TRUE),exact(Metadata!K403,"447426"))</f>
        <v>0</v>
      </c>
    </row>
    <row r="404" spans="1:31">
      <c r="A404" s="4">
        <f>IF(B404=" "," ",HYPERLINK(CONCATENATE("#metadata!",ADDRESS(INDEX($Q$2:$Q$1001,MATCH(ROWS($O$2:O404),$O$2:$O$1001,0),0),1)),INDEX($T$2:$T$1001,MATCH(ROWS($O$2:O404),$O$2:$O$1001,0),0)))</f>
        <v>0</v>
      </c>
      <c r="B404" s="3">
        <f>IF(OR(INDEX($P$2:$P$1001,MATCH(ROWS($O$2:O404),$O$2:$O$1001,0),1)&gt;=100000,INDEX($V$1005:$AE$1005,1,MATCH(COLUMNS($V$1006:V1006),$V$1006:$AE$1006,0))&gt;=100000), " ",IF(INDEX($V$2:$AE$1001,MATCH(ROWS($O$2:O404),$O$2:$O$1001,0),MATCH(COLUMNS($V$1006:V1006),$V$1006:$AE$1006,0)), HYPERLINK("#",""), HYPERLINK(CONCATENATE("#Metadata!", ADDRESS(INDEX($Q$2:$Q$1001,MATCH(ROWS($O$2:O404),$O$2:$O$1001,0),0), INDEX($V$1004:$AE$1004,1,MATCH(COLUMNS($V$1006:V1006),$V$1006:$AE$1006,0)))),"Fix")))</f>
        <v>0</v>
      </c>
      <c r="C404" s="3">
        <f>IF(OR(INDEX($P$2:$P$1001,MATCH(ROWS($O$2:O404),$O$2:$O$1001,0),1)&gt;=100000,INDEX($V$1005:$AE$1005,1,MATCH(COLUMNS($V$1006:W1006),$V$1006:$AE$1006,0))&gt;=100000), " ",IF(INDEX($V$2:$AE$1001,MATCH(ROWS($O$2:O404),$O$2:$O$1001,0),MATCH(COLUMNS($V$1006:W1006),$V$1006:$AE$1006,0)), HYPERLINK("#",""), HYPERLINK(CONCATENATE("#Metadata!", ADDRESS(INDEX($Q$2:$Q$1001,MATCH(ROWS($O$2:O404),$O$2:$O$1001,0),0), INDEX($V$1004:$AE$1004,1,MATCH(COLUMNS($V$1006:W1006),$V$1006:$AE$1006,0)))),"Fix")))</f>
        <v>0</v>
      </c>
      <c r="D404" s="3">
        <f>IF(OR(INDEX($P$2:$P$1001,MATCH(ROWS($O$2:O404),$O$2:$O$1001,0),1)&gt;=100000,INDEX($V$1005:$AE$1005,1,MATCH(COLUMNS($V$1006:X1006),$V$1006:$AE$1006,0))&gt;=100000), " ",IF(INDEX($V$2:$AE$1001,MATCH(ROWS($O$2:O404),$O$2:$O$1001,0),MATCH(COLUMNS($V$1006:X1006),$V$1006:$AE$1006,0)), HYPERLINK("#",""), HYPERLINK(CONCATENATE("#Metadata!", ADDRESS(INDEX($Q$2:$Q$1001,MATCH(ROWS($O$2:O404),$O$2:$O$1001,0),0), INDEX($V$1004:$AE$1004,1,MATCH(COLUMNS($V$1006:X1006),$V$1006:$AE$1006,0)))),"Fix")))</f>
        <v>0</v>
      </c>
      <c r="E404" s="3">
        <f>IF(OR(INDEX($P$2:$P$1001,MATCH(ROWS($O$2:O404),$O$2:$O$1001,0),1)&gt;=100000,INDEX($V$1005:$AE$1005,1,MATCH(COLUMNS($V$1006:Y1006),$V$1006:$AE$1006,0))&gt;=100000), " ",IF(INDEX($V$2:$AE$1001,MATCH(ROWS($O$2:O404),$O$2:$O$1001,0),MATCH(COLUMNS($V$1006:Y1006),$V$1006:$AE$1006,0)), HYPERLINK("#",""), HYPERLINK(CONCATENATE("#Metadata!", ADDRESS(INDEX($Q$2:$Q$1001,MATCH(ROWS($O$2:O404),$O$2:$O$1001,0),0), INDEX($V$1004:$AE$1004,1,MATCH(COLUMNS($V$1006:Y1006),$V$1006:$AE$1006,0)))),"Fix")))</f>
        <v>0</v>
      </c>
      <c r="F404" s="3">
        <f>IF(OR(INDEX($P$2:$P$1001,MATCH(ROWS($O$2:O404),$O$2:$O$1001,0),1)&gt;=100000,INDEX($V$1005:$AE$1005,1,MATCH(COLUMNS($V$1006:Z1006),$V$1006:$AE$1006,0))&gt;=100000), " ",IF(INDEX($V$2:$AE$1001,MATCH(ROWS($O$2:O404),$O$2:$O$1001,0),MATCH(COLUMNS($V$1006:Z1006),$V$1006:$AE$1006,0)), HYPERLINK("#",""), HYPERLINK(CONCATENATE("#Metadata!", ADDRESS(INDEX($Q$2:$Q$1001,MATCH(ROWS($O$2:O404),$O$2:$O$1001,0),0), INDEX($V$1004:$AE$1004,1,MATCH(COLUMNS($V$1006:Z1006),$V$1006:$AE$1006,0)))),"Fix")))</f>
        <v>0</v>
      </c>
      <c r="G404" s="3">
        <f>IF(OR(INDEX($P$2:$P$1001,MATCH(ROWS($O$2:O404),$O$2:$O$1001,0),1)&gt;=100000,INDEX($V$1005:$AE$1005,1,MATCH(COLUMNS($V$1006:AA1006),$V$1006:$AE$1006,0))&gt;=100000), " ",IF(INDEX($V$2:$AE$1001,MATCH(ROWS($O$2:O404),$O$2:$O$1001,0),MATCH(COLUMNS($V$1006:AA1006),$V$1006:$AE$1006,0)), HYPERLINK("#",""), HYPERLINK(CONCATENATE("#Metadata!", ADDRESS(INDEX($Q$2:$Q$1001,MATCH(ROWS($O$2:O404),$O$2:$O$1001,0),0), INDEX($V$1004:$AE$1004,1,MATCH(COLUMNS($V$1006:AA1006),$V$1006:$AE$1006,0)))),"Fix")))</f>
        <v>0</v>
      </c>
      <c r="H404" s="3">
        <f>IF(OR(INDEX($P$2:$P$1001,MATCH(ROWS($O$2:O404),$O$2:$O$1001,0),1)&gt;=100000,INDEX($V$1005:$AE$1005,1,MATCH(COLUMNS($V$1006:AB1006),$V$1006:$AE$1006,0))&gt;=100000), " ",IF(INDEX($V$2:$AE$1001,MATCH(ROWS($O$2:O404),$O$2:$O$1001,0),MATCH(COLUMNS($V$1006:AB1006),$V$1006:$AE$1006,0)), HYPERLINK("#",""), HYPERLINK(CONCATENATE("#Metadata!", ADDRESS(INDEX($Q$2:$Q$1001,MATCH(ROWS($O$2:O404),$O$2:$O$1001,0),0), INDEX($V$1004:$AE$1004,1,MATCH(COLUMNS($V$1006:AB1006),$V$1006:$AE$1006,0)))),"Fix")))</f>
        <v>0</v>
      </c>
      <c r="I404" s="3">
        <f>IF(OR(INDEX($P$2:$P$1001,MATCH(ROWS($O$2:O404),$O$2:$O$1001,0),1)&gt;=100000,INDEX($V$1005:$AE$1005,1,MATCH(COLUMNS($V$1006:AC1006),$V$1006:$AE$1006,0))&gt;=100000), " ",IF(INDEX($V$2:$AE$1001,MATCH(ROWS($O$2:O404),$O$2:$O$1001,0),MATCH(COLUMNS($V$1006:AC1006),$V$1006:$AE$1006,0)), HYPERLINK("#",""), HYPERLINK(CONCATENATE("#Metadata!", ADDRESS(INDEX($Q$2:$Q$1001,MATCH(ROWS($O$2:O404),$O$2:$O$1001,0),0), INDEX($V$1004:$AE$1004,1,MATCH(COLUMNS($V$1006:AC1006),$V$1006:$AE$1006,0)))),"Fix")))</f>
        <v>0</v>
      </c>
      <c r="J404" s="3">
        <f>IF(OR(INDEX($P$2:$P$1001,MATCH(ROWS($O$2:O404),$O$2:$O$1001,0),1)&gt;=100000,INDEX($V$1005:$AE$1005,1,MATCH(COLUMNS($V$1006:AD1006),$V$1006:$AE$1006,0))&gt;=100000), " ",IF(INDEX($V$2:$AE$1001,MATCH(ROWS($O$2:O404),$O$2:$O$1001,0),MATCH(COLUMNS($V$1006:AD1006),$V$1006:$AE$1006,0)), HYPERLINK("#",""), HYPERLINK(CONCATENATE("#Metadata!", ADDRESS(INDEX($Q$2:$Q$1001,MATCH(ROWS($O$2:O404),$O$2:$O$1001,0),0), INDEX($V$1004:$AE$1004,1,MATCH(COLUMNS($V$1006:AD1006),$V$1006:$AE$1006,0)))),"Fix")))</f>
        <v>0</v>
      </c>
      <c r="K404" s="3">
        <f>IF(OR(INDEX($P$2:$P$1001,MATCH(ROWS($O$2:O404),$O$2:$O$1001,0),1)&gt;=100000,INDEX($V$1005:$AE$1005,1,MATCH(COLUMNS($V$1006:AE1006),$V$1006:$AE$1006,0))&gt;=100000), " ",IF(INDEX($V$2:$AE$1001,MATCH(ROWS($O$2:O404),$O$2:$O$1001,0),MATCH(COLUMNS($V$1006:AE1006),$V$1006:$AE$1006,0)), HYPERLINK("#",""), HYPERLINK(CONCATENATE("#Metadata!", ADDRESS(INDEX($Q$2:$Q$1001,MATCH(ROWS($O$2:O404),$O$2:$O$1001,0),0), INDEX($V$1004:$AE$1004,1,MATCH(COLUMNS($V$1006:AE1006),$V$1006:$AE$1006,0)))),"Fix")))</f>
        <v>0</v>
      </c>
      <c r="O404">
        <v>0</v>
      </c>
      <c r="P404">
        <v>0</v>
      </c>
      <c r="Q404">
        <v>0</v>
      </c>
      <c r="R404">
        <f>IF(S404,TRUE,AND(V404:AE404))</f>
        <v>0</v>
      </c>
      <c r="S404">
        <f>COUNTBLANK(Metadata!B404:K404)=COLUMNS(Metadata!B404:K404)</f>
        <v>0</v>
      </c>
      <c r="T404">
        <v>0</v>
      </c>
      <c r="V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W404">
        <f>AND(IF(Metadata!C404="",FALSE,TRUE),exact(Metadata!C404,"animal secretion"))</f>
        <v>0</v>
      </c>
      <c r="X404">
        <f>AND(IF(Metadata!D404="",FALSE,TRUE),exact(Metadata!D404,"saliva"))</f>
        <v>0</v>
      </c>
      <c r="Y404">
        <f>AND(IF(Metadata!E404="",FALSE,TRUE),exact(Metadata!E404,"human-oral"))</f>
        <v>0</v>
      </c>
      <c r="Z404">
        <f>AND(IF(Metadata!F404="",FALSE,TRUE),exact(Metadata!F404,"UBERON:oral cavity"))</f>
        <v>0</v>
      </c>
      <c r="AA404">
        <f>AND(IF(Metadata!G404="",FALSE,TRUE),exact(Metadata!G404,"UBERON:saliva"))</f>
        <v>0</v>
      </c>
      <c r="AB404">
        <f>AND(IF(Metadata!H404="",FALSE,TRUE),exact(Metadata!H404,"UBERON:tongue"))</f>
        <v>0</v>
      </c>
      <c r="AC404">
        <f>AND(IF(Metadata!I404="",FALSE,TRUE),exact(Metadata!I404,"tongue"))</f>
        <v>0</v>
      </c>
      <c r="AD404">
        <f>AND(IF(Metadata!J404="",FALSE,TRUE),exact(Metadata!J404,"human oral metagenome"))</f>
        <v>0</v>
      </c>
      <c r="AE404">
        <f>AND(IF(Metadata!K404="",FALSE,TRUE),exact(Metadata!K404,"447426"))</f>
        <v>0</v>
      </c>
    </row>
    <row r="405" spans="1:31">
      <c r="A405" s="4">
        <f>IF(B405=" "," ",HYPERLINK(CONCATENATE("#metadata!",ADDRESS(INDEX($Q$2:$Q$1001,MATCH(ROWS($O$2:O405),$O$2:$O$1001,0),0),1)),INDEX($T$2:$T$1001,MATCH(ROWS($O$2:O405),$O$2:$O$1001,0),0)))</f>
        <v>0</v>
      </c>
      <c r="B405" s="3">
        <f>IF(OR(INDEX($P$2:$P$1001,MATCH(ROWS($O$2:O405),$O$2:$O$1001,0),1)&gt;=100000,INDEX($V$1005:$AE$1005,1,MATCH(COLUMNS($V$1006:V1006),$V$1006:$AE$1006,0))&gt;=100000), " ",IF(INDEX($V$2:$AE$1001,MATCH(ROWS($O$2:O405),$O$2:$O$1001,0),MATCH(COLUMNS($V$1006:V1006),$V$1006:$AE$1006,0)), HYPERLINK("#",""), HYPERLINK(CONCATENATE("#Metadata!", ADDRESS(INDEX($Q$2:$Q$1001,MATCH(ROWS($O$2:O405),$O$2:$O$1001,0),0), INDEX($V$1004:$AE$1004,1,MATCH(COLUMNS($V$1006:V1006),$V$1006:$AE$1006,0)))),"Fix")))</f>
        <v>0</v>
      </c>
      <c r="C405" s="3">
        <f>IF(OR(INDEX($P$2:$P$1001,MATCH(ROWS($O$2:O405),$O$2:$O$1001,0),1)&gt;=100000,INDEX($V$1005:$AE$1005,1,MATCH(COLUMNS($V$1006:W1006),$V$1006:$AE$1006,0))&gt;=100000), " ",IF(INDEX($V$2:$AE$1001,MATCH(ROWS($O$2:O405),$O$2:$O$1001,0),MATCH(COLUMNS($V$1006:W1006),$V$1006:$AE$1006,0)), HYPERLINK("#",""), HYPERLINK(CONCATENATE("#Metadata!", ADDRESS(INDEX($Q$2:$Q$1001,MATCH(ROWS($O$2:O405),$O$2:$O$1001,0),0), INDEX($V$1004:$AE$1004,1,MATCH(COLUMNS($V$1006:W1006),$V$1006:$AE$1006,0)))),"Fix")))</f>
        <v>0</v>
      </c>
      <c r="D405" s="3">
        <f>IF(OR(INDEX($P$2:$P$1001,MATCH(ROWS($O$2:O405),$O$2:$O$1001,0),1)&gt;=100000,INDEX($V$1005:$AE$1005,1,MATCH(COLUMNS($V$1006:X1006),$V$1006:$AE$1006,0))&gt;=100000), " ",IF(INDEX($V$2:$AE$1001,MATCH(ROWS($O$2:O405),$O$2:$O$1001,0),MATCH(COLUMNS($V$1006:X1006),$V$1006:$AE$1006,0)), HYPERLINK("#",""), HYPERLINK(CONCATENATE("#Metadata!", ADDRESS(INDEX($Q$2:$Q$1001,MATCH(ROWS($O$2:O405),$O$2:$O$1001,0),0), INDEX($V$1004:$AE$1004,1,MATCH(COLUMNS($V$1006:X1006),$V$1006:$AE$1006,0)))),"Fix")))</f>
        <v>0</v>
      </c>
      <c r="E405" s="3">
        <f>IF(OR(INDEX($P$2:$P$1001,MATCH(ROWS($O$2:O405),$O$2:$O$1001,0),1)&gt;=100000,INDEX($V$1005:$AE$1005,1,MATCH(COLUMNS($V$1006:Y1006),$V$1006:$AE$1006,0))&gt;=100000), " ",IF(INDEX($V$2:$AE$1001,MATCH(ROWS($O$2:O405),$O$2:$O$1001,0),MATCH(COLUMNS($V$1006:Y1006),$V$1006:$AE$1006,0)), HYPERLINK("#",""), HYPERLINK(CONCATENATE("#Metadata!", ADDRESS(INDEX($Q$2:$Q$1001,MATCH(ROWS($O$2:O405),$O$2:$O$1001,0),0), INDEX($V$1004:$AE$1004,1,MATCH(COLUMNS($V$1006:Y1006),$V$1006:$AE$1006,0)))),"Fix")))</f>
        <v>0</v>
      </c>
      <c r="F405" s="3">
        <f>IF(OR(INDEX($P$2:$P$1001,MATCH(ROWS($O$2:O405),$O$2:$O$1001,0),1)&gt;=100000,INDEX($V$1005:$AE$1005,1,MATCH(COLUMNS($V$1006:Z1006),$V$1006:$AE$1006,0))&gt;=100000), " ",IF(INDEX($V$2:$AE$1001,MATCH(ROWS($O$2:O405),$O$2:$O$1001,0),MATCH(COLUMNS($V$1006:Z1006),$V$1006:$AE$1006,0)), HYPERLINK("#",""), HYPERLINK(CONCATENATE("#Metadata!", ADDRESS(INDEX($Q$2:$Q$1001,MATCH(ROWS($O$2:O405),$O$2:$O$1001,0),0), INDEX($V$1004:$AE$1004,1,MATCH(COLUMNS($V$1006:Z1006),$V$1006:$AE$1006,0)))),"Fix")))</f>
        <v>0</v>
      </c>
      <c r="G405" s="3">
        <f>IF(OR(INDEX($P$2:$P$1001,MATCH(ROWS($O$2:O405),$O$2:$O$1001,0),1)&gt;=100000,INDEX($V$1005:$AE$1005,1,MATCH(COLUMNS($V$1006:AA1006),$V$1006:$AE$1006,0))&gt;=100000), " ",IF(INDEX($V$2:$AE$1001,MATCH(ROWS($O$2:O405),$O$2:$O$1001,0),MATCH(COLUMNS($V$1006:AA1006),$V$1006:$AE$1006,0)), HYPERLINK("#",""), HYPERLINK(CONCATENATE("#Metadata!", ADDRESS(INDEX($Q$2:$Q$1001,MATCH(ROWS($O$2:O405),$O$2:$O$1001,0),0), INDEX($V$1004:$AE$1004,1,MATCH(COLUMNS($V$1006:AA1006),$V$1006:$AE$1006,0)))),"Fix")))</f>
        <v>0</v>
      </c>
      <c r="H405" s="3">
        <f>IF(OR(INDEX($P$2:$P$1001,MATCH(ROWS($O$2:O405),$O$2:$O$1001,0),1)&gt;=100000,INDEX($V$1005:$AE$1005,1,MATCH(COLUMNS($V$1006:AB1006),$V$1006:$AE$1006,0))&gt;=100000), " ",IF(INDEX($V$2:$AE$1001,MATCH(ROWS($O$2:O405),$O$2:$O$1001,0),MATCH(COLUMNS($V$1006:AB1006),$V$1006:$AE$1006,0)), HYPERLINK("#",""), HYPERLINK(CONCATENATE("#Metadata!", ADDRESS(INDEX($Q$2:$Q$1001,MATCH(ROWS($O$2:O405),$O$2:$O$1001,0),0), INDEX($V$1004:$AE$1004,1,MATCH(COLUMNS($V$1006:AB1006),$V$1006:$AE$1006,0)))),"Fix")))</f>
        <v>0</v>
      </c>
      <c r="I405" s="3">
        <f>IF(OR(INDEX($P$2:$P$1001,MATCH(ROWS($O$2:O405),$O$2:$O$1001,0),1)&gt;=100000,INDEX($V$1005:$AE$1005,1,MATCH(COLUMNS($V$1006:AC1006),$V$1006:$AE$1006,0))&gt;=100000), " ",IF(INDEX($V$2:$AE$1001,MATCH(ROWS($O$2:O405),$O$2:$O$1001,0),MATCH(COLUMNS($V$1006:AC1006),$V$1006:$AE$1006,0)), HYPERLINK("#",""), HYPERLINK(CONCATENATE("#Metadata!", ADDRESS(INDEX($Q$2:$Q$1001,MATCH(ROWS($O$2:O405),$O$2:$O$1001,0),0), INDEX($V$1004:$AE$1004,1,MATCH(COLUMNS($V$1006:AC1006),$V$1006:$AE$1006,0)))),"Fix")))</f>
        <v>0</v>
      </c>
      <c r="J405" s="3">
        <f>IF(OR(INDEX($P$2:$P$1001,MATCH(ROWS($O$2:O405),$O$2:$O$1001,0),1)&gt;=100000,INDEX($V$1005:$AE$1005,1,MATCH(COLUMNS($V$1006:AD1006),$V$1006:$AE$1006,0))&gt;=100000), " ",IF(INDEX($V$2:$AE$1001,MATCH(ROWS($O$2:O405),$O$2:$O$1001,0),MATCH(COLUMNS($V$1006:AD1006),$V$1006:$AE$1006,0)), HYPERLINK("#",""), HYPERLINK(CONCATENATE("#Metadata!", ADDRESS(INDEX($Q$2:$Q$1001,MATCH(ROWS($O$2:O405),$O$2:$O$1001,0),0), INDEX($V$1004:$AE$1004,1,MATCH(COLUMNS($V$1006:AD1006),$V$1006:$AE$1006,0)))),"Fix")))</f>
        <v>0</v>
      </c>
      <c r="K405" s="3">
        <f>IF(OR(INDEX($P$2:$P$1001,MATCH(ROWS($O$2:O405),$O$2:$O$1001,0),1)&gt;=100000,INDEX($V$1005:$AE$1005,1,MATCH(COLUMNS($V$1006:AE1006),$V$1006:$AE$1006,0))&gt;=100000), " ",IF(INDEX($V$2:$AE$1001,MATCH(ROWS($O$2:O405),$O$2:$O$1001,0),MATCH(COLUMNS($V$1006:AE1006),$V$1006:$AE$1006,0)), HYPERLINK("#",""), HYPERLINK(CONCATENATE("#Metadata!", ADDRESS(INDEX($Q$2:$Q$1001,MATCH(ROWS($O$2:O405),$O$2:$O$1001,0),0), INDEX($V$1004:$AE$1004,1,MATCH(COLUMNS($V$1006:AE1006),$V$1006:$AE$1006,0)))),"Fix")))</f>
        <v>0</v>
      </c>
      <c r="O405">
        <v>0</v>
      </c>
      <c r="P405">
        <v>0</v>
      </c>
      <c r="Q405">
        <v>0</v>
      </c>
      <c r="R405">
        <f>IF(S405,TRUE,AND(V405:AE405))</f>
        <v>0</v>
      </c>
      <c r="S405">
        <f>COUNTBLANK(Metadata!B405:K405)=COLUMNS(Metadata!B405:K405)</f>
        <v>0</v>
      </c>
      <c r="T405">
        <v>0</v>
      </c>
      <c r="V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W405">
        <f>AND(IF(Metadata!C405="",FALSE,TRUE),exact(Metadata!C405,"animal secretion"))</f>
        <v>0</v>
      </c>
      <c r="X405">
        <f>AND(IF(Metadata!D405="",FALSE,TRUE),exact(Metadata!D405,"saliva"))</f>
        <v>0</v>
      </c>
      <c r="Y405">
        <f>AND(IF(Metadata!E405="",FALSE,TRUE),exact(Metadata!E405,"human-oral"))</f>
        <v>0</v>
      </c>
      <c r="Z405">
        <f>AND(IF(Metadata!F405="",FALSE,TRUE),exact(Metadata!F405,"UBERON:oral cavity"))</f>
        <v>0</v>
      </c>
      <c r="AA405">
        <f>AND(IF(Metadata!G405="",FALSE,TRUE),exact(Metadata!G405,"UBERON:saliva"))</f>
        <v>0</v>
      </c>
      <c r="AB405">
        <f>AND(IF(Metadata!H405="",FALSE,TRUE),exact(Metadata!H405,"UBERON:tongue"))</f>
        <v>0</v>
      </c>
      <c r="AC405">
        <f>AND(IF(Metadata!I405="",FALSE,TRUE),exact(Metadata!I405,"tongue"))</f>
        <v>0</v>
      </c>
      <c r="AD405">
        <f>AND(IF(Metadata!J405="",FALSE,TRUE),exact(Metadata!J405,"human oral metagenome"))</f>
        <v>0</v>
      </c>
      <c r="AE405">
        <f>AND(IF(Metadata!K405="",FALSE,TRUE),exact(Metadata!K405,"447426"))</f>
        <v>0</v>
      </c>
    </row>
    <row r="406" spans="1:31">
      <c r="A406" s="4">
        <f>IF(B406=" "," ",HYPERLINK(CONCATENATE("#metadata!",ADDRESS(INDEX($Q$2:$Q$1001,MATCH(ROWS($O$2:O406),$O$2:$O$1001,0),0),1)),INDEX($T$2:$T$1001,MATCH(ROWS($O$2:O406),$O$2:$O$1001,0),0)))</f>
        <v>0</v>
      </c>
      <c r="B406" s="3">
        <f>IF(OR(INDEX($P$2:$P$1001,MATCH(ROWS($O$2:O406),$O$2:$O$1001,0),1)&gt;=100000,INDEX($V$1005:$AE$1005,1,MATCH(COLUMNS($V$1006:V1006),$V$1006:$AE$1006,0))&gt;=100000), " ",IF(INDEX($V$2:$AE$1001,MATCH(ROWS($O$2:O406),$O$2:$O$1001,0),MATCH(COLUMNS($V$1006:V1006),$V$1006:$AE$1006,0)), HYPERLINK("#",""), HYPERLINK(CONCATENATE("#Metadata!", ADDRESS(INDEX($Q$2:$Q$1001,MATCH(ROWS($O$2:O406),$O$2:$O$1001,0),0), INDEX($V$1004:$AE$1004,1,MATCH(COLUMNS($V$1006:V1006),$V$1006:$AE$1006,0)))),"Fix")))</f>
        <v>0</v>
      </c>
      <c r="C406" s="3">
        <f>IF(OR(INDEX($P$2:$P$1001,MATCH(ROWS($O$2:O406),$O$2:$O$1001,0),1)&gt;=100000,INDEX($V$1005:$AE$1005,1,MATCH(COLUMNS($V$1006:W1006),$V$1006:$AE$1006,0))&gt;=100000), " ",IF(INDEX($V$2:$AE$1001,MATCH(ROWS($O$2:O406),$O$2:$O$1001,0),MATCH(COLUMNS($V$1006:W1006),$V$1006:$AE$1006,0)), HYPERLINK("#",""), HYPERLINK(CONCATENATE("#Metadata!", ADDRESS(INDEX($Q$2:$Q$1001,MATCH(ROWS($O$2:O406),$O$2:$O$1001,0),0), INDEX($V$1004:$AE$1004,1,MATCH(COLUMNS($V$1006:W1006),$V$1006:$AE$1006,0)))),"Fix")))</f>
        <v>0</v>
      </c>
      <c r="D406" s="3">
        <f>IF(OR(INDEX($P$2:$P$1001,MATCH(ROWS($O$2:O406),$O$2:$O$1001,0),1)&gt;=100000,INDEX($V$1005:$AE$1005,1,MATCH(COLUMNS($V$1006:X1006),$V$1006:$AE$1006,0))&gt;=100000), " ",IF(INDEX($V$2:$AE$1001,MATCH(ROWS($O$2:O406),$O$2:$O$1001,0),MATCH(COLUMNS($V$1006:X1006),$V$1006:$AE$1006,0)), HYPERLINK("#",""), HYPERLINK(CONCATENATE("#Metadata!", ADDRESS(INDEX($Q$2:$Q$1001,MATCH(ROWS($O$2:O406),$O$2:$O$1001,0),0), INDEX($V$1004:$AE$1004,1,MATCH(COLUMNS($V$1006:X1006),$V$1006:$AE$1006,0)))),"Fix")))</f>
        <v>0</v>
      </c>
      <c r="E406" s="3">
        <f>IF(OR(INDEX($P$2:$P$1001,MATCH(ROWS($O$2:O406),$O$2:$O$1001,0),1)&gt;=100000,INDEX($V$1005:$AE$1005,1,MATCH(COLUMNS($V$1006:Y1006),$V$1006:$AE$1006,0))&gt;=100000), " ",IF(INDEX($V$2:$AE$1001,MATCH(ROWS($O$2:O406),$O$2:$O$1001,0),MATCH(COLUMNS($V$1006:Y1006),$V$1006:$AE$1006,0)), HYPERLINK("#",""), HYPERLINK(CONCATENATE("#Metadata!", ADDRESS(INDEX($Q$2:$Q$1001,MATCH(ROWS($O$2:O406),$O$2:$O$1001,0),0), INDEX($V$1004:$AE$1004,1,MATCH(COLUMNS($V$1006:Y1006),$V$1006:$AE$1006,0)))),"Fix")))</f>
        <v>0</v>
      </c>
      <c r="F406" s="3">
        <f>IF(OR(INDEX($P$2:$P$1001,MATCH(ROWS($O$2:O406),$O$2:$O$1001,0),1)&gt;=100000,INDEX($V$1005:$AE$1005,1,MATCH(COLUMNS($V$1006:Z1006),$V$1006:$AE$1006,0))&gt;=100000), " ",IF(INDEX($V$2:$AE$1001,MATCH(ROWS($O$2:O406),$O$2:$O$1001,0),MATCH(COLUMNS($V$1006:Z1006),$V$1006:$AE$1006,0)), HYPERLINK("#",""), HYPERLINK(CONCATENATE("#Metadata!", ADDRESS(INDEX($Q$2:$Q$1001,MATCH(ROWS($O$2:O406),$O$2:$O$1001,0),0), INDEX($V$1004:$AE$1004,1,MATCH(COLUMNS($V$1006:Z1006),$V$1006:$AE$1006,0)))),"Fix")))</f>
        <v>0</v>
      </c>
      <c r="G406" s="3">
        <f>IF(OR(INDEX($P$2:$P$1001,MATCH(ROWS($O$2:O406),$O$2:$O$1001,0),1)&gt;=100000,INDEX($V$1005:$AE$1005,1,MATCH(COLUMNS($V$1006:AA1006),$V$1006:$AE$1006,0))&gt;=100000), " ",IF(INDEX($V$2:$AE$1001,MATCH(ROWS($O$2:O406),$O$2:$O$1001,0),MATCH(COLUMNS($V$1006:AA1006),$V$1006:$AE$1006,0)), HYPERLINK("#",""), HYPERLINK(CONCATENATE("#Metadata!", ADDRESS(INDEX($Q$2:$Q$1001,MATCH(ROWS($O$2:O406),$O$2:$O$1001,0),0), INDEX($V$1004:$AE$1004,1,MATCH(COLUMNS($V$1006:AA1006),$V$1006:$AE$1006,0)))),"Fix")))</f>
        <v>0</v>
      </c>
      <c r="H406" s="3">
        <f>IF(OR(INDEX($P$2:$P$1001,MATCH(ROWS($O$2:O406),$O$2:$O$1001,0),1)&gt;=100000,INDEX($V$1005:$AE$1005,1,MATCH(COLUMNS($V$1006:AB1006),$V$1006:$AE$1006,0))&gt;=100000), " ",IF(INDEX($V$2:$AE$1001,MATCH(ROWS($O$2:O406),$O$2:$O$1001,0),MATCH(COLUMNS($V$1006:AB1006),$V$1006:$AE$1006,0)), HYPERLINK("#",""), HYPERLINK(CONCATENATE("#Metadata!", ADDRESS(INDEX($Q$2:$Q$1001,MATCH(ROWS($O$2:O406),$O$2:$O$1001,0),0), INDEX($V$1004:$AE$1004,1,MATCH(COLUMNS($V$1006:AB1006),$V$1006:$AE$1006,0)))),"Fix")))</f>
        <v>0</v>
      </c>
      <c r="I406" s="3">
        <f>IF(OR(INDEX($P$2:$P$1001,MATCH(ROWS($O$2:O406),$O$2:$O$1001,0),1)&gt;=100000,INDEX($V$1005:$AE$1005,1,MATCH(COLUMNS($V$1006:AC1006),$V$1006:$AE$1006,0))&gt;=100000), " ",IF(INDEX($V$2:$AE$1001,MATCH(ROWS($O$2:O406),$O$2:$O$1001,0),MATCH(COLUMNS($V$1006:AC1006),$V$1006:$AE$1006,0)), HYPERLINK("#",""), HYPERLINK(CONCATENATE("#Metadata!", ADDRESS(INDEX($Q$2:$Q$1001,MATCH(ROWS($O$2:O406),$O$2:$O$1001,0),0), INDEX($V$1004:$AE$1004,1,MATCH(COLUMNS($V$1006:AC1006),$V$1006:$AE$1006,0)))),"Fix")))</f>
        <v>0</v>
      </c>
      <c r="J406" s="3">
        <f>IF(OR(INDEX($P$2:$P$1001,MATCH(ROWS($O$2:O406),$O$2:$O$1001,0),1)&gt;=100000,INDEX($V$1005:$AE$1005,1,MATCH(COLUMNS($V$1006:AD1006),$V$1006:$AE$1006,0))&gt;=100000), " ",IF(INDEX($V$2:$AE$1001,MATCH(ROWS($O$2:O406),$O$2:$O$1001,0),MATCH(COLUMNS($V$1006:AD1006),$V$1006:$AE$1006,0)), HYPERLINK("#",""), HYPERLINK(CONCATENATE("#Metadata!", ADDRESS(INDEX($Q$2:$Q$1001,MATCH(ROWS($O$2:O406),$O$2:$O$1001,0),0), INDEX($V$1004:$AE$1004,1,MATCH(COLUMNS($V$1006:AD1006),$V$1006:$AE$1006,0)))),"Fix")))</f>
        <v>0</v>
      </c>
      <c r="K406" s="3">
        <f>IF(OR(INDEX($P$2:$P$1001,MATCH(ROWS($O$2:O406),$O$2:$O$1001,0),1)&gt;=100000,INDEX($V$1005:$AE$1005,1,MATCH(COLUMNS($V$1006:AE1006),$V$1006:$AE$1006,0))&gt;=100000), " ",IF(INDEX($V$2:$AE$1001,MATCH(ROWS($O$2:O406),$O$2:$O$1001,0),MATCH(COLUMNS($V$1006:AE1006),$V$1006:$AE$1006,0)), HYPERLINK("#",""), HYPERLINK(CONCATENATE("#Metadata!", ADDRESS(INDEX($Q$2:$Q$1001,MATCH(ROWS($O$2:O406),$O$2:$O$1001,0),0), INDEX($V$1004:$AE$1004,1,MATCH(COLUMNS($V$1006:AE1006),$V$1006:$AE$1006,0)))),"Fix")))</f>
        <v>0</v>
      </c>
      <c r="O406">
        <v>0</v>
      </c>
      <c r="P406">
        <v>0</v>
      </c>
      <c r="Q406">
        <v>0</v>
      </c>
      <c r="R406">
        <f>IF(S406,TRUE,AND(V406:AE406))</f>
        <v>0</v>
      </c>
      <c r="S406">
        <f>COUNTBLANK(Metadata!B406:K406)=COLUMNS(Metadata!B406:K406)</f>
        <v>0</v>
      </c>
      <c r="T406">
        <v>0</v>
      </c>
      <c r="V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W406">
        <f>AND(IF(Metadata!C406="",FALSE,TRUE),exact(Metadata!C406,"animal secretion"))</f>
        <v>0</v>
      </c>
      <c r="X406">
        <f>AND(IF(Metadata!D406="",FALSE,TRUE),exact(Metadata!D406,"saliva"))</f>
        <v>0</v>
      </c>
      <c r="Y406">
        <f>AND(IF(Metadata!E406="",FALSE,TRUE),exact(Metadata!E406,"human-oral"))</f>
        <v>0</v>
      </c>
      <c r="Z406">
        <f>AND(IF(Metadata!F406="",FALSE,TRUE),exact(Metadata!F406,"UBERON:oral cavity"))</f>
        <v>0</v>
      </c>
      <c r="AA406">
        <f>AND(IF(Metadata!G406="",FALSE,TRUE),exact(Metadata!G406,"UBERON:saliva"))</f>
        <v>0</v>
      </c>
      <c r="AB406">
        <f>AND(IF(Metadata!H406="",FALSE,TRUE),exact(Metadata!H406,"UBERON:tongue"))</f>
        <v>0</v>
      </c>
      <c r="AC406">
        <f>AND(IF(Metadata!I406="",FALSE,TRUE),exact(Metadata!I406,"tongue"))</f>
        <v>0</v>
      </c>
      <c r="AD406">
        <f>AND(IF(Metadata!J406="",FALSE,TRUE),exact(Metadata!J406,"human oral metagenome"))</f>
        <v>0</v>
      </c>
      <c r="AE406">
        <f>AND(IF(Metadata!K406="",FALSE,TRUE),exact(Metadata!K406,"447426"))</f>
        <v>0</v>
      </c>
    </row>
    <row r="407" spans="1:31">
      <c r="A407" s="4">
        <f>IF(B407=" "," ",HYPERLINK(CONCATENATE("#metadata!",ADDRESS(INDEX($Q$2:$Q$1001,MATCH(ROWS($O$2:O407),$O$2:$O$1001,0),0),1)),INDEX($T$2:$T$1001,MATCH(ROWS($O$2:O407),$O$2:$O$1001,0),0)))</f>
        <v>0</v>
      </c>
      <c r="B407" s="3">
        <f>IF(OR(INDEX($P$2:$P$1001,MATCH(ROWS($O$2:O407),$O$2:$O$1001,0),1)&gt;=100000,INDEX($V$1005:$AE$1005,1,MATCH(COLUMNS($V$1006:V1006),$V$1006:$AE$1006,0))&gt;=100000), " ",IF(INDEX($V$2:$AE$1001,MATCH(ROWS($O$2:O407),$O$2:$O$1001,0),MATCH(COLUMNS($V$1006:V1006),$V$1006:$AE$1006,0)), HYPERLINK("#",""), HYPERLINK(CONCATENATE("#Metadata!", ADDRESS(INDEX($Q$2:$Q$1001,MATCH(ROWS($O$2:O407),$O$2:$O$1001,0),0), INDEX($V$1004:$AE$1004,1,MATCH(COLUMNS($V$1006:V1006),$V$1006:$AE$1006,0)))),"Fix")))</f>
        <v>0</v>
      </c>
      <c r="C407" s="3">
        <f>IF(OR(INDEX($P$2:$P$1001,MATCH(ROWS($O$2:O407),$O$2:$O$1001,0),1)&gt;=100000,INDEX($V$1005:$AE$1005,1,MATCH(COLUMNS($V$1006:W1006),$V$1006:$AE$1006,0))&gt;=100000), " ",IF(INDEX($V$2:$AE$1001,MATCH(ROWS($O$2:O407),$O$2:$O$1001,0),MATCH(COLUMNS($V$1006:W1006),$V$1006:$AE$1006,0)), HYPERLINK("#",""), HYPERLINK(CONCATENATE("#Metadata!", ADDRESS(INDEX($Q$2:$Q$1001,MATCH(ROWS($O$2:O407),$O$2:$O$1001,0),0), INDEX($V$1004:$AE$1004,1,MATCH(COLUMNS($V$1006:W1006),$V$1006:$AE$1006,0)))),"Fix")))</f>
        <v>0</v>
      </c>
      <c r="D407" s="3">
        <f>IF(OR(INDEX($P$2:$P$1001,MATCH(ROWS($O$2:O407),$O$2:$O$1001,0),1)&gt;=100000,INDEX($V$1005:$AE$1005,1,MATCH(COLUMNS($V$1006:X1006),$V$1006:$AE$1006,0))&gt;=100000), " ",IF(INDEX($V$2:$AE$1001,MATCH(ROWS($O$2:O407),$O$2:$O$1001,0),MATCH(COLUMNS($V$1006:X1006),$V$1006:$AE$1006,0)), HYPERLINK("#",""), HYPERLINK(CONCATENATE("#Metadata!", ADDRESS(INDEX($Q$2:$Q$1001,MATCH(ROWS($O$2:O407),$O$2:$O$1001,0),0), INDEX($V$1004:$AE$1004,1,MATCH(COLUMNS($V$1006:X1006),$V$1006:$AE$1006,0)))),"Fix")))</f>
        <v>0</v>
      </c>
      <c r="E407" s="3">
        <f>IF(OR(INDEX($P$2:$P$1001,MATCH(ROWS($O$2:O407),$O$2:$O$1001,0),1)&gt;=100000,INDEX($V$1005:$AE$1005,1,MATCH(COLUMNS($V$1006:Y1006),$V$1006:$AE$1006,0))&gt;=100000), " ",IF(INDEX($V$2:$AE$1001,MATCH(ROWS($O$2:O407),$O$2:$O$1001,0),MATCH(COLUMNS($V$1006:Y1006),$V$1006:$AE$1006,0)), HYPERLINK("#",""), HYPERLINK(CONCATENATE("#Metadata!", ADDRESS(INDEX($Q$2:$Q$1001,MATCH(ROWS($O$2:O407),$O$2:$O$1001,0),0), INDEX($V$1004:$AE$1004,1,MATCH(COLUMNS($V$1006:Y1006),$V$1006:$AE$1006,0)))),"Fix")))</f>
        <v>0</v>
      </c>
      <c r="F407" s="3">
        <f>IF(OR(INDEX($P$2:$P$1001,MATCH(ROWS($O$2:O407),$O$2:$O$1001,0),1)&gt;=100000,INDEX($V$1005:$AE$1005,1,MATCH(COLUMNS($V$1006:Z1006),$V$1006:$AE$1006,0))&gt;=100000), " ",IF(INDEX($V$2:$AE$1001,MATCH(ROWS($O$2:O407),$O$2:$O$1001,0),MATCH(COLUMNS($V$1006:Z1006),$V$1006:$AE$1006,0)), HYPERLINK("#",""), HYPERLINK(CONCATENATE("#Metadata!", ADDRESS(INDEX($Q$2:$Q$1001,MATCH(ROWS($O$2:O407),$O$2:$O$1001,0),0), INDEX($V$1004:$AE$1004,1,MATCH(COLUMNS($V$1006:Z1006),$V$1006:$AE$1006,0)))),"Fix")))</f>
        <v>0</v>
      </c>
      <c r="G407" s="3">
        <f>IF(OR(INDEX($P$2:$P$1001,MATCH(ROWS($O$2:O407),$O$2:$O$1001,0),1)&gt;=100000,INDEX($V$1005:$AE$1005,1,MATCH(COLUMNS($V$1006:AA1006),$V$1006:$AE$1006,0))&gt;=100000), " ",IF(INDEX($V$2:$AE$1001,MATCH(ROWS($O$2:O407),$O$2:$O$1001,0),MATCH(COLUMNS($V$1006:AA1006),$V$1006:$AE$1006,0)), HYPERLINK("#",""), HYPERLINK(CONCATENATE("#Metadata!", ADDRESS(INDEX($Q$2:$Q$1001,MATCH(ROWS($O$2:O407),$O$2:$O$1001,0),0), INDEX($V$1004:$AE$1004,1,MATCH(COLUMNS($V$1006:AA1006),$V$1006:$AE$1006,0)))),"Fix")))</f>
        <v>0</v>
      </c>
      <c r="H407" s="3">
        <f>IF(OR(INDEX($P$2:$P$1001,MATCH(ROWS($O$2:O407),$O$2:$O$1001,0),1)&gt;=100000,INDEX($V$1005:$AE$1005,1,MATCH(COLUMNS($V$1006:AB1006),$V$1006:$AE$1006,0))&gt;=100000), " ",IF(INDEX($V$2:$AE$1001,MATCH(ROWS($O$2:O407),$O$2:$O$1001,0),MATCH(COLUMNS($V$1006:AB1006),$V$1006:$AE$1006,0)), HYPERLINK("#",""), HYPERLINK(CONCATENATE("#Metadata!", ADDRESS(INDEX($Q$2:$Q$1001,MATCH(ROWS($O$2:O407),$O$2:$O$1001,0),0), INDEX($V$1004:$AE$1004,1,MATCH(COLUMNS($V$1006:AB1006),$V$1006:$AE$1006,0)))),"Fix")))</f>
        <v>0</v>
      </c>
      <c r="I407" s="3">
        <f>IF(OR(INDEX($P$2:$P$1001,MATCH(ROWS($O$2:O407),$O$2:$O$1001,0),1)&gt;=100000,INDEX($V$1005:$AE$1005,1,MATCH(COLUMNS($V$1006:AC1006),$V$1006:$AE$1006,0))&gt;=100000), " ",IF(INDEX($V$2:$AE$1001,MATCH(ROWS($O$2:O407),$O$2:$O$1001,0),MATCH(COLUMNS($V$1006:AC1006),$V$1006:$AE$1006,0)), HYPERLINK("#",""), HYPERLINK(CONCATENATE("#Metadata!", ADDRESS(INDEX($Q$2:$Q$1001,MATCH(ROWS($O$2:O407),$O$2:$O$1001,0),0), INDEX($V$1004:$AE$1004,1,MATCH(COLUMNS($V$1006:AC1006),$V$1006:$AE$1006,0)))),"Fix")))</f>
        <v>0</v>
      </c>
      <c r="J407" s="3">
        <f>IF(OR(INDEX($P$2:$P$1001,MATCH(ROWS($O$2:O407),$O$2:$O$1001,0),1)&gt;=100000,INDEX($V$1005:$AE$1005,1,MATCH(COLUMNS($V$1006:AD1006),$V$1006:$AE$1006,0))&gt;=100000), " ",IF(INDEX($V$2:$AE$1001,MATCH(ROWS($O$2:O407),$O$2:$O$1001,0),MATCH(COLUMNS($V$1006:AD1006),$V$1006:$AE$1006,0)), HYPERLINK("#",""), HYPERLINK(CONCATENATE("#Metadata!", ADDRESS(INDEX($Q$2:$Q$1001,MATCH(ROWS($O$2:O407),$O$2:$O$1001,0),0), INDEX($V$1004:$AE$1004,1,MATCH(COLUMNS($V$1006:AD1006),$V$1006:$AE$1006,0)))),"Fix")))</f>
        <v>0</v>
      </c>
      <c r="K407" s="3">
        <f>IF(OR(INDEX($P$2:$P$1001,MATCH(ROWS($O$2:O407),$O$2:$O$1001,0),1)&gt;=100000,INDEX($V$1005:$AE$1005,1,MATCH(COLUMNS($V$1006:AE1006),$V$1006:$AE$1006,0))&gt;=100000), " ",IF(INDEX($V$2:$AE$1001,MATCH(ROWS($O$2:O407),$O$2:$O$1001,0),MATCH(COLUMNS($V$1006:AE1006),$V$1006:$AE$1006,0)), HYPERLINK("#",""), HYPERLINK(CONCATENATE("#Metadata!", ADDRESS(INDEX($Q$2:$Q$1001,MATCH(ROWS($O$2:O407),$O$2:$O$1001,0),0), INDEX($V$1004:$AE$1004,1,MATCH(COLUMNS($V$1006:AE1006),$V$1006:$AE$1006,0)))),"Fix")))</f>
        <v>0</v>
      </c>
      <c r="O407">
        <v>0</v>
      </c>
      <c r="P407">
        <v>0</v>
      </c>
      <c r="Q407">
        <v>0</v>
      </c>
      <c r="R407">
        <f>IF(S407,TRUE,AND(V407:AE407))</f>
        <v>0</v>
      </c>
      <c r="S407">
        <f>COUNTBLANK(Metadata!B407:K407)=COLUMNS(Metadata!B407:K407)</f>
        <v>0</v>
      </c>
      <c r="T407">
        <v>0</v>
      </c>
      <c r="V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W407">
        <f>AND(IF(Metadata!C407="",FALSE,TRUE),exact(Metadata!C407,"animal secretion"))</f>
        <v>0</v>
      </c>
      <c r="X407">
        <f>AND(IF(Metadata!D407="",FALSE,TRUE),exact(Metadata!D407,"saliva"))</f>
        <v>0</v>
      </c>
      <c r="Y407">
        <f>AND(IF(Metadata!E407="",FALSE,TRUE),exact(Metadata!E407,"human-oral"))</f>
        <v>0</v>
      </c>
      <c r="Z407">
        <f>AND(IF(Metadata!F407="",FALSE,TRUE),exact(Metadata!F407,"UBERON:oral cavity"))</f>
        <v>0</v>
      </c>
      <c r="AA407">
        <f>AND(IF(Metadata!G407="",FALSE,TRUE),exact(Metadata!G407,"UBERON:saliva"))</f>
        <v>0</v>
      </c>
      <c r="AB407">
        <f>AND(IF(Metadata!H407="",FALSE,TRUE),exact(Metadata!H407,"UBERON:tongue"))</f>
        <v>0</v>
      </c>
      <c r="AC407">
        <f>AND(IF(Metadata!I407="",FALSE,TRUE),exact(Metadata!I407,"tongue"))</f>
        <v>0</v>
      </c>
      <c r="AD407">
        <f>AND(IF(Metadata!J407="",FALSE,TRUE),exact(Metadata!J407,"human oral metagenome"))</f>
        <v>0</v>
      </c>
      <c r="AE407">
        <f>AND(IF(Metadata!K407="",FALSE,TRUE),exact(Metadata!K407,"447426"))</f>
        <v>0</v>
      </c>
    </row>
    <row r="408" spans="1:31">
      <c r="A408" s="4">
        <f>IF(B408=" "," ",HYPERLINK(CONCATENATE("#metadata!",ADDRESS(INDEX($Q$2:$Q$1001,MATCH(ROWS($O$2:O408),$O$2:$O$1001,0),0),1)),INDEX($T$2:$T$1001,MATCH(ROWS($O$2:O408),$O$2:$O$1001,0),0)))</f>
        <v>0</v>
      </c>
      <c r="B408" s="3">
        <f>IF(OR(INDEX($P$2:$P$1001,MATCH(ROWS($O$2:O408),$O$2:$O$1001,0),1)&gt;=100000,INDEX($V$1005:$AE$1005,1,MATCH(COLUMNS($V$1006:V1006),$V$1006:$AE$1006,0))&gt;=100000), " ",IF(INDEX($V$2:$AE$1001,MATCH(ROWS($O$2:O408),$O$2:$O$1001,0),MATCH(COLUMNS($V$1006:V1006),$V$1006:$AE$1006,0)), HYPERLINK("#",""), HYPERLINK(CONCATENATE("#Metadata!", ADDRESS(INDEX($Q$2:$Q$1001,MATCH(ROWS($O$2:O408),$O$2:$O$1001,0),0), INDEX($V$1004:$AE$1004,1,MATCH(COLUMNS($V$1006:V1006),$V$1006:$AE$1006,0)))),"Fix")))</f>
        <v>0</v>
      </c>
      <c r="C408" s="3">
        <f>IF(OR(INDEX($P$2:$P$1001,MATCH(ROWS($O$2:O408),$O$2:$O$1001,0),1)&gt;=100000,INDEX($V$1005:$AE$1005,1,MATCH(COLUMNS($V$1006:W1006),$V$1006:$AE$1006,0))&gt;=100000), " ",IF(INDEX($V$2:$AE$1001,MATCH(ROWS($O$2:O408),$O$2:$O$1001,0),MATCH(COLUMNS($V$1006:W1006),$V$1006:$AE$1006,0)), HYPERLINK("#",""), HYPERLINK(CONCATENATE("#Metadata!", ADDRESS(INDEX($Q$2:$Q$1001,MATCH(ROWS($O$2:O408),$O$2:$O$1001,0),0), INDEX($V$1004:$AE$1004,1,MATCH(COLUMNS($V$1006:W1006),$V$1006:$AE$1006,0)))),"Fix")))</f>
        <v>0</v>
      </c>
      <c r="D408" s="3">
        <f>IF(OR(INDEX($P$2:$P$1001,MATCH(ROWS($O$2:O408),$O$2:$O$1001,0),1)&gt;=100000,INDEX($V$1005:$AE$1005,1,MATCH(COLUMNS($V$1006:X1006),$V$1006:$AE$1006,0))&gt;=100000), " ",IF(INDEX($V$2:$AE$1001,MATCH(ROWS($O$2:O408),$O$2:$O$1001,0),MATCH(COLUMNS($V$1006:X1006),$V$1006:$AE$1006,0)), HYPERLINK("#",""), HYPERLINK(CONCATENATE("#Metadata!", ADDRESS(INDEX($Q$2:$Q$1001,MATCH(ROWS($O$2:O408),$O$2:$O$1001,0),0), INDEX($V$1004:$AE$1004,1,MATCH(COLUMNS($V$1006:X1006),$V$1006:$AE$1006,0)))),"Fix")))</f>
        <v>0</v>
      </c>
      <c r="E408" s="3">
        <f>IF(OR(INDEX($P$2:$P$1001,MATCH(ROWS($O$2:O408),$O$2:$O$1001,0),1)&gt;=100000,INDEX($V$1005:$AE$1005,1,MATCH(COLUMNS($V$1006:Y1006),$V$1006:$AE$1006,0))&gt;=100000), " ",IF(INDEX($V$2:$AE$1001,MATCH(ROWS($O$2:O408),$O$2:$O$1001,0),MATCH(COLUMNS($V$1006:Y1006),$V$1006:$AE$1006,0)), HYPERLINK("#",""), HYPERLINK(CONCATENATE("#Metadata!", ADDRESS(INDEX($Q$2:$Q$1001,MATCH(ROWS($O$2:O408),$O$2:$O$1001,0),0), INDEX($V$1004:$AE$1004,1,MATCH(COLUMNS($V$1006:Y1006),$V$1006:$AE$1006,0)))),"Fix")))</f>
        <v>0</v>
      </c>
      <c r="F408" s="3">
        <f>IF(OR(INDEX($P$2:$P$1001,MATCH(ROWS($O$2:O408),$O$2:$O$1001,0),1)&gt;=100000,INDEX($V$1005:$AE$1005,1,MATCH(COLUMNS($V$1006:Z1006),$V$1006:$AE$1006,0))&gt;=100000), " ",IF(INDEX($V$2:$AE$1001,MATCH(ROWS($O$2:O408),$O$2:$O$1001,0),MATCH(COLUMNS($V$1006:Z1006),$V$1006:$AE$1006,0)), HYPERLINK("#",""), HYPERLINK(CONCATENATE("#Metadata!", ADDRESS(INDEX($Q$2:$Q$1001,MATCH(ROWS($O$2:O408),$O$2:$O$1001,0),0), INDEX($V$1004:$AE$1004,1,MATCH(COLUMNS($V$1006:Z1006),$V$1006:$AE$1006,0)))),"Fix")))</f>
        <v>0</v>
      </c>
      <c r="G408" s="3">
        <f>IF(OR(INDEX($P$2:$P$1001,MATCH(ROWS($O$2:O408),$O$2:$O$1001,0),1)&gt;=100000,INDEX($V$1005:$AE$1005,1,MATCH(COLUMNS($V$1006:AA1006),$V$1006:$AE$1006,0))&gt;=100000), " ",IF(INDEX($V$2:$AE$1001,MATCH(ROWS($O$2:O408),$O$2:$O$1001,0),MATCH(COLUMNS($V$1006:AA1006),$V$1006:$AE$1006,0)), HYPERLINK("#",""), HYPERLINK(CONCATENATE("#Metadata!", ADDRESS(INDEX($Q$2:$Q$1001,MATCH(ROWS($O$2:O408),$O$2:$O$1001,0),0), INDEX($V$1004:$AE$1004,1,MATCH(COLUMNS($V$1006:AA1006),$V$1006:$AE$1006,0)))),"Fix")))</f>
        <v>0</v>
      </c>
      <c r="H408" s="3">
        <f>IF(OR(INDEX($P$2:$P$1001,MATCH(ROWS($O$2:O408),$O$2:$O$1001,0),1)&gt;=100000,INDEX($V$1005:$AE$1005,1,MATCH(COLUMNS($V$1006:AB1006),$V$1006:$AE$1006,0))&gt;=100000), " ",IF(INDEX($V$2:$AE$1001,MATCH(ROWS($O$2:O408),$O$2:$O$1001,0),MATCH(COLUMNS($V$1006:AB1006),$V$1006:$AE$1006,0)), HYPERLINK("#",""), HYPERLINK(CONCATENATE("#Metadata!", ADDRESS(INDEX($Q$2:$Q$1001,MATCH(ROWS($O$2:O408),$O$2:$O$1001,0),0), INDEX($V$1004:$AE$1004,1,MATCH(COLUMNS($V$1006:AB1006),$V$1006:$AE$1006,0)))),"Fix")))</f>
        <v>0</v>
      </c>
      <c r="I408" s="3">
        <f>IF(OR(INDEX($P$2:$P$1001,MATCH(ROWS($O$2:O408),$O$2:$O$1001,0),1)&gt;=100000,INDEX($V$1005:$AE$1005,1,MATCH(COLUMNS($V$1006:AC1006),$V$1006:$AE$1006,0))&gt;=100000), " ",IF(INDEX($V$2:$AE$1001,MATCH(ROWS($O$2:O408),$O$2:$O$1001,0),MATCH(COLUMNS($V$1006:AC1006),$V$1006:$AE$1006,0)), HYPERLINK("#",""), HYPERLINK(CONCATENATE("#Metadata!", ADDRESS(INDEX($Q$2:$Q$1001,MATCH(ROWS($O$2:O408),$O$2:$O$1001,0),0), INDEX($V$1004:$AE$1004,1,MATCH(COLUMNS($V$1006:AC1006),$V$1006:$AE$1006,0)))),"Fix")))</f>
        <v>0</v>
      </c>
      <c r="J408" s="3">
        <f>IF(OR(INDEX($P$2:$P$1001,MATCH(ROWS($O$2:O408),$O$2:$O$1001,0),1)&gt;=100000,INDEX($V$1005:$AE$1005,1,MATCH(COLUMNS($V$1006:AD1006),$V$1006:$AE$1006,0))&gt;=100000), " ",IF(INDEX($V$2:$AE$1001,MATCH(ROWS($O$2:O408),$O$2:$O$1001,0),MATCH(COLUMNS($V$1006:AD1006),$V$1006:$AE$1006,0)), HYPERLINK("#",""), HYPERLINK(CONCATENATE("#Metadata!", ADDRESS(INDEX($Q$2:$Q$1001,MATCH(ROWS($O$2:O408),$O$2:$O$1001,0),0), INDEX($V$1004:$AE$1004,1,MATCH(COLUMNS($V$1006:AD1006),$V$1006:$AE$1006,0)))),"Fix")))</f>
        <v>0</v>
      </c>
      <c r="K408" s="3">
        <f>IF(OR(INDEX($P$2:$P$1001,MATCH(ROWS($O$2:O408),$O$2:$O$1001,0),1)&gt;=100000,INDEX($V$1005:$AE$1005,1,MATCH(COLUMNS($V$1006:AE1006),$V$1006:$AE$1006,0))&gt;=100000), " ",IF(INDEX($V$2:$AE$1001,MATCH(ROWS($O$2:O408),$O$2:$O$1001,0),MATCH(COLUMNS($V$1006:AE1006),$V$1006:$AE$1006,0)), HYPERLINK("#",""), HYPERLINK(CONCATENATE("#Metadata!", ADDRESS(INDEX($Q$2:$Q$1001,MATCH(ROWS($O$2:O408),$O$2:$O$1001,0),0), INDEX($V$1004:$AE$1004,1,MATCH(COLUMNS($V$1006:AE1006),$V$1006:$AE$1006,0)))),"Fix")))</f>
        <v>0</v>
      </c>
      <c r="O408">
        <v>0</v>
      </c>
      <c r="P408">
        <v>0</v>
      </c>
      <c r="Q408">
        <v>0</v>
      </c>
      <c r="R408">
        <f>IF(S408,TRUE,AND(V408:AE408))</f>
        <v>0</v>
      </c>
      <c r="S408">
        <f>COUNTBLANK(Metadata!B408:K408)=COLUMNS(Metadata!B408:K408)</f>
        <v>0</v>
      </c>
      <c r="T408">
        <v>0</v>
      </c>
      <c r="V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W408">
        <f>AND(IF(Metadata!C408="",FALSE,TRUE),exact(Metadata!C408,"animal secretion"))</f>
        <v>0</v>
      </c>
      <c r="X408">
        <f>AND(IF(Metadata!D408="",FALSE,TRUE),exact(Metadata!D408,"saliva"))</f>
        <v>0</v>
      </c>
      <c r="Y408">
        <f>AND(IF(Metadata!E408="",FALSE,TRUE),exact(Metadata!E408,"human-oral"))</f>
        <v>0</v>
      </c>
      <c r="Z408">
        <f>AND(IF(Metadata!F408="",FALSE,TRUE),exact(Metadata!F408,"UBERON:oral cavity"))</f>
        <v>0</v>
      </c>
      <c r="AA408">
        <f>AND(IF(Metadata!G408="",FALSE,TRUE),exact(Metadata!G408,"UBERON:saliva"))</f>
        <v>0</v>
      </c>
      <c r="AB408">
        <f>AND(IF(Metadata!H408="",FALSE,TRUE),exact(Metadata!H408,"UBERON:tongue"))</f>
        <v>0</v>
      </c>
      <c r="AC408">
        <f>AND(IF(Metadata!I408="",FALSE,TRUE),exact(Metadata!I408,"tongue"))</f>
        <v>0</v>
      </c>
      <c r="AD408">
        <f>AND(IF(Metadata!J408="",FALSE,TRUE),exact(Metadata!J408,"human oral metagenome"))</f>
        <v>0</v>
      </c>
      <c r="AE408">
        <f>AND(IF(Metadata!K408="",FALSE,TRUE),exact(Metadata!K408,"447426"))</f>
        <v>0</v>
      </c>
    </row>
    <row r="409" spans="1:31">
      <c r="A409" s="4">
        <f>IF(B409=" "," ",HYPERLINK(CONCATENATE("#metadata!",ADDRESS(INDEX($Q$2:$Q$1001,MATCH(ROWS($O$2:O409),$O$2:$O$1001,0),0),1)),INDEX($T$2:$T$1001,MATCH(ROWS($O$2:O409),$O$2:$O$1001,0),0)))</f>
        <v>0</v>
      </c>
      <c r="B409" s="3">
        <f>IF(OR(INDEX($P$2:$P$1001,MATCH(ROWS($O$2:O409),$O$2:$O$1001,0),1)&gt;=100000,INDEX($V$1005:$AE$1005,1,MATCH(COLUMNS($V$1006:V1006),$V$1006:$AE$1006,0))&gt;=100000), " ",IF(INDEX($V$2:$AE$1001,MATCH(ROWS($O$2:O409),$O$2:$O$1001,0),MATCH(COLUMNS($V$1006:V1006),$V$1006:$AE$1006,0)), HYPERLINK("#",""), HYPERLINK(CONCATENATE("#Metadata!", ADDRESS(INDEX($Q$2:$Q$1001,MATCH(ROWS($O$2:O409),$O$2:$O$1001,0),0), INDEX($V$1004:$AE$1004,1,MATCH(COLUMNS($V$1006:V1006),$V$1006:$AE$1006,0)))),"Fix")))</f>
        <v>0</v>
      </c>
      <c r="C409" s="3">
        <f>IF(OR(INDEX($P$2:$P$1001,MATCH(ROWS($O$2:O409),$O$2:$O$1001,0),1)&gt;=100000,INDEX($V$1005:$AE$1005,1,MATCH(COLUMNS($V$1006:W1006),$V$1006:$AE$1006,0))&gt;=100000), " ",IF(INDEX($V$2:$AE$1001,MATCH(ROWS($O$2:O409),$O$2:$O$1001,0),MATCH(COLUMNS($V$1006:W1006),$V$1006:$AE$1006,0)), HYPERLINK("#",""), HYPERLINK(CONCATENATE("#Metadata!", ADDRESS(INDEX($Q$2:$Q$1001,MATCH(ROWS($O$2:O409),$O$2:$O$1001,0),0), INDEX($V$1004:$AE$1004,1,MATCH(COLUMNS($V$1006:W1006),$V$1006:$AE$1006,0)))),"Fix")))</f>
        <v>0</v>
      </c>
      <c r="D409" s="3">
        <f>IF(OR(INDEX($P$2:$P$1001,MATCH(ROWS($O$2:O409),$O$2:$O$1001,0),1)&gt;=100000,INDEX($V$1005:$AE$1005,1,MATCH(COLUMNS($V$1006:X1006),$V$1006:$AE$1006,0))&gt;=100000), " ",IF(INDEX($V$2:$AE$1001,MATCH(ROWS($O$2:O409),$O$2:$O$1001,0),MATCH(COLUMNS($V$1006:X1006),$V$1006:$AE$1006,0)), HYPERLINK("#",""), HYPERLINK(CONCATENATE("#Metadata!", ADDRESS(INDEX($Q$2:$Q$1001,MATCH(ROWS($O$2:O409),$O$2:$O$1001,0),0), INDEX($V$1004:$AE$1004,1,MATCH(COLUMNS($V$1006:X1006),$V$1006:$AE$1006,0)))),"Fix")))</f>
        <v>0</v>
      </c>
      <c r="E409" s="3">
        <f>IF(OR(INDEX($P$2:$P$1001,MATCH(ROWS($O$2:O409),$O$2:$O$1001,0),1)&gt;=100000,INDEX($V$1005:$AE$1005,1,MATCH(COLUMNS($V$1006:Y1006),$V$1006:$AE$1006,0))&gt;=100000), " ",IF(INDEX($V$2:$AE$1001,MATCH(ROWS($O$2:O409),$O$2:$O$1001,0),MATCH(COLUMNS($V$1006:Y1006),$V$1006:$AE$1006,0)), HYPERLINK("#",""), HYPERLINK(CONCATENATE("#Metadata!", ADDRESS(INDEX($Q$2:$Q$1001,MATCH(ROWS($O$2:O409),$O$2:$O$1001,0),0), INDEX($V$1004:$AE$1004,1,MATCH(COLUMNS($V$1006:Y1006),$V$1006:$AE$1006,0)))),"Fix")))</f>
        <v>0</v>
      </c>
      <c r="F409" s="3">
        <f>IF(OR(INDEX($P$2:$P$1001,MATCH(ROWS($O$2:O409),$O$2:$O$1001,0),1)&gt;=100000,INDEX($V$1005:$AE$1005,1,MATCH(COLUMNS($V$1006:Z1006),$V$1006:$AE$1006,0))&gt;=100000), " ",IF(INDEX($V$2:$AE$1001,MATCH(ROWS($O$2:O409),$O$2:$O$1001,0),MATCH(COLUMNS($V$1006:Z1006),$V$1006:$AE$1006,0)), HYPERLINK("#",""), HYPERLINK(CONCATENATE("#Metadata!", ADDRESS(INDEX($Q$2:$Q$1001,MATCH(ROWS($O$2:O409),$O$2:$O$1001,0),0), INDEX($V$1004:$AE$1004,1,MATCH(COLUMNS($V$1006:Z1006),$V$1006:$AE$1006,0)))),"Fix")))</f>
        <v>0</v>
      </c>
      <c r="G409" s="3">
        <f>IF(OR(INDEX($P$2:$P$1001,MATCH(ROWS($O$2:O409),$O$2:$O$1001,0),1)&gt;=100000,INDEX($V$1005:$AE$1005,1,MATCH(COLUMNS($V$1006:AA1006),$V$1006:$AE$1006,0))&gt;=100000), " ",IF(INDEX($V$2:$AE$1001,MATCH(ROWS($O$2:O409),$O$2:$O$1001,0),MATCH(COLUMNS($V$1006:AA1006),$V$1006:$AE$1006,0)), HYPERLINK("#",""), HYPERLINK(CONCATENATE("#Metadata!", ADDRESS(INDEX($Q$2:$Q$1001,MATCH(ROWS($O$2:O409),$O$2:$O$1001,0),0), INDEX($V$1004:$AE$1004,1,MATCH(COLUMNS($V$1006:AA1006),$V$1006:$AE$1006,0)))),"Fix")))</f>
        <v>0</v>
      </c>
      <c r="H409" s="3">
        <f>IF(OR(INDEX($P$2:$P$1001,MATCH(ROWS($O$2:O409),$O$2:$O$1001,0),1)&gt;=100000,INDEX($V$1005:$AE$1005,1,MATCH(COLUMNS($V$1006:AB1006),$V$1006:$AE$1006,0))&gt;=100000), " ",IF(INDEX($V$2:$AE$1001,MATCH(ROWS($O$2:O409),$O$2:$O$1001,0),MATCH(COLUMNS($V$1006:AB1006),$V$1006:$AE$1006,0)), HYPERLINK("#",""), HYPERLINK(CONCATENATE("#Metadata!", ADDRESS(INDEX($Q$2:$Q$1001,MATCH(ROWS($O$2:O409),$O$2:$O$1001,0),0), INDEX($V$1004:$AE$1004,1,MATCH(COLUMNS($V$1006:AB1006),$V$1006:$AE$1006,0)))),"Fix")))</f>
        <v>0</v>
      </c>
      <c r="I409" s="3">
        <f>IF(OR(INDEX($P$2:$P$1001,MATCH(ROWS($O$2:O409),$O$2:$O$1001,0),1)&gt;=100000,INDEX($V$1005:$AE$1005,1,MATCH(COLUMNS($V$1006:AC1006),$V$1006:$AE$1006,0))&gt;=100000), " ",IF(INDEX($V$2:$AE$1001,MATCH(ROWS($O$2:O409),$O$2:$O$1001,0),MATCH(COLUMNS($V$1006:AC1006),$V$1006:$AE$1006,0)), HYPERLINK("#",""), HYPERLINK(CONCATENATE("#Metadata!", ADDRESS(INDEX($Q$2:$Q$1001,MATCH(ROWS($O$2:O409),$O$2:$O$1001,0),0), INDEX($V$1004:$AE$1004,1,MATCH(COLUMNS($V$1006:AC1006),$V$1006:$AE$1006,0)))),"Fix")))</f>
        <v>0</v>
      </c>
      <c r="J409" s="3">
        <f>IF(OR(INDEX($P$2:$P$1001,MATCH(ROWS($O$2:O409),$O$2:$O$1001,0),1)&gt;=100000,INDEX($V$1005:$AE$1005,1,MATCH(COLUMNS($V$1006:AD1006),$V$1006:$AE$1006,0))&gt;=100000), " ",IF(INDEX($V$2:$AE$1001,MATCH(ROWS($O$2:O409),$O$2:$O$1001,0),MATCH(COLUMNS($V$1006:AD1006),$V$1006:$AE$1006,0)), HYPERLINK("#",""), HYPERLINK(CONCATENATE("#Metadata!", ADDRESS(INDEX($Q$2:$Q$1001,MATCH(ROWS($O$2:O409),$O$2:$O$1001,0),0), INDEX($V$1004:$AE$1004,1,MATCH(COLUMNS($V$1006:AD1006),$V$1006:$AE$1006,0)))),"Fix")))</f>
        <v>0</v>
      </c>
      <c r="K409" s="3">
        <f>IF(OR(INDEX($P$2:$P$1001,MATCH(ROWS($O$2:O409),$O$2:$O$1001,0),1)&gt;=100000,INDEX($V$1005:$AE$1005,1,MATCH(COLUMNS($V$1006:AE1006),$V$1006:$AE$1006,0))&gt;=100000), " ",IF(INDEX($V$2:$AE$1001,MATCH(ROWS($O$2:O409),$O$2:$O$1001,0),MATCH(COLUMNS($V$1006:AE1006),$V$1006:$AE$1006,0)), HYPERLINK("#",""), HYPERLINK(CONCATENATE("#Metadata!", ADDRESS(INDEX($Q$2:$Q$1001,MATCH(ROWS($O$2:O409),$O$2:$O$1001,0),0), INDEX($V$1004:$AE$1004,1,MATCH(COLUMNS($V$1006:AE1006),$V$1006:$AE$1006,0)))),"Fix")))</f>
        <v>0</v>
      </c>
      <c r="O409">
        <v>0</v>
      </c>
      <c r="P409">
        <v>0</v>
      </c>
      <c r="Q409">
        <v>0</v>
      </c>
      <c r="R409">
        <f>IF(S409,TRUE,AND(V409:AE409))</f>
        <v>0</v>
      </c>
      <c r="S409">
        <f>COUNTBLANK(Metadata!B409:K409)=COLUMNS(Metadata!B409:K409)</f>
        <v>0</v>
      </c>
      <c r="T409">
        <v>0</v>
      </c>
      <c r="V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W409">
        <f>AND(IF(Metadata!C409="",FALSE,TRUE),exact(Metadata!C409,"animal secretion"))</f>
        <v>0</v>
      </c>
      <c r="X409">
        <f>AND(IF(Metadata!D409="",FALSE,TRUE),exact(Metadata!D409,"saliva"))</f>
        <v>0</v>
      </c>
      <c r="Y409">
        <f>AND(IF(Metadata!E409="",FALSE,TRUE),exact(Metadata!E409,"human-oral"))</f>
        <v>0</v>
      </c>
      <c r="Z409">
        <f>AND(IF(Metadata!F409="",FALSE,TRUE),exact(Metadata!F409,"UBERON:oral cavity"))</f>
        <v>0</v>
      </c>
      <c r="AA409">
        <f>AND(IF(Metadata!G409="",FALSE,TRUE),exact(Metadata!G409,"UBERON:saliva"))</f>
        <v>0</v>
      </c>
      <c r="AB409">
        <f>AND(IF(Metadata!H409="",FALSE,TRUE),exact(Metadata!H409,"UBERON:tongue"))</f>
        <v>0</v>
      </c>
      <c r="AC409">
        <f>AND(IF(Metadata!I409="",FALSE,TRUE),exact(Metadata!I409,"tongue"))</f>
        <v>0</v>
      </c>
      <c r="AD409">
        <f>AND(IF(Metadata!J409="",FALSE,TRUE),exact(Metadata!J409,"human oral metagenome"))</f>
        <v>0</v>
      </c>
      <c r="AE409">
        <f>AND(IF(Metadata!K409="",FALSE,TRUE),exact(Metadata!K409,"447426"))</f>
        <v>0</v>
      </c>
    </row>
    <row r="410" spans="1:31">
      <c r="A410" s="4">
        <f>IF(B410=" "," ",HYPERLINK(CONCATENATE("#metadata!",ADDRESS(INDEX($Q$2:$Q$1001,MATCH(ROWS($O$2:O410),$O$2:$O$1001,0),0),1)),INDEX($T$2:$T$1001,MATCH(ROWS($O$2:O410),$O$2:$O$1001,0),0)))</f>
        <v>0</v>
      </c>
      <c r="B410" s="3">
        <f>IF(OR(INDEX($P$2:$P$1001,MATCH(ROWS($O$2:O410),$O$2:$O$1001,0),1)&gt;=100000,INDEX($V$1005:$AE$1005,1,MATCH(COLUMNS($V$1006:V1006),$V$1006:$AE$1006,0))&gt;=100000), " ",IF(INDEX($V$2:$AE$1001,MATCH(ROWS($O$2:O410),$O$2:$O$1001,0),MATCH(COLUMNS($V$1006:V1006),$V$1006:$AE$1006,0)), HYPERLINK("#",""), HYPERLINK(CONCATENATE("#Metadata!", ADDRESS(INDEX($Q$2:$Q$1001,MATCH(ROWS($O$2:O410),$O$2:$O$1001,0),0), INDEX($V$1004:$AE$1004,1,MATCH(COLUMNS($V$1006:V1006),$V$1006:$AE$1006,0)))),"Fix")))</f>
        <v>0</v>
      </c>
      <c r="C410" s="3">
        <f>IF(OR(INDEX($P$2:$P$1001,MATCH(ROWS($O$2:O410),$O$2:$O$1001,0),1)&gt;=100000,INDEX($V$1005:$AE$1005,1,MATCH(COLUMNS($V$1006:W1006),$V$1006:$AE$1006,0))&gt;=100000), " ",IF(INDEX($V$2:$AE$1001,MATCH(ROWS($O$2:O410),$O$2:$O$1001,0),MATCH(COLUMNS($V$1006:W1006),$V$1006:$AE$1006,0)), HYPERLINK("#",""), HYPERLINK(CONCATENATE("#Metadata!", ADDRESS(INDEX($Q$2:$Q$1001,MATCH(ROWS($O$2:O410),$O$2:$O$1001,0),0), INDEX($V$1004:$AE$1004,1,MATCH(COLUMNS($V$1006:W1006),$V$1006:$AE$1006,0)))),"Fix")))</f>
        <v>0</v>
      </c>
      <c r="D410" s="3">
        <f>IF(OR(INDEX($P$2:$P$1001,MATCH(ROWS($O$2:O410),$O$2:$O$1001,0),1)&gt;=100000,INDEX($V$1005:$AE$1005,1,MATCH(COLUMNS($V$1006:X1006),$V$1006:$AE$1006,0))&gt;=100000), " ",IF(INDEX($V$2:$AE$1001,MATCH(ROWS($O$2:O410),$O$2:$O$1001,0),MATCH(COLUMNS($V$1006:X1006),$V$1006:$AE$1006,0)), HYPERLINK("#",""), HYPERLINK(CONCATENATE("#Metadata!", ADDRESS(INDEX($Q$2:$Q$1001,MATCH(ROWS($O$2:O410),$O$2:$O$1001,0),0), INDEX($V$1004:$AE$1004,1,MATCH(COLUMNS($V$1006:X1006),$V$1006:$AE$1006,0)))),"Fix")))</f>
        <v>0</v>
      </c>
      <c r="E410" s="3">
        <f>IF(OR(INDEX($P$2:$P$1001,MATCH(ROWS($O$2:O410),$O$2:$O$1001,0),1)&gt;=100000,INDEX($V$1005:$AE$1005,1,MATCH(COLUMNS($V$1006:Y1006),$V$1006:$AE$1006,0))&gt;=100000), " ",IF(INDEX($V$2:$AE$1001,MATCH(ROWS($O$2:O410),$O$2:$O$1001,0),MATCH(COLUMNS($V$1006:Y1006),$V$1006:$AE$1006,0)), HYPERLINK("#",""), HYPERLINK(CONCATENATE("#Metadata!", ADDRESS(INDEX($Q$2:$Q$1001,MATCH(ROWS($O$2:O410),$O$2:$O$1001,0),0), INDEX($V$1004:$AE$1004,1,MATCH(COLUMNS($V$1006:Y1006),$V$1006:$AE$1006,0)))),"Fix")))</f>
        <v>0</v>
      </c>
      <c r="F410" s="3">
        <f>IF(OR(INDEX($P$2:$P$1001,MATCH(ROWS($O$2:O410),$O$2:$O$1001,0),1)&gt;=100000,INDEX($V$1005:$AE$1005,1,MATCH(COLUMNS($V$1006:Z1006),$V$1006:$AE$1006,0))&gt;=100000), " ",IF(INDEX($V$2:$AE$1001,MATCH(ROWS($O$2:O410),$O$2:$O$1001,0),MATCH(COLUMNS($V$1006:Z1006),$V$1006:$AE$1006,0)), HYPERLINK("#",""), HYPERLINK(CONCATENATE("#Metadata!", ADDRESS(INDEX($Q$2:$Q$1001,MATCH(ROWS($O$2:O410),$O$2:$O$1001,0),0), INDEX($V$1004:$AE$1004,1,MATCH(COLUMNS($V$1006:Z1006),$V$1006:$AE$1006,0)))),"Fix")))</f>
        <v>0</v>
      </c>
      <c r="G410" s="3">
        <f>IF(OR(INDEX($P$2:$P$1001,MATCH(ROWS($O$2:O410),$O$2:$O$1001,0),1)&gt;=100000,INDEX($V$1005:$AE$1005,1,MATCH(COLUMNS($V$1006:AA1006),$V$1006:$AE$1006,0))&gt;=100000), " ",IF(INDEX($V$2:$AE$1001,MATCH(ROWS($O$2:O410),$O$2:$O$1001,0),MATCH(COLUMNS($V$1006:AA1006),$V$1006:$AE$1006,0)), HYPERLINK("#",""), HYPERLINK(CONCATENATE("#Metadata!", ADDRESS(INDEX($Q$2:$Q$1001,MATCH(ROWS($O$2:O410),$O$2:$O$1001,0),0), INDEX($V$1004:$AE$1004,1,MATCH(COLUMNS($V$1006:AA1006),$V$1006:$AE$1006,0)))),"Fix")))</f>
        <v>0</v>
      </c>
      <c r="H410" s="3">
        <f>IF(OR(INDEX($P$2:$P$1001,MATCH(ROWS($O$2:O410),$O$2:$O$1001,0),1)&gt;=100000,INDEX($V$1005:$AE$1005,1,MATCH(COLUMNS($V$1006:AB1006),$V$1006:$AE$1006,0))&gt;=100000), " ",IF(INDEX($V$2:$AE$1001,MATCH(ROWS($O$2:O410),$O$2:$O$1001,0),MATCH(COLUMNS($V$1006:AB1006),$V$1006:$AE$1006,0)), HYPERLINK("#",""), HYPERLINK(CONCATENATE("#Metadata!", ADDRESS(INDEX($Q$2:$Q$1001,MATCH(ROWS($O$2:O410),$O$2:$O$1001,0),0), INDEX($V$1004:$AE$1004,1,MATCH(COLUMNS($V$1006:AB1006),$V$1006:$AE$1006,0)))),"Fix")))</f>
        <v>0</v>
      </c>
      <c r="I410" s="3">
        <f>IF(OR(INDEX($P$2:$P$1001,MATCH(ROWS($O$2:O410),$O$2:$O$1001,0),1)&gt;=100000,INDEX($V$1005:$AE$1005,1,MATCH(COLUMNS($V$1006:AC1006),$V$1006:$AE$1006,0))&gt;=100000), " ",IF(INDEX($V$2:$AE$1001,MATCH(ROWS($O$2:O410),$O$2:$O$1001,0),MATCH(COLUMNS($V$1006:AC1006),$V$1006:$AE$1006,0)), HYPERLINK("#",""), HYPERLINK(CONCATENATE("#Metadata!", ADDRESS(INDEX($Q$2:$Q$1001,MATCH(ROWS($O$2:O410),$O$2:$O$1001,0),0), INDEX($V$1004:$AE$1004,1,MATCH(COLUMNS($V$1006:AC1006),$V$1006:$AE$1006,0)))),"Fix")))</f>
        <v>0</v>
      </c>
      <c r="J410" s="3">
        <f>IF(OR(INDEX($P$2:$P$1001,MATCH(ROWS($O$2:O410),$O$2:$O$1001,0),1)&gt;=100000,INDEX($V$1005:$AE$1005,1,MATCH(COLUMNS($V$1006:AD1006),$V$1006:$AE$1006,0))&gt;=100000), " ",IF(INDEX($V$2:$AE$1001,MATCH(ROWS($O$2:O410),$O$2:$O$1001,0),MATCH(COLUMNS($V$1006:AD1006),$V$1006:$AE$1006,0)), HYPERLINK("#",""), HYPERLINK(CONCATENATE("#Metadata!", ADDRESS(INDEX($Q$2:$Q$1001,MATCH(ROWS($O$2:O410),$O$2:$O$1001,0),0), INDEX($V$1004:$AE$1004,1,MATCH(COLUMNS($V$1006:AD1006),$V$1006:$AE$1006,0)))),"Fix")))</f>
        <v>0</v>
      </c>
      <c r="K410" s="3">
        <f>IF(OR(INDEX($P$2:$P$1001,MATCH(ROWS($O$2:O410),$O$2:$O$1001,0),1)&gt;=100000,INDEX($V$1005:$AE$1005,1,MATCH(COLUMNS($V$1006:AE1006),$V$1006:$AE$1006,0))&gt;=100000), " ",IF(INDEX($V$2:$AE$1001,MATCH(ROWS($O$2:O410),$O$2:$O$1001,0),MATCH(COLUMNS($V$1006:AE1006),$V$1006:$AE$1006,0)), HYPERLINK("#",""), HYPERLINK(CONCATENATE("#Metadata!", ADDRESS(INDEX($Q$2:$Q$1001,MATCH(ROWS($O$2:O410),$O$2:$O$1001,0),0), INDEX($V$1004:$AE$1004,1,MATCH(COLUMNS($V$1006:AE1006),$V$1006:$AE$1006,0)))),"Fix")))</f>
        <v>0</v>
      </c>
      <c r="O410">
        <v>0</v>
      </c>
      <c r="P410">
        <v>0</v>
      </c>
      <c r="Q410">
        <v>0</v>
      </c>
      <c r="R410">
        <f>IF(S410,TRUE,AND(V410:AE410))</f>
        <v>0</v>
      </c>
      <c r="S410">
        <f>COUNTBLANK(Metadata!B410:K410)=COLUMNS(Metadata!B410:K410)</f>
        <v>0</v>
      </c>
      <c r="T410">
        <v>0</v>
      </c>
      <c r="V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W410">
        <f>AND(IF(Metadata!C410="",FALSE,TRUE),exact(Metadata!C410,"animal secretion"))</f>
        <v>0</v>
      </c>
      <c r="X410">
        <f>AND(IF(Metadata!D410="",FALSE,TRUE),exact(Metadata!D410,"saliva"))</f>
        <v>0</v>
      </c>
      <c r="Y410">
        <f>AND(IF(Metadata!E410="",FALSE,TRUE),exact(Metadata!E410,"human-oral"))</f>
        <v>0</v>
      </c>
      <c r="Z410">
        <f>AND(IF(Metadata!F410="",FALSE,TRUE),exact(Metadata!F410,"UBERON:oral cavity"))</f>
        <v>0</v>
      </c>
      <c r="AA410">
        <f>AND(IF(Metadata!G410="",FALSE,TRUE),exact(Metadata!G410,"UBERON:saliva"))</f>
        <v>0</v>
      </c>
      <c r="AB410">
        <f>AND(IF(Metadata!H410="",FALSE,TRUE),exact(Metadata!H410,"UBERON:tongue"))</f>
        <v>0</v>
      </c>
      <c r="AC410">
        <f>AND(IF(Metadata!I410="",FALSE,TRUE),exact(Metadata!I410,"tongue"))</f>
        <v>0</v>
      </c>
      <c r="AD410">
        <f>AND(IF(Metadata!J410="",FALSE,TRUE),exact(Metadata!J410,"human oral metagenome"))</f>
        <v>0</v>
      </c>
      <c r="AE410">
        <f>AND(IF(Metadata!K410="",FALSE,TRUE),exact(Metadata!K410,"447426"))</f>
        <v>0</v>
      </c>
    </row>
    <row r="411" spans="1:31">
      <c r="A411" s="4">
        <f>IF(B411=" "," ",HYPERLINK(CONCATENATE("#metadata!",ADDRESS(INDEX($Q$2:$Q$1001,MATCH(ROWS($O$2:O411),$O$2:$O$1001,0),0),1)),INDEX($T$2:$T$1001,MATCH(ROWS($O$2:O411),$O$2:$O$1001,0),0)))</f>
        <v>0</v>
      </c>
      <c r="B411" s="3">
        <f>IF(OR(INDEX($P$2:$P$1001,MATCH(ROWS($O$2:O411),$O$2:$O$1001,0),1)&gt;=100000,INDEX($V$1005:$AE$1005,1,MATCH(COLUMNS($V$1006:V1006),$V$1006:$AE$1006,0))&gt;=100000), " ",IF(INDEX($V$2:$AE$1001,MATCH(ROWS($O$2:O411),$O$2:$O$1001,0),MATCH(COLUMNS($V$1006:V1006),$V$1006:$AE$1006,0)), HYPERLINK("#",""), HYPERLINK(CONCATENATE("#Metadata!", ADDRESS(INDEX($Q$2:$Q$1001,MATCH(ROWS($O$2:O411),$O$2:$O$1001,0),0), INDEX($V$1004:$AE$1004,1,MATCH(COLUMNS($V$1006:V1006),$V$1006:$AE$1006,0)))),"Fix")))</f>
        <v>0</v>
      </c>
      <c r="C411" s="3">
        <f>IF(OR(INDEX($P$2:$P$1001,MATCH(ROWS($O$2:O411),$O$2:$O$1001,0),1)&gt;=100000,INDEX($V$1005:$AE$1005,1,MATCH(COLUMNS($V$1006:W1006),$V$1006:$AE$1006,0))&gt;=100000), " ",IF(INDEX($V$2:$AE$1001,MATCH(ROWS($O$2:O411),$O$2:$O$1001,0),MATCH(COLUMNS($V$1006:W1006),$V$1006:$AE$1006,0)), HYPERLINK("#",""), HYPERLINK(CONCATENATE("#Metadata!", ADDRESS(INDEX($Q$2:$Q$1001,MATCH(ROWS($O$2:O411),$O$2:$O$1001,0),0), INDEX($V$1004:$AE$1004,1,MATCH(COLUMNS($V$1006:W1006),$V$1006:$AE$1006,0)))),"Fix")))</f>
        <v>0</v>
      </c>
      <c r="D411" s="3">
        <f>IF(OR(INDEX($P$2:$P$1001,MATCH(ROWS($O$2:O411),$O$2:$O$1001,0),1)&gt;=100000,INDEX($V$1005:$AE$1005,1,MATCH(COLUMNS($V$1006:X1006),$V$1006:$AE$1006,0))&gt;=100000), " ",IF(INDEX($V$2:$AE$1001,MATCH(ROWS($O$2:O411),$O$2:$O$1001,0),MATCH(COLUMNS($V$1006:X1006),$V$1006:$AE$1006,0)), HYPERLINK("#",""), HYPERLINK(CONCATENATE("#Metadata!", ADDRESS(INDEX($Q$2:$Q$1001,MATCH(ROWS($O$2:O411),$O$2:$O$1001,0),0), INDEX($V$1004:$AE$1004,1,MATCH(COLUMNS($V$1006:X1006),$V$1006:$AE$1006,0)))),"Fix")))</f>
        <v>0</v>
      </c>
      <c r="E411" s="3">
        <f>IF(OR(INDEX($P$2:$P$1001,MATCH(ROWS($O$2:O411),$O$2:$O$1001,0),1)&gt;=100000,INDEX($V$1005:$AE$1005,1,MATCH(COLUMNS($V$1006:Y1006),$V$1006:$AE$1006,0))&gt;=100000), " ",IF(INDEX($V$2:$AE$1001,MATCH(ROWS($O$2:O411),$O$2:$O$1001,0),MATCH(COLUMNS($V$1006:Y1006),$V$1006:$AE$1006,0)), HYPERLINK("#",""), HYPERLINK(CONCATENATE("#Metadata!", ADDRESS(INDEX($Q$2:$Q$1001,MATCH(ROWS($O$2:O411),$O$2:$O$1001,0),0), INDEX($V$1004:$AE$1004,1,MATCH(COLUMNS($V$1006:Y1006),$V$1006:$AE$1006,0)))),"Fix")))</f>
        <v>0</v>
      </c>
      <c r="F411" s="3">
        <f>IF(OR(INDEX($P$2:$P$1001,MATCH(ROWS($O$2:O411),$O$2:$O$1001,0),1)&gt;=100000,INDEX($V$1005:$AE$1005,1,MATCH(COLUMNS($V$1006:Z1006),$V$1006:$AE$1006,0))&gt;=100000), " ",IF(INDEX($V$2:$AE$1001,MATCH(ROWS($O$2:O411),$O$2:$O$1001,0),MATCH(COLUMNS($V$1006:Z1006),$V$1006:$AE$1006,0)), HYPERLINK("#",""), HYPERLINK(CONCATENATE("#Metadata!", ADDRESS(INDEX($Q$2:$Q$1001,MATCH(ROWS($O$2:O411),$O$2:$O$1001,0),0), INDEX($V$1004:$AE$1004,1,MATCH(COLUMNS($V$1006:Z1006),$V$1006:$AE$1006,0)))),"Fix")))</f>
        <v>0</v>
      </c>
      <c r="G411" s="3">
        <f>IF(OR(INDEX($P$2:$P$1001,MATCH(ROWS($O$2:O411),$O$2:$O$1001,0),1)&gt;=100000,INDEX($V$1005:$AE$1005,1,MATCH(COLUMNS($V$1006:AA1006),$V$1006:$AE$1006,0))&gt;=100000), " ",IF(INDEX($V$2:$AE$1001,MATCH(ROWS($O$2:O411),$O$2:$O$1001,0),MATCH(COLUMNS($V$1006:AA1006),$V$1006:$AE$1006,0)), HYPERLINK("#",""), HYPERLINK(CONCATENATE("#Metadata!", ADDRESS(INDEX($Q$2:$Q$1001,MATCH(ROWS($O$2:O411),$O$2:$O$1001,0),0), INDEX($V$1004:$AE$1004,1,MATCH(COLUMNS($V$1006:AA1006),$V$1006:$AE$1006,0)))),"Fix")))</f>
        <v>0</v>
      </c>
      <c r="H411" s="3">
        <f>IF(OR(INDEX($P$2:$P$1001,MATCH(ROWS($O$2:O411),$O$2:$O$1001,0),1)&gt;=100000,INDEX($V$1005:$AE$1005,1,MATCH(COLUMNS($V$1006:AB1006),$V$1006:$AE$1006,0))&gt;=100000), " ",IF(INDEX($V$2:$AE$1001,MATCH(ROWS($O$2:O411),$O$2:$O$1001,0),MATCH(COLUMNS($V$1006:AB1006),$V$1006:$AE$1006,0)), HYPERLINK("#",""), HYPERLINK(CONCATENATE("#Metadata!", ADDRESS(INDEX($Q$2:$Q$1001,MATCH(ROWS($O$2:O411),$O$2:$O$1001,0),0), INDEX($V$1004:$AE$1004,1,MATCH(COLUMNS($V$1006:AB1006),$V$1006:$AE$1006,0)))),"Fix")))</f>
        <v>0</v>
      </c>
      <c r="I411" s="3">
        <f>IF(OR(INDEX($P$2:$P$1001,MATCH(ROWS($O$2:O411),$O$2:$O$1001,0),1)&gt;=100000,INDEX($V$1005:$AE$1005,1,MATCH(COLUMNS($V$1006:AC1006),$V$1006:$AE$1006,0))&gt;=100000), " ",IF(INDEX($V$2:$AE$1001,MATCH(ROWS($O$2:O411),$O$2:$O$1001,0),MATCH(COLUMNS($V$1006:AC1006),$V$1006:$AE$1006,0)), HYPERLINK("#",""), HYPERLINK(CONCATENATE("#Metadata!", ADDRESS(INDEX($Q$2:$Q$1001,MATCH(ROWS($O$2:O411),$O$2:$O$1001,0),0), INDEX($V$1004:$AE$1004,1,MATCH(COLUMNS($V$1006:AC1006),$V$1006:$AE$1006,0)))),"Fix")))</f>
        <v>0</v>
      </c>
      <c r="J411" s="3">
        <f>IF(OR(INDEX($P$2:$P$1001,MATCH(ROWS($O$2:O411),$O$2:$O$1001,0),1)&gt;=100000,INDEX($V$1005:$AE$1005,1,MATCH(COLUMNS($V$1006:AD1006),$V$1006:$AE$1006,0))&gt;=100000), " ",IF(INDEX($V$2:$AE$1001,MATCH(ROWS($O$2:O411),$O$2:$O$1001,0),MATCH(COLUMNS($V$1006:AD1006),$V$1006:$AE$1006,0)), HYPERLINK("#",""), HYPERLINK(CONCATENATE("#Metadata!", ADDRESS(INDEX($Q$2:$Q$1001,MATCH(ROWS($O$2:O411),$O$2:$O$1001,0),0), INDEX($V$1004:$AE$1004,1,MATCH(COLUMNS($V$1006:AD1006),$V$1006:$AE$1006,0)))),"Fix")))</f>
        <v>0</v>
      </c>
      <c r="K411" s="3">
        <f>IF(OR(INDEX($P$2:$P$1001,MATCH(ROWS($O$2:O411),$O$2:$O$1001,0),1)&gt;=100000,INDEX($V$1005:$AE$1005,1,MATCH(COLUMNS($V$1006:AE1006),$V$1006:$AE$1006,0))&gt;=100000), " ",IF(INDEX($V$2:$AE$1001,MATCH(ROWS($O$2:O411),$O$2:$O$1001,0),MATCH(COLUMNS($V$1006:AE1006),$V$1006:$AE$1006,0)), HYPERLINK("#",""), HYPERLINK(CONCATENATE("#Metadata!", ADDRESS(INDEX($Q$2:$Q$1001,MATCH(ROWS($O$2:O411),$O$2:$O$1001,0),0), INDEX($V$1004:$AE$1004,1,MATCH(COLUMNS($V$1006:AE1006),$V$1006:$AE$1006,0)))),"Fix")))</f>
        <v>0</v>
      </c>
      <c r="O411">
        <v>0</v>
      </c>
      <c r="P411">
        <v>0</v>
      </c>
      <c r="Q411">
        <v>0</v>
      </c>
      <c r="R411">
        <f>IF(S411,TRUE,AND(V411:AE411))</f>
        <v>0</v>
      </c>
      <c r="S411">
        <f>COUNTBLANK(Metadata!B411:K411)=COLUMNS(Metadata!B411:K411)</f>
        <v>0</v>
      </c>
      <c r="T411">
        <v>0</v>
      </c>
      <c r="V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W411">
        <f>AND(IF(Metadata!C411="",FALSE,TRUE),exact(Metadata!C411,"animal secretion"))</f>
        <v>0</v>
      </c>
      <c r="X411">
        <f>AND(IF(Metadata!D411="",FALSE,TRUE),exact(Metadata!D411,"saliva"))</f>
        <v>0</v>
      </c>
      <c r="Y411">
        <f>AND(IF(Metadata!E411="",FALSE,TRUE),exact(Metadata!E411,"human-oral"))</f>
        <v>0</v>
      </c>
      <c r="Z411">
        <f>AND(IF(Metadata!F411="",FALSE,TRUE),exact(Metadata!F411,"UBERON:oral cavity"))</f>
        <v>0</v>
      </c>
      <c r="AA411">
        <f>AND(IF(Metadata!G411="",FALSE,TRUE),exact(Metadata!G411,"UBERON:saliva"))</f>
        <v>0</v>
      </c>
      <c r="AB411">
        <f>AND(IF(Metadata!H411="",FALSE,TRUE),exact(Metadata!H411,"UBERON:tongue"))</f>
        <v>0</v>
      </c>
      <c r="AC411">
        <f>AND(IF(Metadata!I411="",FALSE,TRUE),exact(Metadata!I411,"tongue"))</f>
        <v>0</v>
      </c>
      <c r="AD411">
        <f>AND(IF(Metadata!J411="",FALSE,TRUE),exact(Metadata!J411,"human oral metagenome"))</f>
        <v>0</v>
      </c>
      <c r="AE411">
        <f>AND(IF(Metadata!K411="",FALSE,TRUE),exact(Metadata!K411,"447426"))</f>
        <v>0</v>
      </c>
    </row>
    <row r="412" spans="1:31">
      <c r="A412" s="4">
        <f>IF(B412=" "," ",HYPERLINK(CONCATENATE("#metadata!",ADDRESS(INDEX($Q$2:$Q$1001,MATCH(ROWS($O$2:O412),$O$2:$O$1001,0),0),1)),INDEX($T$2:$T$1001,MATCH(ROWS($O$2:O412),$O$2:$O$1001,0),0)))</f>
        <v>0</v>
      </c>
      <c r="B412" s="3">
        <f>IF(OR(INDEX($P$2:$P$1001,MATCH(ROWS($O$2:O412),$O$2:$O$1001,0),1)&gt;=100000,INDEX($V$1005:$AE$1005,1,MATCH(COLUMNS($V$1006:V1006),$V$1006:$AE$1006,0))&gt;=100000), " ",IF(INDEX($V$2:$AE$1001,MATCH(ROWS($O$2:O412),$O$2:$O$1001,0),MATCH(COLUMNS($V$1006:V1006),$V$1006:$AE$1006,0)), HYPERLINK("#",""), HYPERLINK(CONCATENATE("#Metadata!", ADDRESS(INDEX($Q$2:$Q$1001,MATCH(ROWS($O$2:O412),$O$2:$O$1001,0),0), INDEX($V$1004:$AE$1004,1,MATCH(COLUMNS($V$1006:V1006),$V$1006:$AE$1006,0)))),"Fix")))</f>
        <v>0</v>
      </c>
      <c r="C412" s="3">
        <f>IF(OR(INDEX($P$2:$P$1001,MATCH(ROWS($O$2:O412),$O$2:$O$1001,0),1)&gt;=100000,INDEX($V$1005:$AE$1005,1,MATCH(COLUMNS($V$1006:W1006),$V$1006:$AE$1006,0))&gt;=100000), " ",IF(INDEX($V$2:$AE$1001,MATCH(ROWS($O$2:O412),$O$2:$O$1001,0),MATCH(COLUMNS($V$1006:W1006),$V$1006:$AE$1006,0)), HYPERLINK("#",""), HYPERLINK(CONCATENATE("#Metadata!", ADDRESS(INDEX($Q$2:$Q$1001,MATCH(ROWS($O$2:O412),$O$2:$O$1001,0),0), INDEX($V$1004:$AE$1004,1,MATCH(COLUMNS($V$1006:W1006),$V$1006:$AE$1006,0)))),"Fix")))</f>
        <v>0</v>
      </c>
      <c r="D412" s="3">
        <f>IF(OR(INDEX($P$2:$P$1001,MATCH(ROWS($O$2:O412),$O$2:$O$1001,0),1)&gt;=100000,INDEX($V$1005:$AE$1005,1,MATCH(COLUMNS($V$1006:X1006),$V$1006:$AE$1006,0))&gt;=100000), " ",IF(INDEX($V$2:$AE$1001,MATCH(ROWS($O$2:O412),$O$2:$O$1001,0),MATCH(COLUMNS($V$1006:X1006),$V$1006:$AE$1006,0)), HYPERLINK("#",""), HYPERLINK(CONCATENATE("#Metadata!", ADDRESS(INDEX($Q$2:$Q$1001,MATCH(ROWS($O$2:O412),$O$2:$O$1001,0),0), INDEX($V$1004:$AE$1004,1,MATCH(COLUMNS($V$1006:X1006),$V$1006:$AE$1006,0)))),"Fix")))</f>
        <v>0</v>
      </c>
      <c r="E412" s="3">
        <f>IF(OR(INDEX($P$2:$P$1001,MATCH(ROWS($O$2:O412),$O$2:$O$1001,0),1)&gt;=100000,INDEX($V$1005:$AE$1005,1,MATCH(COLUMNS($V$1006:Y1006),$V$1006:$AE$1006,0))&gt;=100000), " ",IF(INDEX($V$2:$AE$1001,MATCH(ROWS($O$2:O412),$O$2:$O$1001,0),MATCH(COLUMNS($V$1006:Y1006),$V$1006:$AE$1006,0)), HYPERLINK("#",""), HYPERLINK(CONCATENATE("#Metadata!", ADDRESS(INDEX($Q$2:$Q$1001,MATCH(ROWS($O$2:O412),$O$2:$O$1001,0),0), INDEX($V$1004:$AE$1004,1,MATCH(COLUMNS($V$1006:Y1006),$V$1006:$AE$1006,0)))),"Fix")))</f>
        <v>0</v>
      </c>
      <c r="F412" s="3">
        <f>IF(OR(INDEX($P$2:$P$1001,MATCH(ROWS($O$2:O412),$O$2:$O$1001,0),1)&gt;=100000,INDEX($V$1005:$AE$1005,1,MATCH(COLUMNS($V$1006:Z1006),$V$1006:$AE$1006,0))&gt;=100000), " ",IF(INDEX($V$2:$AE$1001,MATCH(ROWS($O$2:O412),$O$2:$O$1001,0),MATCH(COLUMNS($V$1006:Z1006),$V$1006:$AE$1006,0)), HYPERLINK("#",""), HYPERLINK(CONCATENATE("#Metadata!", ADDRESS(INDEX($Q$2:$Q$1001,MATCH(ROWS($O$2:O412),$O$2:$O$1001,0),0), INDEX($V$1004:$AE$1004,1,MATCH(COLUMNS($V$1006:Z1006),$V$1006:$AE$1006,0)))),"Fix")))</f>
        <v>0</v>
      </c>
      <c r="G412" s="3">
        <f>IF(OR(INDEX($P$2:$P$1001,MATCH(ROWS($O$2:O412),$O$2:$O$1001,0),1)&gt;=100000,INDEX($V$1005:$AE$1005,1,MATCH(COLUMNS($V$1006:AA1006),$V$1006:$AE$1006,0))&gt;=100000), " ",IF(INDEX($V$2:$AE$1001,MATCH(ROWS($O$2:O412),$O$2:$O$1001,0),MATCH(COLUMNS($V$1006:AA1006),$V$1006:$AE$1006,0)), HYPERLINK("#",""), HYPERLINK(CONCATENATE("#Metadata!", ADDRESS(INDEX($Q$2:$Q$1001,MATCH(ROWS($O$2:O412),$O$2:$O$1001,0),0), INDEX($V$1004:$AE$1004,1,MATCH(COLUMNS($V$1006:AA1006),$V$1006:$AE$1006,0)))),"Fix")))</f>
        <v>0</v>
      </c>
      <c r="H412" s="3">
        <f>IF(OR(INDEX($P$2:$P$1001,MATCH(ROWS($O$2:O412),$O$2:$O$1001,0),1)&gt;=100000,INDEX($V$1005:$AE$1005,1,MATCH(COLUMNS($V$1006:AB1006),$V$1006:$AE$1006,0))&gt;=100000), " ",IF(INDEX($V$2:$AE$1001,MATCH(ROWS($O$2:O412),$O$2:$O$1001,0),MATCH(COLUMNS($V$1006:AB1006),$V$1006:$AE$1006,0)), HYPERLINK("#",""), HYPERLINK(CONCATENATE("#Metadata!", ADDRESS(INDEX($Q$2:$Q$1001,MATCH(ROWS($O$2:O412),$O$2:$O$1001,0),0), INDEX($V$1004:$AE$1004,1,MATCH(COLUMNS($V$1006:AB1006),$V$1006:$AE$1006,0)))),"Fix")))</f>
        <v>0</v>
      </c>
      <c r="I412" s="3">
        <f>IF(OR(INDEX($P$2:$P$1001,MATCH(ROWS($O$2:O412),$O$2:$O$1001,0),1)&gt;=100000,INDEX($V$1005:$AE$1005,1,MATCH(COLUMNS($V$1006:AC1006),$V$1006:$AE$1006,0))&gt;=100000), " ",IF(INDEX($V$2:$AE$1001,MATCH(ROWS($O$2:O412),$O$2:$O$1001,0),MATCH(COLUMNS($V$1006:AC1006),$V$1006:$AE$1006,0)), HYPERLINK("#",""), HYPERLINK(CONCATENATE("#Metadata!", ADDRESS(INDEX($Q$2:$Q$1001,MATCH(ROWS($O$2:O412),$O$2:$O$1001,0),0), INDEX($V$1004:$AE$1004,1,MATCH(COLUMNS($V$1006:AC1006),$V$1006:$AE$1006,0)))),"Fix")))</f>
        <v>0</v>
      </c>
      <c r="J412" s="3">
        <f>IF(OR(INDEX($P$2:$P$1001,MATCH(ROWS($O$2:O412),$O$2:$O$1001,0),1)&gt;=100000,INDEX($V$1005:$AE$1005,1,MATCH(COLUMNS($V$1006:AD1006),$V$1006:$AE$1006,0))&gt;=100000), " ",IF(INDEX($V$2:$AE$1001,MATCH(ROWS($O$2:O412),$O$2:$O$1001,0),MATCH(COLUMNS($V$1006:AD1006),$V$1006:$AE$1006,0)), HYPERLINK("#",""), HYPERLINK(CONCATENATE("#Metadata!", ADDRESS(INDEX($Q$2:$Q$1001,MATCH(ROWS($O$2:O412),$O$2:$O$1001,0),0), INDEX($V$1004:$AE$1004,1,MATCH(COLUMNS($V$1006:AD1006),$V$1006:$AE$1006,0)))),"Fix")))</f>
        <v>0</v>
      </c>
      <c r="K412" s="3">
        <f>IF(OR(INDEX($P$2:$P$1001,MATCH(ROWS($O$2:O412),$O$2:$O$1001,0),1)&gt;=100000,INDEX($V$1005:$AE$1005,1,MATCH(COLUMNS($V$1006:AE1006),$V$1006:$AE$1006,0))&gt;=100000), " ",IF(INDEX($V$2:$AE$1001,MATCH(ROWS($O$2:O412),$O$2:$O$1001,0),MATCH(COLUMNS($V$1006:AE1006),$V$1006:$AE$1006,0)), HYPERLINK("#",""), HYPERLINK(CONCATENATE("#Metadata!", ADDRESS(INDEX($Q$2:$Q$1001,MATCH(ROWS($O$2:O412),$O$2:$O$1001,0),0), INDEX($V$1004:$AE$1004,1,MATCH(COLUMNS($V$1006:AE1006),$V$1006:$AE$1006,0)))),"Fix")))</f>
        <v>0</v>
      </c>
      <c r="O412">
        <v>0</v>
      </c>
      <c r="P412">
        <v>0</v>
      </c>
      <c r="Q412">
        <v>0</v>
      </c>
      <c r="R412">
        <f>IF(S412,TRUE,AND(V412:AE412))</f>
        <v>0</v>
      </c>
      <c r="S412">
        <f>COUNTBLANK(Metadata!B412:K412)=COLUMNS(Metadata!B412:K412)</f>
        <v>0</v>
      </c>
      <c r="T412">
        <v>0</v>
      </c>
      <c r="V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W412">
        <f>AND(IF(Metadata!C412="",FALSE,TRUE),exact(Metadata!C412,"animal secretion"))</f>
        <v>0</v>
      </c>
      <c r="X412">
        <f>AND(IF(Metadata!D412="",FALSE,TRUE),exact(Metadata!D412,"saliva"))</f>
        <v>0</v>
      </c>
      <c r="Y412">
        <f>AND(IF(Metadata!E412="",FALSE,TRUE),exact(Metadata!E412,"human-oral"))</f>
        <v>0</v>
      </c>
      <c r="Z412">
        <f>AND(IF(Metadata!F412="",FALSE,TRUE),exact(Metadata!F412,"UBERON:oral cavity"))</f>
        <v>0</v>
      </c>
      <c r="AA412">
        <f>AND(IF(Metadata!G412="",FALSE,TRUE),exact(Metadata!G412,"UBERON:saliva"))</f>
        <v>0</v>
      </c>
      <c r="AB412">
        <f>AND(IF(Metadata!H412="",FALSE,TRUE),exact(Metadata!H412,"UBERON:tongue"))</f>
        <v>0</v>
      </c>
      <c r="AC412">
        <f>AND(IF(Metadata!I412="",FALSE,TRUE),exact(Metadata!I412,"tongue"))</f>
        <v>0</v>
      </c>
      <c r="AD412">
        <f>AND(IF(Metadata!J412="",FALSE,TRUE),exact(Metadata!J412,"human oral metagenome"))</f>
        <v>0</v>
      </c>
      <c r="AE412">
        <f>AND(IF(Metadata!K412="",FALSE,TRUE),exact(Metadata!K412,"447426"))</f>
        <v>0</v>
      </c>
    </row>
    <row r="413" spans="1:31">
      <c r="A413" s="4">
        <f>IF(B413=" "," ",HYPERLINK(CONCATENATE("#metadata!",ADDRESS(INDEX($Q$2:$Q$1001,MATCH(ROWS($O$2:O413),$O$2:$O$1001,0),0),1)),INDEX($T$2:$T$1001,MATCH(ROWS($O$2:O413),$O$2:$O$1001,0),0)))</f>
        <v>0</v>
      </c>
      <c r="B413" s="3">
        <f>IF(OR(INDEX($P$2:$P$1001,MATCH(ROWS($O$2:O413),$O$2:$O$1001,0),1)&gt;=100000,INDEX($V$1005:$AE$1005,1,MATCH(COLUMNS($V$1006:V1006),$V$1006:$AE$1006,0))&gt;=100000), " ",IF(INDEX($V$2:$AE$1001,MATCH(ROWS($O$2:O413),$O$2:$O$1001,0),MATCH(COLUMNS($V$1006:V1006),$V$1006:$AE$1006,0)), HYPERLINK("#",""), HYPERLINK(CONCATENATE("#Metadata!", ADDRESS(INDEX($Q$2:$Q$1001,MATCH(ROWS($O$2:O413),$O$2:$O$1001,0),0), INDEX($V$1004:$AE$1004,1,MATCH(COLUMNS($V$1006:V1006),$V$1006:$AE$1006,0)))),"Fix")))</f>
        <v>0</v>
      </c>
      <c r="C413" s="3">
        <f>IF(OR(INDEX($P$2:$P$1001,MATCH(ROWS($O$2:O413),$O$2:$O$1001,0),1)&gt;=100000,INDEX($V$1005:$AE$1005,1,MATCH(COLUMNS($V$1006:W1006),$V$1006:$AE$1006,0))&gt;=100000), " ",IF(INDEX($V$2:$AE$1001,MATCH(ROWS($O$2:O413),$O$2:$O$1001,0),MATCH(COLUMNS($V$1006:W1006),$V$1006:$AE$1006,0)), HYPERLINK("#",""), HYPERLINK(CONCATENATE("#Metadata!", ADDRESS(INDEX($Q$2:$Q$1001,MATCH(ROWS($O$2:O413),$O$2:$O$1001,0),0), INDEX($V$1004:$AE$1004,1,MATCH(COLUMNS($V$1006:W1006),$V$1006:$AE$1006,0)))),"Fix")))</f>
        <v>0</v>
      </c>
      <c r="D413" s="3">
        <f>IF(OR(INDEX($P$2:$P$1001,MATCH(ROWS($O$2:O413),$O$2:$O$1001,0),1)&gt;=100000,INDEX($V$1005:$AE$1005,1,MATCH(COLUMNS($V$1006:X1006),$V$1006:$AE$1006,0))&gt;=100000), " ",IF(INDEX($V$2:$AE$1001,MATCH(ROWS($O$2:O413),$O$2:$O$1001,0),MATCH(COLUMNS($V$1006:X1006),$V$1006:$AE$1006,0)), HYPERLINK("#",""), HYPERLINK(CONCATENATE("#Metadata!", ADDRESS(INDEX($Q$2:$Q$1001,MATCH(ROWS($O$2:O413),$O$2:$O$1001,0),0), INDEX($V$1004:$AE$1004,1,MATCH(COLUMNS($V$1006:X1006),$V$1006:$AE$1006,0)))),"Fix")))</f>
        <v>0</v>
      </c>
      <c r="E413" s="3">
        <f>IF(OR(INDEX($P$2:$P$1001,MATCH(ROWS($O$2:O413),$O$2:$O$1001,0),1)&gt;=100000,INDEX($V$1005:$AE$1005,1,MATCH(COLUMNS($V$1006:Y1006),$V$1006:$AE$1006,0))&gt;=100000), " ",IF(INDEX($V$2:$AE$1001,MATCH(ROWS($O$2:O413),$O$2:$O$1001,0),MATCH(COLUMNS($V$1006:Y1006),$V$1006:$AE$1006,0)), HYPERLINK("#",""), HYPERLINK(CONCATENATE("#Metadata!", ADDRESS(INDEX($Q$2:$Q$1001,MATCH(ROWS($O$2:O413),$O$2:$O$1001,0),0), INDEX($V$1004:$AE$1004,1,MATCH(COLUMNS($V$1006:Y1006),$V$1006:$AE$1006,0)))),"Fix")))</f>
        <v>0</v>
      </c>
      <c r="F413" s="3">
        <f>IF(OR(INDEX($P$2:$P$1001,MATCH(ROWS($O$2:O413),$O$2:$O$1001,0),1)&gt;=100000,INDEX($V$1005:$AE$1005,1,MATCH(COLUMNS($V$1006:Z1006),$V$1006:$AE$1006,0))&gt;=100000), " ",IF(INDEX($V$2:$AE$1001,MATCH(ROWS($O$2:O413),$O$2:$O$1001,0),MATCH(COLUMNS($V$1006:Z1006),$V$1006:$AE$1006,0)), HYPERLINK("#",""), HYPERLINK(CONCATENATE("#Metadata!", ADDRESS(INDEX($Q$2:$Q$1001,MATCH(ROWS($O$2:O413),$O$2:$O$1001,0),0), INDEX($V$1004:$AE$1004,1,MATCH(COLUMNS($V$1006:Z1006),$V$1006:$AE$1006,0)))),"Fix")))</f>
        <v>0</v>
      </c>
      <c r="G413" s="3">
        <f>IF(OR(INDEX($P$2:$P$1001,MATCH(ROWS($O$2:O413),$O$2:$O$1001,0),1)&gt;=100000,INDEX($V$1005:$AE$1005,1,MATCH(COLUMNS($V$1006:AA1006),$V$1006:$AE$1006,0))&gt;=100000), " ",IF(INDEX($V$2:$AE$1001,MATCH(ROWS($O$2:O413),$O$2:$O$1001,0),MATCH(COLUMNS($V$1006:AA1006),$V$1006:$AE$1006,0)), HYPERLINK("#",""), HYPERLINK(CONCATENATE("#Metadata!", ADDRESS(INDEX($Q$2:$Q$1001,MATCH(ROWS($O$2:O413),$O$2:$O$1001,0),0), INDEX($V$1004:$AE$1004,1,MATCH(COLUMNS($V$1006:AA1006),$V$1006:$AE$1006,0)))),"Fix")))</f>
        <v>0</v>
      </c>
      <c r="H413" s="3">
        <f>IF(OR(INDEX($P$2:$P$1001,MATCH(ROWS($O$2:O413),$O$2:$O$1001,0),1)&gt;=100000,INDEX($V$1005:$AE$1005,1,MATCH(COLUMNS($V$1006:AB1006),$V$1006:$AE$1006,0))&gt;=100000), " ",IF(INDEX($V$2:$AE$1001,MATCH(ROWS($O$2:O413),$O$2:$O$1001,0),MATCH(COLUMNS($V$1006:AB1006),$V$1006:$AE$1006,0)), HYPERLINK("#",""), HYPERLINK(CONCATENATE("#Metadata!", ADDRESS(INDEX($Q$2:$Q$1001,MATCH(ROWS($O$2:O413),$O$2:$O$1001,0),0), INDEX($V$1004:$AE$1004,1,MATCH(COLUMNS($V$1006:AB1006),$V$1006:$AE$1006,0)))),"Fix")))</f>
        <v>0</v>
      </c>
      <c r="I413" s="3">
        <f>IF(OR(INDEX($P$2:$P$1001,MATCH(ROWS($O$2:O413),$O$2:$O$1001,0),1)&gt;=100000,INDEX($V$1005:$AE$1005,1,MATCH(COLUMNS($V$1006:AC1006),$V$1006:$AE$1006,0))&gt;=100000), " ",IF(INDEX($V$2:$AE$1001,MATCH(ROWS($O$2:O413),$O$2:$O$1001,0),MATCH(COLUMNS($V$1006:AC1006),$V$1006:$AE$1006,0)), HYPERLINK("#",""), HYPERLINK(CONCATENATE("#Metadata!", ADDRESS(INDEX($Q$2:$Q$1001,MATCH(ROWS($O$2:O413),$O$2:$O$1001,0),0), INDEX($V$1004:$AE$1004,1,MATCH(COLUMNS($V$1006:AC1006),$V$1006:$AE$1006,0)))),"Fix")))</f>
        <v>0</v>
      </c>
      <c r="J413" s="3">
        <f>IF(OR(INDEX($P$2:$P$1001,MATCH(ROWS($O$2:O413),$O$2:$O$1001,0),1)&gt;=100000,INDEX($V$1005:$AE$1005,1,MATCH(COLUMNS($V$1006:AD1006),$V$1006:$AE$1006,0))&gt;=100000), " ",IF(INDEX($V$2:$AE$1001,MATCH(ROWS($O$2:O413),$O$2:$O$1001,0),MATCH(COLUMNS($V$1006:AD1006),$V$1006:$AE$1006,0)), HYPERLINK("#",""), HYPERLINK(CONCATENATE("#Metadata!", ADDRESS(INDEX($Q$2:$Q$1001,MATCH(ROWS($O$2:O413),$O$2:$O$1001,0),0), INDEX($V$1004:$AE$1004,1,MATCH(COLUMNS($V$1006:AD1006),$V$1006:$AE$1006,0)))),"Fix")))</f>
        <v>0</v>
      </c>
      <c r="K413" s="3">
        <f>IF(OR(INDEX($P$2:$P$1001,MATCH(ROWS($O$2:O413),$O$2:$O$1001,0),1)&gt;=100000,INDEX($V$1005:$AE$1005,1,MATCH(COLUMNS($V$1006:AE1006),$V$1006:$AE$1006,0))&gt;=100000), " ",IF(INDEX($V$2:$AE$1001,MATCH(ROWS($O$2:O413),$O$2:$O$1001,0),MATCH(COLUMNS($V$1006:AE1006),$V$1006:$AE$1006,0)), HYPERLINK("#",""), HYPERLINK(CONCATENATE("#Metadata!", ADDRESS(INDEX($Q$2:$Q$1001,MATCH(ROWS($O$2:O413),$O$2:$O$1001,0),0), INDEX($V$1004:$AE$1004,1,MATCH(COLUMNS($V$1006:AE1006),$V$1006:$AE$1006,0)))),"Fix")))</f>
        <v>0</v>
      </c>
      <c r="O413">
        <v>0</v>
      </c>
      <c r="P413">
        <v>0</v>
      </c>
      <c r="Q413">
        <v>0</v>
      </c>
      <c r="R413">
        <f>IF(S413,TRUE,AND(V413:AE413))</f>
        <v>0</v>
      </c>
      <c r="S413">
        <f>COUNTBLANK(Metadata!B413:K413)=COLUMNS(Metadata!B413:K413)</f>
        <v>0</v>
      </c>
      <c r="T413">
        <v>0</v>
      </c>
      <c r="V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W413">
        <f>AND(IF(Metadata!C413="",FALSE,TRUE),exact(Metadata!C413,"animal secretion"))</f>
        <v>0</v>
      </c>
      <c r="X413">
        <f>AND(IF(Metadata!D413="",FALSE,TRUE),exact(Metadata!D413,"saliva"))</f>
        <v>0</v>
      </c>
      <c r="Y413">
        <f>AND(IF(Metadata!E413="",FALSE,TRUE),exact(Metadata!E413,"human-oral"))</f>
        <v>0</v>
      </c>
      <c r="Z413">
        <f>AND(IF(Metadata!F413="",FALSE,TRUE),exact(Metadata!F413,"UBERON:oral cavity"))</f>
        <v>0</v>
      </c>
      <c r="AA413">
        <f>AND(IF(Metadata!G413="",FALSE,TRUE),exact(Metadata!G413,"UBERON:saliva"))</f>
        <v>0</v>
      </c>
      <c r="AB413">
        <f>AND(IF(Metadata!H413="",FALSE,TRUE),exact(Metadata!H413,"UBERON:tongue"))</f>
        <v>0</v>
      </c>
      <c r="AC413">
        <f>AND(IF(Metadata!I413="",FALSE,TRUE),exact(Metadata!I413,"tongue"))</f>
        <v>0</v>
      </c>
      <c r="AD413">
        <f>AND(IF(Metadata!J413="",FALSE,TRUE),exact(Metadata!J413,"human oral metagenome"))</f>
        <v>0</v>
      </c>
      <c r="AE413">
        <f>AND(IF(Metadata!K413="",FALSE,TRUE),exact(Metadata!K413,"447426"))</f>
        <v>0</v>
      </c>
    </row>
    <row r="414" spans="1:31">
      <c r="A414" s="4">
        <f>IF(B414=" "," ",HYPERLINK(CONCATENATE("#metadata!",ADDRESS(INDEX($Q$2:$Q$1001,MATCH(ROWS($O$2:O414),$O$2:$O$1001,0),0),1)),INDEX($T$2:$T$1001,MATCH(ROWS($O$2:O414),$O$2:$O$1001,0),0)))</f>
        <v>0</v>
      </c>
      <c r="B414" s="3">
        <f>IF(OR(INDEX($P$2:$P$1001,MATCH(ROWS($O$2:O414),$O$2:$O$1001,0),1)&gt;=100000,INDEX($V$1005:$AE$1005,1,MATCH(COLUMNS($V$1006:V1006),$V$1006:$AE$1006,0))&gt;=100000), " ",IF(INDEX($V$2:$AE$1001,MATCH(ROWS($O$2:O414),$O$2:$O$1001,0),MATCH(COLUMNS($V$1006:V1006),$V$1006:$AE$1006,0)), HYPERLINK("#",""), HYPERLINK(CONCATENATE("#Metadata!", ADDRESS(INDEX($Q$2:$Q$1001,MATCH(ROWS($O$2:O414),$O$2:$O$1001,0),0), INDEX($V$1004:$AE$1004,1,MATCH(COLUMNS($V$1006:V1006),$V$1006:$AE$1006,0)))),"Fix")))</f>
        <v>0</v>
      </c>
      <c r="C414" s="3">
        <f>IF(OR(INDEX($P$2:$P$1001,MATCH(ROWS($O$2:O414),$O$2:$O$1001,0),1)&gt;=100000,INDEX($V$1005:$AE$1005,1,MATCH(COLUMNS($V$1006:W1006),$V$1006:$AE$1006,0))&gt;=100000), " ",IF(INDEX($V$2:$AE$1001,MATCH(ROWS($O$2:O414),$O$2:$O$1001,0),MATCH(COLUMNS($V$1006:W1006),$V$1006:$AE$1006,0)), HYPERLINK("#",""), HYPERLINK(CONCATENATE("#Metadata!", ADDRESS(INDEX($Q$2:$Q$1001,MATCH(ROWS($O$2:O414),$O$2:$O$1001,0),0), INDEX($V$1004:$AE$1004,1,MATCH(COLUMNS($V$1006:W1006),$V$1006:$AE$1006,0)))),"Fix")))</f>
        <v>0</v>
      </c>
      <c r="D414" s="3">
        <f>IF(OR(INDEX($P$2:$P$1001,MATCH(ROWS($O$2:O414),$O$2:$O$1001,0),1)&gt;=100000,INDEX($V$1005:$AE$1005,1,MATCH(COLUMNS($V$1006:X1006),$V$1006:$AE$1006,0))&gt;=100000), " ",IF(INDEX($V$2:$AE$1001,MATCH(ROWS($O$2:O414),$O$2:$O$1001,0),MATCH(COLUMNS($V$1006:X1006),$V$1006:$AE$1006,0)), HYPERLINK("#",""), HYPERLINK(CONCATENATE("#Metadata!", ADDRESS(INDEX($Q$2:$Q$1001,MATCH(ROWS($O$2:O414),$O$2:$O$1001,0),0), INDEX($V$1004:$AE$1004,1,MATCH(COLUMNS($V$1006:X1006),$V$1006:$AE$1006,0)))),"Fix")))</f>
        <v>0</v>
      </c>
      <c r="E414" s="3">
        <f>IF(OR(INDEX($P$2:$P$1001,MATCH(ROWS($O$2:O414),$O$2:$O$1001,0),1)&gt;=100000,INDEX($V$1005:$AE$1005,1,MATCH(COLUMNS($V$1006:Y1006),$V$1006:$AE$1006,0))&gt;=100000), " ",IF(INDEX($V$2:$AE$1001,MATCH(ROWS($O$2:O414),$O$2:$O$1001,0),MATCH(COLUMNS($V$1006:Y1006),$V$1006:$AE$1006,0)), HYPERLINK("#",""), HYPERLINK(CONCATENATE("#Metadata!", ADDRESS(INDEX($Q$2:$Q$1001,MATCH(ROWS($O$2:O414),$O$2:$O$1001,0),0), INDEX($V$1004:$AE$1004,1,MATCH(COLUMNS($V$1006:Y1006),$V$1006:$AE$1006,0)))),"Fix")))</f>
        <v>0</v>
      </c>
      <c r="F414" s="3">
        <f>IF(OR(INDEX($P$2:$P$1001,MATCH(ROWS($O$2:O414),$O$2:$O$1001,0),1)&gt;=100000,INDEX($V$1005:$AE$1005,1,MATCH(COLUMNS($V$1006:Z1006),$V$1006:$AE$1006,0))&gt;=100000), " ",IF(INDEX($V$2:$AE$1001,MATCH(ROWS($O$2:O414),$O$2:$O$1001,0),MATCH(COLUMNS($V$1006:Z1006),$V$1006:$AE$1006,0)), HYPERLINK("#",""), HYPERLINK(CONCATENATE("#Metadata!", ADDRESS(INDEX($Q$2:$Q$1001,MATCH(ROWS($O$2:O414),$O$2:$O$1001,0),0), INDEX($V$1004:$AE$1004,1,MATCH(COLUMNS($V$1006:Z1006),$V$1006:$AE$1006,0)))),"Fix")))</f>
        <v>0</v>
      </c>
      <c r="G414" s="3">
        <f>IF(OR(INDEX($P$2:$P$1001,MATCH(ROWS($O$2:O414),$O$2:$O$1001,0),1)&gt;=100000,INDEX($V$1005:$AE$1005,1,MATCH(COLUMNS($V$1006:AA1006),$V$1006:$AE$1006,0))&gt;=100000), " ",IF(INDEX($V$2:$AE$1001,MATCH(ROWS($O$2:O414),$O$2:$O$1001,0),MATCH(COLUMNS($V$1006:AA1006),$V$1006:$AE$1006,0)), HYPERLINK("#",""), HYPERLINK(CONCATENATE("#Metadata!", ADDRESS(INDEX($Q$2:$Q$1001,MATCH(ROWS($O$2:O414),$O$2:$O$1001,0),0), INDEX($V$1004:$AE$1004,1,MATCH(COLUMNS($V$1006:AA1006),$V$1006:$AE$1006,0)))),"Fix")))</f>
        <v>0</v>
      </c>
      <c r="H414" s="3">
        <f>IF(OR(INDEX($P$2:$P$1001,MATCH(ROWS($O$2:O414),$O$2:$O$1001,0),1)&gt;=100000,INDEX($V$1005:$AE$1005,1,MATCH(COLUMNS($V$1006:AB1006),$V$1006:$AE$1006,0))&gt;=100000), " ",IF(INDEX($V$2:$AE$1001,MATCH(ROWS($O$2:O414),$O$2:$O$1001,0),MATCH(COLUMNS($V$1006:AB1006),$V$1006:$AE$1006,0)), HYPERLINK("#",""), HYPERLINK(CONCATENATE("#Metadata!", ADDRESS(INDEX($Q$2:$Q$1001,MATCH(ROWS($O$2:O414),$O$2:$O$1001,0),0), INDEX($V$1004:$AE$1004,1,MATCH(COLUMNS($V$1006:AB1006),$V$1006:$AE$1006,0)))),"Fix")))</f>
        <v>0</v>
      </c>
      <c r="I414" s="3">
        <f>IF(OR(INDEX($P$2:$P$1001,MATCH(ROWS($O$2:O414),$O$2:$O$1001,0),1)&gt;=100000,INDEX($V$1005:$AE$1005,1,MATCH(COLUMNS($V$1006:AC1006),$V$1006:$AE$1006,0))&gt;=100000), " ",IF(INDEX($V$2:$AE$1001,MATCH(ROWS($O$2:O414),$O$2:$O$1001,0),MATCH(COLUMNS($V$1006:AC1006),$V$1006:$AE$1006,0)), HYPERLINK("#",""), HYPERLINK(CONCATENATE("#Metadata!", ADDRESS(INDEX($Q$2:$Q$1001,MATCH(ROWS($O$2:O414),$O$2:$O$1001,0),0), INDEX($V$1004:$AE$1004,1,MATCH(COLUMNS($V$1006:AC1006),$V$1006:$AE$1006,0)))),"Fix")))</f>
        <v>0</v>
      </c>
      <c r="J414" s="3">
        <f>IF(OR(INDEX($P$2:$P$1001,MATCH(ROWS($O$2:O414),$O$2:$O$1001,0),1)&gt;=100000,INDEX($V$1005:$AE$1005,1,MATCH(COLUMNS($V$1006:AD1006),$V$1006:$AE$1006,0))&gt;=100000), " ",IF(INDEX($V$2:$AE$1001,MATCH(ROWS($O$2:O414),$O$2:$O$1001,0),MATCH(COLUMNS($V$1006:AD1006),$V$1006:$AE$1006,0)), HYPERLINK("#",""), HYPERLINK(CONCATENATE("#Metadata!", ADDRESS(INDEX($Q$2:$Q$1001,MATCH(ROWS($O$2:O414),$O$2:$O$1001,0),0), INDEX($V$1004:$AE$1004,1,MATCH(COLUMNS($V$1006:AD1006),$V$1006:$AE$1006,0)))),"Fix")))</f>
        <v>0</v>
      </c>
      <c r="K414" s="3">
        <f>IF(OR(INDEX($P$2:$P$1001,MATCH(ROWS($O$2:O414),$O$2:$O$1001,0),1)&gt;=100000,INDEX($V$1005:$AE$1005,1,MATCH(COLUMNS($V$1006:AE1006),$V$1006:$AE$1006,0))&gt;=100000), " ",IF(INDEX($V$2:$AE$1001,MATCH(ROWS($O$2:O414),$O$2:$O$1001,0),MATCH(COLUMNS($V$1006:AE1006),$V$1006:$AE$1006,0)), HYPERLINK("#",""), HYPERLINK(CONCATENATE("#Metadata!", ADDRESS(INDEX($Q$2:$Q$1001,MATCH(ROWS($O$2:O414),$O$2:$O$1001,0),0), INDEX($V$1004:$AE$1004,1,MATCH(COLUMNS($V$1006:AE1006),$V$1006:$AE$1006,0)))),"Fix")))</f>
        <v>0</v>
      </c>
      <c r="O414">
        <v>0</v>
      </c>
      <c r="P414">
        <v>0</v>
      </c>
      <c r="Q414">
        <v>0</v>
      </c>
      <c r="R414">
        <f>IF(S414,TRUE,AND(V414:AE414))</f>
        <v>0</v>
      </c>
      <c r="S414">
        <f>COUNTBLANK(Metadata!B414:K414)=COLUMNS(Metadata!B414:K414)</f>
        <v>0</v>
      </c>
      <c r="T414">
        <v>0</v>
      </c>
      <c r="V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W414">
        <f>AND(IF(Metadata!C414="",FALSE,TRUE),exact(Metadata!C414,"animal secretion"))</f>
        <v>0</v>
      </c>
      <c r="X414">
        <f>AND(IF(Metadata!D414="",FALSE,TRUE),exact(Metadata!D414,"saliva"))</f>
        <v>0</v>
      </c>
      <c r="Y414">
        <f>AND(IF(Metadata!E414="",FALSE,TRUE),exact(Metadata!E414,"human-oral"))</f>
        <v>0</v>
      </c>
      <c r="Z414">
        <f>AND(IF(Metadata!F414="",FALSE,TRUE),exact(Metadata!F414,"UBERON:oral cavity"))</f>
        <v>0</v>
      </c>
      <c r="AA414">
        <f>AND(IF(Metadata!G414="",FALSE,TRUE),exact(Metadata!G414,"UBERON:saliva"))</f>
        <v>0</v>
      </c>
      <c r="AB414">
        <f>AND(IF(Metadata!H414="",FALSE,TRUE),exact(Metadata!H414,"UBERON:tongue"))</f>
        <v>0</v>
      </c>
      <c r="AC414">
        <f>AND(IF(Metadata!I414="",FALSE,TRUE),exact(Metadata!I414,"tongue"))</f>
        <v>0</v>
      </c>
      <c r="AD414">
        <f>AND(IF(Metadata!J414="",FALSE,TRUE),exact(Metadata!J414,"human oral metagenome"))</f>
        <v>0</v>
      </c>
      <c r="AE414">
        <f>AND(IF(Metadata!K414="",FALSE,TRUE),exact(Metadata!K414,"447426"))</f>
        <v>0</v>
      </c>
    </row>
    <row r="415" spans="1:31">
      <c r="A415" s="4">
        <f>IF(B415=" "," ",HYPERLINK(CONCATENATE("#metadata!",ADDRESS(INDEX($Q$2:$Q$1001,MATCH(ROWS($O$2:O415),$O$2:$O$1001,0),0),1)),INDEX($T$2:$T$1001,MATCH(ROWS($O$2:O415),$O$2:$O$1001,0),0)))</f>
        <v>0</v>
      </c>
      <c r="B415" s="3">
        <f>IF(OR(INDEX($P$2:$P$1001,MATCH(ROWS($O$2:O415),$O$2:$O$1001,0),1)&gt;=100000,INDEX($V$1005:$AE$1005,1,MATCH(COLUMNS($V$1006:V1006),$V$1006:$AE$1006,0))&gt;=100000), " ",IF(INDEX($V$2:$AE$1001,MATCH(ROWS($O$2:O415),$O$2:$O$1001,0),MATCH(COLUMNS($V$1006:V1006),$V$1006:$AE$1006,0)), HYPERLINK("#",""), HYPERLINK(CONCATENATE("#Metadata!", ADDRESS(INDEX($Q$2:$Q$1001,MATCH(ROWS($O$2:O415),$O$2:$O$1001,0),0), INDEX($V$1004:$AE$1004,1,MATCH(COLUMNS($V$1006:V1006),$V$1006:$AE$1006,0)))),"Fix")))</f>
        <v>0</v>
      </c>
      <c r="C415" s="3">
        <f>IF(OR(INDEX($P$2:$P$1001,MATCH(ROWS($O$2:O415),$O$2:$O$1001,0),1)&gt;=100000,INDEX($V$1005:$AE$1005,1,MATCH(COLUMNS($V$1006:W1006),$V$1006:$AE$1006,0))&gt;=100000), " ",IF(INDEX($V$2:$AE$1001,MATCH(ROWS($O$2:O415),$O$2:$O$1001,0),MATCH(COLUMNS($V$1006:W1006),$V$1006:$AE$1006,0)), HYPERLINK("#",""), HYPERLINK(CONCATENATE("#Metadata!", ADDRESS(INDEX($Q$2:$Q$1001,MATCH(ROWS($O$2:O415),$O$2:$O$1001,0),0), INDEX($V$1004:$AE$1004,1,MATCH(COLUMNS($V$1006:W1006),$V$1006:$AE$1006,0)))),"Fix")))</f>
        <v>0</v>
      </c>
      <c r="D415" s="3">
        <f>IF(OR(INDEX($P$2:$P$1001,MATCH(ROWS($O$2:O415),$O$2:$O$1001,0),1)&gt;=100000,INDEX($V$1005:$AE$1005,1,MATCH(COLUMNS($V$1006:X1006),$V$1006:$AE$1006,0))&gt;=100000), " ",IF(INDEX($V$2:$AE$1001,MATCH(ROWS($O$2:O415),$O$2:$O$1001,0),MATCH(COLUMNS($V$1006:X1006),$V$1006:$AE$1006,0)), HYPERLINK("#",""), HYPERLINK(CONCATENATE("#Metadata!", ADDRESS(INDEX($Q$2:$Q$1001,MATCH(ROWS($O$2:O415),$O$2:$O$1001,0),0), INDEX($V$1004:$AE$1004,1,MATCH(COLUMNS($V$1006:X1006),$V$1006:$AE$1006,0)))),"Fix")))</f>
        <v>0</v>
      </c>
      <c r="E415" s="3">
        <f>IF(OR(INDEX($P$2:$P$1001,MATCH(ROWS($O$2:O415),$O$2:$O$1001,0),1)&gt;=100000,INDEX($V$1005:$AE$1005,1,MATCH(COLUMNS($V$1006:Y1006),$V$1006:$AE$1006,0))&gt;=100000), " ",IF(INDEX($V$2:$AE$1001,MATCH(ROWS($O$2:O415),$O$2:$O$1001,0),MATCH(COLUMNS($V$1006:Y1006),$V$1006:$AE$1006,0)), HYPERLINK("#",""), HYPERLINK(CONCATENATE("#Metadata!", ADDRESS(INDEX($Q$2:$Q$1001,MATCH(ROWS($O$2:O415),$O$2:$O$1001,0),0), INDEX($V$1004:$AE$1004,1,MATCH(COLUMNS($V$1006:Y1006),$V$1006:$AE$1006,0)))),"Fix")))</f>
        <v>0</v>
      </c>
      <c r="F415" s="3">
        <f>IF(OR(INDEX($P$2:$P$1001,MATCH(ROWS($O$2:O415),$O$2:$O$1001,0),1)&gt;=100000,INDEX($V$1005:$AE$1005,1,MATCH(COLUMNS($V$1006:Z1006),$V$1006:$AE$1006,0))&gt;=100000), " ",IF(INDEX($V$2:$AE$1001,MATCH(ROWS($O$2:O415),$O$2:$O$1001,0),MATCH(COLUMNS($V$1006:Z1006),$V$1006:$AE$1006,0)), HYPERLINK("#",""), HYPERLINK(CONCATENATE("#Metadata!", ADDRESS(INDEX($Q$2:$Q$1001,MATCH(ROWS($O$2:O415),$O$2:$O$1001,0),0), INDEX($V$1004:$AE$1004,1,MATCH(COLUMNS($V$1006:Z1006),$V$1006:$AE$1006,0)))),"Fix")))</f>
        <v>0</v>
      </c>
      <c r="G415" s="3">
        <f>IF(OR(INDEX($P$2:$P$1001,MATCH(ROWS($O$2:O415),$O$2:$O$1001,0),1)&gt;=100000,INDEX($V$1005:$AE$1005,1,MATCH(COLUMNS($V$1006:AA1006),$V$1006:$AE$1006,0))&gt;=100000), " ",IF(INDEX($V$2:$AE$1001,MATCH(ROWS($O$2:O415),$O$2:$O$1001,0),MATCH(COLUMNS($V$1006:AA1006),$V$1006:$AE$1006,0)), HYPERLINK("#",""), HYPERLINK(CONCATENATE("#Metadata!", ADDRESS(INDEX($Q$2:$Q$1001,MATCH(ROWS($O$2:O415),$O$2:$O$1001,0),0), INDEX($V$1004:$AE$1004,1,MATCH(COLUMNS($V$1006:AA1006),$V$1006:$AE$1006,0)))),"Fix")))</f>
        <v>0</v>
      </c>
      <c r="H415" s="3">
        <f>IF(OR(INDEX($P$2:$P$1001,MATCH(ROWS($O$2:O415),$O$2:$O$1001,0),1)&gt;=100000,INDEX($V$1005:$AE$1005,1,MATCH(COLUMNS($V$1006:AB1006),$V$1006:$AE$1006,0))&gt;=100000), " ",IF(INDEX($V$2:$AE$1001,MATCH(ROWS($O$2:O415),$O$2:$O$1001,0),MATCH(COLUMNS($V$1006:AB1006),$V$1006:$AE$1006,0)), HYPERLINK("#",""), HYPERLINK(CONCATENATE("#Metadata!", ADDRESS(INDEX($Q$2:$Q$1001,MATCH(ROWS($O$2:O415),$O$2:$O$1001,0),0), INDEX($V$1004:$AE$1004,1,MATCH(COLUMNS($V$1006:AB1006),$V$1006:$AE$1006,0)))),"Fix")))</f>
        <v>0</v>
      </c>
      <c r="I415" s="3">
        <f>IF(OR(INDEX($P$2:$P$1001,MATCH(ROWS($O$2:O415),$O$2:$O$1001,0),1)&gt;=100000,INDEX($V$1005:$AE$1005,1,MATCH(COLUMNS($V$1006:AC1006),$V$1006:$AE$1006,0))&gt;=100000), " ",IF(INDEX($V$2:$AE$1001,MATCH(ROWS($O$2:O415),$O$2:$O$1001,0),MATCH(COLUMNS($V$1006:AC1006),$V$1006:$AE$1006,0)), HYPERLINK("#",""), HYPERLINK(CONCATENATE("#Metadata!", ADDRESS(INDEX($Q$2:$Q$1001,MATCH(ROWS($O$2:O415),$O$2:$O$1001,0),0), INDEX($V$1004:$AE$1004,1,MATCH(COLUMNS($V$1006:AC1006),$V$1006:$AE$1006,0)))),"Fix")))</f>
        <v>0</v>
      </c>
      <c r="J415" s="3">
        <f>IF(OR(INDEX($P$2:$P$1001,MATCH(ROWS($O$2:O415),$O$2:$O$1001,0),1)&gt;=100000,INDEX($V$1005:$AE$1005,1,MATCH(COLUMNS($V$1006:AD1006),$V$1006:$AE$1006,0))&gt;=100000), " ",IF(INDEX($V$2:$AE$1001,MATCH(ROWS($O$2:O415),$O$2:$O$1001,0),MATCH(COLUMNS($V$1006:AD1006),$V$1006:$AE$1006,0)), HYPERLINK("#",""), HYPERLINK(CONCATENATE("#Metadata!", ADDRESS(INDEX($Q$2:$Q$1001,MATCH(ROWS($O$2:O415),$O$2:$O$1001,0),0), INDEX($V$1004:$AE$1004,1,MATCH(COLUMNS($V$1006:AD1006),$V$1006:$AE$1006,0)))),"Fix")))</f>
        <v>0</v>
      </c>
      <c r="K415" s="3">
        <f>IF(OR(INDEX($P$2:$P$1001,MATCH(ROWS($O$2:O415),$O$2:$O$1001,0),1)&gt;=100000,INDEX($V$1005:$AE$1005,1,MATCH(COLUMNS($V$1006:AE1006),$V$1006:$AE$1006,0))&gt;=100000), " ",IF(INDEX($V$2:$AE$1001,MATCH(ROWS($O$2:O415),$O$2:$O$1001,0),MATCH(COLUMNS($V$1006:AE1006),$V$1006:$AE$1006,0)), HYPERLINK("#",""), HYPERLINK(CONCATENATE("#Metadata!", ADDRESS(INDEX($Q$2:$Q$1001,MATCH(ROWS($O$2:O415),$O$2:$O$1001,0),0), INDEX($V$1004:$AE$1004,1,MATCH(COLUMNS($V$1006:AE1006),$V$1006:$AE$1006,0)))),"Fix")))</f>
        <v>0</v>
      </c>
      <c r="O415">
        <v>0</v>
      </c>
      <c r="P415">
        <v>0</v>
      </c>
      <c r="Q415">
        <v>0</v>
      </c>
      <c r="R415">
        <f>IF(S415,TRUE,AND(V415:AE415))</f>
        <v>0</v>
      </c>
      <c r="S415">
        <f>COUNTBLANK(Metadata!B415:K415)=COLUMNS(Metadata!B415:K415)</f>
        <v>0</v>
      </c>
      <c r="T415">
        <v>0</v>
      </c>
      <c r="V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W415">
        <f>AND(IF(Metadata!C415="",FALSE,TRUE),exact(Metadata!C415,"animal secretion"))</f>
        <v>0</v>
      </c>
      <c r="X415">
        <f>AND(IF(Metadata!D415="",FALSE,TRUE),exact(Metadata!D415,"saliva"))</f>
        <v>0</v>
      </c>
      <c r="Y415">
        <f>AND(IF(Metadata!E415="",FALSE,TRUE),exact(Metadata!E415,"human-oral"))</f>
        <v>0</v>
      </c>
      <c r="Z415">
        <f>AND(IF(Metadata!F415="",FALSE,TRUE),exact(Metadata!F415,"UBERON:oral cavity"))</f>
        <v>0</v>
      </c>
      <c r="AA415">
        <f>AND(IF(Metadata!G415="",FALSE,TRUE),exact(Metadata!G415,"UBERON:saliva"))</f>
        <v>0</v>
      </c>
      <c r="AB415">
        <f>AND(IF(Metadata!H415="",FALSE,TRUE),exact(Metadata!H415,"UBERON:tongue"))</f>
        <v>0</v>
      </c>
      <c r="AC415">
        <f>AND(IF(Metadata!I415="",FALSE,TRUE),exact(Metadata!I415,"tongue"))</f>
        <v>0</v>
      </c>
      <c r="AD415">
        <f>AND(IF(Metadata!J415="",FALSE,TRUE),exact(Metadata!J415,"human oral metagenome"))</f>
        <v>0</v>
      </c>
      <c r="AE415">
        <f>AND(IF(Metadata!K415="",FALSE,TRUE),exact(Metadata!K415,"447426"))</f>
        <v>0</v>
      </c>
    </row>
    <row r="416" spans="1:31">
      <c r="A416" s="4">
        <f>IF(B416=" "," ",HYPERLINK(CONCATENATE("#metadata!",ADDRESS(INDEX($Q$2:$Q$1001,MATCH(ROWS($O$2:O416),$O$2:$O$1001,0),0),1)),INDEX($T$2:$T$1001,MATCH(ROWS($O$2:O416),$O$2:$O$1001,0),0)))</f>
        <v>0</v>
      </c>
      <c r="B416" s="3">
        <f>IF(OR(INDEX($P$2:$P$1001,MATCH(ROWS($O$2:O416),$O$2:$O$1001,0),1)&gt;=100000,INDEX($V$1005:$AE$1005,1,MATCH(COLUMNS($V$1006:V1006),$V$1006:$AE$1006,0))&gt;=100000), " ",IF(INDEX($V$2:$AE$1001,MATCH(ROWS($O$2:O416),$O$2:$O$1001,0),MATCH(COLUMNS($V$1006:V1006),$V$1006:$AE$1006,0)), HYPERLINK("#",""), HYPERLINK(CONCATENATE("#Metadata!", ADDRESS(INDEX($Q$2:$Q$1001,MATCH(ROWS($O$2:O416),$O$2:$O$1001,0),0), INDEX($V$1004:$AE$1004,1,MATCH(COLUMNS($V$1006:V1006),$V$1006:$AE$1006,0)))),"Fix")))</f>
        <v>0</v>
      </c>
      <c r="C416" s="3">
        <f>IF(OR(INDEX($P$2:$P$1001,MATCH(ROWS($O$2:O416),$O$2:$O$1001,0),1)&gt;=100000,INDEX($V$1005:$AE$1005,1,MATCH(COLUMNS($V$1006:W1006),$V$1006:$AE$1006,0))&gt;=100000), " ",IF(INDEX($V$2:$AE$1001,MATCH(ROWS($O$2:O416),$O$2:$O$1001,0),MATCH(COLUMNS($V$1006:W1006),$V$1006:$AE$1006,0)), HYPERLINK("#",""), HYPERLINK(CONCATENATE("#Metadata!", ADDRESS(INDEX($Q$2:$Q$1001,MATCH(ROWS($O$2:O416),$O$2:$O$1001,0),0), INDEX($V$1004:$AE$1004,1,MATCH(COLUMNS($V$1006:W1006),$V$1006:$AE$1006,0)))),"Fix")))</f>
        <v>0</v>
      </c>
      <c r="D416" s="3">
        <f>IF(OR(INDEX($P$2:$P$1001,MATCH(ROWS($O$2:O416),$O$2:$O$1001,0),1)&gt;=100000,INDEX($V$1005:$AE$1005,1,MATCH(COLUMNS($V$1006:X1006),$V$1006:$AE$1006,0))&gt;=100000), " ",IF(INDEX($V$2:$AE$1001,MATCH(ROWS($O$2:O416),$O$2:$O$1001,0),MATCH(COLUMNS($V$1006:X1006),$V$1006:$AE$1006,0)), HYPERLINK("#",""), HYPERLINK(CONCATENATE("#Metadata!", ADDRESS(INDEX($Q$2:$Q$1001,MATCH(ROWS($O$2:O416),$O$2:$O$1001,0),0), INDEX($V$1004:$AE$1004,1,MATCH(COLUMNS($V$1006:X1006),$V$1006:$AE$1006,0)))),"Fix")))</f>
        <v>0</v>
      </c>
      <c r="E416" s="3">
        <f>IF(OR(INDEX($P$2:$P$1001,MATCH(ROWS($O$2:O416),$O$2:$O$1001,0),1)&gt;=100000,INDEX($V$1005:$AE$1005,1,MATCH(COLUMNS($V$1006:Y1006),$V$1006:$AE$1006,0))&gt;=100000), " ",IF(INDEX($V$2:$AE$1001,MATCH(ROWS($O$2:O416),$O$2:$O$1001,0),MATCH(COLUMNS($V$1006:Y1006),$V$1006:$AE$1006,0)), HYPERLINK("#",""), HYPERLINK(CONCATENATE("#Metadata!", ADDRESS(INDEX($Q$2:$Q$1001,MATCH(ROWS($O$2:O416),$O$2:$O$1001,0),0), INDEX($V$1004:$AE$1004,1,MATCH(COLUMNS($V$1006:Y1006),$V$1006:$AE$1006,0)))),"Fix")))</f>
        <v>0</v>
      </c>
      <c r="F416" s="3">
        <f>IF(OR(INDEX($P$2:$P$1001,MATCH(ROWS($O$2:O416),$O$2:$O$1001,0),1)&gt;=100000,INDEX($V$1005:$AE$1005,1,MATCH(COLUMNS($V$1006:Z1006),$V$1006:$AE$1006,0))&gt;=100000), " ",IF(INDEX($V$2:$AE$1001,MATCH(ROWS($O$2:O416),$O$2:$O$1001,0),MATCH(COLUMNS($V$1006:Z1006),$V$1006:$AE$1006,0)), HYPERLINK("#",""), HYPERLINK(CONCATENATE("#Metadata!", ADDRESS(INDEX($Q$2:$Q$1001,MATCH(ROWS($O$2:O416),$O$2:$O$1001,0),0), INDEX($V$1004:$AE$1004,1,MATCH(COLUMNS($V$1006:Z1006),$V$1006:$AE$1006,0)))),"Fix")))</f>
        <v>0</v>
      </c>
      <c r="G416" s="3">
        <f>IF(OR(INDEX($P$2:$P$1001,MATCH(ROWS($O$2:O416),$O$2:$O$1001,0),1)&gt;=100000,INDEX($V$1005:$AE$1005,1,MATCH(COLUMNS($V$1006:AA1006),$V$1006:$AE$1006,0))&gt;=100000), " ",IF(INDEX($V$2:$AE$1001,MATCH(ROWS($O$2:O416),$O$2:$O$1001,0),MATCH(COLUMNS($V$1006:AA1006),$V$1006:$AE$1006,0)), HYPERLINK("#",""), HYPERLINK(CONCATENATE("#Metadata!", ADDRESS(INDEX($Q$2:$Q$1001,MATCH(ROWS($O$2:O416),$O$2:$O$1001,0),0), INDEX($V$1004:$AE$1004,1,MATCH(COLUMNS($V$1006:AA1006),$V$1006:$AE$1006,0)))),"Fix")))</f>
        <v>0</v>
      </c>
      <c r="H416" s="3">
        <f>IF(OR(INDEX($P$2:$P$1001,MATCH(ROWS($O$2:O416),$O$2:$O$1001,0),1)&gt;=100000,INDEX($V$1005:$AE$1005,1,MATCH(COLUMNS($V$1006:AB1006),$V$1006:$AE$1006,0))&gt;=100000), " ",IF(INDEX($V$2:$AE$1001,MATCH(ROWS($O$2:O416),$O$2:$O$1001,0),MATCH(COLUMNS($V$1006:AB1006),$V$1006:$AE$1006,0)), HYPERLINK("#",""), HYPERLINK(CONCATENATE("#Metadata!", ADDRESS(INDEX($Q$2:$Q$1001,MATCH(ROWS($O$2:O416),$O$2:$O$1001,0),0), INDEX($V$1004:$AE$1004,1,MATCH(COLUMNS($V$1006:AB1006),$V$1006:$AE$1006,0)))),"Fix")))</f>
        <v>0</v>
      </c>
      <c r="I416" s="3">
        <f>IF(OR(INDEX($P$2:$P$1001,MATCH(ROWS($O$2:O416),$O$2:$O$1001,0),1)&gt;=100000,INDEX($V$1005:$AE$1005,1,MATCH(COLUMNS($V$1006:AC1006),$V$1006:$AE$1006,0))&gt;=100000), " ",IF(INDEX($V$2:$AE$1001,MATCH(ROWS($O$2:O416),$O$2:$O$1001,0),MATCH(COLUMNS($V$1006:AC1006),$V$1006:$AE$1006,0)), HYPERLINK("#",""), HYPERLINK(CONCATENATE("#Metadata!", ADDRESS(INDEX($Q$2:$Q$1001,MATCH(ROWS($O$2:O416),$O$2:$O$1001,0),0), INDEX($V$1004:$AE$1004,1,MATCH(COLUMNS($V$1006:AC1006),$V$1006:$AE$1006,0)))),"Fix")))</f>
        <v>0</v>
      </c>
      <c r="J416" s="3">
        <f>IF(OR(INDEX($P$2:$P$1001,MATCH(ROWS($O$2:O416),$O$2:$O$1001,0),1)&gt;=100000,INDEX($V$1005:$AE$1005,1,MATCH(COLUMNS($V$1006:AD1006),$V$1006:$AE$1006,0))&gt;=100000), " ",IF(INDEX($V$2:$AE$1001,MATCH(ROWS($O$2:O416),$O$2:$O$1001,0),MATCH(COLUMNS($V$1006:AD1006),$V$1006:$AE$1006,0)), HYPERLINK("#",""), HYPERLINK(CONCATENATE("#Metadata!", ADDRESS(INDEX($Q$2:$Q$1001,MATCH(ROWS($O$2:O416),$O$2:$O$1001,0),0), INDEX($V$1004:$AE$1004,1,MATCH(COLUMNS($V$1006:AD1006),$V$1006:$AE$1006,0)))),"Fix")))</f>
        <v>0</v>
      </c>
      <c r="K416" s="3">
        <f>IF(OR(INDEX($P$2:$P$1001,MATCH(ROWS($O$2:O416),$O$2:$O$1001,0),1)&gt;=100000,INDEX($V$1005:$AE$1005,1,MATCH(COLUMNS($V$1006:AE1006),$V$1006:$AE$1006,0))&gt;=100000), " ",IF(INDEX($V$2:$AE$1001,MATCH(ROWS($O$2:O416),$O$2:$O$1001,0),MATCH(COLUMNS($V$1006:AE1006),$V$1006:$AE$1006,0)), HYPERLINK("#",""), HYPERLINK(CONCATENATE("#Metadata!", ADDRESS(INDEX($Q$2:$Q$1001,MATCH(ROWS($O$2:O416),$O$2:$O$1001,0),0), INDEX($V$1004:$AE$1004,1,MATCH(COLUMNS($V$1006:AE1006),$V$1006:$AE$1006,0)))),"Fix")))</f>
        <v>0</v>
      </c>
      <c r="O416">
        <v>0</v>
      </c>
      <c r="P416">
        <v>0</v>
      </c>
      <c r="Q416">
        <v>0</v>
      </c>
      <c r="R416">
        <f>IF(S416,TRUE,AND(V416:AE416))</f>
        <v>0</v>
      </c>
      <c r="S416">
        <f>COUNTBLANK(Metadata!B416:K416)=COLUMNS(Metadata!B416:K416)</f>
        <v>0</v>
      </c>
      <c r="T416">
        <v>0</v>
      </c>
      <c r="V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W416">
        <f>AND(IF(Metadata!C416="",FALSE,TRUE),exact(Metadata!C416,"animal secretion"))</f>
        <v>0</v>
      </c>
      <c r="X416">
        <f>AND(IF(Metadata!D416="",FALSE,TRUE),exact(Metadata!D416,"saliva"))</f>
        <v>0</v>
      </c>
      <c r="Y416">
        <f>AND(IF(Metadata!E416="",FALSE,TRUE),exact(Metadata!E416,"human-oral"))</f>
        <v>0</v>
      </c>
      <c r="Z416">
        <f>AND(IF(Metadata!F416="",FALSE,TRUE),exact(Metadata!F416,"UBERON:oral cavity"))</f>
        <v>0</v>
      </c>
      <c r="AA416">
        <f>AND(IF(Metadata!G416="",FALSE,TRUE),exact(Metadata!G416,"UBERON:saliva"))</f>
        <v>0</v>
      </c>
      <c r="AB416">
        <f>AND(IF(Metadata!H416="",FALSE,TRUE),exact(Metadata!H416,"UBERON:tongue"))</f>
        <v>0</v>
      </c>
      <c r="AC416">
        <f>AND(IF(Metadata!I416="",FALSE,TRUE),exact(Metadata!I416,"tongue"))</f>
        <v>0</v>
      </c>
      <c r="AD416">
        <f>AND(IF(Metadata!J416="",FALSE,TRUE),exact(Metadata!J416,"human oral metagenome"))</f>
        <v>0</v>
      </c>
      <c r="AE416">
        <f>AND(IF(Metadata!K416="",FALSE,TRUE),exact(Metadata!K416,"447426"))</f>
        <v>0</v>
      </c>
    </row>
    <row r="417" spans="1:31">
      <c r="A417" s="4">
        <f>IF(B417=" "," ",HYPERLINK(CONCATENATE("#metadata!",ADDRESS(INDEX($Q$2:$Q$1001,MATCH(ROWS($O$2:O417),$O$2:$O$1001,0),0),1)),INDEX($T$2:$T$1001,MATCH(ROWS($O$2:O417),$O$2:$O$1001,0),0)))</f>
        <v>0</v>
      </c>
      <c r="B417" s="3">
        <f>IF(OR(INDEX($P$2:$P$1001,MATCH(ROWS($O$2:O417),$O$2:$O$1001,0),1)&gt;=100000,INDEX($V$1005:$AE$1005,1,MATCH(COLUMNS($V$1006:V1006),$V$1006:$AE$1006,0))&gt;=100000), " ",IF(INDEX($V$2:$AE$1001,MATCH(ROWS($O$2:O417),$O$2:$O$1001,0),MATCH(COLUMNS($V$1006:V1006),$V$1006:$AE$1006,0)), HYPERLINK("#",""), HYPERLINK(CONCATENATE("#Metadata!", ADDRESS(INDEX($Q$2:$Q$1001,MATCH(ROWS($O$2:O417),$O$2:$O$1001,0),0), INDEX($V$1004:$AE$1004,1,MATCH(COLUMNS($V$1006:V1006),$V$1006:$AE$1006,0)))),"Fix")))</f>
        <v>0</v>
      </c>
      <c r="C417" s="3">
        <f>IF(OR(INDEX($P$2:$P$1001,MATCH(ROWS($O$2:O417),$O$2:$O$1001,0),1)&gt;=100000,INDEX($V$1005:$AE$1005,1,MATCH(COLUMNS($V$1006:W1006),$V$1006:$AE$1006,0))&gt;=100000), " ",IF(INDEX($V$2:$AE$1001,MATCH(ROWS($O$2:O417),$O$2:$O$1001,0),MATCH(COLUMNS($V$1006:W1006),$V$1006:$AE$1006,0)), HYPERLINK("#",""), HYPERLINK(CONCATENATE("#Metadata!", ADDRESS(INDEX($Q$2:$Q$1001,MATCH(ROWS($O$2:O417),$O$2:$O$1001,0),0), INDEX($V$1004:$AE$1004,1,MATCH(COLUMNS($V$1006:W1006),$V$1006:$AE$1006,0)))),"Fix")))</f>
        <v>0</v>
      </c>
      <c r="D417" s="3">
        <f>IF(OR(INDEX($P$2:$P$1001,MATCH(ROWS($O$2:O417),$O$2:$O$1001,0),1)&gt;=100000,INDEX($V$1005:$AE$1005,1,MATCH(COLUMNS($V$1006:X1006),$V$1006:$AE$1006,0))&gt;=100000), " ",IF(INDEX($V$2:$AE$1001,MATCH(ROWS($O$2:O417),$O$2:$O$1001,0),MATCH(COLUMNS($V$1006:X1006),$V$1006:$AE$1006,0)), HYPERLINK("#",""), HYPERLINK(CONCATENATE("#Metadata!", ADDRESS(INDEX($Q$2:$Q$1001,MATCH(ROWS($O$2:O417),$O$2:$O$1001,0),0), INDEX($V$1004:$AE$1004,1,MATCH(COLUMNS($V$1006:X1006),$V$1006:$AE$1006,0)))),"Fix")))</f>
        <v>0</v>
      </c>
      <c r="E417" s="3">
        <f>IF(OR(INDEX($P$2:$P$1001,MATCH(ROWS($O$2:O417),$O$2:$O$1001,0),1)&gt;=100000,INDEX($V$1005:$AE$1005,1,MATCH(COLUMNS($V$1006:Y1006),$V$1006:$AE$1006,0))&gt;=100000), " ",IF(INDEX($V$2:$AE$1001,MATCH(ROWS($O$2:O417),$O$2:$O$1001,0),MATCH(COLUMNS($V$1006:Y1006),$V$1006:$AE$1006,0)), HYPERLINK("#",""), HYPERLINK(CONCATENATE("#Metadata!", ADDRESS(INDEX($Q$2:$Q$1001,MATCH(ROWS($O$2:O417),$O$2:$O$1001,0),0), INDEX($V$1004:$AE$1004,1,MATCH(COLUMNS($V$1006:Y1006),$V$1006:$AE$1006,0)))),"Fix")))</f>
        <v>0</v>
      </c>
      <c r="F417" s="3">
        <f>IF(OR(INDEX($P$2:$P$1001,MATCH(ROWS($O$2:O417),$O$2:$O$1001,0),1)&gt;=100000,INDEX($V$1005:$AE$1005,1,MATCH(COLUMNS($V$1006:Z1006),$V$1006:$AE$1006,0))&gt;=100000), " ",IF(INDEX($V$2:$AE$1001,MATCH(ROWS($O$2:O417),$O$2:$O$1001,0),MATCH(COLUMNS($V$1006:Z1006),$V$1006:$AE$1006,0)), HYPERLINK("#",""), HYPERLINK(CONCATENATE("#Metadata!", ADDRESS(INDEX($Q$2:$Q$1001,MATCH(ROWS($O$2:O417),$O$2:$O$1001,0),0), INDEX($V$1004:$AE$1004,1,MATCH(COLUMNS($V$1006:Z1006),$V$1006:$AE$1006,0)))),"Fix")))</f>
        <v>0</v>
      </c>
      <c r="G417" s="3">
        <f>IF(OR(INDEX($P$2:$P$1001,MATCH(ROWS($O$2:O417),$O$2:$O$1001,0),1)&gt;=100000,INDEX($V$1005:$AE$1005,1,MATCH(COLUMNS($V$1006:AA1006),$V$1006:$AE$1006,0))&gt;=100000), " ",IF(INDEX($V$2:$AE$1001,MATCH(ROWS($O$2:O417),$O$2:$O$1001,0),MATCH(COLUMNS($V$1006:AA1006),$V$1006:$AE$1006,0)), HYPERLINK("#",""), HYPERLINK(CONCATENATE("#Metadata!", ADDRESS(INDEX($Q$2:$Q$1001,MATCH(ROWS($O$2:O417),$O$2:$O$1001,0),0), INDEX($V$1004:$AE$1004,1,MATCH(COLUMNS($V$1006:AA1006),$V$1006:$AE$1006,0)))),"Fix")))</f>
        <v>0</v>
      </c>
      <c r="H417" s="3">
        <f>IF(OR(INDEX($P$2:$P$1001,MATCH(ROWS($O$2:O417),$O$2:$O$1001,0),1)&gt;=100000,INDEX($V$1005:$AE$1005,1,MATCH(COLUMNS($V$1006:AB1006),$V$1006:$AE$1006,0))&gt;=100000), " ",IF(INDEX($V$2:$AE$1001,MATCH(ROWS($O$2:O417),$O$2:$O$1001,0),MATCH(COLUMNS($V$1006:AB1006),$V$1006:$AE$1006,0)), HYPERLINK("#",""), HYPERLINK(CONCATENATE("#Metadata!", ADDRESS(INDEX($Q$2:$Q$1001,MATCH(ROWS($O$2:O417),$O$2:$O$1001,0),0), INDEX($V$1004:$AE$1004,1,MATCH(COLUMNS($V$1006:AB1006),$V$1006:$AE$1006,0)))),"Fix")))</f>
        <v>0</v>
      </c>
      <c r="I417" s="3">
        <f>IF(OR(INDEX($P$2:$P$1001,MATCH(ROWS($O$2:O417),$O$2:$O$1001,0),1)&gt;=100000,INDEX($V$1005:$AE$1005,1,MATCH(COLUMNS($V$1006:AC1006),$V$1006:$AE$1006,0))&gt;=100000), " ",IF(INDEX($V$2:$AE$1001,MATCH(ROWS($O$2:O417),$O$2:$O$1001,0),MATCH(COLUMNS($V$1006:AC1006),$V$1006:$AE$1006,0)), HYPERLINK("#",""), HYPERLINK(CONCATENATE("#Metadata!", ADDRESS(INDEX($Q$2:$Q$1001,MATCH(ROWS($O$2:O417),$O$2:$O$1001,0),0), INDEX($V$1004:$AE$1004,1,MATCH(COLUMNS($V$1006:AC1006),$V$1006:$AE$1006,0)))),"Fix")))</f>
        <v>0</v>
      </c>
      <c r="J417" s="3">
        <f>IF(OR(INDEX($P$2:$P$1001,MATCH(ROWS($O$2:O417),$O$2:$O$1001,0),1)&gt;=100000,INDEX($V$1005:$AE$1005,1,MATCH(COLUMNS($V$1006:AD1006),$V$1006:$AE$1006,0))&gt;=100000), " ",IF(INDEX($V$2:$AE$1001,MATCH(ROWS($O$2:O417),$O$2:$O$1001,0),MATCH(COLUMNS($V$1006:AD1006),$V$1006:$AE$1006,0)), HYPERLINK("#",""), HYPERLINK(CONCATENATE("#Metadata!", ADDRESS(INDEX($Q$2:$Q$1001,MATCH(ROWS($O$2:O417),$O$2:$O$1001,0),0), INDEX($V$1004:$AE$1004,1,MATCH(COLUMNS($V$1006:AD1006),$V$1006:$AE$1006,0)))),"Fix")))</f>
        <v>0</v>
      </c>
      <c r="K417" s="3">
        <f>IF(OR(INDEX($P$2:$P$1001,MATCH(ROWS($O$2:O417),$O$2:$O$1001,0),1)&gt;=100000,INDEX($V$1005:$AE$1005,1,MATCH(COLUMNS($V$1006:AE1006),$V$1006:$AE$1006,0))&gt;=100000), " ",IF(INDEX($V$2:$AE$1001,MATCH(ROWS($O$2:O417),$O$2:$O$1001,0),MATCH(COLUMNS($V$1006:AE1006),$V$1006:$AE$1006,0)), HYPERLINK("#",""), HYPERLINK(CONCATENATE("#Metadata!", ADDRESS(INDEX($Q$2:$Q$1001,MATCH(ROWS($O$2:O417),$O$2:$O$1001,0),0), INDEX($V$1004:$AE$1004,1,MATCH(COLUMNS($V$1006:AE1006),$V$1006:$AE$1006,0)))),"Fix")))</f>
        <v>0</v>
      </c>
      <c r="O417">
        <v>0</v>
      </c>
      <c r="P417">
        <v>0</v>
      </c>
      <c r="Q417">
        <v>0</v>
      </c>
      <c r="R417">
        <f>IF(S417,TRUE,AND(V417:AE417))</f>
        <v>0</v>
      </c>
      <c r="S417">
        <f>COUNTBLANK(Metadata!B417:K417)=COLUMNS(Metadata!B417:K417)</f>
        <v>0</v>
      </c>
      <c r="T417">
        <v>0</v>
      </c>
      <c r="V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W417">
        <f>AND(IF(Metadata!C417="",FALSE,TRUE),exact(Metadata!C417,"animal secretion"))</f>
        <v>0</v>
      </c>
      <c r="X417">
        <f>AND(IF(Metadata!D417="",FALSE,TRUE),exact(Metadata!D417,"saliva"))</f>
        <v>0</v>
      </c>
      <c r="Y417">
        <f>AND(IF(Metadata!E417="",FALSE,TRUE),exact(Metadata!E417,"human-oral"))</f>
        <v>0</v>
      </c>
      <c r="Z417">
        <f>AND(IF(Metadata!F417="",FALSE,TRUE),exact(Metadata!F417,"UBERON:oral cavity"))</f>
        <v>0</v>
      </c>
      <c r="AA417">
        <f>AND(IF(Metadata!G417="",FALSE,TRUE),exact(Metadata!G417,"UBERON:saliva"))</f>
        <v>0</v>
      </c>
      <c r="AB417">
        <f>AND(IF(Metadata!H417="",FALSE,TRUE),exact(Metadata!H417,"UBERON:tongue"))</f>
        <v>0</v>
      </c>
      <c r="AC417">
        <f>AND(IF(Metadata!I417="",FALSE,TRUE),exact(Metadata!I417,"tongue"))</f>
        <v>0</v>
      </c>
      <c r="AD417">
        <f>AND(IF(Metadata!J417="",FALSE,TRUE),exact(Metadata!J417,"human oral metagenome"))</f>
        <v>0</v>
      </c>
      <c r="AE417">
        <f>AND(IF(Metadata!K417="",FALSE,TRUE),exact(Metadata!K417,"447426"))</f>
        <v>0</v>
      </c>
    </row>
    <row r="418" spans="1:31">
      <c r="A418" s="4">
        <f>IF(B418=" "," ",HYPERLINK(CONCATENATE("#metadata!",ADDRESS(INDEX($Q$2:$Q$1001,MATCH(ROWS($O$2:O418),$O$2:$O$1001,0),0),1)),INDEX($T$2:$T$1001,MATCH(ROWS($O$2:O418),$O$2:$O$1001,0),0)))</f>
        <v>0</v>
      </c>
      <c r="B418" s="3">
        <f>IF(OR(INDEX($P$2:$P$1001,MATCH(ROWS($O$2:O418),$O$2:$O$1001,0),1)&gt;=100000,INDEX($V$1005:$AE$1005,1,MATCH(COLUMNS($V$1006:V1006),$V$1006:$AE$1006,0))&gt;=100000), " ",IF(INDEX($V$2:$AE$1001,MATCH(ROWS($O$2:O418),$O$2:$O$1001,0),MATCH(COLUMNS($V$1006:V1006),$V$1006:$AE$1006,0)), HYPERLINK("#",""), HYPERLINK(CONCATENATE("#Metadata!", ADDRESS(INDEX($Q$2:$Q$1001,MATCH(ROWS($O$2:O418),$O$2:$O$1001,0),0), INDEX($V$1004:$AE$1004,1,MATCH(COLUMNS($V$1006:V1006),$V$1006:$AE$1006,0)))),"Fix")))</f>
        <v>0</v>
      </c>
      <c r="C418" s="3">
        <f>IF(OR(INDEX($P$2:$P$1001,MATCH(ROWS($O$2:O418),$O$2:$O$1001,0),1)&gt;=100000,INDEX($V$1005:$AE$1005,1,MATCH(COLUMNS($V$1006:W1006),$V$1006:$AE$1006,0))&gt;=100000), " ",IF(INDEX($V$2:$AE$1001,MATCH(ROWS($O$2:O418),$O$2:$O$1001,0),MATCH(COLUMNS($V$1006:W1006),$V$1006:$AE$1006,0)), HYPERLINK("#",""), HYPERLINK(CONCATENATE("#Metadata!", ADDRESS(INDEX($Q$2:$Q$1001,MATCH(ROWS($O$2:O418),$O$2:$O$1001,0),0), INDEX($V$1004:$AE$1004,1,MATCH(COLUMNS($V$1006:W1006),$V$1006:$AE$1006,0)))),"Fix")))</f>
        <v>0</v>
      </c>
      <c r="D418" s="3">
        <f>IF(OR(INDEX($P$2:$P$1001,MATCH(ROWS($O$2:O418),$O$2:$O$1001,0),1)&gt;=100000,INDEX($V$1005:$AE$1005,1,MATCH(COLUMNS($V$1006:X1006),$V$1006:$AE$1006,0))&gt;=100000), " ",IF(INDEX($V$2:$AE$1001,MATCH(ROWS($O$2:O418),$O$2:$O$1001,0),MATCH(COLUMNS($V$1006:X1006),$V$1006:$AE$1006,0)), HYPERLINK("#",""), HYPERLINK(CONCATENATE("#Metadata!", ADDRESS(INDEX($Q$2:$Q$1001,MATCH(ROWS($O$2:O418),$O$2:$O$1001,0),0), INDEX($V$1004:$AE$1004,1,MATCH(COLUMNS($V$1006:X1006),$V$1006:$AE$1006,0)))),"Fix")))</f>
        <v>0</v>
      </c>
      <c r="E418" s="3">
        <f>IF(OR(INDEX($P$2:$P$1001,MATCH(ROWS($O$2:O418),$O$2:$O$1001,0),1)&gt;=100000,INDEX($V$1005:$AE$1005,1,MATCH(COLUMNS($V$1006:Y1006),$V$1006:$AE$1006,0))&gt;=100000), " ",IF(INDEX($V$2:$AE$1001,MATCH(ROWS($O$2:O418),$O$2:$O$1001,0),MATCH(COLUMNS($V$1006:Y1006),$V$1006:$AE$1006,0)), HYPERLINK("#",""), HYPERLINK(CONCATENATE("#Metadata!", ADDRESS(INDEX($Q$2:$Q$1001,MATCH(ROWS($O$2:O418),$O$2:$O$1001,0),0), INDEX($V$1004:$AE$1004,1,MATCH(COLUMNS($V$1006:Y1006),$V$1006:$AE$1006,0)))),"Fix")))</f>
        <v>0</v>
      </c>
      <c r="F418" s="3">
        <f>IF(OR(INDEX($P$2:$P$1001,MATCH(ROWS($O$2:O418),$O$2:$O$1001,0),1)&gt;=100000,INDEX($V$1005:$AE$1005,1,MATCH(COLUMNS($V$1006:Z1006),$V$1006:$AE$1006,0))&gt;=100000), " ",IF(INDEX($V$2:$AE$1001,MATCH(ROWS($O$2:O418),$O$2:$O$1001,0),MATCH(COLUMNS($V$1006:Z1006),$V$1006:$AE$1006,0)), HYPERLINK("#",""), HYPERLINK(CONCATENATE("#Metadata!", ADDRESS(INDEX($Q$2:$Q$1001,MATCH(ROWS($O$2:O418),$O$2:$O$1001,0),0), INDEX($V$1004:$AE$1004,1,MATCH(COLUMNS($V$1006:Z1006),$V$1006:$AE$1006,0)))),"Fix")))</f>
        <v>0</v>
      </c>
      <c r="G418" s="3">
        <f>IF(OR(INDEX($P$2:$P$1001,MATCH(ROWS($O$2:O418),$O$2:$O$1001,0),1)&gt;=100000,INDEX($V$1005:$AE$1005,1,MATCH(COLUMNS($V$1006:AA1006),$V$1006:$AE$1006,0))&gt;=100000), " ",IF(INDEX($V$2:$AE$1001,MATCH(ROWS($O$2:O418),$O$2:$O$1001,0),MATCH(COLUMNS($V$1006:AA1006),$V$1006:$AE$1006,0)), HYPERLINK("#",""), HYPERLINK(CONCATENATE("#Metadata!", ADDRESS(INDEX($Q$2:$Q$1001,MATCH(ROWS($O$2:O418),$O$2:$O$1001,0),0), INDEX($V$1004:$AE$1004,1,MATCH(COLUMNS($V$1006:AA1006),$V$1006:$AE$1006,0)))),"Fix")))</f>
        <v>0</v>
      </c>
      <c r="H418" s="3">
        <f>IF(OR(INDEX($P$2:$P$1001,MATCH(ROWS($O$2:O418),$O$2:$O$1001,0),1)&gt;=100000,INDEX($V$1005:$AE$1005,1,MATCH(COLUMNS($V$1006:AB1006),$V$1006:$AE$1006,0))&gt;=100000), " ",IF(INDEX($V$2:$AE$1001,MATCH(ROWS($O$2:O418),$O$2:$O$1001,0),MATCH(COLUMNS($V$1006:AB1006),$V$1006:$AE$1006,0)), HYPERLINK("#",""), HYPERLINK(CONCATENATE("#Metadata!", ADDRESS(INDEX($Q$2:$Q$1001,MATCH(ROWS($O$2:O418),$O$2:$O$1001,0),0), INDEX($V$1004:$AE$1004,1,MATCH(COLUMNS($V$1006:AB1006),$V$1006:$AE$1006,0)))),"Fix")))</f>
        <v>0</v>
      </c>
      <c r="I418" s="3">
        <f>IF(OR(INDEX($P$2:$P$1001,MATCH(ROWS($O$2:O418),$O$2:$O$1001,0),1)&gt;=100000,INDEX($V$1005:$AE$1005,1,MATCH(COLUMNS($V$1006:AC1006),$V$1006:$AE$1006,0))&gt;=100000), " ",IF(INDEX($V$2:$AE$1001,MATCH(ROWS($O$2:O418),$O$2:$O$1001,0),MATCH(COLUMNS($V$1006:AC1006),$V$1006:$AE$1006,0)), HYPERLINK("#",""), HYPERLINK(CONCATENATE("#Metadata!", ADDRESS(INDEX($Q$2:$Q$1001,MATCH(ROWS($O$2:O418),$O$2:$O$1001,0),0), INDEX($V$1004:$AE$1004,1,MATCH(COLUMNS($V$1006:AC1006),$V$1006:$AE$1006,0)))),"Fix")))</f>
        <v>0</v>
      </c>
      <c r="J418" s="3">
        <f>IF(OR(INDEX($P$2:$P$1001,MATCH(ROWS($O$2:O418),$O$2:$O$1001,0),1)&gt;=100000,INDEX($V$1005:$AE$1005,1,MATCH(COLUMNS($V$1006:AD1006),$V$1006:$AE$1006,0))&gt;=100000), " ",IF(INDEX($V$2:$AE$1001,MATCH(ROWS($O$2:O418),$O$2:$O$1001,0),MATCH(COLUMNS($V$1006:AD1006),$V$1006:$AE$1006,0)), HYPERLINK("#",""), HYPERLINK(CONCATENATE("#Metadata!", ADDRESS(INDEX($Q$2:$Q$1001,MATCH(ROWS($O$2:O418),$O$2:$O$1001,0),0), INDEX($V$1004:$AE$1004,1,MATCH(COLUMNS($V$1006:AD1006),$V$1006:$AE$1006,0)))),"Fix")))</f>
        <v>0</v>
      </c>
      <c r="K418" s="3">
        <f>IF(OR(INDEX($P$2:$P$1001,MATCH(ROWS($O$2:O418),$O$2:$O$1001,0),1)&gt;=100000,INDEX($V$1005:$AE$1005,1,MATCH(COLUMNS($V$1006:AE1006),$V$1006:$AE$1006,0))&gt;=100000), " ",IF(INDEX($V$2:$AE$1001,MATCH(ROWS($O$2:O418),$O$2:$O$1001,0),MATCH(COLUMNS($V$1006:AE1006),$V$1006:$AE$1006,0)), HYPERLINK("#",""), HYPERLINK(CONCATENATE("#Metadata!", ADDRESS(INDEX($Q$2:$Q$1001,MATCH(ROWS($O$2:O418),$O$2:$O$1001,0),0), INDEX($V$1004:$AE$1004,1,MATCH(COLUMNS($V$1006:AE1006),$V$1006:$AE$1006,0)))),"Fix")))</f>
        <v>0</v>
      </c>
      <c r="O418">
        <v>0</v>
      </c>
      <c r="P418">
        <v>0</v>
      </c>
      <c r="Q418">
        <v>0</v>
      </c>
      <c r="R418">
        <f>IF(S418,TRUE,AND(V418:AE418))</f>
        <v>0</v>
      </c>
      <c r="S418">
        <f>COUNTBLANK(Metadata!B418:K418)=COLUMNS(Metadata!B418:K418)</f>
        <v>0</v>
      </c>
      <c r="T418">
        <v>0</v>
      </c>
      <c r="V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W418">
        <f>AND(IF(Metadata!C418="",FALSE,TRUE),exact(Metadata!C418,"animal secretion"))</f>
        <v>0</v>
      </c>
      <c r="X418">
        <f>AND(IF(Metadata!D418="",FALSE,TRUE),exact(Metadata!D418,"saliva"))</f>
        <v>0</v>
      </c>
      <c r="Y418">
        <f>AND(IF(Metadata!E418="",FALSE,TRUE),exact(Metadata!E418,"human-oral"))</f>
        <v>0</v>
      </c>
      <c r="Z418">
        <f>AND(IF(Metadata!F418="",FALSE,TRUE),exact(Metadata!F418,"UBERON:oral cavity"))</f>
        <v>0</v>
      </c>
      <c r="AA418">
        <f>AND(IF(Metadata!G418="",FALSE,TRUE),exact(Metadata!G418,"UBERON:saliva"))</f>
        <v>0</v>
      </c>
      <c r="AB418">
        <f>AND(IF(Metadata!H418="",FALSE,TRUE),exact(Metadata!H418,"UBERON:tongue"))</f>
        <v>0</v>
      </c>
      <c r="AC418">
        <f>AND(IF(Metadata!I418="",FALSE,TRUE),exact(Metadata!I418,"tongue"))</f>
        <v>0</v>
      </c>
      <c r="AD418">
        <f>AND(IF(Metadata!J418="",FALSE,TRUE),exact(Metadata!J418,"human oral metagenome"))</f>
        <v>0</v>
      </c>
      <c r="AE418">
        <f>AND(IF(Metadata!K418="",FALSE,TRUE),exact(Metadata!K418,"447426"))</f>
        <v>0</v>
      </c>
    </row>
    <row r="419" spans="1:31">
      <c r="A419" s="4">
        <f>IF(B419=" "," ",HYPERLINK(CONCATENATE("#metadata!",ADDRESS(INDEX($Q$2:$Q$1001,MATCH(ROWS($O$2:O419),$O$2:$O$1001,0),0),1)),INDEX($T$2:$T$1001,MATCH(ROWS($O$2:O419),$O$2:$O$1001,0),0)))</f>
        <v>0</v>
      </c>
      <c r="B419" s="3">
        <f>IF(OR(INDEX($P$2:$P$1001,MATCH(ROWS($O$2:O419),$O$2:$O$1001,0),1)&gt;=100000,INDEX($V$1005:$AE$1005,1,MATCH(COLUMNS($V$1006:V1006),$V$1006:$AE$1006,0))&gt;=100000), " ",IF(INDEX($V$2:$AE$1001,MATCH(ROWS($O$2:O419),$O$2:$O$1001,0),MATCH(COLUMNS($V$1006:V1006),$V$1006:$AE$1006,0)), HYPERLINK("#",""), HYPERLINK(CONCATENATE("#Metadata!", ADDRESS(INDEX($Q$2:$Q$1001,MATCH(ROWS($O$2:O419),$O$2:$O$1001,0),0), INDEX($V$1004:$AE$1004,1,MATCH(COLUMNS($V$1006:V1006),$V$1006:$AE$1006,0)))),"Fix")))</f>
        <v>0</v>
      </c>
      <c r="C419" s="3">
        <f>IF(OR(INDEX($P$2:$P$1001,MATCH(ROWS($O$2:O419),$O$2:$O$1001,0),1)&gt;=100000,INDEX($V$1005:$AE$1005,1,MATCH(COLUMNS($V$1006:W1006),$V$1006:$AE$1006,0))&gt;=100000), " ",IF(INDEX($V$2:$AE$1001,MATCH(ROWS($O$2:O419),$O$2:$O$1001,0),MATCH(COLUMNS($V$1006:W1006),$V$1006:$AE$1006,0)), HYPERLINK("#",""), HYPERLINK(CONCATENATE("#Metadata!", ADDRESS(INDEX($Q$2:$Q$1001,MATCH(ROWS($O$2:O419),$O$2:$O$1001,0),0), INDEX($V$1004:$AE$1004,1,MATCH(COLUMNS($V$1006:W1006),$V$1006:$AE$1006,0)))),"Fix")))</f>
        <v>0</v>
      </c>
      <c r="D419" s="3">
        <f>IF(OR(INDEX($P$2:$P$1001,MATCH(ROWS($O$2:O419),$O$2:$O$1001,0),1)&gt;=100000,INDEX($V$1005:$AE$1005,1,MATCH(COLUMNS($V$1006:X1006),$V$1006:$AE$1006,0))&gt;=100000), " ",IF(INDEX($V$2:$AE$1001,MATCH(ROWS($O$2:O419),$O$2:$O$1001,0),MATCH(COLUMNS($V$1006:X1006),$V$1006:$AE$1006,0)), HYPERLINK("#",""), HYPERLINK(CONCATENATE("#Metadata!", ADDRESS(INDEX($Q$2:$Q$1001,MATCH(ROWS($O$2:O419),$O$2:$O$1001,0),0), INDEX($V$1004:$AE$1004,1,MATCH(COLUMNS($V$1006:X1006),$V$1006:$AE$1006,0)))),"Fix")))</f>
        <v>0</v>
      </c>
      <c r="E419" s="3">
        <f>IF(OR(INDEX($P$2:$P$1001,MATCH(ROWS($O$2:O419),$O$2:$O$1001,0),1)&gt;=100000,INDEX($V$1005:$AE$1005,1,MATCH(COLUMNS($V$1006:Y1006),$V$1006:$AE$1006,0))&gt;=100000), " ",IF(INDEX($V$2:$AE$1001,MATCH(ROWS($O$2:O419),$O$2:$O$1001,0),MATCH(COLUMNS($V$1006:Y1006),$V$1006:$AE$1006,0)), HYPERLINK("#",""), HYPERLINK(CONCATENATE("#Metadata!", ADDRESS(INDEX($Q$2:$Q$1001,MATCH(ROWS($O$2:O419),$O$2:$O$1001,0),0), INDEX($V$1004:$AE$1004,1,MATCH(COLUMNS($V$1006:Y1006),$V$1006:$AE$1006,0)))),"Fix")))</f>
        <v>0</v>
      </c>
      <c r="F419" s="3">
        <f>IF(OR(INDEX($P$2:$P$1001,MATCH(ROWS($O$2:O419),$O$2:$O$1001,0),1)&gt;=100000,INDEX($V$1005:$AE$1005,1,MATCH(COLUMNS($V$1006:Z1006),$V$1006:$AE$1006,0))&gt;=100000), " ",IF(INDEX($V$2:$AE$1001,MATCH(ROWS($O$2:O419),$O$2:$O$1001,0),MATCH(COLUMNS($V$1006:Z1006),$V$1006:$AE$1006,0)), HYPERLINK("#",""), HYPERLINK(CONCATENATE("#Metadata!", ADDRESS(INDEX($Q$2:$Q$1001,MATCH(ROWS($O$2:O419),$O$2:$O$1001,0),0), INDEX($V$1004:$AE$1004,1,MATCH(COLUMNS($V$1006:Z1006),$V$1006:$AE$1006,0)))),"Fix")))</f>
        <v>0</v>
      </c>
      <c r="G419" s="3">
        <f>IF(OR(INDEX($P$2:$P$1001,MATCH(ROWS($O$2:O419),$O$2:$O$1001,0),1)&gt;=100000,INDEX($V$1005:$AE$1005,1,MATCH(COLUMNS($V$1006:AA1006),$V$1006:$AE$1006,0))&gt;=100000), " ",IF(INDEX($V$2:$AE$1001,MATCH(ROWS($O$2:O419),$O$2:$O$1001,0),MATCH(COLUMNS($V$1006:AA1006),$V$1006:$AE$1006,0)), HYPERLINK("#",""), HYPERLINK(CONCATENATE("#Metadata!", ADDRESS(INDEX($Q$2:$Q$1001,MATCH(ROWS($O$2:O419),$O$2:$O$1001,0),0), INDEX($V$1004:$AE$1004,1,MATCH(COLUMNS($V$1006:AA1006),$V$1006:$AE$1006,0)))),"Fix")))</f>
        <v>0</v>
      </c>
      <c r="H419" s="3">
        <f>IF(OR(INDEX($P$2:$P$1001,MATCH(ROWS($O$2:O419),$O$2:$O$1001,0),1)&gt;=100000,INDEX($V$1005:$AE$1005,1,MATCH(COLUMNS($V$1006:AB1006),$V$1006:$AE$1006,0))&gt;=100000), " ",IF(INDEX($V$2:$AE$1001,MATCH(ROWS($O$2:O419),$O$2:$O$1001,0),MATCH(COLUMNS($V$1006:AB1006),$V$1006:$AE$1006,0)), HYPERLINK("#",""), HYPERLINK(CONCATENATE("#Metadata!", ADDRESS(INDEX($Q$2:$Q$1001,MATCH(ROWS($O$2:O419),$O$2:$O$1001,0),0), INDEX($V$1004:$AE$1004,1,MATCH(COLUMNS($V$1006:AB1006),$V$1006:$AE$1006,0)))),"Fix")))</f>
        <v>0</v>
      </c>
      <c r="I419" s="3">
        <f>IF(OR(INDEX($P$2:$P$1001,MATCH(ROWS($O$2:O419),$O$2:$O$1001,0),1)&gt;=100000,INDEX($V$1005:$AE$1005,1,MATCH(COLUMNS($V$1006:AC1006),$V$1006:$AE$1006,0))&gt;=100000), " ",IF(INDEX($V$2:$AE$1001,MATCH(ROWS($O$2:O419),$O$2:$O$1001,0),MATCH(COLUMNS($V$1006:AC1006),$V$1006:$AE$1006,0)), HYPERLINK("#",""), HYPERLINK(CONCATENATE("#Metadata!", ADDRESS(INDEX($Q$2:$Q$1001,MATCH(ROWS($O$2:O419),$O$2:$O$1001,0),0), INDEX($V$1004:$AE$1004,1,MATCH(COLUMNS($V$1006:AC1006),$V$1006:$AE$1006,0)))),"Fix")))</f>
        <v>0</v>
      </c>
      <c r="J419" s="3">
        <f>IF(OR(INDEX($P$2:$P$1001,MATCH(ROWS($O$2:O419),$O$2:$O$1001,0),1)&gt;=100000,INDEX($V$1005:$AE$1005,1,MATCH(COLUMNS($V$1006:AD1006),$V$1006:$AE$1006,0))&gt;=100000), " ",IF(INDEX($V$2:$AE$1001,MATCH(ROWS($O$2:O419),$O$2:$O$1001,0),MATCH(COLUMNS($V$1006:AD1006),$V$1006:$AE$1006,0)), HYPERLINK("#",""), HYPERLINK(CONCATENATE("#Metadata!", ADDRESS(INDEX($Q$2:$Q$1001,MATCH(ROWS($O$2:O419),$O$2:$O$1001,0),0), INDEX($V$1004:$AE$1004,1,MATCH(COLUMNS($V$1006:AD1006),$V$1006:$AE$1006,0)))),"Fix")))</f>
        <v>0</v>
      </c>
      <c r="K419" s="3">
        <f>IF(OR(INDEX($P$2:$P$1001,MATCH(ROWS($O$2:O419),$O$2:$O$1001,0),1)&gt;=100000,INDEX($V$1005:$AE$1005,1,MATCH(COLUMNS($V$1006:AE1006),$V$1006:$AE$1006,0))&gt;=100000), " ",IF(INDEX($V$2:$AE$1001,MATCH(ROWS($O$2:O419),$O$2:$O$1001,0),MATCH(COLUMNS($V$1006:AE1006),$V$1006:$AE$1006,0)), HYPERLINK("#",""), HYPERLINK(CONCATENATE("#Metadata!", ADDRESS(INDEX($Q$2:$Q$1001,MATCH(ROWS($O$2:O419),$O$2:$O$1001,0),0), INDEX($V$1004:$AE$1004,1,MATCH(COLUMNS($V$1006:AE1006),$V$1006:$AE$1006,0)))),"Fix")))</f>
        <v>0</v>
      </c>
      <c r="O419">
        <v>0</v>
      </c>
      <c r="P419">
        <v>0</v>
      </c>
      <c r="Q419">
        <v>0</v>
      </c>
      <c r="R419">
        <f>IF(S419,TRUE,AND(V419:AE419))</f>
        <v>0</v>
      </c>
      <c r="S419">
        <f>COUNTBLANK(Metadata!B419:K419)=COLUMNS(Metadata!B419:K419)</f>
        <v>0</v>
      </c>
      <c r="T419">
        <v>0</v>
      </c>
      <c r="V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W419">
        <f>AND(IF(Metadata!C419="",FALSE,TRUE),exact(Metadata!C419,"animal secretion"))</f>
        <v>0</v>
      </c>
      <c r="X419">
        <f>AND(IF(Metadata!D419="",FALSE,TRUE),exact(Metadata!D419,"saliva"))</f>
        <v>0</v>
      </c>
      <c r="Y419">
        <f>AND(IF(Metadata!E419="",FALSE,TRUE),exact(Metadata!E419,"human-oral"))</f>
        <v>0</v>
      </c>
      <c r="Z419">
        <f>AND(IF(Metadata!F419="",FALSE,TRUE),exact(Metadata!F419,"UBERON:oral cavity"))</f>
        <v>0</v>
      </c>
      <c r="AA419">
        <f>AND(IF(Metadata!G419="",FALSE,TRUE),exact(Metadata!G419,"UBERON:saliva"))</f>
        <v>0</v>
      </c>
      <c r="AB419">
        <f>AND(IF(Metadata!H419="",FALSE,TRUE),exact(Metadata!H419,"UBERON:tongue"))</f>
        <v>0</v>
      </c>
      <c r="AC419">
        <f>AND(IF(Metadata!I419="",FALSE,TRUE),exact(Metadata!I419,"tongue"))</f>
        <v>0</v>
      </c>
      <c r="AD419">
        <f>AND(IF(Metadata!J419="",FALSE,TRUE),exact(Metadata!J419,"human oral metagenome"))</f>
        <v>0</v>
      </c>
      <c r="AE419">
        <f>AND(IF(Metadata!K419="",FALSE,TRUE),exact(Metadata!K419,"447426"))</f>
        <v>0</v>
      </c>
    </row>
    <row r="420" spans="1:31">
      <c r="A420" s="4">
        <f>IF(B420=" "," ",HYPERLINK(CONCATENATE("#metadata!",ADDRESS(INDEX($Q$2:$Q$1001,MATCH(ROWS($O$2:O420),$O$2:$O$1001,0),0),1)),INDEX($T$2:$T$1001,MATCH(ROWS($O$2:O420),$O$2:$O$1001,0),0)))</f>
        <v>0</v>
      </c>
      <c r="B420" s="3">
        <f>IF(OR(INDEX($P$2:$P$1001,MATCH(ROWS($O$2:O420),$O$2:$O$1001,0),1)&gt;=100000,INDEX($V$1005:$AE$1005,1,MATCH(COLUMNS($V$1006:V1006),$V$1006:$AE$1006,0))&gt;=100000), " ",IF(INDEX($V$2:$AE$1001,MATCH(ROWS($O$2:O420),$O$2:$O$1001,0),MATCH(COLUMNS($V$1006:V1006),$V$1006:$AE$1006,0)), HYPERLINK("#",""), HYPERLINK(CONCATENATE("#Metadata!", ADDRESS(INDEX($Q$2:$Q$1001,MATCH(ROWS($O$2:O420),$O$2:$O$1001,0),0), INDEX($V$1004:$AE$1004,1,MATCH(COLUMNS($V$1006:V1006),$V$1006:$AE$1006,0)))),"Fix")))</f>
        <v>0</v>
      </c>
      <c r="C420" s="3">
        <f>IF(OR(INDEX($P$2:$P$1001,MATCH(ROWS($O$2:O420),$O$2:$O$1001,0),1)&gt;=100000,INDEX($V$1005:$AE$1005,1,MATCH(COLUMNS($V$1006:W1006),$V$1006:$AE$1006,0))&gt;=100000), " ",IF(INDEX($V$2:$AE$1001,MATCH(ROWS($O$2:O420),$O$2:$O$1001,0),MATCH(COLUMNS($V$1006:W1006),$V$1006:$AE$1006,0)), HYPERLINK("#",""), HYPERLINK(CONCATENATE("#Metadata!", ADDRESS(INDEX($Q$2:$Q$1001,MATCH(ROWS($O$2:O420),$O$2:$O$1001,0),0), INDEX($V$1004:$AE$1004,1,MATCH(COLUMNS($V$1006:W1006),$V$1006:$AE$1006,0)))),"Fix")))</f>
        <v>0</v>
      </c>
      <c r="D420" s="3">
        <f>IF(OR(INDEX($P$2:$P$1001,MATCH(ROWS($O$2:O420),$O$2:$O$1001,0),1)&gt;=100000,INDEX($V$1005:$AE$1005,1,MATCH(COLUMNS($V$1006:X1006),$V$1006:$AE$1006,0))&gt;=100000), " ",IF(INDEX($V$2:$AE$1001,MATCH(ROWS($O$2:O420),$O$2:$O$1001,0),MATCH(COLUMNS($V$1006:X1006),$V$1006:$AE$1006,0)), HYPERLINK("#",""), HYPERLINK(CONCATENATE("#Metadata!", ADDRESS(INDEX($Q$2:$Q$1001,MATCH(ROWS($O$2:O420),$O$2:$O$1001,0),0), INDEX($V$1004:$AE$1004,1,MATCH(COLUMNS($V$1006:X1006),$V$1006:$AE$1006,0)))),"Fix")))</f>
        <v>0</v>
      </c>
      <c r="E420" s="3">
        <f>IF(OR(INDEX($P$2:$P$1001,MATCH(ROWS($O$2:O420),$O$2:$O$1001,0),1)&gt;=100000,INDEX($V$1005:$AE$1005,1,MATCH(COLUMNS($V$1006:Y1006),$V$1006:$AE$1006,0))&gt;=100000), " ",IF(INDEX($V$2:$AE$1001,MATCH(ROWS($O$2:O420),$O$2:$O$1001,0),MATCH(COLUMNS($V$1006:Y1006),$V$1006:$AE$1006,0)), HYPERLINK("#",""), HYPERLINK(CONCATENATE("#Metadata!", ADDRESS(INDEX($Q$2:$Q$1001,MATCH(ROWS($O$2:O420),$O$2:$O$1001,0),0), INDEX($V$1004:$AE$1004,1,MATCH(COLUMNS($V$1006:Y1006),$V$1006:$AE$1006,0)))),"Fix")))</f>
        <v>0</v>
      </c>
      <c r="F420" s="3">
        <f>IF(OR(INDEX($P$2:$P$1001,MATCH(ROWS($O$2:O420),$O$2:$O$1001,0),1)&gt;=100000,INDEX($V$1005:$AE$1005,1,MATCH(COLUMNS($V$1006:Z1006),$V$1006:$AE$1006,0))&gt;=100000), " ",IF(INDEX($V$2:$AE$1001,MATCH(ROWS($O$2:O420),$O$2:$O$1001,0),MATCH(COLUMNS($V$1006:Z1006),$V$1006:$AE$1006,0)), HYPERLINK("#",""), HYPERLINK(CONCATENATE("#Metadata!", ADDRESS(INDEX($Q$2:$Q$1001,MATCH(ROWS($O$2:O420),$O$2:$O$1001,0),0), INDEX($V$1004:$AE$1004,1,MATCH(COLUMNS($V$1006:Z1006),$V$1006:$AE$1006,0)))),"Fix")))</f>
        <v>0</v>
      </c>
      <c r="G420" s="3">
        <f>IF(OR(INDEX($P$2:$P$1001,MATCH(ROWS($O$2:O420),$O$2:$O$1001,0),1)&gt;=100000,INDEX($V$1005:$AE$1005,1,MATCH(COLUMNS($V$1006:AA1006),$V$1006:$AE$1006,0))&gt;=100000), " ",IF(INDEX($V$2:$AE$1001,MATCH(ROWS($O$2:O420),$O$2:$O$1001,0),MATCH(COLUMNS($V$1006:AA1006),$V$1006:$AE$1006,0)), HYPERLINK("#",""), HYPERLINK(CONCATENATE("#Metadata!", ADDRESS(INDEX($Q$2:$Q$1001,MATCH(ROWS($O$2:O420),$O$2:$O$1001,0),0), INDEX($V$1004:$AE$1004,1,MATCH(COLUMNS($V$1006:AA1006),$V$1006:$AE$1006,0)))),"Fix")))</f>
        <v>0</v>
      </c>
      <c r="H420" s="3">
        <f>IF(OR(INDEX($P$2:$P$1001,MATCH(ROWS($O$2:O420),$O$2:$O$1001,0),1)&gt;=100000,INDEX($V$1005:$AE$1005,1,MATCH(COLUMNS($V$1006:AB1006),$V$1006:$AE$1006,0))&gt;=100000), " ",IF(INDEX($V$2:$AE$1001,MATCH(ROWS($O$2:O420),$O$2:$O$1001,0),MATCH(COLUMNS($V$1006:AB1006),$V$1006:$AE$1006,0)), HYPERLINK("#",""), HYPERLINK(CONCATENATE("#Metadata!", ADDRESS(INDEX($Q$2:$Q$1001,MATCH(ROWS($O$2:O420),$O$2:$O$1001,0),0), INDEX($V$1004:$AE$1004,1,MATCH(COLUMNS($V$1006:AB1006),$V$1006:$AE$1006,0)))),"Fix")))</f>
        <v>0</v>
      </c>
      <c r="I420" s="3">
        <f>IF(OR(INDEX($P$2:$P$1001,MATCH(ROWS($O$2:O420),$O$2:$O$1001,0),1)&gt;=100000,INDEX($V$1005:$AE$1005,1,MATCH(COLUMNS($V$1006:AC1006),$V$1006:$AE$1006,0))&gt;=100000), " ",IF(INDEX($V$2:$AE$1001,MATCH(ROWS($O$2:O420),$O$2:$O$1001,0),MATCH(COLUMNS($V$1006:AC1006),$V$1006:$AE$1006,0)), HYPERLINK("#",""), HYPERLINK(CONCATENATE("#Metadata!", ADDRESS(INDEX($Q$2:$Q$1001,MATCH(ROWS($O$2:O420),$O$2:$O$1001,0),0), INDEX($V$1004:$AE$1004,1,MATCH(COLUMNS($V$1006:AC1006),$V$1006:$AE$1006,0)))),"Fix")))</f>
        <v>0</v>
      </c>
      <c r="J420" s="3">
        <f>IF(OR(INDEX($P$2:$P$1001,MATCH(ROWS($O$2:O420),$O$2:$O$1001,0),1)&gt;=100000,INDEX($V$1005:$AE$1005,1,MATCH(COLUMNS($V$1006:AD1006),$V$1006:$AE$1006,0))&gt;=100000), " ",IF(INDEX($V$2:$AE$1001,MATCH(ROWS($O$2:O420),$O$2:$O$1001,0),MATCH(COLUMNS($V$1006:AD1006),$V$1006:$AE$1006,0)), HYPERLINK("#",""), HYPERLINK(CONCATENATE("#Metadata!", ADDRESS(INDEX($Q$2:$Q$1001,MATCH(ROWS($O$2:O420),$O$2:$O$1001,0),0), INDEX($V$1004:$AE$1004,1,MATCH(COLUMNS($V$1006:AD1006),$V$1006:$AE$1006,0)))),"Fix")))</f>
        <v>0</v>
      </c>
      <c r="K420" s="3">
        <f>IF(OR(INDEX($P$2:$P$1001,MATCH(ROWS($O$2:O420),$O$2:$O$1001,0),1)&gt;=100000,INDEX($V$1005:$AE$1005,1,MATCH(COLUMNS($V$1006:AE1006),$V$1006:$AE$1006,0))&gt;=100000), " ",IF(INDEX($V$2:$AE$1001,MATCH(ROWS($O$2:O420),$O$2:$O$1001,0),MATCH(COLUMNS($V$1006:AE1006),$V$1006:$AE$1006,0)), HYPERLINK("#",""), HYPERLINK(CONCATENATE("#Metadata!", ADDRESS(INDEX($Q$2:$Q$1001,MATCH(ROWS($O$2:O420),$O$2:$O$1001,0),0), INDEX($V$1004:$AE$1004,1,MATCH(COLUMNS($V$1006:AE1006),$V$1006:$AE$1006,0)))),"Fix")))</f>
        <v>0</v>
      </c>
      <c r="O420">
        <v>0</v>
      </c>
      <c r="P420">
        <v>0</v>
      </c>
      <c r="Q420">
        <v>0</v>
      </c>
      <c r="R420">
        <f>IF(S420,TRUE,AND(V420:AE420))</f>
        <v>0</v>
      </c>
      <c r="S420">
        <f>COUNTBLANK(Metadata!B420:K420)=COLUMNS(Metadata!B420:K420)</f>
        <v>0</v>
      </c>
      <c r="T420">
        <v>0</v>
      </c>
      <c r="V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W420">
        <f>AND(IF(Metadata!C420="",FALSE,TRUE),exact(Metadata!C420,"animal secretion"))</f>
        <v>0</v>
      </c>
      <c r="X420">
        <f>AND(IF(Metadata!D420="",FALSE,TRUE),exact(Metadata!D420,"saliva"))</f>
        <v>0</v>
      </c>
      <c r="Y420">
        <f>AND(IF(Metadata!E420="",FALSE,TRUE),exact(Metadata!E420,"human-oral"))</f>
        <v>0</v>
      </c>
      <c r="Z420">
        <f>AND(IF(Metadata!F420="",FALSE,TRUE),exact(Metadata!F420,"UBERON:oral cavity"))</f>
        <v>0</v>
      </c>
      <c r="AA420">
        <f>AND(IF(Metadata!G420="",FALSE,TRUE),exact(Metadata!G420,"UBERON:saliva"))</f>
        <v>0</v>
      </c>
      <c r="AB420">
        <f>AND(IF(Metadata!H420="",FALSE,TRUE),exact(Metadata!H420,"UBERON:tongue"))</f>
        <v>0</v>
      </c>
      <c r="AC420">
        <f>AND(IF(Metadata!I420="",FALSE,TRUE),exact(Metadata!I420,"tongue"))</f>
        <v>0</v>
      </c>
      <c r="AD420">
        <f>AND(IF(Metadata!J420="",FALSE,TRUE),exact(Metadata!J420,"human oral metagenome"))</f>
        <v>0</v>
      </c>
      <c r="AE420">
        <f>AND(IF(Metadata!K420="",FALSE,TRUE),exact(Metadata!K420,"447426"))</f>
        <v>0</v>
      </c>
    </row>
    <row r="421" spans="1:31">
      <c r="A421" s="4">
        <f>IF(B421=" "," ",HYPERLINK(CONCATENATE("#metadata!",ADDRESS(INDEX($Q$2:$Q$1001,MATCH(ROWS($O$2:O421),$O$2:$O$1001,0),0),1)),INDEX($T$2:$T$1001,MATCH(ROWS($O$2:O421),$O$2:$O$1001,0),0)))</f>
        <v>0</v>
      </c>
      <c r="B421" s="3">
        <f>IF(OR(INDEX($P$2:$P$1001,MATCH(ROWS($O$2:O421),$O$2:$O$1001,0),1)&gt;=100000,INDEX($V$1005:$AE$1005,1,MATCH(COLUMNS($V$1006:V1006),$V$1006:$AE$1006,0))&gt;=100000), " ",IF(INDEX($V$2:$AE$1001,MATCH(ROWS($O$2:O421),$O$2:$O$1001,0),MATCH(COLUMNS($V$1006:V1006),$V$1006:$AE$1006,0)), HYPERLINK("#",""), HYPERLINK(CONCATENATE("#Metadata!", ADDRESS(INDEX($Q$2:$Q$1001,MATCH(ROWS($O$2:O421),$O$2:$O$1001,0),0), INDEX($V$1004:$AE$1004,1,MATCH(COLUMNS($V$1006:V1006),$V$1006:$AE$1006,0)))),"Fix")))</f>
        <v>0</v>
      </c>
      <c r="C421" s="3">
        <f>IF(OR(INDEX($P$2:$P$1001,MATCH(ROWS($O$2:O421),$O$2:$O$1001,0),1)&gt;=100000,INDEX($V$1005:$AE$1005,1,MATCH(COLUMNS($V$1006:W1006),$V$1006:$AE$1006,0))&gt;=100000), " ",IF(INDEX($V$2:$AE$1001,MATCH(ROWS($O$2:O421),$O$2:$O$1001,0),MATCH(COLUMNS($V$1006:W1006),$V$1006:$AE$1006,0)), HYPERLINK("#",""), HYPERLINK(CONCATENATE("#Metadata!", ADDRESS(INDEX($Q$2:$Q$1001,MATCH(ROWS($O$2:O421),$O$2:$O$1001,0),0), INDEX($V$1004:$AE$1004,1,MATCH(COLUMNS($V$1006:W1006),$V$1006:$AE$1006,0)))),"Fix")))</f>
        <v>0</v>
      </c>
      <c r="D421" s="3">
        <f>IF(OR(INDEX($P$2:$P$1001,MATCH(ROWS($O$2:O421),$O$2:$O$1001,0),1)&gt;=100000,INDEX($V$1005:$AE$1005,1,MATCH(COLUMNS($V$1006:X1006),$V$1006:$AE$1006,0))&gt;=100000), " ",IF(INDEX($V$2:$AE$1001,MATCH(ROWS($O$2:O421),$O$2:$O$1001,0),MATCH(COLUMNS($V$1006:X1006),$V$1006:$AE$1006,0)), HYPERLINK("#",""), HYPERLINK(CONCATENATE("#Metadata!", ADDRESS(INDEX($Q$2:$Q$1001,MATCH(ROWS($O$2:O421),$O$2:$O$1001,0),0), INDEX($V$1004:$AE$1004,1,MATCH(COLUMNS($V$1006:X1006),$V$1006:$AE$1006,0)))),"Fix")))</f>
        <v>0</v>
      </c>
      <c r="E421" s="3">
        <f>IF(OR(INDEX($P$2:$P$1001,MATCH(ROWS($O$2:O421),$O$2:$O$1001,0),1)&gt;=100000,INDEX($V$1005:$AE$1005,1,MATCH(COLUMNS($V$1006:Y1006),$V$1006:$AE$1006,0))&gt;=100000), " ",IF(INDEX($V$2:$AE$1001,MATCH(ROWS($O$2:O421),$O$2:$O$1001,0),MATCH(COLUMNS($V$1006:Y1006),$V$1006:$AE$1006,0)), HYPERLINK("#",""), HYPERLINK(CONCATENATE("#Metadata!", ADDRESS(INDEX($Q$2:$Q$1001,MATCH(ROWS($O$2:O421),$O$2:$O$1001,0),0), INDEX($V$1004:$AE$1004,1,MATCH(COLUMNS($V$1006:Y1006),$V$1006:$AE$1006,0)))),"Fix")))</f>
        <v>0</v>
      </c>
      <c r="F421" s="3">
        <f>IF(OR(INDEX($P$2:$P$1001,MATCH(ROWS($O$2:O421),$O$2:$O$1001,0),1)&gt;=100000,INDEX($V$1005:$AE$1005,1,MATCH(COLUMNS($V$1006:Z1006),$V$1006:$AE$1006,0))&gt;=100000), " ",IF(INDEX($V$2:$AE$1001,MATCH(ROWS($O$2:O421),$O$2:$O$1001,0),MATCH(COLUMNS($V$1006:Z1006),$V$1006:$AE$1006,0)), HYPERLINK("#",""), HYPERLINK(CONCATENATE("#Metadata!", ADDRESS(INDEX($Q$2:$Q$1001,MATCH(ROWS($O$2:O421),$O$2:$O$1001,0),0), INDEX($V$1004:$AE$1004,1,MATCH(COLUMNS($V$1006:Z1006),$V$1006:$AE$1006,0)))),"Fix")))</f>
        <v>0</v>
      </c>
      <c r="G421" s="3">
        <f>IF(OR(INDEX($P$2:$P$1001,MATCH(ROWS($O$2:O421),$O$2:$O$1001,0),1)&gt;=100000,INDEX($V$1005:$AE$1005,1,MATCH(COLUMNS($V$1006:AA1006),$V$1006:$AE$1006,0))&gt;=100000), " ",IF(INDEX($V$2:$AE$1001,MATCH(ROWS($O$2:O421),$O$2:$O$1001,0),MATCH(COLUMNS($V$1006:AA1006),$V$1006:$AE$1006,0)), HYPERLINK("#",""), HYPERLINK(CONCATENATE("#Metadata!", ADDRESS(INDEX($Q$2:$Q$1001,MATCH(ROWS($O$2:O421),$O$2:$O$1001,0),0), INDEX($V$1004:$AE$1004,1,MATCH(COLUMNS($V$1006:AA1006),$V$1006:$AE$1006,0)))),"Fix")))</f>
        <v>0</v>
      </c>
      <c r="H421" s="3">
        <f>IF(OR(INDEX($P$2:$P$1001,MATCH(ROWS($O$2:O421),$O$2:$O$1001,0),1)&gt;=100000,INDEX($V$1005:$AE$1005,1,MATCH(COLUMNS($V$1006:AB1006),$V$1006:$AE$1006,0))&gt;=100000), " ",IF(INDEX($V$2:$AE$1001,MATCH(ROWS($O$2:O421),$O$2:$O$1001,0),MATCH(COLUMNS($V$1006:AB1006),$V$1006:$AE$1006,0)), HYPERLINK("#",""), HYPERLINK(CONCATENATE("#Metadata!", ADDRESS(INDEX($Q$2:$Q$1001,MATCH(ROWS($O$2:O421),$O$2:$O$1001,0),0), INDEX($V$1004:$AE$1004,1,MATCH(COLUMNS($V$1006:AB1006),$V$1006:$AE$1006,0)))),"Fix")))</f>
        <v>0</v>
      </c>
      <c r="I421" s="3">
        <f>IF(OR(INDEX($P$2:$P$1001,MATCH(ROWS($O$2:O421),$O$2:$O$1001,0),1)&gt;=100000,INDEX($V$1005:$AE$1005,1,MATCH(COLUMNS($V$1006:AC1006),$V$1006:$AE$1006,0))&gt;=100000), " ",IF(INDEX($V$2:$AE$1001,MATCH(ROWS($O$2:O421),$O$2:$O$1001,0),MATCH(COLUMNS($V$1006:AC1006),$V$1006:$AE$1006,0)), HYPERLINK("#",""), HYPERLINK(CONCATENATE("#Metadata!", ADDRESS(INDEX($Q$2:$Q$1001,MATCH(ROWS($O$2:O421),$O$2:$O$1001,0),0), INDEX($V$1004:$AE$1004,1,MATCH(COLUMNS($V$1006:AC1006),$V$1006:$AE$1006,0)))),"Fix")))</f>
        <v>0</v>
      </c>
      <c r="J421" s="3">
        <f>IF(OR(INDEX($P$2:$P$1001,MATCH(ROWS($O$2:O421),$O$2:$O$1001,0),1)&gt;=100000,INDEX($V$1005:$AE$1005,1,MATCH(COLUMNS($V$1006:AD1006),$V$1006:$AE$1006,0))&gt;=100000), " ",IF(INDEX($V$2:$AE$1001,MATCH(ROWS($O$2:O421),$O$2:$O$1001,0),MATCH(COLUMNS($V$1006:AD1006),$V$1006:$AE$1006,0)), HYPERLINK("#",""), HYPERLINK(CONCATENATE("#Metadata!", ADDRESS(INDEX($Q$2:$Q$1001,MATCH(ROWS($O$2:O421),$O$2:$O$1001,0),0), INDEX($V$1004:$AE$1004,1,MATCH(COLUMNS($V$1006:AD1006),$V$1006:$AE$1006,0)))),"Fix")))</f>
        <v>0</v>
      </c>
      <c r="K421" s="3">
        <f>IF(OR(INDEX($P$2:$P$1001,MATCH(ROWS($O$2:O421),$O$2:$O$1001,0),1)&gt;=100000,INDEX($V$1005:$AE$1005,1,MATCH(COLUMNS($V$1006:AE1006),$V$1006:$AE$1006,0))&gt;=100000), " ",IF(INDEX($V$2:$AE$1001,MATCH(ROWS($O$2:O421),$O$2:$O$1001,0),MATCH(COLUMNS($V$1006:AE1006),$V$1006:$AE$1006,0)), HYPERLINK("#",""), HYPERLINK(CONCATENATE("#Metadata!", ADDRESS(INDEX($Q$2:$Q$1001,MATCH(ROWS($O$2:O421),$O$2:$O$1001,0),0), INDEX($V$1004:$AE$1004,1,MATCH(COLUMNS($V$1006:AE1006),$V$1006:$AE$1006,0)))),"Fix")))</f>
        <v>0</v>
      </c>
      <c r="O421">
        <v>0</v>
      </c>
      <c r="P421">
        <v>0</v>
      </c>
      <c r="Q421">
        <v>0</v>
      </c>
      <c r="R421">
        <f>IF(S421,TRUE,AND(V421:AE421))</f>
        <v>0</v>
      </c>
      <c r="S421">
        <f>COUNTBLANK(Metadata!B421:K421)=COLUMNS(Metadata!B421:K421)</f>
        <v>0</v>
      </c>
      <c r="T421">
        <v>0</v>
      </c>
      <c r="V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W421">
        <f>AND(IF(Metadata!C421="",FALSE,TRUE),exact(Metadata!C421,"animal secretion"))</f>
        <v>0</v>
      </c>
      <c r="X421">
        <f>AND(IF(Metadata!D421="",FALSE,TRUE),exact(Metadata!D421,"saliva"))</f>
        <v>0</v>
      </c>
      <c r="Y421">
        <f>AND(IF(Metadata!E421="",FALSE,TRUE),exact(Metadata!E421,"human-oral"))</f>
        <v>0</v>
      </c>
      <c r="Z421">
        <f>AND(IF(Metadata!F421="",FALSE,TRUE),exact(Metadata!F421,"UBERON:oral cavity"))</f>
        <v>0</v>
      </c>
      <c r="AA421">
        <f>AND(IF(Metadata!G421="",FALSE,TRUE),exact(Metadata!G421,"UBERON:saliva"))</f>
        <v>0</v>
      </c>
      <c r="AB421">
        <f>AND(IF(Metadata!H421="",FALSE,TRUE),exact(Metadata!H421,"UBERON:tongue"))</f>
        <v>0</v>
      </c>
      <c r="AC421">
        <f>AND(IF(Metadata!I421="",FALSE,TRUE),exact(Metadata!I421,"tongue"))</f>
        <v>0</v>
      </c>
      <c r="AD421">
        <f>AND(IF(Metadata!J421="",FALSE,TRUE),exact(Metadata!J421,"human oral metagenome"))</f>
        <v>0</v>
      </c>
      <c r="AE421">
        <f>AND(IF(Metadata!K421="",FALSE,TRUE),exact(Metadata!K421,"447426"))</f>
        <v>0</v>
      </c>
    </row>
    <row r="422" spans="1:31">
      <c r="A422" s="4">
        <f>IF(B422=" "," ",HYPERLINK(CONCATENATE("#metadata!",ADDRESS(INDEX($Q$2:$Q$1001,MATCH(ROWS($O$2:O422),$O$2:$O$1001,0),0),1)),INDEX($T$2:$T$1001,MATCH(ROWS($O$2:O422),$O$2:$O$1001,0),0)))</f>
        <v>0</v>
      </c>
      <c r="B422" s="3">
        <f>IF(OR(INDEX($P$2:$P$1001,MATCH(ROWS($O$2:O422),$O$2:$O$1001,0),1)&gt;=100000,INDEX($V$1005:$AE$1005,1,MATCH(COLUMNS($V$1006:V1006),$V$1006:$AE$1006,0))&gt;=100000), " ",IF(INDEX($V$2:$AE$1001,MATCH(ROWS($O$2:O422),$O$2:$O$1001,0),MATCH(COLUMNS($V$1006:V1006),$V$1006:$AE$1006,0)), HYPERLINK("#",""), HYPERLINK(CONCATENATE("#Metadata!", ADDRESS(INDEX($Q$2:$Q$1001,MATCH(ROWS($O$2:O422),$O$2:$O$1001,0),0), INDEX($V$1004:$AE$1004,1,MATCH(COLUMNS($V$1006:V1006),$V$1006:$AE$1006,0)))),"Fix")))</f>
        <v>0</v>
      </c>
      <c r="C422" s="3">
        <f>IF(OR(INDEX($P$2:$P$1001,MATCH(ROWS($O$2:O422),$O$2:$O$1001,0),1)&gt;=100000,INDEX($V$1005:$AE$1005,1,MATCH(COLUMNS($V$1006:W1006),$V$1006:$AE$1006,0))&gt;=100000), " ",IF(INDEX($V$2:$AE$1001,MATCH(ROWS($O$2:O422),$O$2:$O$1001,0),MATCH(COLUMNS($V$1006:W1006),$V$1006:$AE$1006,0)), HYPERLINK("#",""), HYPERLINK(CONCATENATE("#Metadata!", ADDRESS(INDEX($Q$2:$Q$1001,MATCH(ROWS($O$2:O422),$O$2:$O$1001,0),0), INDEX($V$1004:$AE$1004,1,MATCH(COLUMNS($V$1006:W1006),$V$1006:$AE$1006,0)))),"Fix")))</f>
        <v>0</v>
      </c>
      <c r="D422" s="3">
        <f>IF(OR(INDEX($P$2:$P$1001,MATCH(ROWS($O$2:O422),$O$2:$O$1001,0),1)&gt;=100000,INDEX($V$1005:$AE$1005,1,MATCH(COLUMNS($V$1006:X1006),$V$1006:$AE$1006,0))&gt;=100000), " ",IF(INDEX($V$2:$AE$1001,MATCH(ROWS($O$2:O422),$O$2:$O$1001,0),MATCH(COLUMNS($V$1006:X1006),$V$1006:$AE$1006,0)), HYPERLINK("#",""), HYPERLINK(CONCATENATE("#Metadata!", ADDRESS(INDEX($Q$2:$Q$1001,MATCH(ROWS($O$2:O422),$O$2:$O$1001,0),0), INDEX($V$1004:$AE$1004,1,MATCH(COLUMNS($V$1006:X1006),$V$1006:$AE$1006,0)))),"Fix")))</f>
        <v>0</v>
      </c>
      <c r="E422" s="3">
        <f>IF(OR(INDEX($P$2:$P$1001,MATCH(ROWS($O$2:O422),$O$2:$O$1001,0),1)&gt;=100000,INDEX($V$1005:$AE$1005,1,MATCH(COLUMNS($V$1006:Y1006),$V$1006:$AE$1006,0))&gt;=100000), " ",IF(INDEX($V$2:$AE$1001,MATCH(ROWS($O$2:O422),$O$2:$O$1001,0),MATCH(COLUMNS($V$1006:Y1006),$V$1006:$AE$1006,0)), HYPERLINK("#",""), HYPERLINK(CONCATENATE("#Metadata!", ADDRESS(INDEX($Q$2:$Q$1001,MATCH(ROWS($O$2:O422),$O$2:$O$1001,0),0), INDEX($V$1004:$AE$1004,1,MATCH(COLUMNS($V$1006:Y1006),$V$1006:$AE$1006,0)))),"Fix")))</f>
        <v>0</v>
      </c>
      <c r="F422" s="3">
        <f>IF(OR(INDEX($P$2:$P$1001,MATCH(ROWS($O$2:O422),$O$2:$O$1001,0),1)&gt;=100000,INDEX($V$1005:$AE$1005,1,MATCH(COLUMNS($V$1006:Z1006),$V$1006:$AE$1006,0))&gt;=100000), " ",IF(INDEX($V$2:$AE$1001,MATCH(ROWS($O$2:O422),$O$2:$O$1001,0),MATCH(COLUMNS($V$1006:Z1006),$V$1006:$AE$1006,0)), HYPERLINK("#",""), HYPERLINK(CONCATENATE("#Metadata!", ADDRESS(INDEX($Q$2:$Q$1001,MATCH(ROWS($O$2:O422),$O$2:$O$1001,0),0), INDEX($V$1004:$AE$1004,1,MATCH(COLUMNS($V$1006:Z1006),$V$1006:$AE$1006,0)))),"Fix")))</f>
        <v>0</v>
      </c>
      <c r="G422" s="3">
        <f>IF(OR(INDEX($P$2:$P$1001,MATCH(ROWS($O$2:O422),$O$2:$O$1001,0),1)&gt;=100000,INDEX($V$1005:$AE$1005,1,MATCH(COLUMNS($V$1006:AA1006),$V$1006:$AE$1006,0))&gt;=100000), " ",IF(INDEX($V$2:$AE$1001,MATCH(ROWS($O$2:O422),$O$2:$O$1001,0),MATCH(COLUMNS($V$1006:AA1006),$V$1006:$AE$1006,0)), HYPERLINK("#",""), HYPERLINK(CONCATENATE("#Metadata!", ADDRESS(INDEX($Q$2:$Q$1001,MATCH(ROWS($O$2:O422),$O$2:$O$1001,0),0), INDEX($V$1004:$AE$1004,1,MATCH(COLUMNS($V$1006:AA1006),$V$1006:$AE$1006,0)))),"Fix")))</f>
        <v>0</v>
      </c>
      <c r="H422" s="3">
        <f>IF(OR(INDEX($P$2:$P$1001,MATCH(ROWS($O$2:O422),$O$2:$O$1001,0),1)&gt;=100000,INDEX($V$1005:$AE$1005,1,MATCH(COLUMNS($V$1006:AB1006),$V$1006:$AE$1006,0))&gt;=100000), " ",IF(INDEX($V$2:$AE$1001,MATCH(ROWS($O$2:O422),$O$2:$O$1001,0),MATCH(COLUMNS($V$1006:AB1006),$V$1006:$AE$1006,0)), HYPERLINK("#",""), HYPERLINK(CONCATENATE("#Metadata!", ADDRESS(INDEX($Q$2:$Q$1001,MATCH(ROWS($O$2:O422),$O$2:$O$1001,0),0), INDEX($V$1004:$AE$1004,1,MATCH(COLUMNS($V$1006:AB1006),$V$1006:$AE$1006,0)))),"Fix")))</f>
        <v>0</v>
      </c>
      <c r="I422" s="3">
        <f>IF(OR(INDEX($P$2:$P$1001,MATCH(ROWS($O$2:O422),$O$2:$O$1001,0),1)&gt;=100000,INDEX($V$1005:$AE$1005,1,MATCH(COLUMNS($V$1006:AC1006),$V$1006:$AE$1006,0))&gt;=100000), " ",IF(INDEX($V$2:$AE$1001,MATCH(ROWS($O$2:O422),$O$2:$O$1001,0),MATCH(COLUMNS($V$1006:AC1006),$V$1006:$AE$1006,0)), HYPERLINK("#",""), HYPERLINK(CONCATENATE("#Metadata!", ADDRESS(INDEX($Q$2:$Q$1001,MATCH(ROWS($O$2:O422),$O$2:$O$1001,0),0), INDEX($V$1004:$AE$1004,1,MATCH(COLUMNS($V$1006:AC1006),$V$1006:$AE$1006,0)))),"Fix")))</f>
        <v>0</v>
      </c>
      <c r="J422" s="3">
        <f>IF(OR(INDEX($P$2:$P$1001,MATCH(ROWS($O$2:O422),$O$2:$O$1001,0),1)&gt;=100000,INDEX($V$1005:$AE$1005,1,MATCH(COLUMNS($V$1006:AD1006),$V$1006:$AE$1006,0))&gt;=100000), " ",IF(INDEX($V$2:$AE$1001,MATCH(ROWS($O$2:O422),$O$2:$O$1001,0),MATCH(COLUMNS($V$1006:AD1006),$V$1006:$AE$1006,0)), HYPERLINK("#",""), HYPERLINK(CONCATENATE("#Metadata!", ADDRESS(INDEX($Q$2:$Q$1001,MATCH(ROWS($O$2:O422),$O$2:$O$1001,0),0), INDEX($V$1004:$AE$1004,1,MATCH(COLUMNS($V$1006:AD1006),$V$1006:$AE$1006,0)))),"Fix")))</f>
        <v>0</v>
      </c>
      <c r="K422" s="3">
        <f>IF(OR(INDEX($P$2:$P$1001,MATCH(ROWS($O$2:O422),$O$2:$O$1001,0),1)&gt;=100000,INDEX($V$1005:$AE$1005,1,MATCH(COLUMNS($V$1006:AE1006),$V$1006:$AE$1006,0))&gt;=100000), " ",IF(INDEX($V$2:$AE$1001,MATCH(ROWS($O$2:O422),$O$2:$O$1001,0),MATCH(COLUMNS($V$1006:AE1006),$V$1006:$AE$1006,0)), HYPERLINK("#",""), HYPERLINK(CONCATENATE("#Metadata!", ADDRESS(INDEX($Q$2:$Q$1001,MATCH(ROWS($O$2:O422),$O$2:$O$1001,0),0), INDEX($V$1004:$AE$1004,1,MATCH(COLUMNS($V$1006:AE1006),$V$1006:$AE$1006,0)))),"Fix")))</f>
        <v>0</v>
      </c>
      <c r="O422">
        <v>0</v>
      </c>
      <c r="P422">
        <v>0</v>
      </c>
      <c r="Q422">
        <v>0</v>
      </c>
      <c r="R422">
        <f>IF(S422,TRUE,AND(V422:AE422))</f>
        <v>0</v>
      </c>
      <c r="S422">
        <f>COUNTBLANK(Metadata!B422:K422)=COLUMNS(Metadata!B422:K422)</f>
        <v>0</v>
      </c>
      <c r="T422">
        <v>0</v>
      </c>
      <c r="V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W422">
        <f>AND(IF(Metadata!C422="",FALSE,TRUE),exact(Metadata!C422,"animal secretion"))</f>
        <v>0</v>
      </c>
      <c r="X422">
        <f>AND(IF(Metadata!D422="",FALSE,TRUE),exact(Metadata!D422,"saliva"))</f>
        <v>0</v>
      </c>
      <c r="Y422">
        <f>AND(IF(Metadata!E422="",FALSE,TRUE),exact(Metadata!E422,"human-oral"))</f>
        <v>0</v>
      </c>
      <c r="Z422">
        <f>AND(IF(Metadata!F422="",FALSE,TRUE),exact(Metadata!F422,"UBERON:oral cavity"))</f>
        <v>0</v>
      </c>
      <c r="AA422">
        <f>AND(IF(Metadata!G422="",FALSE,TRUE),exact(Metadata!G422,"UBERON:saliva"))</f>
        <v>0</v>
      </c>
      <c r="AB422">
        <f>AND(IF(Metadata!H422="",FALSE,TRUE),exact(Metadata!H422,"UBERON:tongue"))</f>
        <v>0</v>
      </c>
      <c r="AC422">
        <f>AND(IF(Metadata!I422="",FALSE,TRUE),exact(Metadata!I422,"tongue"))</f>
        <v>0</v>
      </c>
      <c r="AD422">
        <f>AND(IF(Metadata!J422="",FALSE,TRUE),exact(Metadata!J422,"human oral metagenome"))</f>
        <v>0</v>
      </c>
      <c r="AE422">
        <f>AND(IF(Metadata!K422="",FALSE,TRUE),exact(Metadata!K422,"447426"))</f>
        <v>0</v>
      </c>
    </row>
    <row r="423" spans="1:31">
      <c r="A423" s="4">
        <f>IF(B423=" "," ",HYPERLINK(CONCATENATE("#metadata!",ADDRESS(INDEX($Q$2:$Q$1001,MATCH(ROWS($O$2:O423),$O$2:$O$1001,0),0),1)),INDEX($T$2:$T$1001,MATCH(ROWS($O$2:O423),$O$2:$O$1001,0),0)))</f>
        <v>0</v>
      </c>
      <c r="B423" s="3">
        <f>IF(OR(INDEX($P$2:$P$1001,MATCH(ROWS($O$2:O423),$O$2:$O$1001,0),1)&gt;=100000,INDEX($V$1005:$AE$1005,1,MATCH(COLUMNS($V$1006:V1006),$V$1006:$AE$1006,0))&gt;=100000), " ",IF(INDEX($V$2:$AE$1001,MATCH(ROWS($O$2:O423),$O$2:$O$1001,0),MATCH(COLUMNS($V$1006:V1006),$V$1006:$AE$1006,0)), HYPERLINK("#",""), HYPERLINK(CONCATENATE("#Metadata!", ADDRESS(INDEX($Q$2:$Q$1001,MATCH(ROWS($O$2:O423),$O$2:$O$1001,0),0), INDEX($V$1004:$AE$1004,1,MATCH(COLUMNS($V$1006:V1006),$V$1006:$AE$1006,0)))),"Fix")))</f>
        <v>0</v>
      </c>
      <c r="C423" s="3">
        <f>IF(OR(INDEX($P$2:$P$1001,MATCH(ROWS($O$2:O423),$O$2:$O$1001,0),1)&gt;=100000,INDEX($V$1005:$AE$1005,1,MATCH(COLUMNS($V$1006:W1006),$V$1006:$AE$1006,0))&gt;=100000), " ",IF(INDEX($V$2:$AE$1001,MATCH(ROWS($O$2:O423),$O$2:$O$1001,0),MATCH(COLUMNS($V$1006:W1006),$V$1006:$AE$1006,0)), HYPERLINK("#",""), HYPERLINK(CONCATENATE("#Metadata!", ADDRESS(INDEX($Q$2:$Q$1001,MATCH(ROWS($O$2:O423),$O$2:$O$1001,0),0), INDEX($V$1004:$AE$1004,1,MATCH(COLUMNS($V$1006:W1006),$V$1006:$AE$1006,0)))),"Fix")))</f>
        <v>0</v>
      </c>
      <c r="D423" s="3">
        <f>IF(OR(INDEX($P$2:$P$1001,MATCH(ROWS($O$2:O423),$O$2:$O$1001,0),1)&gt;=100000,INDEX($V$1005:$AE$1005,1,MATCH(COLUMNS($V$1006:X1006),$V$1006:$AE$1006,0))&gt;=100000), " ",IF(INDEX($V$2:$AE$1001,MATCH(ROWS($O$2:O423),$O$2:$O$1001,0),MATCH(COLUMNS($V$1006:X1006),$V$1006:$AE$1006,0)), HYPERLINK("#",""), HYPERLINK(CONCATENATE("#Metadata!", ADDRESS(INDEX($Q$2:$Q$1001,MATCH(ROWS($O$2:O423),$O$2:$O$1001,0),0), INDEX($V$1004:$AE$1004,1,MATCH(COLUMNS($V$1006:X1006),$V$1006:$AE$1006,0)))),"Fix")))</f>
        <v>0</v>
      </c>
      <c r="E423" s="3">
        <f>IF(OR(INDEX($P$2:$P$1001,MATCH(ROWS($O$2:O423),$O$2:$O$1001,0),1)&gt;=100000,INDEX($V$1005:$AE$1005,1,MATCH(COLUMNS($V$1006:Y1006),$V$1006:$AE$1006,0))&gt;=100000), " ",IF(INDEX($V$2:$AE$1001,MATCH(ROWS($O$2:O423),$O$2:$O$1001,0),MATCH(COLUMNS($V$1006:Y1006),$V$1006:$AE$1006,0)), HYPERLINK("#",""), HYPERLINK(CONCATENATE("#Metadata!", ADDRESS(INDEX($Q$2:$Q$1001,MATCH(ROWS($O$2:O423),$O$2:$O$1001,0),0), INDEX($V$1004:$AE$1004,1,MATCH(COLUMNS($V$1006:Y1006),$V$1006:$AE$1006,0)))),"Fix")))</f>
        <v>0</v>
      </c>
      <c r="F423" s="3">
        <f>IF(OR(INDEX($P$2:$P$1001,MATCH(ROWS($O$2:O423),$O$2:$O$1001,0),1)&gt;=100000,INDEX($V$1005:$AE$1005,1,MATCH(COLUMNS($V$1006:Z1006),$V$1006:$AE$1006,0))&gt;=100000), " ",IF(INDEX($V$2:$AE$1001,MATCH(ROWS($O$2:O423),$O$2:$O$1001,0),MATCH(COLUMNS($V$1006:Z1006),$V$1006:$AE$1006,0)), HYPERLINK("#",""), HYPERLINK(CONCATENATE("#Metadata!", ADDRESS(INDEX($Q$2:$Q$1001,MATCH(ROWS($O$2:O423),$O$2:$O$1001,0),0), INDEX($V$1004:$AE$1004,1,MATCH(COLUMNS($V$1006:Z1006),$V$1006:$AE$1006,0)))),"Fix")))</f>
        <v>0</v>
      </c>
      <c r="G423" s="3">
        <f>IF(OR(INDEX($P$2:$P$1001,MATCH(ROWS($O$2:O423),$O$2:$O$1001,0),1)&gt;=100000,INDEX($V$1005:$AE$1005,1,MATCH(COLUMNS($V$1006:AA1006),$V$1006:$AE$1006,0))&gt;=100000), " ",IF(INDEX($V$2:$AE$1001,MATCH(ROWS($O$2:O423),$O$2:$O$1001,0),MATCH(COLUMNS($V$1006:AA1006),$V$1006:$AE$1006,0)), HYPERLINK("#",""), HYPERLINK(CONCATENATE("#Metadata!", ADDRESS(INDEX($Q$2:$Q$1001,MATCH(ROWS($O$2:O423),$O$2:$O$1001,0),0), INDEX($V$1004:$AE$1004,1,MATCH(COLUMNS($V$1006:AA1006),$V$1006:$AE$1006,0)))),"Fix")))</f>
        <v>0</v>
      </c>
      <c r="H423" s="3">
        <f>IF(OR(INDEX($P$2:$P$1001,MATCH(ROWS($O$2:O423),$O$2:$O$1001,0),1)&gt;=100000,INDEX($V$1005:$AE$1005,1,MATCH(COLUMNS($V$1006:AB1006),$V$1006:$AE$1006,0))&gt;=100000), " ",IF(INDEX($V$2:$AE$1001,MATCH(ROWS($O$2:O423),$O$2:$O$1001,0),MATCH(COLUMNS($V$1006:AB1006),$V$1006:$AE$1006,0)), HYPERLINK("#",""), HYPERLINK(CONCATENATE("#Metadata!", ADDRESS(INDEX($Q$2:$Q$1001,MATCH(ROWS($O$2:O423),$O$2:$O$1001,0),0), INDEX($V$1004:$AE$1004,1,MATCH(COLUMNS($V$1006:AB1006),$V$1006:$AE$1006,0)))),"Fix")))</f>
        <v>0</v>
      </c>
      <c r="I423" s="3">
        <f>IF(OR(INDEX($P$2:$P$1001,MATCH(ROWS($O$2:O423),$O$2:$O$1001,0),1)&gt;=100000,INDEX($V$1005:$AE$1005,1,MATCH(COLUMNS($V$1006:AC1006),$V$1006:$AE$1006,0))&gt;=100000), " ",IF(INDEX($V$2:$AE$1001,MATCH(ROWS($O$2:O423),$O$2:$O$1001,0),MATCH(COLUMNS($V$1006:AC1006),$V$1006:$AE$1006,0)), HYPERLINK("#",""), HYPERLINK(CONCATENATE("#Metadata!", ADDRESS(INDEX($Q$2:$Q$1001,MATCH(ROWS($O$2:O423),$O$2:$O$1001,0),0), INDEX($V$1004:$AE$1004,1,MATCH(COLUMNS($V$1006:AC1006),$V$1006:$AE$1006,0)))),"Fix")))</f>
        <v>0</v>
      </c>
      <c r="J423" s="3">
        <f>IF(OR(INDEX($P$2:$P$1001,MATCH(ROWS($O$2:O423),$O$2:$O$1001,0),1)&gt;=100000,INDEX($V$1005:$AE$1005,1,MATCH(COLUMNS($V$1006:AD1006),$V$1006:$AE$1006,0))&gt;=100000), " ",IF(INDEX($V$2:$AE$1001,MATCH(ROWS($O$2:O423),$O$2:$O$1001,0),MATCH(COLUMNS($V$1006:AD1006),$V$1006:$AE$1006,0)), HYPERLINK("#",""), HYPERLINK(CONCATENATE("#Metadata!", ADDRESS(INDEX($Q$2:$Q$1001,MATCH(ROWS($O$2:O423),$O$2:$O$1001,0),0), INDEX($V$1004:$AE$1004,1,MATCH(COLUMNS($V$1006:AD1006),$V$1006:$AE$1006,0)))),"Fix")))</f>
        <v>0</v>
      </c>
      <c r="K423" s="3">
        <f>IF(OR(INDEX($P$2:$P$1001,MATCH(ROWS($O$2:O423),$O$2:$O$1001,0),1)&gt;=100000,INDEX($V$1005:$AE$1005,1,MATCH(COLUMNS($V$1006:AE1006),$V$1006:$AE$1006,0))&gt;=100000), " ",IF(INDEX($V$2:$AE$1001,MATCH(ROWS($O$2:O423),$O$2:$O$1001,0),MATCH(COLUMNS($V$1006:AE1006),$V$1006:$AE$1006,0)), HYPERLINK("#",""), HYPERLINK(CONCATENATE("#Metadata!", ADDRESS(INDEX($Q$2:$Q$1001,MATCH(ROWS($O$2:O423),$O$2:$O$1001,0),0), INDEX($V$1004:$AE$1004,1,MATCH(COLUMNS($V$1006:AE1006),$V$1006:$AE$1006,0)))),"Fix")))</f>
        <v>0</v>
      </c>
      <c r="O423">
        <v>0</v>
      </c>
      <c r="P423">
        <v>0</v>
      </c>
      <c r="Q423">
        <v>0</v>
      </c>
      <c r="R423">
        <f>IF(S423,TRUE,AND(V423:AE423))</f>
        <v>0</v>
      </c>
      <c r="S423">
        <f>COUNTBLANK(Metadata!B423:K423)=COLUMNS(Metadata!B423:K423)</f>
        <v>0</v>
      </c>
      <c r="T423">
        <v>0</v>
      </c>
      <c r="V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W423">
        <f>AND(IF(Metadata!C423="",FALSE,TRUE),exact(Metadata!C423,"animal secretion"))</f>
        <v>0</v>
      </c>
      <c r="X423">
        <f>AND(IF(Metadata!D423="",FALSE,TRUE),exact(Metadata!D423,"saliva"))</f>
        <v>0</v>
      </c>
      <c r="Y423">
        <f>AND(IF(Metadata!E423="",FALSE,TRUE),exact(Metadata!E423,"human-oral"))</f>
        <v>0</v>
      </c>
      <c r="Z423">
        <f>AND(IF(Metadata!F423="",FALSE,TRUE),exact(Metadata!F423,"UBERON:oral cavity"))</f>
        <v>0</v>
      </c>
      <c r="AA423">
        <f>AND(IF(Metadata!G423="",FALSE,TRUE),exact(Metadata!G423,"UBERON:saliva"))</f>
        <v>0</v>
      </c>
      <c r="AB423">
        <f>AND(IF(Metadata!H423="",FALSE,TRUE),exact(Metadata!H423,"UBERON:tongue"))</f>
        <v>0</v>
      </c>
      <c r="AC423">
        <f>AND(IF(Metadata!I423="",FALSE,TRUE),exact(Metadata!I423,"tongue"))</f>
        <v>0</v>
      </c>
      <c r="AD423">
        <f>AND(IF(Metadata!J423="",FALSE,TRUE),exact(Metadata!J423,"human oral metagenome"))</f>
        <v>0</v>
      </c>
      <c r="AE423">
        <f>AND(IF(Metadata!K423="",FALSE,TRUE),exact(Metadata!K423,"447426"))</f>
        <v>0</v>
      </c>
    </row>
    <row r="424" spans="1:31">
      <c r="A424" s="4">
        <f>IF(B424=" "," ",HYPERLINK(CONCATENATE("#metadata!",ADDRESS(INDEX($Q$2:$Q$1001,MATCH(ROWS($O$2:O424),$O$2:$O$1001,0),0),1)),INDEX($T$2:$T$1001,MATCH(ROWS($O$2:O424),$O$2:$O$1001,0),0)))</f>
        <v>0</v>
      </c>
      <c r="B424" s="3">
        <f>IF(OR(INDEX($P$2:$P$1001,MATCH(ROWS($O$2:O424),$O$2:$O$1001,0),1)&gt;=100000,INDEX($V$1005:$AE$1005,1,MATCH(COLUMNS($V$1006:V1006),$V$1006:$AE$1006,0))&gt;=100000), " ",IF(INDEX($V$2:$AE$1001,MATCH(ROWS($O$2:O424),$O$2:$O$1001,0),MATCH(COLUMNS($V$1006:V1006),$V$1006:$AE$1006,0)), HYPERLINK("#",""), HYPERLINK(CONCATENATE("#Metadata!", ADDRESS(INDEX($Q$2:$Q$1001,MATCH(ROWS($O$2:O424),$O$2:$O$1001,0),0), INDEX($V$1004:$AE$1004,1,MATCH(COLUMNS($V$1006:V1006),$V$1006:$AE$1006,0)))),"Fix")))</f>
        <v>0</v>
      </c>
      <c r="C424" s="3">
        <f>IF(OR(INDEX($P$2:$P$1001,MATCH(ROWS($O$2:O424),$O$2:$O$1001,0),1)&gt;=100000,INDEX($V$1005:$AE$1005,1,MATCH(COLUMNS($V$1006:W1006),$V$1006:$AE$1006,0))&gt;=100000), " ",IF(INDEX($V$2:$AE$1001,MATCH(ROWS($O$2:O424),$O$2:$O$1001,0),MATCH(COLUMNS($V$1006:W1006),$V$1006:$AE$1006,0)), HYPERLINK("#",""), HYPERLINK(CONCATENATE("#Metadata!", ADDRESS(INDEX($Q$2:$Q$1001,MATCH(ROWS($O$2:O424),$O$2:$O$1001,0),0), INDEX($V$1004:$AE$1004,1,MATCH(COLUMNS($V$1006:W1006),$V$1006:$AE$1006,0)))),"Fix")))</f>
        <v>0</v>
      </c>
      <c r="D424" s="3">
        <f>IF(OR(INDEX($P$2:$P$1001,MATCH(ROWS($O$2:O424),$O$2:$O$1001,0),1)&gt;=100000,INDEX($V$1005:$AE$1005,1,MATCH(COLUMNS($V$1006:X1006),$V$1006:$AE$1006,0))&gt;=100000), " ",IF(INDEX($V$2:$AE$1001,MATCH(ROWS($O$2:O424),$O$2:$O$1001,0),MATCH(COLUMNS($V$1006:X1006),$V$1006:$AE$1006,0)), HYPERLINK("#",""), HYPERLINK(CONCATENATE("#Metadata!", ADDRESS(INDEX($Q$2:$Q$1001,MATCH(ROWS($O$2:O424),$O$2:$O$1001,0),0), INDEX($V$1004:$AE$1004,1,MATCH(COLUMNS($V$1006:X1006),$V$1006:$AE$1006,0)))),"Fix")))</f>
        <v>0</v>
      </c>
      <c r="E424" s="3">
        <f>IF(OR(INDEX($P$2:$P$1001,MATCH(ROWS($O$2:O424),$O$2:$O$1001,0),1)&gt;=100000,INDEX($V$1005:$AE$1005,1,MATCH(COLUMNS($V$1006:Y1006),$V$1006:$AE$1006,0))&gt;=100000), " ",IF(INDEX($V$2:$AE$1001,MATCH(ROWS($O$2:O424),$O$2:$O$1001,0),MATCH(COLUMNS($V$1006:Y1006),$V$1006:$AE$1006,0)), HYPERLINK("#",""), HYPERLINK(CONCATENATE("#Metadata!", ADDRESS(INDEX($Q$2:$Q$1001,MATCH(ROWS($O$2:O424),$O$2:$O$1001,0),0), INDEX($V$1004:$AE$1004,1,MATCH(COLUMNS($V$1006:Y1006),$V$1006:$AE$1006,0)))),"Fix")))</f>
        <v>0</v>
      </c>
      <c r="F424" s="3">
        <f>IF(OR(INDEX($P$2:$P$1001,MATCH(ROWS($O$2:O424),$O$2:$O$1001,0),1)&gt;=100000,INDEX($V$1005:$AE$1005,1,MATCH(COLUMNS($V$1006:Z1006),$V$1006:$AE$1006,0))&gt;=100000), " ",IF(INDEX($V$2:$AE$1001,MATCH(ROWS($O$2:O424),$O$2:$O$1001,0),MATCH(COLUMNS($V$1006:Z1006),$V$1006:$AE$1006,0)), HYPERLINK("#",""), HYPERLINK(CONCATENATE("#Metadata!", ADDRESS(INDEX($Q$2:$Q$1001,MATCH(ROWS($O$2:O424),$O$2:$O$1001,0),0), INDEX($V$1004:$AE$1004,1,MATCH(COLUMNS($V$1006:Z1006),$V$1006:$AE$1006,0)))),"Fix")))</f>
        <v>0</v>
      </c>
      <c r="G424" s="3">
        <f>IF(OR(INDEX($P$2:$P$1001,MATCH(ROWS($O$2:O424),$O$2:$O$1001,0),1)&gt;=100000,INDEX($V$1005:$AE$1005,1,MATCH(COLUMNS($V$1006:AA1006),$V$1006:$AE$1006,0))&gt;=100000), " ",IF(INDEX($V$2:$AE$1001,MATCH(ROWS($O$2:O424),$O$2:$O$1001,0),MATCH(COLUMNS($V$1006:AA1006),$V$1006:$AE$1006,0)), HYPERLINK("#",""), HYPERLINK(CONCATENATE("#Metadata!", ADDRESS(INDEX($Q$2:$Q$1001,MATCH(ROWS($O$2:O424),$O$2:$O$1001,0),0), INDEX($V$1004:$AE$1004,1,MATCH(COLUMNS($V$1006:AA1006),$V$1006:$AE$1006,0)))),"Fix")))</f>
        <v>0</v>
      </c>
      <c r="H424" s="3">
        <f>IF(OR(INDEX($P$2:$P$1001,MATCH(ROWS($O$2:O424),$O$2:$O$1001,0),1)&gt;=100000,INDEX($V$1005:$AE$1005,1,MATCH(COLUMNS($V$1006:AB1006),$V$1006:$AE$1006,0))&gt;=100000), " ",IF(INDEX($V$2:$AE$1001,MATCH(ROWS($O$2:O424),$O$2:$O$1001,0),MATCH(COLUMNS($V$1006:AB1006),$V$1006:$AE$1006,0)), HYPERLINK("#",""), HYPERLINK(CONCATENATE("#Metadata!", ADDRESS(INDEX($Q$2:$Q$1001,MATCH(ROWS($O$2:O424),$O$2:$O$1001,0),0), INDEX($V$1004:$AE$1004,1,MATCH(COLUMNS($V$1006:AB1006),$V$1006:$AE$1006,0)))),"Fix")))</f>
        <v>0</v>
      </c>
      <c r="I424" s="3">
        <f>IF(OR(INDEX($P$2:$P$1001,MATCH(ROWS($O$2:O424),$O$2:$O$1001,0),1)&gt;=100000,INDEX($V$1005:$AE$1005,1,MATCH(COLUMNS($V$1006:AC1006),$V$1006:$AE$1006,0))&gt;=100000), " ",IF(INDEX($V$2:$AE$1001,MATCH(ROWS($O$2:O424),$O$2:$O$1001,0),MATCH(COLUMNS($V$1006:AC1006),$V$1006:$AE$1006,0)), HYPERLINK("#",""), HYPERLINK(CONCATENATE("#Metadata!", ADDRESS(INDEX($Q$2:$Q$1001,MATCH(ROWS($O$2:O424),$O$2:$O$1001,0),0), INDEX($V$1004:$AE$1004,1,MATCH(COLUMNS($V$1006:AC1006),$V$1006:$AE$1006,0)))),"Fix")))</f>
        <v>0</v>
      </c>
      <c r="J424" s="3">
        <f>IF(OR(INDEX($P$2:$P$1001,MATCH(ROWS($O$2:O424),$O$2:$O$1001,0),1)&gt;=100000,INDEX($V$1005:$AE$1005,1,MATCH(COLUMNS($V$1006:AD1006),$V$1006:$AE$1006,0))&gt;=100000), " ",IF(INDEX($V$2:$AE$1001,MATCH(ROWS($O$2:O424),$O$2:$O$1001,0),MATCH(COLUMNS($V$1006:AD1006),$V$1006:$AE$1006,0)), HYPERLINK("#",""), HYPERLINK(CONCATENATE("#Metadata!", ADDRESS(INDEX($Q$2:$Q$1001,MATCH(ROWS($O$2:O424),$O$2:$O$1001,0),0), INDEX($V$1004:$AE$1004,1,MATCH(COLUMNS($V$1006:AD1006),$V$1006:$AE$1006,0)))),"Fix")))</f>
        <v>0</v>
      </c>
      <c r="K424" s="3">
        <f>IF(OR(INDEX($P$2:$P$1001,MATCH(ROWS($O$2:O424),$O$2:$O$1001,0),1)&gt;=100000,INDEX($V$1005:$AE$1005,1,MATCH(COLUMNS($V$1006:AE1006),$V$1006:$AE$1006,0))&gt;=100000), " ",IF(INDEX($V$2:$AE$1001,MATCH(ROWS($O$2:O424),$O$2:$O$1001,0),MATCH(COLUMNS($V$1006:AE1006),$V$1006:$AE$1006,0)), HYPERLINK("#",""), HYPERLINK(CONCATENATE("#Metadata!", ADDRESS(INDEX($Q$2:$Q$1001,MATCH(ROWS($O$2:O424),$O$2:$O$1001,0),0), INDEX($V$1004:$AE$1004,1,MATCH(COLUMNS($V$1006:AE1006),$V$1006:$AE$1006,0)))),"Fix")))</f>
        <v>0</v>
      </c>
      <c r="O424">
        <v>0</v>
      </c>
      <c r="P424">
        <v>0</v>
      </c>
      <c r="Q424">
        <v>0</v>
      </c>
      <c r="R424">
        <f>IF(S424,TRUE,AND(V424:AE424))</f>
        <v>0</v>
      </c>
      <c r="S424">
        <f>COUNTBLANK(Metadata!B424:K424)=COLUMNS(Metadata!B424:K424)</f>
        <v>0</v>
      </c>
      <c r="T424">
        <v>0</v>
      </c>
      <c r="V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W424">
        <f>AND(IF(Metadata!C424="",FALSE,TRUE),exact(Metadata!C424,"animal secretion"))</f>
        <v>0</v>
      </c>
      <c r="X424">
        <f>AND(IF(Metadata!D424="",FALSE,TRUE),exact(Metadata!D424,"saliva"))</f>
        <v>0</v>
      </c>
      <c r="Y424">
        <f>AND(IF(Metadata!E424="",FALSE,TRUE),exact(Metadata!E424,"human-oral"))</f>
        <v>0</v>
      </c>
      <c r="Z424">
        <f>AND(IF(Metadata!F424="",FALSE,TRUE),exact(Metadata!F424,"UBERON:oral cavity"))</f>
        <v>0</v>
      </c>
      <c r="AA424">
        <f>AND(IF(Metadata!G424="",FALSE,TRUE),exact(Metadata!G424,"UBERON:saliva"))</f>
        <v>0</v>
      </c>
      <c r="AB424">
        <f>AND(IF(Metadata!H424="",FALSE,TRUE),exact(Metadata!H424,"UBERON:tongue"))</f>
        <v>0</v>
      </c>
      <c r="AC424">
        <f>AND(IF(Metadata!I424="",FALSE,TRUE),exact(Metadata!I424,"tongue"))</f>
        <v>0</v>
      </c>
      <c r="AD424">
        <f>AND(IF(Metadata!J424="",FALSE,TRUE),exact(Metadata!J424,"human oral metagenome"))</f>
        <v>0</v>
      </c>
      <c r="AE424">
        <f>AND(IF(Metadata!K424="",FALSE,TRUE),exact(Metadata!K424,"447426"))</f>
        <v>0</v>
      </c>
    </row>
    <row r="425" spans="1:31">
      <c r="A425" s="4">
        <f>IF(B425=" "," ",HYPERLINK(CONCATENATE("#metadata!",ADDRESS(INDEX($Q$2:$Q$1001,MATCH(ROWS($O$2:O425),$O$2:$O$1001,0),0),1)),INDEX($T$2:$T$1001,MATCH(ROWS($O$2:O425),$O$2:$O$1001,0),0)))</f>
        <v>0</v>
      </c>
      <c r="B425" s="3">
        <f>IF(OR(INDEX($P$2:$P$1001,MATCH(ROWS($O$2:O425),$O$2:$O$1001,0),1)&gt;=100000,INDEX($V$1005:$AE$1005,1,MATCH(COLUMNS($V$1006:V1006),$V$1006:$AE$1006,0))&gt;=100000), " ",IF(INDEX($V$2:$AE$1001,MATCH(ROWS($O$2:O425),$O$2:$O$1001,0),MATCH(COLUMNS($V$1006:V1006),$V$1006:$AE$1006,0)), HYPERLINK("#",""), HYPERLINK(CONCATENATE("#Metadata!", ADDRESS(INDEX($Q$2:$Q$1001,MATCH(ROWS($O$2:O425),$O$2:$O$1001,0),0), INDEX($V$1004:$AE$1004,1,MATCH(COLUMNS($V$1006:V1006),$V$1006:$AE$1006,0)))),"Fix")))</f>
        <v>0</v>
      </c>
      <c r="C425" s="3">
        <f>IF(OR(INDEX($P$2:$P$1001,MATCH(ROWS($O$2:O425),$O$2:$O$1001,0),1)&gt;=100000,INDEX($V$1005:$AE$1005,1,MATCH(COLUMNS($V$1006:W1006),$V$1006:$AE$1006,0))&gt;=100000), " ",IF(INDEX($V$2:$AE$1001,MATCH(ROWS($O$2:O425),$O$2:$O$1001,0),MATCH(COLUMNS($V$1006:W1006),$V$1006:$AE$1006,0)), HYPERLINK("#",""), HYPERLINK(CONCATENATE("#Metadata!", ADDRESS(INDEX($Q$2:$Q$1001,MATCH(ROWS($O$2:O425),$O$2:$O$1001,0),0), INDEX($V$1004:$AE$1004,1,MATCH(COLUMNS($V$1006:W1006),$V$1006:$AE$1006,0)))),"Fix")))</f>
        <v>0</v>
      </c>
      <c r="D425" s="3">
        <f>IF(OR(INDEX($P$2:$P$1001,MATCH(ROWS($O$2:O425),$O$2:$O$1001,0),1)&gt;=100000,INDEX($V$1005:$AE$1005,1,MATCH(COLUMNS($V$1006:X1006),$V$1006:$AE$1006,0))&gt;=100000), " ",IF(INDEX($V$2:$AE$1001,MATCH(ROWS($O$2:O425),$O$2:$O$1001,0),MATCH(COLUMNS($V$1006:X1006),$V$1006:$AE$1006,0)), HYPERLINK("#",""), HYPERLINK(CONCATENATE("#Metadata!", ADDRESS(INDEX($Q$2:$Q$1001,MATCH(ROWS($O$2:O425),$O$2:$O$1001,0),0), INDEX($V$1004:$AE$1004,1,MATCH(COLUMNS($V$1006:X1006),$V$1006:$AE$1006,0)))),"Fix")))</f>
        <v>0</v>
      </c>
      <c r="E425" s="3">
        <f>IF(OR(INDEX($P$2:$P$1001,MATCH(ROWS($O$2:O425),$O$2:$O$1001,0),1)&gt;=100000,INDEX($V$1005:$AE$1005,1,MATCH(COLUMNS($V$1006:Y1006),$V$1006:$AE$1006,0))&gt;=100000), " ",IF(INDEX($V$2:$AE$1001,MATCH(ROWS($O$2:O425),$O$2:$O$1001,0),MATCH(COLUMNS($V$1006:Y1006),$V$1006:$AE$1006,0)), HYPERLINK("#",""), HYPERLINK(CONCATENATE("#Metadata!", ADDRESS(INDEX($Q$2:$Q$1001,MATCH(ROWS($O$2:O425),$O$2:$O$1001,0),0), INDEX($V$1004:$AE$1004,1,MATCH(COLUMNS($V$1006:Y1006),$V$1006:$AE$1006,0)))),"Fix")))</f>
        <v>0</v>
      </c>
      <c r="F425" s="3">
        <f>IF(OR(INDEX($P$2:$P$1001,MATCH(ROWS($O$2:O425),$O$2:$O$1001,0),1)&gt;=100000,INDEX($V$1005:$AE$1005,1,MATCH(COLUMNS($V$1006:Z1006),$V$1006:$AE$1006,0))&gt;=100000), " ",IF(INDEX($V$2:$AE$1001,MATCH(ROWS($O$2:O425),$O$2:$O$1001,0),MATCH(COLUMNS($V$1006:Z1006),$V$1006:$AE$1006,0)), HYPERLINK("#",""), HYPERLINK(CONCATENATE("#Metadata!", ADDRESS(INDEX($Q$2:$Q$1001,MATCH(ROWS($O$2:O425),$O$2:$O$1001,0),0), INDEX($V$1004:$AE$1004,1,MATCH(COLUMNS($V$1006:Z1006),$V$1006:$AE$1006,0)))),"Fix")))</f>
        <v>0</v>
      </c>
      <c r="G425" s="3">
        <f>IF(OR(INDEX($P$2:$P$1001,MATCH(ROWS($O$2:O425),$O$2:$O$1001,0),1)&gt;=100000,INDEX($V$1005:$AE$1005,1,MATCH(COLUMNS($V$1006:AA1006),$V$1006:$AE$1006,0))&gt;=100000), " ",IF(INDEX($V$2:$AE$1001,MATCH(ROWS($O$2:O425),$O$2:$O$1001,0),MATCH(COLUMNS($V$1006:AA1006),$V$1006:$AE$1006,0)), HYPERLINK("#",""), HYPERLINK(CONCATENATE("#Metadata!", ADDRESS(INDEX($Q$2:$Q$1001,MATCH(ROWS($O$2:O425),$O$2:$O$1001,0),0), INDEX($V$1004:$AE$1004,1,MATCH(COLUMNS($V$1006:AA1006),$V$1006:$AE$1006,0)))),"Fix")))</f>
        <v>0</v>
      </c>
      <c r="H425" s="3">
        <f>IF(OR(INDEX($P$2:$P$1001,MATCH(ROWS($O$2:O425),$O$2:$O$1001,0),1)&gt;=100000,INDEX($V$1005:$AE$1005,1,MATCH(COLUMNS($V$1006:AB1006),$V$1006:$AE$1006,0))&gt;=100000), " ",IF(INDEX($V$2:$AE$1001,MATCH(ROWS($O$2:O425),$O$2:$O$1001,0),MATCH(COLUMNS($V$1006:AB1006),$V$1006:$AE$1006,0)), HYPERLINK("#",""), HYPERLINK(CONCATENATE("#Metadata!", ADDRESS(INDEX($Q$2:$Q$1001,MATCH(ROWS($O$2:O425),$O$2:$O$1001,0),0), INDEX($V$1004:$AE$1004,1,MATCH(COLUMNS($V$1006:AB1006),$V$1006:$AE$1006,0)))),"Fix")))</f>
        <v>0</v>
      </c>
      <c r="I425" s="3">
        <f>IF(OR(INDEX($P$2:$P$1001,MATCH(ROWS($O$2:O425),$O$2:$O$1001,0),1)&gt;=100000,INDEX($V$1005:$AE$1005,1,MATCH(COLUMNS($V$1006:AC1006),$V$1006:$AE$1006,0))&gt;=100000), " ",IF(INDEX($V$2:$AE$1001,MATCH(ROWS($O$2:O425),$O$2:$O$1001,0),MATCH(COLUMNS($V$1006:AC1006),$V$1006:$AE$1006,0)), HYPERLINK("#",""), HYPERLINK(CONCATENATE("#Metadata!", ADDRESS(INDEX($Q$2:$Q$1001,MATCH(ROWS($O$2:O425),$O$2:$O$1001,0),0), INDEX($V$1004:$AE$1004,1,MATCH(COLUMNS($V$1006:AC1006),$V$1006:$AE$1006,0)))),"Fix")))</f>
        <v>0</v>
      </c>
      <c r="J425" s="3">
        <f>IF(OR(INDEX($P$2:$P$1001,MATCH(ROWS($O$2:O425),$O$2:$O$1001,0),1)&gt;=100000,INDEX($V$1005:$AE$1005,1,MATCH(COLUMNS($V$1006:AD1006),$V$1006:$AE$1006,0))&gt;=100000), " ",IF(INDEX($V$2:$AE$1001,MATCH(ROWS($O$2:O425),$O$2:$O$1001,0),MATCH(COLUMNS($V$1006:AD1006),$V$1006:$AE$1006,0)), HYPERLINK("#",""), HYPERLINK(CONCATENATE("#Metadata!", ADDRESS(INDEX($Q$2:$Q$1001,MATCH(ROWS($O$2:O425),$O$2:$O$1001,0),0), INDEX($V$1004:$AE$1004,1,MATCH(COLUMNS($V$1006:AD1006),$V$1006:$AE$1006,0)))),"Fix")))</f>
        <v>0</v>
      </c>
      <c r="K425" s="3">
        <f>IF(OR(INDEX($P$2:$P$1001,MATCH(ROWS($O$2:O425),$O$2:$O$1001,0),1)&gt;=100000,INDEX($V$1005:$AE$1005,1,MATCH(COLUMNS($V$1006:AE1006),$V$1006:$AE$1006,0))&gt;=100000), " ",IF(INDEX($V$2:$AE$1001,MATCH(ROWS($O$2:O425),$O$2:$O$1001,0),MATCH(COLUMNS($V$1006:AE1006),$V$1006:$AE$1006,0)), HYPERLINK("#",""), HYPERLINK(CONCATENATE("#Metadata!", ADDRESS(INDEX($Q$2:$Q$1001,MATCH(ROWS($O$2:O425),$O$2:$O$1001,0),0), INDEX($V$1004:$AE$1004,1,MATCH(COLUMNS($V$1006:AE1006),$V$1006:$AE$1006,0)))),"Fix")))</f>
        <v>0</v>
      </c>
      <c r="O425">
        <v>0</v>
      </c>
      <c r="P425">
        <v>0</v>
      </c>
      <c r="Q425">
        <v>0</v>
      </c>
      <c r="R425">
        <f>IF(S425,TRUE,AND(V425:AE425))</f>
        <v>0</v>
      </c>
      <c r="S425">
        <f>COUNTBLANK(Metadata!B425:K425)=COLUMNS(Metadata!B425:K425)</f>
        <v>0</v>
      </c>
      <c r="T425">
        <v>0</v>
      </c>
      <c r="V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W425">
        <f>AND(IF(Metadata!C425="",FALSE,TRUE),exact(Metadata!C425,"animal secretion"))</f>
        <v>0</v>
      </c>
      <c r="X425">
        <f>AND(IF(Metadata!D425="",FALSE,TRUE),exact(Metadata!D425,"saliva"))</f>
        <v>0</v>
      </c>
      <c r="Y425">
        <f>AND(IF(Metadata!E425="",FALSE,TRUE),exact(Metadata!E425,"human-oral"))</f>
        <v>0</v>
      </c>
      <c r="Z425">
        <f>AND(IF(Metadata!F425="",FALSE,TRUE),exact(Metadata!F425,"UBERON:oral cavity"))</f>
        <v>0</v>
      </c>
      <c r="AA425">
        <f>AND(IF(Metadata!G425="",FALSE,TRUE),exact(Metadata!G425,"UBERON:saliva"))</f>
        <v>0</v>
      </c>
      <c r="AB425">
        <f>AND(IF(Metadata!H425="",FALSE,TRUE),exact(Metadata!H425,"UBERON:tongue"))</f>
        <v>0</v>
      </c>
      <c r="AC425">
        <f>AND(IF(Metadata!I425="",FALSE,TRUE),exact(Metadata!I425,"tongue"))</f>
        <v>0</v>
      </c>
      <c r="AD425">
        <f>AND(IF(Metadata!J425="",FALSE,TRUE),exact(Metadata!J425,"human oral metagenome"))</f>
        <v>0</v>
      </c>
      <c r="AE425">
        <f>AND(IF(Metadata!K425="",FALSE,TRUE),exact(Metadata!K425,"447426"))</f>
        <v>0</v>
      </c>
    </row>
    <row r="426" spans="1:31">
      <c r="A426" s="4">
        <f>IF(B426=" "," ",HYPERLINK(CONCATENATE("#metadata!",ADDRESS(INDEX($Q$2:$Q$1001,MATCH(ROWS($O$2:O426),$O$2:$O$1001,0),0),1)),INDEX($T$2:$T$1001,MATCH(ROWS($O$2:O426),$O$2:$O$1001,0),0)))</f>
        <v>0</v>
      </c>
      <c r="B426" s="3">
        <f>IF(OR(INDEX($P$2:$P$1001,MATCH(ROWS($O$2:O426),$O$2:$O$1001,0),1)&gt;=100000,INDEX($V$1005:$AE$1005,1,MATCH(COLUMNS($V$1006:V1006),$V$1006:$AE$1006,0))&gt;=100000), " ",IF(INDEX($V$2:$AE$1001,MATCH(ROWS($O$2:O426),$O$2:$O$1001,0),MATCH(COLUMNS($V$1006:V1006),$V$1006:$AE$1006,0)), HYPERLINK("#",""), HYPERLINK(CONCATENATE("#Metadata!", ADDRESS(INDEX($Q$2:$Q$1001,MATCH(ROWS($O$2:O426),$O$2:$O$1001,0),0), INDEX($V$1004:$AE$1004,1,MATCH(COLUMNS($V$1006:V1006),$V$1006:$AE$1006,0)))),"Fix")))</f>
        <v>0</v>
      </c>
      <c r="C426" s="3">
        <f>IF(OR(INDEX($P$2:$P$1001,MATCH(ROWS($O$2:O426),$O$2:$O$1001,0),1)&gt;=100000,INDEX($V$1005:$AE$1005,1,MATCH(COLUMNS($V$1006:W1006),$V$1006:$AE$1006,0))&gt;=100000), " ",IF(INDEX($V$2:$AE$1001,MATCH(ROWS($O$2:O426),$O$2:$O$1001,0),MATCH(COLUMNS($V$1006:W1006),$V$1006:$AE$1006,0)), HYPERLINK("#",""), HYPERLINK(CONCATENATE("#Metadata!", ADDRESS(INDEX($Q$2:$Q$1001,MATCH(ROWS($O$2:O426),$O$2:$O$1001,0),0), INDEX($V$1004:$AE$1004,1,MATCH(COLUMNS($V$1006:W1006),$V$1006:$AE$1006,0)))),"Fix")))</f>
        <v>0</v>
      </c>
      <c r="D426" s="3">
        <f>IF(OR(INDEX($P$2:$P$1001,MATCH(ROWS($O$2:O426),$O$2:$O$1001,0),1)&gt;=100000,INDEX($V$1005:$AE$1005,1,MATCH(COLUMNS($V$1006:X1006),$V$1006:$AE$1006,0))&gt;=100000), " ",IF(INDEX($V$2:$AE$1001,MATCH(ROWS($O$2:O426),$O$2:$O$1001,0),MATCH(COLUMNS($V$1006:X1006),$V$1006:$AE$1006,0)), HYPERLINK("#",""), HYPERLINK(CONCATENATE("#Metadata!", ADDRESS(INDEX($Q$2:$Q$1001,MATCH(ROWS($O$2:O426),$O$2:$O$1001,0),0), INDEX($V$1004:$AE$1004,1,MATCH(COLUMNS($V$1006:X1006),$V$1006:$AE$1006,0)))),"Fix")))</f>
        <v>0</v>
      </c>
      <c r="E426" s="3">
        <f>IF(OR(INDEX($P$2:$P$1001,MATCH(ROWS($O$2:O426),$O$2:$O$1001,0),1)&gt;=100000,INDEX($V$1005:$AE$1005,1,MATCH(COLUMNS($V$1006:Y1006),$V$1006:$AE$1006,0))&gt;=100000), " ",IF(INDEX($V$2:$AE$1001,MATCH(ROWS($O$2:O426),$O$2:$O$1001,0),MATCH(COLUMNS($V$1006:Y1006),$V$1006:$AE$1006,0)), HYPERLINK("#",""), HYPERLINK(CONCATENATE("#Metadata!", ADDRESS(INDEX($Q$2:$Q$1001,MATCH(ROWS($O$2:O426),$O$2:$O$1001,0),0), INDEX($V$1004:$AE$1004,1,MATCH(COLUMNS($V$1006:Y1006),$V$1006:$AE$1006,0)))),"Fix")))</f>
        <v>0</v>
      </c>
      <c r="F426" s="3">
        <f>IF(OR(INDEX($P$2:$P$1001,MATCH(ROWS($O$2:O426),$O$2:$O$1001,0),1)&gt;=100000,INDEX($V$1005:$AE$1005,1,MATCH(COLUMNS($V$1006:Z1006),$V$1006:$AE$1006,0))&gt;=100000), " ",IF(INDEX($V$2:$AE$1001,MATCH(ROWS($O$2:O426),$O$2:$O$1001,0),MATCH(COLUMNS($V$1006:Z1006),$V$1006:$AE$1006,0)), HYPERLINK("#",""), HYPERLINK(CONCATENATE("#Metadata!", ADDRESS(INDEX($Q$2:$Q$1001,MATCH(ROWS($O$2:O426),$O$2:$O$1001,0),0), INDEX($V$1004:$AE$1004,1,MATCH(COLUMNS($V$1006:Z1006),$V$1006:$AE$1006,0)))),"Fix")))</f>
        <v>0</v>
      </c>
      <c r="G426" s="3">
        <f>IF(OR(INDEX($P$2:$P$1001,MATCH(ROWS($O$2:O426),$O$2:$O$1001,0),1)&gt;=100000,INDEX($V$1005:$AE$1005,1,MATCH(COLUMNS($V$1006:AA1006),$V$1006:$AE$1006,0))&gt;=100000), " ",IF(INDEX($V$2:$AE$1001,MATCH(ROWS($O$2:O426),$O$2:$O$1001,0),MATCH(COLUMNS($V$1006:AA1006),$V$1006:$AE$1006,0)), HYPERLINK("#",""), HYPERLINK(CONCATENATE("#Metadata!", ADDRESS(INDEX($Q$2:$Q$1001,MATCH(ROWS($O$2:O426),$O$2:$O$1001,0),0), INDEX($V$1004:$AE$1004,1,MATCH(COLUMNS($V$1006:AA1006),$V$1006:$AE$1006,0)))),"Fix")))</f>
        <v>0</v>
      </c>
      <c r="H426" s="3">
        <f>IF(OR(INDEX($P$2:$P$1001,MATCH(ROWS($O$2:O426),$O$2:$O$1001,0),1)&gt;=100000,INDEX($V$1005:$AE$1005,1,MATCH(COLUMNS($V$1006:AB1006),$V$1006:$AE$1006,0))&gt;=100000), " ",IF(INDEX($V$2:$AE$1001,MATCH(ROWS($O$2:O426),$O$2:$O$1001,0),MATCH(COLUMNS($V$1006:AB1006),$V$1006:$AE$1006,0)), HYPERLINK("#",""), HYPERLINK(CONCATENATE("#Metadata!", ADDRESS(INDEX($Q$2:$Q$1001,MATCH(ROWS($O$2:O426),$O$2:$O$1001,0),0), INDEX($V$1004:$AE$1004,1,MATCH(COLUMNS($V$1006:AB1006),$V$1006:$AE$1006,0)))),"Fix")))</f>
        <v>0</v>
      </c>
      <c r="I426" s="3">
        <f>IF(OR(INDEX($P$2:$P$1001,MATCH(ROWS($O$2:O426),$O$2:$O$1001,0),1)&gt;=100000,INDEX($V$1005:$AE$1005,1,MATCH(COLUMNS($V$1006:AC1006),$V$1006:$AE$1006,0))&gt;=100000), " ",IF(INDEX($V$2:$AE$1001,MATCH(ROWS($O$2:O426),$O$2:$O$1001,0),MATCH(COLUMNS($V$1006:AC1006),$V$1006:$AE$1006,0)), HYPERLINK("#",""), HYPERLINK(CONCATENATE("#Metadata!", ADDRESS(INDEX($Q$2:$Q$1001,MATCH(ROWS($O$2:O426),$O$2:$O$1001,0),0), INDEX($V$1004:$AE$1004,1,MATCH(COLUMNS($V$1006:AC1006),$V$1006:$AE$1006,0)))),"Fix")))</f>
        <v>0</v>
      </c>
      <c r="J426" s="3">
        <f>IF(OR(INDEX($P$2:$P$1001,MATCH(ROWS($O$2:O426),$O$2:$O$1001,0),1)&gt;=100000,INDEX($V$1005:$AE$1005,1,MATCH(COLUMNS($V$1006:AD1006),$V$1006:$AE$1006,0))&gt;=100000), " ",IF(INDEX($V$2:$AE$1001,MATCH(ROWS($O$2:O426),$O$2:$O$1001,0),MATCH(COLUMNS($V$1006:AD1006),$V$1006:$AE$1006,0)), HYPERLINK("#",""), HYPERLINK(CONCATENATE("#Metadata!", ADDRESS(INDEX($Q$2:$Q$1001,MATCH(ROWS($O$2:O426),$O$2:$O$1001,0),0), INDEX($V$1004:$AE$1004,1,MATCH(COLUMNS($V$1006:AD1006),$V$1006:$AE$1006,0)))),"Fix")))</f>
        <v>0</v>
      </c>
      <c r="K426" s="3">
        <f>IF(OR(INDEX($P$2:$P$1001,MATCH(ROWS($O$2:O426),$O$2:$O$1001,0),1)&gt;=100000,INDEX($V$1005:$AE$1005,1,MATCH(COLUMNS($V$1006:AE1006),$V$1006:$AE$1006,0))&gt;=100000), " ",IF(INDEX($V$2:$AE$1001,MATCH(ROWS($O$2:O426),$O$2:$O$1001,0),MATCH(COLUMNS($V$1006:AE1006),$V$1006:$AE$1006,0)), HYPERLINK("#",""), HYPERLINK(CONCATENATE("#Metadata!", ADDRESS(INDEX($Q$2:$Q$1001,MATCH(ROWS($O$2:O426),$O$2:$O$1001,0),0), INDEX($V$1004:$AE$1004,1,MATCH(COLUMNS($V$1006:AE1006),$V$1006:$AE$1006,0)))),"Fix")))</f>
        <v>0</v>
      </c>
      <c r="O426">
        <v>0</v>
      </c>
      <c r="P426">
        <v>0</v>
      </c>
      <c r="Q426">
        <v>0</v>
      </c>
      <c r="R426">
        <f>IF(S426,TRUE,AND(V426:AE426))</f>
        <v>0</v>
      </c>
      <c r="S426">
        <f>COUNTBLANK(Metadata!B426:K426)=COLUMNS(Metadata!B426:K426)</f>
        <v>0</v>
      </c>
      <c r="T426">
        <v>0</v>
      </c>
      <c r="V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W426">
        <f>AND(IF(Metadata!C426="",FALSE,TRUE),exact(Metadata!C426,"animal secretion"))</f>
        <v>0</v>
      </c>
      <c r="X426">
        <f>AND(IF(Metadata!D426="",FALSE,TRUE),exact(Metadata!D426,"saliva"))</f>
        <v>0</v>
      </c>
      <c r="Y426">
        <f>AND(IF(Metadata!E426="",FALSE,TRUE),exact(Metadata!E426,"human-oral"))</f>
        <v>0</v>
      </c>
      <c r="Z426">
        <f>AND(IF(Metadata!F426="",FALSE,TRUE),exact(Metadata!F426,"UBERON:oral cavity"))</f>
        <v>0</v>
      </c>
      <c r="AA426">
        <f>AND(IF(Metadata!G426="",FALSE,TRUE),exact(Metadata!G426,"UBERON:saliva"))</f>
        <v>0</v>
      </c>
      <c r="AB426">
        <f>AND(IF(Metadata!H426="",FALSE,TRUE),exact(Metadata!H426,"UBERON:tongue"))</f>
        <v>0</v>
      </c>
      <c r="AC426">
        <f>AND(IF(Metadata!I426="",FALSE,TRUE),exact(Metadata!I426,"tongue"))</f>
        <v>0</v>
      </c>
      <c r="AD426">
        <f>AND(IF(Metadata!J426="",FALSE,TRUE),exact(Metadata!J426,"human oral metagenome"))</f>
        <v>0</v>
      </c>
      <c r="AE426">
        <f>AND(IF(Metadata!K426="",FALSE,TRUE),exact(Metadata!K426,"447426"))</f>
        <v>0</v>
      </c>
    </row>
    <row r="427" spans="1:31">
      <c r="A427" s="4">
        <f>IF(B427=" "," ",HYPERLINK(CONCATENATE("#metadata!",ADDRESS(INDEX($Q$2:$Q$1001,MATCH(ROWS($O$2:O427),$O$2:$O$1001,0),0),1)),INDEX($T$2:$T$1001,MATCH(ROWS($O$2:O427),$O$2:$O$1001,0),0)))</f>
        <v>0</v>
      </c>
      <c r="B427" s="3">
        <f>IF(OR(INDEX($P$2:$P$1001,MATCH(ROWS($O$2:O427),$O$2:$O$1001,0),1)&gt;=100000,INDEX($V$1005:$AE$1005,1,MATCH(COLUMNS($V$1006:V1006),$V$1006:$AE$1006,0))&gt;=100000), " ",IF(INDEX($V$2:$AE$1001,MATCH(ROWS($O$2:O427),$O$2:$O$1001,0),MATCH(COLUMNS($V$1006:V1006),$V$1006:$AE$1006,0)), HYPERLINK("#",""), HYPERLINK(CONCATENATE("#Metadata!", ADDRESS(INDEX($Q$2:$Q$1001,MATCH(ROWS($O$2:O427),$O$2:$O$1001,0),0), INDEX($V$1004:$AE$1004,1,MATCH(COLUMNS($V$1006:V1006),$V$1006:$AE$1006,0)))),"Fix")))</f>
        <v>0</v>
      </c>
      <c r="C427" s="3">
        <f>IF(OR(INDEX($P$2:$P$1001,MATCH(ROWS($O$2:O427),$O$2:$O$1001,0),1)&gt;=100000,INDEX($V$1005:$AE$1005,1,MATCH(COLUMNS($V$1006:W1006),$V$1006:$AE$1006,0))&gt;=100000), " ",IF(INDEX($V$2:$AE$1001,MATCH(ROWS($O$2:O427),$O$2:$O$1001,0),MATCH(COLUMNS($V$1006:W1006),$V$1006:$AE$1006,0)), HYPERLINK("#",""), HYPERLINK(CONCATENATE("#Metadata!", ADDRESS(INDEX($Q$2:$Q$1001,MATCH(ROWS($O$2:O427),$O$2:$O$1001,0),0), INDEX($V$1004:$AE$1004,1,MATCH(COLUMNS($V$1006:W1006),$V$1006:$AE$1006,0)))),"Fix")))</f>
        <v>0</v>
      </c>
      <c r="D427" s="3">
        <f>IF(OR(INDEX($P$2:$P$1001,MATCH(ROWS($O$2:O427),$O$2:$O$1001,0),1)&gt;=100000,INDEX($V$1005:$AE$1005,1,MATCH(COLUMNS($V$1006:X1006),$V$1006:$AE$1006,0))&gt;=100000), " ",IF(INDEX($V$2:$AE$1001,MATCH(ROWS($O$2:O427),$O$2:$O$1001,0),MATCH(COLUMNS($V$1006:X1006),$V$1006:$AE$1006,0)), HYPERLINK("#",""), HYPERLINK(CONCATENATE("#Metadata!", ADDRESS(INDEX($Q$2:$Q$1001,MATCH(ROWS($O$2:O427),$O$2:$O$1001,0),0), INDEX($V$1004:$AE$1004,1,MATCH(COLUMNS($V$1006:X1006),$V$1006:$AE$1006,0)))),"Fix")))</f>
        <v>0</v>
      </c>
      <c r="E427" s="3">
        <f>IF(OR(INDEX($P$2:$P$1001,MATCH(ROWS($O$2:O427),$O$2:$O$1001,0),1)&gt;=100000,INDEX($V$1005:$AE$1005,1,MATCH(COLUMNS($V$1006:Y1006),$V$1006:$AE$1006,0))&gt;=100000), " ",IF(INDEX($V$2:$AE$1001,MATCH(ROWS($O$2:O427),$O$2:$O$1001,0),MATCH(COLUMNS($V$1006:Y1006),$V$1006:$AE$1006,0)), HYPERLINK("#",""), HYPERLINK(CONCATENATE("#Metadata!", ADDRESS(INDEX($Q$2:$Q$1001,MATCH(ROWS($O$2:O427),$O$2:$O$1001,0),0), INDEX($V$1004:$AE$1004,1,MATCH(COLUMNS($V$1006:Y1006),$V$1006:$AE$1006,0)))),"Fix")))</f>
        <v>0</v>
      </c>
      <c r="F427" s="3">
        <f>IF(OR(INDEX($P$2:$P$1001,MATCH(ROWS($O$2:O427),$O$2:$O$1001,0),1)&gt;=100000,INDEX($V$1005:$AE$1005,1,MATCH(COLUMNS($V$1006:Z1006),$V$1006:$AE$1006,0))&gt;=100000), " ",IF(INDEX($V$2:$AE$1001,MATCH(ROWS($O$2:O427),$O$2:$O$1001,0),MATCH(COLUMNS($V$1006:Z1006),$V$1006:$AE$1006,0)), HYPERLINK("#",""), HYPERLINK(CONCATENATE("#Metadata!", ADDRESS(INDEX($Q$2:$Q$1001,MATCH(ROWS($O$2:O427),$O$2:$O$1001,0),0), INDEX($V$1004:$AE$1004,1,MATCH(COLUMNS($V$1006:Z1006),$V$1006:$AE$1006,0)))),"Fix")))</f>
        <v>0</v>
      </c>
      <c r="G427" s="3">
        <f>IF(OR(INDEX($P$2:$P$1001,MATCH(ROWS($O$2:O427),$O$2:$O$1001,0),1)&gt;=100000,INDEX($V$1005:$AE$1005,1,MATCH(COLUMNS($V$1006:AA1006),$V$1006:$AE$1006,0))&gt;=100000), " ",IF(INDEX($V$2:$AE$1001,MATCH(ROWS($O$2:O427),$O$2:$O$1001,0),MATCH(COLUMNS($V$1006:AA1006),$V$1006:$AE$1006,0)), HYPERLINK("#",""), HYPERLINK(CONCATENATE("#Metadata!", ADDRESS(INDEX($Q$2:$Q$1001,MATCH(ROWS($O$2:O427),$O$2:$O$1001,0),0), INDEX($V$1004:$AE$1004,1,MATCH(COLUMNS($V$1006:AA1006),$V$1006:$AE$1006,0)))),"Fix")))</f>
        <v>0</v>
      </c>
      <c r="H427" s="3">
        <f>IF(OR(INDEX($P$2:$P$1001,MATCH(ROWS($O$2:O427),$O$2:$O$1001,0),1)&gt;=100000,INDEX($V$1005:$AE$1005,1,MATCH(COLUMNS($V$1006:AB1006),$V$1006:$AE$1006,0))&gt;=100000), " ",IF(INDEX($V$2:$AE$1001,MATCH(ROWS($O$2:O427),$O$2:$O$1001,0),MATCH(COLUMNS($V$1006:AB1006),$V$1006:$AE$1006,0)), HYPERLINK("#",""), HYPERLINK(CONCATENATE("#Metadata!", ADDRESS(INDEX($Q$2:$Q$1001,MATCH(ROWS($O$2:O427),$O$2:$O$1001,0),0), INDEX($V$1004:$AE$1004,1,MATCH(COLUMNS($V$1006:AB1006),$V$1006:$AE$1006,0)))),"Fix")))</f>
        <v>0</v>
      </c>
      <c r="I427" s="3">
        <f>IF(OR(INDEX($P$2:$P$1001,MATCH(ROWS($O$2:O427),$O$2:$O$1001,0),1)&gt;=100000,INDEX($V$1005:$AE$1005,1,MATCH(COLUMNS($V$1006:AC1006),$V$1006:$AE$1006,0))&gt;=100000), " ",IF(INDEX($V$2:$AE$1001,MATCH(ROWS($O$2:O427),$O$2:$O$1001,0),MATCH(COLUMNS($V$1006:AC1006),$V$1006:$AE$1006,0)), HYPERLINK("#",""), HYPERLINK(CONCATENATE("#Metadata!", ADDRESS(INDEX($Q$2:$Q$1001,MATCH(ROWS($O$2:O427),$O$2:$O$1001,0),0), INDEX($V$1004:$AE$1004,1,MATCH(COLUMNS($V$1006:AC1006),$V$1006:$AE$1006,0)))),"Fix")))</f>
        <v>0</v>
      </c>
      <c r="J427" s="3">
        <f>IF(OR(INDEX($P$2:$P$1001,MATCH(ROWS($O$2:O427),$O$2:$O$1001,0),1)&gt;=100000,INDEX($V$1005:$AE$1005,1,MATCH(COLUMNS($V$1006:AD1006),$V$1006:$AE$1006,0))&gt;=100000), " ",IF(INDEX($V$2:$AE$1001,MATCH(ROWS($O$2:O427),$O$2:$O$1001,0),MATCH(COLUMNS($V$1006:AD1006),$V$1006:$AE$1006,0)), HYPERLINK("#",""), HYPERLINK(CONCATENATE("#Metadata!", ADDRESS(INDEX($Q$2:$Q$1001,MATCH(ROWS($O$2:O427),$O$2:$O$1001,0),0), INDEX($V$1004:$AE$1004,1,MATCH(COLUMNS($V$1006:AD1006),$V$1006:$AE$1006,0)))),"Fix")))</f>
        <v>0</v>
      </c>
      <c r="K427" s="3">
        <f>IF(OR(INDEX($P$2:$P$1001,MATCH(ROWS($O$2:O427),$O$2:$O$1001,0),1)&gt;=100000,INDEX($V$1005:$AE$1005,1,MATCH(COLUMNS($V$1006:AE1006),$V$1006:$AE$1006,0))&gt;=100000), " ",IF(INDEX($V$2:$AE$1001,MATCH(ROWS($O$2:O427),$O$2:$O$1001,0),MATCH(COLUMNS($V$1006:AE1006),$V$1006:$AE$1006,0)), HYPERLINK("#",""), HYPERLINK(CONCATENATE("#Metadata!", ADDRESS(INDEX($Q$2:$Q$1001,MATCH(ROWS($O$2:O427),$O$2:$O$1001,0),0), INDEX($V$1004:$AE$1004,1,MATCH(COLUMNS($V$1006:AE1006),$V$1006:$AE$1006,0)))),"Fix")))</f>
        <v>0</v>
      </c>
      <c r="O427">
        <v>0</v>
      </c>
      <c r="P427">
        <v>0</v>
      </c>
      <c r="Q427">
        <v>0</v>
      </c>
      <c r="R427">
        <f>IF(S427,TRUE,AND(V427:AE427))</f>
        <v>0</v>
      </c>
      <c r="S427">
        <f>COUNTBLANK(Metadata!B427:K427)=COLUMNS(Metadata!B427:K427)</f>
        <v>0</v>
      </c>
      <c r="T427">
        <v>0</v>
      </c>
      <c r="V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W427">
        <f>AND(IF(Metadata!C427="",FALSE,TRUE),exact(Metadata!C427,"animal secretion"))</f>
        <v>0</v>
      </c>
      <c r="X427">
        <f>AND(IF(Metadata!D427="",FALSE,TRUE),exact(Metadata!D427,"saliva"))</f>
        <v>0</v>
      </c>
      <c r="Y427">
        <f>AND(IF(Metadata!E427="",FALSE,TRUE),exact(Metadata!E427,"human-oral"))</f>
        <v>0</v>
      </c>
      <c r="Z427">
        <f>AND(IF(Metadata!F427="",FALSE,TRUE),exact(Metadata!F427,"UBERON:oral cavity"))</f>
        <v>0</v>
      </c>
      <c r="AA427">
        <f>AND(IF(Metadata!G427="",FALSE,TRUE),exact(Metadata!G427,"UBERON:saliva"))</f>
        <v>0</v>
      </c>
      <c r="AB427">
        <f>AND(IF(Metadata!H427="",FALSE,TRUE),exact(Metadata!H427,"UBERON:tongue"))</f>
        <v>0</v>
      </c>
      <c r="AC427">
        <f>AND(IF(Metadata!I427="",FALSE,TRUE),exact(Metadata!I427,"tongue"))</f>
        <v>0</v>
      </c>
      <c r="AD427">
        <f>AND(IF(Metadata!J427="",FALSE,TRUE),exact(Metadata!J427,"human oral metagenome"))</f>
        <v>0</v>
      </c>
      <c r="AE427">
        <f>AND(IF(Metadata!K427="",FALSE,TRUE),exact(Metadata!K427,"447426"))</f>
        <v>0</v>
      </c>
    </row>
    <row r="428" spans="1:31">
      <c r="A428" s="4">
        <f>IF(B428=" "," ",HYPERLINK(CONCATENATE("#metadata!",ADDRESS(INDEX($Q$2:$Q$1001,MATCH(ROWS($O$2:O428),$O$2:$O$1001,0),0),1)),INDEX($T$2:$T$1001,MATCH(ROWS($O$2:O428),$O$2:$O$1001,0),0)))</f>
        <v>0</v>
      </c>
      <c r="B428" s="3">
        <f>IF(OR(INDEX($P$2:$P$1001,MATCH(ROWS($O$2:O428),$O$2:$O$1001,0),1)&gt;=100000,INDEX($V$1005:$AE$1005,1,MATCH(COLUMNS($V$1006:V1006),$V$1006:$AE$1006,0))&gt;=100000), " ",IF(INDEX($V$2:$AE$1001,MATCH(ROWS($O$2:O428),$O$2:$O$1001,0),MATCH(COLUMNS($V$1006:V1006),$V$1006:$AE$1006,0)), HYPERLINK("#",""), HYPERLINK(CONCATENATE("#Metadata!", ADDRESS(INDEX($Q$2:$Q$1001,MATCH(ROWS($O$2:O428),$O$2:$O$1001,0),0), INDEX($V$1004:$AE$1004,1,MATCH(COLUMNS($V$1006:V1006),$V$1006:$AE$1006,0)))),"Fix")))</f>
        <v>0</v>
      </c>
      <c r="C428" s="3">
        <f>IF(OR(INDEX($P$2:$P$1001,MATCH(ROWS($O$2:O428),$O$2:$O$1001,0),1)&gt;=100000,INDEX($V$1005:$AE$1005,1,MATCH(COLUMNS($V$1006:W1006),$V$1006:$AE$1006,0))&gt;=100000), " ",IF(INDEX($V$2:$AE$1001,MATCH(ROWS($O$2:O428),$O$2:$O$1001,0),MATCH(COLUMNS($V$1006:W1006),$V$1006:$AE$1006,0)), HYPERLINK("#",""), HYPERLINK(CONCATENATE("#Metadata!", ADDRESS(INDEX($Q$2:$Q$1001,MATCH(ROWS($O$2:O428),$O$2:$O$1001,0),0), INDEX($V$1004:$AE$1004,1,MATCH(COLUMNS($V$1006:W1006),$V$1006:$AE$1006,0)))),"Fix")))</f>
        <v>0</v>
      </c>
      <c r="D428" s="3">
        <f>IF(OR(INDEX($P$2:$P$1001,MATCH(ROWS($O$2:O428),$O$2:$O$1001,0),1)&gt;=100000,INDEX($V$1005:$AE$1005,1,MATCH(COLUMNS($V$1006:X1006),$V$1006:$AE$1006,0))&gt;=100000), " ",IF(INDEX($V$2:$AE$1001,MATCH(ROWS($O$2:O428),$O$2:$O$1001,0),MATCH(COLUMNS($V$1006:X1006),$V$1006:$AE$1006,0)), HYPERLINK("#",""), HYPERLINK(CONCATENATE("#Metadata!", ADDRESS(INDEX($Q$2:$Q$1001,MATCH(ROWS($O$2:O428),$O$2:$O$1001,0),0), INDEX($V$1004:$AE$1004,1,MATCH(COLUMNS($V$1006:X1006),$V$1006:$AE$1006,0)))),"Fix")))</f>
        <v>0</v>
      </c>
      <c r="E428" s="3">
        <f>IF(OR(INDEX($P$2:$P$1001,MATCH(ROWS($O$2:O428),$O$2:$O$1001,0),1)&gt;=100000,INDEX($V$1005:$AE$1005,1,MATCH(COLUMNS($V$1006:Y1006),$V$1006:$AE$1006,0))&gt;=100000), " ",IF(INDEX($V$2:$AE$1001,MATCH(ROWS($O$2:O428),$O$2:$O$1001,0),MATCH(COLUMNS($V$1006:Y1006),$V$1006:$AE$1006,0)), HYPERLINK("#",""), HYPERLINK(CONCATENATE("#Metadata!", ADDRESS(INDEX($Q$2:$Q$1001,MATCH(ROWS($O$2:O428),$O$2:$O$1001,0),0), INDEX($V$1004:$AE$1004,1,MATCH(COLUMNS($V$1006:Y1006),$V$1006:$AE$1006,0)))),"Fix")))</f>
        <v>0</v>
      </c>
      <c r="F428" s="3">
        <f>IF(OR(INDEX($P$2:$P$1001,MATCH(ROWS($O$2:O428),$O$2:$O$1001,0),1)&gt;=100000,INDEX($V$1005:$AE$1005,1,MATCH(COLUMNS($V$1006:Z1006),$V$1006:$AE$1006,0))&gt;=100000), " ",IF(INDEX($V$2:$AE$1001,MATCH(ROWS($O$2:O428),$O$2:$O$1001,0),MATCH(COLUMNS($V$1006:Z1006),$V$1006:$AE$1006,0)), HYPERLINK("#",""), HYPERLINK(CONCATENATE("#Metadata!", ADDRESS(INDEX($Q$2:$Q$1001,MATCH(ROWS($O$2:O428),$O$2:$O$1001,0),0), INDEX($V$1004:$AE$1004,1,MATCH(COLUMNS($V$1006:Z1006),$V$1006:$AE$1006,0)))),"Fix")))</f>
        <v>0</v>
      </c>
      <c r="G428" s="3">
        <f>IF(OR(INDEX($P$2:$P$1001,MATCH(ROWS($O$2:O428),$O$2:$O$1001,0),1)&gt;=100000,INDEX($V$1005:$AE$1005,1,MATCH(COLUMNS($V$1006:AA1006),$V$1006:$AE$1006,0))&gt;=100000), " ",IF(INDEX($V$2:$AE$1001,MATCH(ROWS($O$2:O428),$O$2:$O$1001,0),MATCH(COLUMNS($V$1006:AA1006),$V$1006:$AE$1006,0)), HYPERLINK("#",""), HYPERLINK(CONCATENATE("#Metadata!", ADDRESS(INDEX($Q$2:$Q$1001,MATCH(ROWS($O$2:O428),$O$2:$O$1001,0),0), INDEX($V$1004:$AE$1004,1,MATCH(COLUMNS($V$1006:AA1006),$V$1006:$AE$1006,0)))),"Fix")))</f>
        <v>0</v>
      </c>
      <c r="H428" s="3">
        <f>IF(OR(INDEX($P$2:$P$1001,MATCH(ROWS($O$2:O428),$O$2:$O$1001,0),1)&gt;=100000,INDEX($V$1005:$AE$1005,1,MATCH(COLUMNS($V$1006:AB1006),$V$1006:$AE$1006,0))&gt;=100000), " ",IF(INDEX($V$2:$AE$1001,MATCH(ROWS($O$2:O428),$O$2:$O$1001,0),MATCH(COLUMNS($V$1006:AB1006),$V$1006:$AE$1006,0)), HYPERLINK("#",""), HYPERLINK(CONCATENATE("#Metadata!", ADDRESS(INDEX($Q$2:$Q$1001,MATCH(ROWS($O$2:O428),$O$2:$O$1001,0),0), INDEX($V$1004:$AE$1004,1,MATCH(COLUMNS($V$1006:AB1006),$V$1006:$AE$1006,0)))),"Fix")))</f>
        <v>0</v>
      </c>
      <c r="I428" s="3">
        <f>IF(OR(INDEX($P$2:$P$1001,MATCH(ROWS($O$2:O428),$O$2:$O$1001,0),1)&gt;=100000,INDEX($V$1005:$AE$1005,1,MATCH(COLUMNS($V$1006:AC1006),$V$1006:$AE$1006,0))&gt;=100000), " ",IF(INDEX($V$2:$AE$1001,MATCH(ROWS($O$2:O428),$O$2:$O$1001,0),MATCH(COLUMNS($V$1006:AC1006),$V$1006:$AE$1006,0)), HYPERLINK("#",""), HYPERLINK(CONCATENATE("#Metadata!", ADDRESS(INDEX($Q$2:$Q$1001,MATCH(ROWS($O$2:O428),$O$2:$O$1001,0),0), INDEX($V$1004:$AE$1004,1,MATCH(COLUMNS($V$1006:AC1006),$V$1006:$AE$1006,0)))),"Fix")))</f>
        <v>0</v>
      </c>
      <c r="J428" s="3">
        <f>IF(OR(INDEX($P$2:$P$1001,MATCH(ROWS($O$2:O428),$O$2:$O$1001,0),1)&gt;=100000,INDEX($V$1005:$AE$1005,1,MATCH(COLUMNS($V$1006:AD1006),$V$1006:$AE$1006,0))&gt;=100000), " ",IF(INDEX($V$2:$AE$1001,MATCH(ROWS($O$2:O428),$O$2:$O$1001,0),MATCH(COLUMNS($V$1006:AD1006),$V$1006:$AE$1006,0)), HYPERLINK("#",""), HYPERLINK(CONCATENATE("#Metadata!", ADDRESS(INDEX($Q$2:$Q$1001,MATCH(ROWS($O$2:O428),$O$2:$O$1001,0),0), INDEX($V$1004:$AE$1004,1,MATCH(COLUMNS($V$1006:AD1006),$V$1006:$AE$1006,0)))),"Fix")))</f>
        <v>0</v>
      </c>
      <c r="K428" s="3">
        <f>IF(OR(INDEX($P$2:$P$1001,MATCH(ROWS($O$2:O428),$O$2:$O$1001,0),1)&gt;=100000,INDEX($V$1005:$AE$1005,1,MATCH(COLUMNS($V$1006:AE1006),$V$1006:$AE$1006,0))&gt;=100000), " ",IF(INDEX($V$2:$AE$1001,MATCH(ROWS($O$2:O428),$O$2:$O$1001,0),MATCH(COLUMNS($V$1006:AE1006),$V$1006:$AE$1006,0)), HYPERLINK("#",""), HYPERLINK(CONCATENATE("#Metadata!", ADDRESS(INDEX($Q$2:$Q$1001,MATCH(ROWS($O$2:O428),$O$2:$O$1001,0),0), INDEX($V$1004:$AE$1004,1,MATCH(COLUMNS($V$1006:AE1006),$V$1006:$AE$1006,0)))),"Fix")))</f>
        <v>0</v>
      </c>
      <c r="O428">
        <v>0</v>
      </c>
      <c r="P428">
        <v>0</v>
      </c>
      <c r="Q428">
        <v>0</v>
      </c>
      <c r="R428">
        <f>IF(S428,TRUE,AND(V428:AE428))</f>
        <v>0</v>
      </c>
      <c r="S428">
        <f>COUNTBLANK(Metadata!B428:K428)=COLUMNS(Metadata!B428:K428)</f>
        <v>0</v>
      </c>
      <c r="T428">
        <v>0</v>
      </c>
      <c r="V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W428">
        <f>AND(IF(Metadata!C428="",FALSE,TRUE),exact(Metadata!C428,"animal secretion"))</f>
        <v>0</v>
      </c>
      <c r="X428">
        <f>AND(IF(Metadata!D428="",FALSE,TRUE),exact(Metadata!D428,"saliva"))</f>
        <v>0</v>
      </c>
      <c r="Y428">
        <f>AND(IF(Metadata!E428="",FALSE,TRUE),exact(Metadata!E428,"human-oral"))</f>
        <v>0</v>
      </c>
      <c r="Z428">
        <f>AND(IF(Metadata!F428="",FALSE,TRUE),exact(Metadata!F428,"UBERON:oral cavity"))</f>
        <v>0</v>
      </c>
      <c r="AA428">
        <f>AND(IF(Metadata!G428="",FALSE,TRUE),exact(Metadata!G428,"UBERON:saliva"))</f>
        <v>0</v>
      </c>
      <c r="AB428">
        <f>AND(IF(Metadata!H428="",FALSE,TRUE),exact(Metadata!H428,"UBERON:tongue"))</f>
        <v>0</v>
      </c>
      <c r="AC428">
        <f>AND(IF(Metadata!I428="",FALSE,TRUE),exact(Metadata!I428,"tongue"))</f>
        <v>0</v>
      </c>
      <c r="AD428">
        <f>AND(IF(Metadata!J428="",FALSE,TRUE),exact(Metadata!J428,"human oral metagenome"))</f>
        <v>0</v>
      </c>
      <c r="AE428">
        <f>AND(IF(Metadata!K428="",FALSE,TRUE),exact(Metadata!K428,"447426"))</f>
        <v>0</v>
      </c>
    </row>
    <row r="429" spans="1:31">
      <c r="A429" s="4">
        <f>IF(B429=" "," ",HYPERLINK(CONCATENATE("#metadata!",ADDRESS(INDEX($Q$2:$Q$1001,MATCH(ROWS($O$2:O429),$O$2:$O$1001,0),0),1)),INDEX($T$2:$T$1001,MATCH(ROWS($O$2:O429),$O$2:$O$1001,0),0)))</f>
        <v>0</v>
      </c>
      <c r="B429" s="3">
        <f>IF(OR(INDEX($P$2:$P$1001,MATCH(ROWS($O$2:O429),$O$2:$O$1001,0),1)&gt;=100000,INDEX($V$1005:$AE$1005,1,MATCH(COLUMNS($V$1006:V1006),$V$1006:$AE$1006,0))&gt;=100000), " ",IF(INDEX($V$2:$AE$1001,MATCH(ROWS($O$2:O429),$O$2:$O$1001,0),MATCH(COLUMNS($V$1006:V1006),$V$1006:$AE$1006,0)), HYPERLINK("#",""), HYPERLINK(CONCATENATE("#Metadata!", ADDRESS(INDEX($Q$2:$Q$1001,MATCH(ROWS($O$2:O429),$O$2:$O$1001,0),0), INDEX($V$1004:$AE$1004,1,MATCH(COLUMNS($V$1006:V1006),$V$1006:$AE$1006,0)))),"Fix")))</f>
        <v>0</v>
      </c>
      <c r="C429" s="3">
        <f>IF(OR(INDEX($P$2:$P$1001,MATCH(ROWS($O$2:O429),$O$2:$O$1001,0),1)&gt;=100000,INDEX($V$1005:$AE$1005,1,MATCH(COLUMNS($V$1006:W1006),$V$1006:$AE$1006,0))&gt;=100000), " ",IF(INDEX($V$2:$AE$1001,MATCH(ROWS($O$2:O429),$O$2:$O$1001,0),MATCH(COLUMNS($V$1006:W1006),$V$1006:$AE$1006,0)), HYPERLINK("#",""), HYPERLINK(CONCATENATE("#Metadata!", ADDRESS(INDEX($Q$2:$Q$1001,MATCH(ROWS($O$2:O429),$O$2:$O$1001,0),0), INDEX($V$1004:$AE$1004,1,MATCH(COLUMNS($V$1006:W1006),$V$1006:$AE$1006,0)))),"Fix")))</f>
        <v>0</v>
      </c>
      <c r="D429" s="3">
        <f>IF(OR(INDEX($P$2:$P$1001,MATCH(ROWS($O$2:O429),$O$2:$O$1001,0),1)&gt;=100000,INDEX($V$1005:$AE$1005,1,MATCH(COLUMNS($V$1006:X1006),$V$1006:$AE$1006,0))&gt;=100000), " ",IF(INDEX($V$2:$AE$1001,MATCH(ROWS($O$2:O429),$O$2:$O$1001,0),MATCH(COLUMNS($V$1006:X1006),$V$1006:$AE$1006,0)), HYPERLINK("#",""), HYPERLINK(CONCATENATE("#Metadata!", ADDRESS(INDEX($Q$2:$Q$1001,MATCH(ROWS($O$2:O429),$O$2:$O$1001,0),0), INDEX($V$1004:$AE$1004,1,MATCH(COLUMNS($V$1006:X1006),$V$1006:$AE$1006,0)))),"Fix")))</f>
        <v>0</v>
      </c>
      <c r="E429" s="3">
        <f>IF(OR(INDEX($P$2:$P$1001,MATCH(ROWS($O$2:O429),$O$2:$O$1001,0),1)&gt;=100000,INDEX($V$1005:$AE$1005,1,MATCH(COLUMNS($V$1006:Y1006),$V$1006:$AE$1006,0))&gt;=100000), " ",IF(INDEX($V$2:$AE$1001,MATCH(ROWS($O$2:O429),$O$2:$O$1001,0),MATCH(COLUMNS($V$1006:Y1006),$V$1006:$AE$1006,0)), HYPERLINK("#",""), HYPERLINK(CONCATENATE("#Metadata!", ADDRESS(INDEX($Q$2:$Q$1001,MATCH(ROWS($O$2:O429),$O$2:$O$1001,0),0), INDEX($V$1004:$AE$1004,1,MATCH(COLUMNS($V$1006:Y1006),$V$1006:$AE$1006,0)))),"Fix")))</f>
        <v>0</v>
      </c>
      <c r="F429" s="3">
        <f>IF(OR(INDEX($P$2:$P$1001,MATCH(ROWS($O$2:O429),$O$2:$O$1001,0),1)&gt;=100000,INDEX($V$1005:$AE$1005,1,MATCH(COLUMNS($V$1006:Z1006),$V$1006:$AE$1006,0))&gt;=100000), " ",IF(INDEX($V$2:$AE$1001,MATCH(ROWS($O$2:O429),$O$2:$O$1001,0),MATCH(COLUMNS($V$1006:Z1006),$V$1006:$AE$1006,0)), HYPERLINK("#",""), HYPERLINK(CONCATENATE("#Metadata!", ADDRESS(INDEX($Q$2:$Q$1001,MATCH(ROWS($O$2:O429),$O$2:$O$1001,0),0), INDEX($V$1004:$AE$1004,1,MATCH(COLUMNS($V$1006:Z1006),$V$1006:$AE$1006,0)))),"Fix")))</f>
        <v>0</v>
      </c>
      <c r="G429" s="3">
        <f>IF(OR(INDEX($P$2:$P$1001,MATCH(ROWS($O$2:O429),$O$2:$O$1001,0),1)&gt;=100000,INDEX($V$1005:$AE$1005,1,MATCH(COLUMNS($V$1006:AA1006),$V$1006:$AE$1006,0))&gt;=100000), " ",IF(INDEX($V$2:$AE$1001,MATCH(ROWS($O$2:O429),$O$2:$O$1001,0),MATCH(COLUMNS($V$1006:AA1006),$V$1006:$AE$1006,0)), HYPERLINK("#",""), HYPERLINK(CONCATENATE("#Metadata!", ADDRESS(INDEX($Q$2:$Q$1001,MATCH(ROWS($O$2:O429),$O$2:$O$1001,0),0), INDEX($V$1004:$AE$1004,1,MATCH(COLUMNS($V$1006:AA1006),$V$1006:$AE$1006,0)))),"Fix")))</f>
        <v>0</v>
      </c>
      <c r="H429" s="3">
        <f>IF(OR(INDEX($P$2:$P$1001,MATCH(ROWS($O$2:O429),$O$2:$O$1001,0),1)&gt;=100000,INDEX($V$1005:$AE$1005,1,MATCH(COLUMNS($V$1006:AB1006),$V$1006:$AE$1006,0))&gt;=100000), " ",IF(INDEX($V$2:$AE$1001,MATCH(ROWS($O$2:O429),$O$2:$O$1001,0),MATCH(COLUMNS($V$1006:AB1006),$V$1006:$AE$1006,0)), HYPERLINK("#",""), HYPERLINK(CONCATENATE("#Metadata!", ADDRESS(INDEX($Q$2:$Q$1001,MATCH(ROWS($O$2:O429),$O$2:$O$1001,0),0), INDEX($V$1004:$AE$1004,1,MATCH(COLUMNS($V$1006:AB1006),$V$1006:$AE$1006,0)))),"Fix")))</f>
        <v>0</v>
      </c>
      <c r="I429" s="3">
        <f>IF(OR(INDEX($P$2:$P$1001,MATCH(ROWS($O$2:O429),$O$2:$O$1001,0),1)&gt;=100000,INDEX($V$1005:$AE$1005,1,MATCH(COLUMNS($V$1006:AC1006),$V$1006:$AE$1006,0))&gt;=100000), " ",IF(INDEX($V$2:$AE$1001,MATCH(ROWS($O$2:O429),$O$2:$O$1001,0),MATCH(COLUMNS($V$1006:AC1006),$V$1006:$AE$1006,0)), HYPERLINK("#",""), HYPERLINK(CONCATENATE("#Metadata!", ADDRESS(INDEX($Q$2:$Q$1001,MATCH(ROWS($O$2:O429),$O$2:$O$1001,0),0), INDEX($V$1004:$AE$1004,1,MATCH(COLUMNS($V$1006:AC1006),$V$1006:$AE$1006,0)))),"Fix")))</f>
        <v>0</v>
      </c>
      <c r="J429" s="3">
        <f>IF(OR(INDEX($P$2:$P$1001,MATCH(ROWS($O$2:O429),$O$2:$O$1001,0),1)&gt;=100000,INDEX($V$1005:$AE$1005,1,MATCH(COLUMNS($V$1006:AD1006),$V$1006:$AE$1006,0))&gt;=100000), " ",IF(INDEX($V$2:$AE$1001,MATCH(ROWS($O$2:O429),$O$2:$O$1001,0),MATCH(COLUMNS($V$1006:AD1006),$V$1006:$AE$1006,0)), HYPERLINK("#",""), HYPERLINK(CONCATENATE("#Metadata!", ADDRESS(INDEX($Q$2:$Q$1001,MATCH(ROWS($O$2:O429),$O$2:$O$1001,0),0), INDEX($V$1004:$AE$1004,1,MATCH(COLUMNS($V$1006:AD1006),$V$1006:$AE$1006,0)))),"Fix")))</f>
        <v>0</v>
      </c>
      <c r="K429" s="3">
        <f>IF(OR(INDEX($P$2:$P$1001,MATCH(ROWS($O$2:O429),$O$2:$O$1001,0),1)&gt;=100000,INDEX($V$1005:$AE$1005,1,MATCH(COLUMNS($V$1006:AE1006),$V$1006:$AE$1006,0))&gt;=100000), " ",IF(INDEX($V$2:$AE$1001,MATCH(ROWS($O$2:O429),$O$2:$O$1001,0),MATCH(COLUMNS($V$1006:AE1006),$V$1006:$AE$1006,0)), HYPERLINK("#",""), HYPERLINK(CONCATENATE("#Metadata!", ADDRESS(INDEX($Q$2:$Q$1001,MATCH(ROWS($O$2:O429),$O$2:$O$1001,0),0), INDEX($V$1004:$AE$1004,1,MATCH(COLUMNS($V$1006:AE1006),$V$1006:$AE$1006,0)))),"Fix")))</f>
        <v>0</v>
      </c>
      <c r="O429">
        <v>0</v>
      </c>
      <c r="P429">
        <v>0</v>
      </c>
      <c r="Q429">
        <v>0</v>
      </c>
      <c r="R429">
        <f>IF(S429,TRUE,AND(V429:AE429))</f>
        <v>0</v>
      </c>
      <c r="S429">
        <f>COUNTBLANK(Metadata!B429:K429)=COLUMNS(Metadata!B429:K429)</f>
        <v>0</v>
      </c>
      <c r="T429">
        <v>0</v>
      </c>
      <c r="V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W429">
        <f>AND(IF(Metadata!C429="",FALSE,TRUE),exact(Metadata!C429,"animal secretion"))</f>
        <v>0</v>
      </c>
      <c r="X429">
        <f>AND(IF(Metadata!D429="",FALSE,TRUE),exact(Metadata!D429,"saliva"))</f>
        <v>0</v>
      </c>
      <c r="Y429">
        <f>AND(IF(Metadata!E429="",FALSE,TRUE),exact(Metadata!E429,"human-oral"))</f>
        <v>0</v>
      </c>
      <c r="Z429">
        <f>AND(IF(Metadata!F429="",FALSE,TRUE),exact(Metadata!F429,"UBERON:oral cavity"))</f>
        <v>0</v>
      </c>
      <c r="AA429">
        <f>AND(IF(Metadata!G429="",FALSE,TRUE),exact(Metadata!G429,"UBERON:saliva"))</f>
        <v>0</v>
      </c>
      <c r="AB429">
        <f>AND(IF(Metadata!H429="",FALSE,TRUE),exact(Metadata!H429,"UBERON:tongue"))</f>
        <v>0</v>
      </c>
      <c r="AC429">
        <f>AND(IF(Metadata!I429="",FALSE,TRUE),exact(Metadata!I429,"tongue"))</f>
        <v>0</v>
      </c>
      <c r="AD429">
        <f>AND(IF(Metadata!J429="",FALSE,TRUE),exact(Metadata!J429,"human oral metagenome"))</f>
        <v>0</v>
      </c>
      <c r="AE429">
        <f>AND(IF(Metadata!K429="",FALSE,TRUE),exact(Metadata!K429,"447426"))</f>
        <v>0</v>
      </c>
    </row>
    <row r="430" spans="1:31">
      <c r="A430" s="4">
        <f>IF(B430=" "," ",HYPERLINK(CONCATENATE("#metadata!",ADDRESS(INDEX($Q$2:$Q$1001,MATCH(ROWS($O$2:O430),$O$2:$O$1001,0),0),1)),INDEX($T$2:$T$1001,MATCH(ROWS($O$2:O430),$O$2:$O$1001,0),0)))</f>
        <v>0</v>
      </c>
      <c r="B430" s="3">
        <f>IF(OR(INDEX($P$2:$P$1001,MATCH(ROWS($O$2:O430),$O$2:$O$1001,0),1)&gt;=100000,INDEX($V$1005:$AE$1005,1,MATCH(COLUMNS($V$1006:V1006),$V$1006:$AE$1006,0))&gt;=100000), " ",IF(INDEX($V$2:$AE$1001,MATCH(ROWS($O$2:O430),$O$2:$O$1001,0),MATCH(COLUMNS($V$1006:V1006),$V$1006:$AE$1006,0)), HYPERLINK("#",""), HYPERLINK(CONCATENATE("#Metadata!", ADDRESS(INDEX($Q$2:$Q$1001,MATCH(ROWS($O$2:O430),$O$2:$O$1001,0),0), INDEX($V$1004:$AE$1004,1,MATCH(COLUMNS($V$1006:V1006),$V$1006:$AE$1006,0)))),"Fix")))</f>
        <v>0</v>
      </c>
      <c r="C430" s="3">
        <f>IF(OR(INDEX($P$2:$P$1001,MATCH(ROWS($O$2:O430),$O$2:$O$1001,0),1)&gt;=100000,INDEX($V$1005:$AE$1005,1,MATCH(COLUMNS($V$1006:W1006),$V$1006:$AE$1006,0))&gt;=100000), " ",IF(INDEX($V$2:$AE$1001,MATCH(ROWS($O$2:O430),$O$2:$O$1001,0),MATCH(COLUMNS($V$1006:W1006),$V$1006:$AE$1006,0)), HYPERLINK("#",""), HYPERLINK(CONCATENATE("#Metadata!", ADDRESS(INDEX($Q$2:$Q$1001,MATCH(ROWS($O$2:O430),$O$2:$O$1001,0),0), INDEX($V$1004:$AE$1004,1,MATCH(COLUMNS($V$1006:W1006),$V$1006:$AE$1006,0)))),"Fix")))</f>
        <v>0</v>
      </c>
      <c r="D430" s="3">
        <f>IF(OR(INDEX($P$2:$P$1001,MATCH(ROWS($O$2:O430),$O$2:$O$1001,0),1)&gt;=100000,INDEX($V$1005:$AE$1005,1,MATCH(COLUMNS($V$1006:X1006),$V$1006:$AE$1006,0))&gt;=100000), " ",IF(INDEX($V$2:$AE$1001,MATCH(ROWS($O$2:O430),$O$2:$O$1001,0),MATCH(COLUMNS($V$1006:X1006),$V$1006:$AE$1006,0)), HYPERLINK("#",""), HYPERLINK(CONCATENATE("#Metadata!", ADDRESS(INDEX($Q$2:$Q$1001,MATCH(ROWS($O$2:O430),$O$2:$O$1001,0),0), INDEX($V$1004:$AE$1004,1,MATCH(COLUMNS($V$1006:X1006),$V$1006:$AE$1006,0)))),"Fix")))</f>
        <v>0</v>
      </c>
      <c r="E430" s="3">
        <f>IF(OR(INDEX($P$2:$P$1001,MATCH(ROWS($O$2:O430),$O$2:$O$1001,0),1)&gt;=100000,INDEX($V$1005:$AE$1005,1,MATCH(COLUMNS($V$1006:Y1006),$V$1006:$AE$1006,0))&gt;=100000), " ",IF(INDEX($V$2:$AE$1001,MATCH(ROWS($O$2:O430),$O$2:$O$1001,0),MATCH(COLUMNS($V$1006:Y1006),$V$1006:$AE$1006,0)), HYPERLINK("#",""), HYPERLINK(CONCATENATE("#Metadata!", ADDRESS(INDEX($Q$2:$Q$1001,MATCH(ROWS($O$2:O430),$O$2:$O$1001,0),0), INDEX($V$1004:$AE$1004,1,MATCH(COLUMNS($V$1006:Y1006),$V$1006:$AE$1006,0)))),"Fix")))</f>
        <v>0</v>
      </c>
      <c r="F430" s="3">
        <f>IF(OR(INDEX($P$2:$P$1001,MATCH(ROWS($O$2:O430),$O$2:$O$1001,0),1)&gt;=100000,INDEX($V$1005:$AE$1005,1,MATCH(COLUMNS($V$1006:Z1006),$V$1006:$AE$1006,0))&gt;=100000), " ",IF(INDEX($V$2:$AE$1001,MATCH(ROWS($O$2:O430),$O$2:$O$1001,0),MATCH(COLUMNS($V$1006:Z1006),$V$1006:$AE$1006,0)), HYPERLINK("#",""), HYPERLINK(CONCATENATE("#Metadata!", ADDRESS(INDEX($Q$2:$Q$1001,MATCH(ROWS($O$2:O430),$O$2:$O$1001,0),0), INDEX($V$1004:$AE$1004,1,MATCH(COLUMNS($V$1006:Z1006),$V$1006:$AE$1006,0)))),"Fix")))</f>
        <v>0</v>
      </c>
      <c r="G430" s="3">
        <f>IF(OR(INDEX($P$2:$P$1001,MATCH(ROWS($O$2:O430),$O$2:$O$1001,0),1)&gt;=100000,INDEX($V$1005:$AE$1005,1,MATCH(COLUMNS($V$1006:AA1006),$V$1006:$AE$1006,0))&gt;=100000), " ",IF(INDEX($V$2:$AE$1001,MATCH(ROWS($O$2:O430),$O$2:$O$1001,0),MATCH(COLUMNS($V$1006:AA1006),$V$1006:$AE$1006,0)), HYPERLINK("#",""), HYPERLINK(CONCATENATE("#Metadata!", ADDRESS(INDEX($Q$2:$Q$1001,MATCH(ROWS($O$2:O430),$O$2:$O$1001,0),0), INDEX($V$1004:$AE$1004,1,MATCH(COLUMNS($V$1006:AA1006),$V$1006:$AE$1006,0)))),"Fix")))</f>
        <v>0</v>
      </c>
      <c r="H430" s="3">
        <f>IF(OR(INDEX($P$2:$P$1001,MATCH(ROWS($O$2:O430),$O$2:$O$1001,0),1)&gt;=100000,INDEX($V$1005:$AE$1005,1,MATCH(COLUMNS($V$1006:AB1006),$V$1006:$AE$1006,0))&gt;=100000), " ",IF(INDEX($V$2:$AE$1001,MATCH(ROWS($O$2:O430),$O$2:$O$1001,0),MATCH(COLUMNS($V$1006:AB1006),$V$1006:$AE$1006,0)), HYPERLINK("#",""), HYPERLINK(CONCATENATE("#Metadata!", ADDRESS(INDEX($Q$2:$Q$1001,MATCH(ROWS($O$2:O430),$O$2:$O$1001,0),0), INDEX($V$1004:$AE$1004,1,MATCH(COLUMNS($V$1006:AB1006),$V$1006:$AE$1006,0)))),"Fix")))</f>
        <v>0</v>
      </c>
      <c r="I430" s="3">
        <f>IF(OR(INDEX($P$2:$P$1001,MATCH(ROWS($O$2:O430),$O$2:$O$1001,0),1)&gt;=100000,INDEX($V$1005:$AE$1005,1,MATCH(COLUMNS($V$1006:AC1006),$V$1006:$AE$1006,0))&gt;=100000), " ",IF(INDEX($V$2:$AE$1001,MATCH(ROWS($O$2:O430),$O$2:$O$1001,0),MATCH(COLUMNS($V$1006:AC1006),$V$1006:$AE$1006,0)), HYPERLINK("#",""), HYPERLINK(CONCATENATE("#Metadata!", ADDRESS(INDEX($Q$2:$Q$1001,MATCH(ROWS($O$2:O430),$O$2:$O$1001,0),0), INDEX($V$1004:$AE$1004,1,MATCH(COLUMNS($V$1006:AC1006),$V$1006:$AE$1006,0)))),"Fix")))</f>
        <v>0</v>
      </c>
      <c r="J430" s="3">
        <f>IF(OR(INDEX($P$2:$P$1001,MATCH(ROWS($O$2:O430),$O$2:$O$1001,0),1)&gt;=100000,INDEX($V$1005:$AE$1005,1,MATCH(COLUMNS($V$1006:AD1006),$V$1006:$AE$1006,0))&gt;=100000), " ",IF(INDEX($V$2:$AE$1001,MATCH(ROWS($O$2:O430),$O$2:$O$1001,0),MATCH(COLUMNS($V$1006:AD1006),$V$1006:$AE$1006,0)), HYPERLINK("#",""), HYPERLINK(CONCATENATE("#Metadata!", ADDRESS(INDEX($Q$2:$Q$1001,MATCH(ROWS($O$2:O430),$O$2:$O$1001,0),0), INDEX($V$1004:$AE$1004,1,MATCH(COLUMNS($V$1006:AD1006),$V$1006:$AE$1006,0)))),"Fix")))</f>
        <v>0</v>
      </c>
      <c r="K430" s="3">
        <f>IF(OR(INDEX($P$2:$P$1001,MATCH(ROWS($O$2:O430),$O$2:$O$1001,0),1)&gt;=100000,INDEX($V$1005:$AE$1005,1,MATCH(COLUMNS($V$1006:AE1006),$V$1006:$AE$1006,0))&gt;=100000), " ",IF(INDEX($V$2:$AE$1001,MATCH(ROWS($O$2:O430),$O$2:$O$1001,0),MATCH(COLUMNS($V$1006:AE1006),$V$1006:$AE$1006,0)), HYPERLINK("#",""), HYPERLINK(CONCATENATE("#Metadata!", ADDRESS(INDEX($Q$2:$Q$1001,MATCH(ROWS($O$2:O430),$O$2:$O$1001,0),0), INDEX($V$1004:$AE$1004,1,MATCH(COLUMNS($V$1006:AE1006),$V$1006:$AE$1006,0)))),"Fix")))</f>
        <v>0</v>
      </c>
      <c r="O430">
        <v>0</v>
      </c>
      <c r="P430">
        <v>0</v>
      </c>
      <c r="Q430">
        <v>0</v>
      </c>
      <c r="R430">
        <f>IF(S430,TRUE,AND(V430:AE430))</f>
        <v>0</v>
      </c>
      <c r="S430">
        <f>COUNTBLANK(Metadata!B430:K430)=COLUMNS(Metadata!B430:K430)</f>
        <v>0</v>
      </c>
      <c r="T430">
        <v>0</v>
      </c>
      <c r="V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W430">
        <f>AND(IF(Metadata!C430="",FALSE,TRUE),exact(Metadata!C430,"animal secretion"))</f>
        <v>0</v>
      </c>
      <c r="X430">
        <f>AND(IF(Metadata!D430="",FALSE,TRUE),exact(Metadata!D430,"saliva"))</f>
        <v>0</v>
      </c>
      <c r="Y430">
        <f>AND(IF(Metadata!E430="",FALSE,TRUE),exact(Metadata!E430,"human-oral"))</f>
        <v>0</v>
      </c>
      <c r="Z430">
        <f>AND(IF(Metadata!F430="",FALSE,TRUE),exact(Metadata!F430,"UBERON:oral cavity"))</f>
        <v>0</v>
      </c>
      <c r="AA430">
        <f>AND(IF(Metadata!G430="",FALSE,TRUE),exact(Metadata!G430,"UBERON:saliva"))</f>
        <v>0</v>
      </c>
      <c r="AB430">
        <f>AND(IF(Metadata!H430="",FALSE,TRUE),exact(Metadata!H430,"UBERON:tongue"))</f>
        <v>0</v>
      </c>
      <c r="AC430">
        <f>AND(IF(Metadata!I430="",FALSE,TRUE),exact(Metadata!I430,"tongue"))</f>
        <v>0</v>
      </c>
      <c r="AD430">
        <f>AND(IF(Metadata!J430="",FALSE,TRUE),exact(Metadata!J430,"human oral metagenome"))</f>
        <v>0</v>
      </c>
      <c r="AE430">
        <f>AND(IF(Metadata!K430="",FALSE,TRUE),exact(Metadata!K430,"447426"))</f>
        <v>0</v>
      </c>
    </row>
    <row r="431" spans="1:31">
      <c r="A431" s="4">
        <f>IF(B431=" "," ",HYPERLINK(CONCATENATE("#metadata!",ADDRESS(INDEX($Q$2:$Q$1001,MATCH(ROWS($O$2:O431),$O$2:$O$1001,0),0),1)),INDEX($T$2:$T$1001,MATCH(ROWS($O$2:O431),$O$2:$O$1001,0),0)))</f>
        <v>0</v>
      </c>
      <c r="B431" s="3">
        <f>IF(OR(INDEX($P$2:$P$1001,MATCH(ROWS($O$2:O431),$O$2:$O$1001,0),1)&gt;=100000,INDEX($V$1005:$AE$1005,1,MATCH(COLUMNS($V$1006:V1006),$V$1006:$AE$1006,0))&gt;=100000), " ",IF(INDEX($V$2:$AE$1001,MATCH(ROWS($O$2:O431),$O$2:$O$1001,0),MATCH(COLUMNS($V$1006:V1006),$V$1006:$AE$1006,0)), HYPERLINK("#",""), HYPERLINK(CONCATENATE("#Metadata!", ADDRESS(INDEX($Q$2:$Q$1001,MATCH(ROWS($O$2:O431),$O$2:$O$1001,0),0), INDEX($V$1004:$AE$1004,1,MATCH(COLUMNS($V$1006:V1006),$V$1006:$AE$1006,0)))),"Fix")))</f>
        <v>0</v>
      </c>
      <c r="C431" s="3">
        <f>IF(OR(INDEX($P$2:$P$1001,MATCH(ROWS($O$2:O431),$O$2:$O$1001,0),1)&gt;=100000,INDEX($V$1005:$AE$1005,1,MATCH(COLUMNS($V$1006:W1006),$V$1006:$AE$1006,0))&gt;=100000), " ",IF(INDEX($V$2:$AE$1001,MATCH(ROWS($O$2:O431),$O$2:$O$1001,0),MATCH(COLUMNS($V$1006:W1006),$V$1006:$AE$1006,0)), HYPERLINK("#",""), HYPERLINK(CONCATENATE("#Metadata!", ADDRESS(INDEX($Q$2:$Q$1001,MATCH(ROWS($O$2:O431),$O$2:$O$1001,0),0), INDEX($V$1004:$AE$1004,1,MATCH(COLUMNS($V$1006:W1006),$V$1006:$AE$1006,0)))),"Fix")))</f>
        <v>0</v>
      </c>
      <c r="D431" s="3">
        <f>IF(OR(INDEX($P$2:$P$1001,MATCH(ROWS($O$2:O431),$O$2:$O$1001,0),1)&gt;=100000,INDEX($V$1005:$AE$1005,1,MATCH(COLUMNS($V$1006:X1006),$V$1006:$AE$1006,0))&gt;=100000), " ",IF(INDEX($V$2:$AE$1001,MATCH(ROWS($O$2:O431),$O$2:$O$1001,0),MATCH(COLUMNS($V$1006:X1006),$V$1006:$AE$1006,0)), HYPERLINK("#",""), HYPERLINK(CONCATENATE("#Metadata!", ADDRESS(INDEX($Q$2:$Q$1001,MATCH(ROWS($O$2:O431),$O$2:$O$1001,0),0), INDEX($V$1004:$AE$1004,1,MATCH(COLUMNS($V$1006:X1006),$V$1006:$AE$1006,0)))),"Fix")))</f>
        <v>0</v>
      </c>
      <c r="E431" s="3">
        <f>IF(OR(INDEX($P$2:$P$1001,MATCH(ROWS($O$2:O431),$O$2:$O$1001,0),1)&gt;=100000,INDEX($V$1005:$AE$1005,1,MATCH(COLUMNS($V$1006:Y1006),$V$1006:$AE$1006,0))&gt;=100000), " ",IF(INDEX($V$2:$AE$1001,MATCH(ROWS($O$2:O431),$O$2:$O$1001,0),MATCH(COLUMNS($V$1006:Y1006),$V$1006:$AE$1006,0)), HYPERLINK("#",""), HYPERLINK(CONCATENATE("#Metadata!", ADDRESS(INDEX($Q$2:$Q$1001,MATCH(ROWS($O$2:O431),$O$2:$O$1001,0),0), INDEX($V$1004:$AE$1004,1,MATCH(COLUMNS($V$1006:Y1006),$V$1006:$AE$1006,0)))),"Fix")))</f>
        <v>0</v>
      </c>
      <c r="F431" s="3">
        <f>IF(OR(INDEX($P$2:$P$1001,MATCH(ROWS($O$2:O431),$O$2:$O$1001,0),1)&gt;=100000,INDEX($V$1005:$AE$1005,1,MATCH(COLUMNS($V$1006:Z1006),$V$1006:$AE$1006,0))&gt;=100000), " ",IF(INDEX($V$2:$AE$1001,MATCH(ROWS($O$2:O431),$O$2:$O$1001,0),MATCH(COLUMNS($V$1006:Z1006),$V$1006:$AE$1006,0)), HYPERLINK("#",""), HYPERLINK(CONCATENATE("#Metadata!", ADDRESS(INDEX($Q$2:$Q$1001,MATCH(ROWS($O$2:O431),$O$2:$O$1001,0),0), INDEX($V$1004:$AE$1004,1,MATCH(COLUMNS($V$1006:Z1006),$V$1006:$AE$1006,0)))),"Fix")))</f>
        <v>0</v>
      </c>
      <c r="G431" s="3">
        <f>IF(OR(INDEX($P$2:$P$1001,MATCH(ROWS($O$2:O431),$O$2:$O$1001,0),1)&gt;=100000,INDEX($V$1005:$AE$1005,1,MATCH(COLUMNS($V$1006:AA1006),$V$1006:$AE$1006,0))&gt;=100000), " ",IF(INDEX($V$2:$AE$1001,MATCH(ROWS($O$2:O431),$O$2:$O$1001,0),MATCH(COLUMNS($V$1006:AA1006),$V$1006:$AE$1006,0)), HYPERLINK("#",""), HYPERLINK(CONCATENATE("#Metadata!", ADDRESS(INDEX($Q$2:$Q$1001,MATCH(ROWS($O$2:O431),$O$2:$O$1001,0),0), INDEX($V$1004:$AE$1004,1,MATCH(COLUMNS($V$1006:AA1006),$V$1006:$AE$1006,0)))),"Fix")))</f>
        <v>0</v>
      </c>
      <c r="H431" s="3">
        <f>IF(OR(INDEX($P$2:$P$1001,MATCH(ROWS($O$2:O431),$O$2:$O$1001,0),1)&gt;=100000,INDEX($V$1005:$AE$1005,1,MATCH(COLUMNS($V$1006:AB1006),$V$1006:$AE$1006,0))&gt;=100000), " ",IF(INDEX($V$2:$AE$1001,MATCH(ROWS($O$2:O431),$O$2:$O$1001,0),MATCH(COLUMNS($V$1006:AB1006),$V$1006:$AE$1006,0)), HYPERLINK("#",""), HYPERLINK(CONCATENATE("#Metadata!", ADDRESS(INDEX($Q$2:$Q$1001,MATCH(ROWS($O$2:O431),$O$2:$O$1001,0),0), INDEX($V$1004:$AE$1004,1,MATCH(COLUMNS($V$1006:AB1006),$V$1006:$AE$1006,0)))),"Fix")))</f>
        <v>0</v>
      </c>
      <c r="I431" s="3">
        <f>IF(OR(INDEX($P$2:$P$1001,MATCH(ROWS($O$2:O431),$O$2:$O$1001,0),1)&gt;=100000,INDEX($V$1005:$AE$1005,1,MATCH(COLUMNS($V$1006:AC1006),$V$1006:$AE$1006,0))&gt;=100000), " ",IF(INDEX($V$2:$AE$1001,MATCH(ROWS($O$2:O431),$O$2:$O$1001,0),MATCH(COLUMNS($V$1006:AC1006),$V$1006:$AE$1006,0)), HYPERLINK("#",""), HYPERLINK(CONCATENATE("#Metadata!", ADDRESS(INDEX($Q$2:$Q$1001,MATCH(ROWS($O$2:O431),$O$2:$O$1001,0),0), INDEX($V$1004:$AE$1004,1,MATCH(COLUMNS($V$1006:AC1006),$V$1006:$AE$1006,0)))),"Fix")))</f>
        <v>0</v>
      </c>
      <c r="J431" s="3">
        <f>IF(OR(INDEX($P$2:$P$1001,MATCH(ROWS($O$2:O431),$O$2:$O$1001,0),1)&gt;=100000,INDEX($V$1005:$AE$1005,1,MATCH(COLUMNS($V$1006:AD1006),$V$1006:$AE$1006,0))&gt;=100000), " ",IF(INDEX($V$2:$AE$1001,MATCH(ROWS($O$2:O431),$O$2:$O$1001,0),MATCH(COLUMNS($V$1006:AD1006),$V$1006:$AE$1006,0)), HYPERLINK("#",""), HYPERLINK(CONCATENATE("#Metadata!", ADDRESS(INDEX($Q$2:$Q$1001,MATCH(ROWS($O$2:O431),$O$2:$O$1001,0),0), INDEX($V$1004:$AE$1004,1,MATCH(COLUMNS($V$1006:AD1006),$V$1006:$AE$1006,0)))),"Fix")))</f>
        <v>0</v>
      </c>
      <c r="K431" s="3">
        <f>IF(OR(INDEX($P$2:$P$1001,MATCH(ROWS($O$2:O431),$O$2:$O$1001,0),1)&gt;=100000,INDEX($V$1005:$AE$1005,1,MATCH(COLUMNS($V$1006:AE1006),$V$1006:$AE$1006,0))&gt;=100000), " ",IF(INDEX($V$2:$AE$1001,MATCH(ROWS($O$2:O431),$O$2:$O$1001,0),MATCH(COLUMNS($V$1006:AE1006),$V$1006:$AE$1006,0)), HYPERLINK("#",""), HYPERLINK(CONCATENATE("#Metadata!", ADDRESS(INDEX($Q$2:$Q$1001,MATCH(ROWS($O$2:O431),$O$2:$O$1001,0),0), INDEX($V$1004:$AE$1004,1,MATCH(COLUMNS($V$1006:AE1006),$V$1006:$AE$1006,0)))),"Fix")))</f>
        <v>0</v>
      </c>
      <c r="O431">
        <v>0</v>
      </c>
      <c r="P431">
        <v>0</v>
      </c>
      <c r="Q431">
        <v>0</v>
      </c>
      <c r="R431">
        <f>IF(S431,TRUE,AND(V431:AE431))</f>
        <v>0</v>
      </c>
      <c r="S431">
        <f>COUNTBLANK(Metadata!B431:K431)=COLUMNS(Metadata!B431:K431)</f>
        <v>0</v>
      </c>
      <c r="T431">
        <v>0</v>
      </c>
      <c r="V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W431">
        <f>AND(IF(Metadata!C431="",FALSE,TRUE),exact(Metadata!C431,"animal secretion"))</f>
        <v>0</v>
      </c>
      <c r="X431">
        <f>AND(IF(Metadata!D431="",FALSE,TRUE),exact(Metadata!D431,"saliva"))</f>
        <v>0</v>
      </c>
      <c r="Y431">
        <f>AND(IF(Metadata!E431="",FALSE,TRUE),exact(Metadata!E431,"human-oral"))</f>
        <v>0</v>
      </c>
      <c r="Z431">
        <f>AND(IF(Metadata!F431="",FALSE,TRUE),exact(Metadata!F431,"UBERON:oral cavity"))</f>
        <v>0</v>
      </c>
      <c r="AA431">
        <f>AND(IF(Metadata!G431="",FALSE,TRUE),exact(Metadata!G431,"UBERON:saliva"))</f>
        <v>0</v>
      </c>
      <c r="AB431">
        <f>AND(IF(Metadata!H431="",FALSE,TRUE),exact(Metadata!H431,"UBERON:tongue"))</f>
        <v>0</v>
      </c>
      <c r="AC431">
        <f>AND(IF(Metadata!I431="",FALSE,TRUE),exact(Metadata!I431,"tongue"))</f>
        <v>0</v>
      </c>
      <c r="AD431">
        <f>AND(IF(Metadata!J431="",FALSE,TRUE),exact(Metadata!J431,"human oral metagenome"))</f>
        <v>0</v>
      </c>
      <c r="AE431">
        <f>AND(IF(Metadata!K431="",FALSE,TRUE),exact(Metadata!K431,"447426"))</f>
        <v>0</v>
      </c>
    </row>
    <row r="432" spans="1:31">
      <c r="A432" s="4">
        <f>IF(B432=" "," ",HYPERLINK(CONCATENATE("#metadata!",ADDRESS(INDEX($Q$2:$Q$1001,MATCH(ROWS($O$2:O432),$O$2:$O$1001,0),0),1)),INDEX($T$2:$T$1001,MATCH(ROWS($O$2:O432),$O$2:$O$1001,0),0)))</f>
        <v>0</v>
      </c>
      <c r="B432" s="3">
        <f>IF(OR(INDEX($P$2:$P$1001,MATCH(ROWS($O$2:O432),$O$2:$O$1001,0),1)&gt;=100000,INDEX($V$1005:$AE$1005,1,MATCH(COLUMNS($V$1006:V1006),$V$1006:$AE$1006,0))&gt;=100000), " ",IF(INDEX($V$2:$AE$1001,MATCH(ROWS($O$2:O432),$O$2:$O$1001,0),MATCH(COLUMNS($V$1006:V1006),$V$1006:$AE$1006,0)), HYPERLINK("#",""), HYPERLINK(CONCATENATE("#Metadata!", ADDRESS(INDEX($Q$2:$Q$1001,MATCH(ROWS($O$2:O432),$O$2:$O$1001,0),0), INDEX($V$1004:$AE$1004,1,MATCH(COLUMNS($V$1006:V1006),$V$1006:$AE$1006,0)))),"Fix")))</f>
        <v>0</v>
      </c>
      <c r="C432" s="3">
        <f>IF(OR(INDEX($P$2:$P$1001,MATCH(ROWS($O$2:O432),$O$2:$O$1001,0),1)&gt;=100000,INDEX($V$1005:$AE$1005,1,MATCH(COLUMNS($V$1006:W1006),$V$1006:$AE$1006,0))&gt;=100000), " ",IF(INDEX($V$2:$AE$1001,MATCH(ROWS($O$2:O432),$O$2:$O$1001,0),MATCH(COLUMNS($V$1006:W1006),$V$1006:$AE$1006,0)), HYPERLINK("#",""), HYPERLINK(CONCATENATE("#Metadata!", ADDRESS(INDEX($Q$2:$Q$1001,MATCH(ROWS($O$2:O432),$O$2:$O$1001,0),0), INDEX($V$1004:$AE$1004,1,MATCH(COLUMNS($V$1006:W1006),$V$1006:$AE$1006,0)))),"Fix")))</f>
        <v>0</v>
      </c>
      <c r="D432" s="3">
        <f>IF(OR(INDEX($P$2:$P$1001,MATCH(ROWS($O$2:O432),$O$2:$O$1001,0),1)&gt;=100000,INDEX($V$1005:$AE$1005,1,MATCH(COLUMNS($V$1006:X1006),$V$1006:$AE$1006,0))&gt;=100000), " ",IF(INDEX($V$2:$AE$1001,MATCH(ROWS($O$2:O432),$O$2:$O$1001,0),MATCH(COLUMNS($V$1006:X1006),$V$1006:$AE$1006,0)), HYPERLINK("#",""), HYPERLINK(CONCATENATE("#Metadata!", ADDRESS(INDEX($Q$2:$Q$1001,MATCH(ROWS($O$2:O432),$O$2:$O$1001,0),0), INDEX($V$1004:$AE$1004,1,MATCH(COLUMNS($V$1006:X1006),$V$1006:$AE$1006,0)))),"Fix")))</f>
        <v>0</v>
      </c>
      <c r="E432" s="3">
        <f>IF(OR(INDEX($P$2:$P$1001,MATCH(ROWS($O$2:O432),$O$2:$O$1001,0),1)&gt;=100000,INDEX($V$1005:$AE$1005,1,MATCH(COLUMNS($V$1006:Y1006),$V$1006:$AE$1006,0))&gt;=100000), " ",IF(INDEX($V$2:$AE$1001,MATCH(ROWS($O$2:O432),$O$2:$O$1001,0),MATCH(COLUMNS($V$1006:Y1006),$V$1006:$AE$1006,0)), HYPERLINK("#",""), HYPERLINK(CONCATENATE("#Metadata!", ADDRESS(INDEX($Q$2:$Q$1001,MATCH(ROWS($O$2:O432),$O$2:$O$1001,0),0), INDEX($V$1004:$AE$1004,1,MATCH(COLUMNS($V$1006:Y1006),$V$1006:$AE$1006,0)))),"Fix")))</f>
        <v>0</v>
      </c>
      <c r="F432" s="3">
        <f>IF(OR(INDEX($P$2:$P$1001,MATCH(ROWS($O$2:O432),$O$2:$O$1001,0),1)&gt;=100000,INDEX($V$1005:$AE$1005,1,MATCH(COLUMNS($V$1006:Z1006),$V$1006:$AE$1006,0))&gt;=100000), " ",IF(INDEX($V$2:$AE$1001,MATCH(ROWS($O$2:O432),$O$2:$O$1001,0),MATCH(COLUMNS($V$1006:Z1006),$V$1006:$AE$1006,0)), HYPERLINK("#",""), HYPERLINK(CONCATENATE("#Metadata!", ADDRESS(INDEX($Q$2:$Q$1001,MATCH(ROWS($O$2:O432),$O$2:$O$1001,0),0), INDEX($V$1004:$AE$1004,1,MATCH(COLUMNS($V$1006:Z1006),$V$1006:$AE$1006,0)))),"Fix")))</f>
        <v>0</v>
      </c>
      <c r="G432" s="3">
        <f>IF(OR(INDEX($P$2:$P$1001,MATCH(ROWS($O$2:O432),$O$2:$O$1001,0),1)&gt;=100000,INDEX($V$1005:$AE$1005,1,MATCH(COLUMNS($V$1006:AA1006),$V$1006:$AE$1006,0))&gt;=100000), " ",IF(INDEX($V$2:$AE$1001,MATCH(ROWS($O$2:O432),$O$2:$O$1001,0),MATCH(COLUMNS($V$1006:AA1006),$V$1006:$AE$1006,0)), HYPERLINK("#",""), HYPERLINK(CONCATENATE("#Metadata!", ADDRESS(INDEX($Q$2:$Q$1001,MATCH(ROWS($O$2:O432),$O$2:$O$1001,0),0), INDEX($V$1004:$AE$1004,1,MATCH(COLUMNS($V$1006:AA1006),$V$1006:$AE$1006,0)))),"Fix")))</f>
        <v>0</v>
      </c>
      <c r="H432" s="3">
        <f>IF(OR(INDEX($P$2:$P$1001,MATCH(ROWS($O$2:O432),$O$2:$O$1001,0),1)&gt;=100000,INDEX($V$1005:$AE$1005,1,MATCH(COLUMNS($V$1006:AB1006),$V$1006:$AE$1006,0))&gt;=100000), " ",IF(INDEX($V$2:$AE$1001,MATCH(ROWS($O$2:O432),$O$2:$O$1001,0),MATCH(COLUMNS($V$1006:AB1006),$V$1006:$AE$1006,0)), HYPERLINK("#",""), HYPERLINK(CONCATENATE("#Metadata!", ADDRESS(INDEX($Q$2:$Q$1001,MATCH(ROWS($O$2:O432),$O$2:$O$1001,0),0), INDEX($V$1004:$AE$1004,1,MATCH(COLUMNS($V$1006:AB1006),$V$1006:$AE$1006,0)))),"Fix")))</f>
        <v>0</v>
      </c>
      <c r="I432" s="3">
        <f>IF(OR(INDEX($P$2:$P$1001,MATCH(ROWS($O$2:O432),$O$2:$O$1001,0),1)&gt;=100000,INDEX($V$1005:$AE$1005,1,MATCH(COLUMNS($V$1006:AC1006),$V$1006:$AE$1006,0))&gt;=100000), " ",IF(INDEX($V$2:$AE$1001,MATCH(ROWS($O$2:O432),$O$2:$O$1001,0),MATCH(COLUMNS($V$1006:AC1006),$V$1006:$AE$1006,0)), HYPERLINK("#",""), HYPERLINK(CONCATENATE("#Metadata!", ADDRESS(INDEX($Q$2:$Q$1001,MATCH(ROWS($O$2:O432),$O$2:$O$1001,0),0), INDEX($V$1004:$AE$1004,1,MATCH(COLUMNS($V$1006:AC1006),$V$1006:$AE$1006,0)))),"Fix")))</f>
        <v>0</v>
      </c>
      <c r="J432" s="3">
        <f>IF(OR(INDEX($P$2:$P$1001,MATCH(ROWS($O$2:O432),$O$2:$O$1001,0),1)&gt;=100000,INDEX($V$1005:$AE$1005,1,MATCH(COLUMNS($V$1006:AD1006),$V$1006:$AE$1006,0))&gt;=100000), " ",IF(INDEX($V$2:$AE$1001,MATCH(ROWS($O$2:O432),$O$2:$O$1001,0),MATCH(COLUMNS($V$1006:AD1006),$V$1006:$AE$1006,0)), HYPERLINK("#",""), HYPERLINK(CONCATENATE("#Metadata!", ADDRESS(INDEX($Q$2:$Q$1001,MATCH(ROWS($O$2:O432),$O$2:$O$1001,0),0), INDEX($V$1004:$AE$1004,1,MATCH(COLUMNS($V$1006:AD1006),$V$1006:$AE$1006,0)))),"Fix")))</f>
        <v>0</v>
      </c>
      <c r="K432" s="3">
        <f>IF(OR(INDEX($P$2:$P$1001,MATCH(ROWS($O$2:O432),$O$2:$O$1001,0),1)&gt;=100000,INDEX($V$1005:$AE$1005,1,MATCH(COLUMNS($V$1006:AE1006),$V$1006:$AE$1006,0))&gt;=100000), " ",IF(INDEX($V$2:$AE$1001,MATCH(ROWS($O$2:O432),$O$2:$O$1001,0),MATCH(COLUMNS($V$1006:AE1006),$V$1006:$AE$1006,0)), HYPERLINK("#",""), HYPERLINK(CONCATENATE("#Metadata!", ADDRESS(INDEX($Q$2:$Q$1001,MATCH(ROWS($O$2:O432),$O$2:$O$1001,0),0), INDEX($V$1004:$AE$1004,1,MATCH(COLUMNS($V$1006:AE1006),$V$1006:$AE$1006,0)))),"Fix")))</f>
        <v>0</v>
      </c>
      <c r="O432">
        <v>0</v>
      </c>
      <c r="P432">
        <v>0</v>
      </c>
      <c r="Q432">
        <v>0</v>
      </c>
      <c r="R432">
        <f>IF(S432,TRUE,AND(V432:AE432))</f>
        <v>0</v>
      </c>
      <c r="S432">
        <f>COUNTBLANK(Metadata!B432:K432)=COLUMNS(Metadata!B432:K432)</f>
        <v>0</v>
      </c>
      <c r="T432">
        <v>0</v>
      </c>
      <c r="V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W432">
        <f>AND(IF(Metadata!C432="",FALSE,TRUE),exact(Metadata!C432,"animal secretion"))</f>
        <v>0</v>
      </c>
      <c r="X432">
        <f>AND(IF(Metadata!D432="",FALSE,TRUE),exact(Metadata!D432,"saliva"))</f>
        <v>0</v>
      </c>
      <c r="Y432">
        <f>AND(IF(Metadata!E432="",FALSE,TRUE),exact(Metadata!E432,"human-oral"))</f>
        <v>0</v>
      </c>
      <c r="Z432">
        <f>AND(IF(Metadata!F432="",FALSE,TRUE),exact(Metadata!F432,"UBERON:oral cavity"))</f>
        <v>0</v>
      </c>
      <c r="AA432">
        <f>AND(IF(Metadata!G432="",FALSE,TRUE),exact(Metadata!G432,"UBERON:saliva"))</f>
        <v>0</v>
      </c>
      <c r="AB432">
        <f>AND(IF(Metadata!H432="",FALSE,TRUE),exact(Metadata!H432,"UBERON:tongue"))</f>
        <v>0</v>
      </c>
      <c r="AC432">
        <f>AND(IF(Metadata!I432="",FALSE,TRUE),exact(Metadata!I432,"tongue"))</f>
        <v>0</v>
      </c>
      <c r="AD432">
        <f>AND(IF(Metadata!J432="",FALSE,TRUE),exact(Metadata!J432,"human oral metagenome"))</f>
        <v>0</v>
      </c>
      <c r="AE432">
        <f>AND(IF(Metadata!K432="",FALSE,TRUE),exact(Metadata!K432,"447426"))</f>
        <v>0</v>
      </c>
    </row>
    <row r="433" spans="1:31">
      <c r="A433" s="4">
        <f>IF(B433=" "," ",HYPERLINK(CONCATENATE("#metadata!",ADDRESS(INDEX($Q$2:$Q$1001,MATCH(ROWS($O$2:O433),$O$2:$O$1001,0),0),1)),INDEX($T$2:$T$1001,MATCH(ROWS($O$2:O433),$O$2:$O$1001,0),0)))</f>
        <v>0</v>
      </c>
      <c r="B433" s="3">
        <f>IF(OR(INDEX($P$2:$P$1001,MATCH(ROWS($O$2:O433),$O$2:$O$1001,0),1)&gt;=100000,INDEX($V$1005:$AE$1005,1,MATCH(COLUMNS($V$1006:V1006),$V$1006:$AE$1006,0))&gt;=100000), " ",IF(INDEX($V$2:$AE$1001,MATCH(ROWS($O$2:O433),$O$2:$O$1001,0),MATCH(COLUMNS($V$1006:V1006),$V$1006:$AE$1006,0)), HYPERLINK("#",""), HYPERLINK(CONCATENATE("#Metadata!", ADDRESS(INDEX($Q$2:$Q$1001,MATCH(ROWS($O$2:O433),$O$2:$O$1001,0),0), INDEX($V$1004:$AE$1004,1,MATCH(COLUMNS($V$1006:V1006),$V$1006:$AE$1006,0)))),"Fix")))</f>
        <v>0</v>
      </c>
      <c r="C433" s="3">
        <f>IF(OR(INDEX($P$2:$P$1001,MATCH(ROWS($O$2:O433),$O$2:$O$1001,0),1)&gt;=100000,INDEX($V$1005:$AE$1005,1,MATCH(COLUMNS($V$1006:W1006),$V$1006:$AE$1006,0))&gt;=100000), " ",IF(INDEX($V$2:$AE$1001,MATCH(ROWS($O$2:O433),$O$2:$O$1001,0),MATCH(COLUMNS($V$1006:W1006),$V$1006:$AE$1006,0)), HYPERLINK("#",""), HYPERLINK(CONCATENATE("#Metadata!", ADDRESS(INDEX($Q$2:$Q$1001,MATCH(ROWS($O$2:O433),$O$2:$O$1001,0),0), INDEX($V$1004:$AE$1004,1,MATCH(COLUMNS($V$1006:W1006),$V$1006:$AE$1006,0)))),"Fix")))</f>
        <v>0</v>
      </c>
      <c r="D433" s="3">
        <f>IF(OR(INDEX($P$2:$P$1001,MATCH(ROWS($O$2:O433),$O$2:$O$1001,0),1)&gt;=100000,INDEX($V$1005:$AE$1005,1,MATCH(COLUMNS($V$1006:X1006),$V$1006:$AE$1006,0))&gt;=100000), " ",IF(INDEX($V$2:$AE$1001,MATCH(ROWS($O$2:O433),$O$2:$O$1001,0),MATCH(COLUMNS($V$1006:X1006),$V$1006:$AE$1006,0)), HYPERLINK("#",""), HYPERLINK(CONCATENATE("#Metadata!", ADDRESS(INDEX($Q$2:$Q$1001,MATCH(ROWS($O$2:O433),$O$2:$O$1001,0),0), INDEX($V$1004:$AE$1004,1,MATCH(COLUMNS($V$1006:X1006),$V$1006:$AE$1006,0)))),"Fix")))</f>
        <v>0</v>
      </c>
      <c r="E433" s="3">
        <f>IF(OR(INDEX($P$2:$P$1001,MATCH(ROWS($O$2:O433),$O$2:$O$1001,0),1)&gt;=100000,INDEX($V$1005:$AE$1005,1,MATCH(COLUMNS($V$1006:Y1006),$V$1006:$AE$1006,0))&gt;=100000), " ",IF(INDEX($V$2:$AE$1001,MATCH(ROWS($O$2:O433),$O$2:$O$1001,0),MATCH(COLUMNS($V$1006:Y1006),$V$1006:$AE$1006,0)), HYPERLINK("#",""), HYPERLINK(CONCATENATE("#Metadata!", ADDRESS(INDEX($Q$2:$Q$1001,MATCH(ROWS($O$2:O433),$O$2:$O$1001,0),0), INDEX($V$1004:$AE$1004,1,MATCH(COLUMNS($V$1006:Y1006),$V$1006:$AE$1006,0)))),"Fix")))</f>
        <v>0</v>
      </c>
      <c r="F433" s="3">
        <f>IF(OR(INDEX($P$2:$P$1001,MATCH(ROWS($O$2:O433),$O$2:$O$1001,0),1)&gt;=100000,INDEX($V$1005:$AE$1005,1,MATCH(COLUMNS($V$1006:Z1006),$V$1006:$AE$1006,0))&gt;=100000), " ",IF(INDEX($V$2:$AE$1001,MATCH(ROWS($O$2:O433),$O$2:$O$1001,0),MATCH(COLUMNS($V$1006:Z1006),$V$1006:$AE$1006,0)), HYPERLINK("#",""), HYPERLINK(CONCATENATE("#Metadata!", ADDRESS(INDEX($Q$2:$Q$1001,MATCH(ROWS($O$2:O433),$O$2:$O$1001,0),0), INDEX($V$1004:$AE$1004,1,MATCH(COLUMNS($V$1006:Z1006),$V$1006:$AE$1006,0)))),"Fix")))</f>
        <v>0</v>
      </c>
      <c r="G433" s="3">
        <f>IF(OR(INDEX($P$2:$P$1001,MATCH(ROWS($O$2:O433),$O$2:$O$1001,0),1)&gt;=100000,INDEX($V$1005:$AE$1005,1,MATCH(COLUMNS($V$1006:AA1006),$V$1006:$AE$1006,0))&gt;=100000), " ",IF(INDEX($V$2:$AE$1001,MATCH(ROWS($O$2:O433),$O$2:$O$1001,0),MATCH(COLUMNS($V$1006:AA1006),$V$1006:$AE$1006,0)), HYPERLINK("#",""), HYPERLINK(CONCATENATE("#Metadata!", ADDRESS(INDEX($Q$2:$Q$1001,MATCH(ROWS($O$2:O433),$O$2:$O$1001,0),0), INDEX($V$1004:$AE$1004,1,MATCH(COLUMNS($V$1006:AA1006),$V$1006:$AE$1006,0)))),"Fix")))</f>
        <v>0</v>
      </c>
      <c r="H433" s="3">
        <f>IF(OR(INDEX($P$2:$P$1001,MATCH(ROWS($O$2:O433),$O$2:$O$1001,0),1)&gt;=100000,INDEX($V$1005:$AE$1005,1,MATCH(COLUMNS($V$1006:AB1006),$V$1006:$AE$1006,0))&gt;=100000), " ",IF(INDEX($V$2:$AE$1001,MATCH(ROWS($O$2:O433),$O$2:$O$1001,0),MATCH(COLUMNS($V$1006:AB1006),$V$1006:$AE$1006,0)), HYPERLINK("#",""), HYPERLINK(CONCATENATE("#Metadata!", ADDRESS(INDEX($Q$2:$Q$1001,MATCH(ROWS($O$2:O433),$O$2:$O$1001,0),0), INDEX($V$1004:$AE$1004,1,MATCH(COLUMNS($V$1006:AB1006),$V$1006:$AE$1006,0)))),"Fix")))</f>
        <v>0</v>
      </c>
      <c r="I433" s="3">
        <f>IF(OR(INDEX($P$2:$P$1001,MATCH(ROWS($O$2:O433),$O$2:$O$1001,0),1)&gt;=100000,INDEX($V$1005:$AE$1005,1,MATCH(COLUMNS($V$1006:AC1006),$V$1006:$AE$1006,0))&gt;=100000), " ",IF(INDEX($V$2:$AE$1001,MATCH(ROWS($O$2:O433),$O$2:$O$1001,0),MATCH(COLUMNS($V$1006:AC1006),$V$1006:$AE$1006,0)), HYPERLINK("#",""), HYPERLINK(CONCATENATE("#Metadata!", ADDRESS(INDEX($Q$2:$Q$1001,MATCH(ROWS($O$2:O433),$O$2:$O$1001,0),0), INDEX($V$1004:$AE$1004,1,MATCH(COLUMNS($V$1006:AC1006),$V$1006:$AE$1006,0)))),"Fix")))</f>
        <v>0</v>
      </c>
      <c r="J433" s="3">
        <f>IF(OR(INDEX($P$2:$P$1001,MATCH(ROWS($O$2:O433),$O$2:$O$1001,0),1)&gt;=100000,INDEX($V$1005:$AE$1005,1,MATCH(COLUMNS($V$1006:AD1006),$V$1006:$AE$1006,0))&gt;=100000), " ",IF(INDEX($V$2:$AE$1001,MATCH(ROWS($O$2:O433),$O$2:$O$1001,0),MATCH(COLUMNS($V$1006:AD1006),$V$1006:$AE$1006,0)), HYPERLINK("#",""), HYPERLINK(CONCATENATE("#Metadata!", ADDRESS(INDEX($Q$2:$Q$1001,MATCH(ROWS($O$2:O433),$O$2:$O$1001,0),0), INDEX($V$1004:$AE$1004,1,MATCH(COLUMNS($V$1006:AD1006),$V$1006:$AE$1006,0)))),"Fix")))</f>
        <v>0</v>
      </c>
      <c r="K433" s="3">
        <f>IF(OR(INDEX($P$2:$P$1001,MATCH(ROWS($O$2:O433),$O$2:$O$1001,0),1)&gt;=100000,INDEX($V$1005:$AE$1005,1,MATCH(COLUMNS($V$1006:AE1006),$V$1006:$AE$1006,0))&gt;=100000), " ",IF(INDEX($V$2:$AE$1001,MATCH(ROWS($O$2:O433),$O$2:$O$1001,0),MATCH(COLUMNS($V$1006:AE1006),$V$1006:$AE$1006,0)), HYPERLINK("#",""), HYPERLINK(CONCATENATE("#Metadata!", ADDRESS(INDEX($Q$2:$Q$1001,MATCH(ROWS($O$2:O433),$O$2:$O$1001,0),0), INDEX($V$1004:$AE$1004,1,MATCH(COLUMNS($V$1006:AE1006),$V$1006:$AE$1006,0)))),"Fix")))</f>
        <v>0</v>
      </c>
      <c r="O433">
        <v>0</v>
      </c>
      <c r="P433">
        <v>0</v>
      </c>
      <c r="Q433">
        <v>0</v>
      </c>
      <c r="R433">
        <f>IF(S433,TRUE,AND(V433:AE433))</f>
        <v>0</v>
      </c>
      <c r="S433">
        <f>COUNTBLANK(Metadata!B433:K433)=COLUMNS(Metadata!B433:K433)</f>
        <v>0</v>
      </c>
      <c r="T433">
        <v>0</v>
      </c>
      <c r="V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W433">
        <f>AND(IF(Metadata!C433="",FALSE,TRUE),exact(Metadata!C433,"animal secretion"))</f>
        <v>0</v>
      </c>
      <c r="X433">
        <f>AND(IF(Metadata!D433="",FALSE,TRUE),exact(Metadata!D433,"saliva"))</f>
        <v>0</v>
      </c>
      <c r="Y433">
        <f>AND(IF(Metadata!E433="",FALSE,TRUE),exact(Metadata!E433,"human-oral"))</f>
        <v>0</v>
      </c>
      <c r="Z433">
        <f>AND(IF(Metadata!F433="",FALSE,TRUE),exact(Metadata!F433,"UBERON:oral cavity"))</f>
        <v>0</v>
      </c>
      <c r="AA433">
        <f>AND(IF(Metadata!G433="",FALSE,TRUE),exact(Metadata!G433,"UBERON:saliva"))</f>
        <v>0</v>
      </c>
      <c r="AB433">
        <f>AND(IF(Metadata!H433="",FALSE,TRUE),exact(Metadata!H433,"UBERON:tongue"))</f>
        <v>0</v>
      </c>
      <c r="AC433">
        <f>AND(IF(Metadata!I433="",FALSE,TRUE),exact(Metadata!I433,"tongue"))</f>
        <v>0</v>
      </c>
      <c r="AD433">
        <f>AND(IF(Metadata!J433="",FALSE,TRUE),exact(Metadata!J433,"human oral metagenome"))</f>
        <v>0</v>
      </c>
      <c r="AE433">
        <f>AND(IF(Metadata!K433="",FALSE,TRUE),exact(Metadata!K433,"447426"))</f>
        <v>0</v>
      </c>
    </row>
    <row r="434" spans="1:31">
      <c r="A434" s="4">
        <f>IF(B434=" "," ",HYPERLINK(CONCATENATE("#metadata!",ADDRESS(INDEX($Q$2:$Q$1001,MATCH(ROWS($O$2:O434),$O$2:$O$1001,0),0),1)),INDEX($T$2:$T$1001,MATCH(ROWS($O$2:O434),$O$2:$O$1001,0),0)))</f>
        <v>0</v>
      </c>
      <c r="B434" s="3">
        <f>IF(OR(INDEX($P$2:$P$1001,MATCH(ROWS($O$2:O434),$O$2:$O$1001,0),1)&gt;=100000,INDEX($V$1005:$AE$1005,1,MATCH(COLUMNS($V$1006:V1006),$V$1006:$AE$1006,0))&gt;=100000), " ",IF(INDEX($V$2:$AE$1001,MATCH(ROWS($O$2:O434),$O$2:$O$1001,0),MATCH(COLUMNS($V$1006:V1006),$V$1006:$AE$1006,0)), HYPERLINK("#",""), HYPERLINK(CONCATENATE("#Metadata!", ADDRESS(INDEX($Q$2:$Q$1001,MATCH(ROWS($O$2:O434),$O$2:$O$1001,0),0), INDEX($V$1004:$AE$1004,1,MATCH(COLUMNS($V$1006:V1006),$V$1006:$AE$1006,0)))),"Fix")))</f>
        <v>0</v>
      </c>
      <c r="C434" s="3">
        <f>IF(OR(INDEX($P$2:$P$1001,MATCH(ROWS($O$2:O434),$O$2:$O$1001,0),1)&gt;=100000,INDEX($V$1005:$AE$1005,1,MATCH(COLUMNS($V$1006:W1006),$V$1006:$AE$1006,0))&gt;=100000), " ",IF(INDEX($V$2:$AE$1001,MATCH(ROWS($O$2:O434),$O$2:$O$1001,0),MATCH(COLUMNS($V$1006:W1006),$V$1006:$AE$1006,0)), HYPERLINK("#",""), HYPERLINK(CONCATENATE("#Metadata!", ADDRESS(INDEX($Q$2:$Q$1001,MATCH(ROWS($O$2:O434),$O$2:$O$1001,0),0), INDEX($V$1004:$AE$1004,1,MATCH(COLUMNS($V$1006:W1006),$V$1006:$AE$1006,0)))),"Fix")))</f>
        <v>0</v>
      </c>
      <c r="D434" s="3">
        <f>IF(OR(INDEX($P$2:$P$1001,MATCH(ROWS($O$2:O434),$O$2:$O$1001,0),1)&gt;=100000,INDEX($V$1005:$AE$1005,1,MATCH(COLUMNS($V$1006:X1006),$V$1006:$AE$1006,0))&gt;=100000), " ",IF(INDEX($V$2:$AE$1001,MATCH(ROWS($O$2:O434),$O$2:$O$1001,0),MATCH(COLUMNS($V$1006:X1006),$V$1006:$AE$1006,0)), HYPERLINK("#",""), HYPERLINK(CONCATENATE("#Metadata!", ADDRESS(INDEX($Q$2:$Q$1001,MATCH(ROWS($O$2:O434),$O$2:$O$1001,0),0), INDEX($V$1004:$AE$1004,1,MATCH(COLUMNS($V$1006:X1006),$V$1006:$AE$1006,0)))),"Fix")))</f>
        <v>0</v>
      </c>
      <c r="E434" s="3">
        <f>IF(OR(INDEX($P$2:$P$1001,MATCH(ROWS($O$2:O434),$O$2:$O$1001,0),1)&gt;=100000,INDEX($V$1005:$AE$1005,1,MATCH(COLUMNS($V$1006:Y1006),$V$1006:$AE$1006,0))&gt;=100000), " ",IF(INDEX($V$2:$AE$1001,MATCH(ROWS($O$2:O434),$O$2:$O$1001,0),MATCH(COLUMNS($V$1006:Y1006),$V$1006:$AE$1006,0)), HYPERLINK("#",""), HYPERLINK(CONCATENATE("#Metadata!", ADDRESS(INDEX($Q$2:$Q$1001,MATCH(ROWS($O$2:O434),$O$2:$O$1001,0),0), INDEX($V$1004:$AE$1004,1,MATCH(COLUMNS($V$1006:Y1006),$V$1006:$AE$1006,0)))),"Fix")))</f>
        <v>0</v>
      </c>
      <c r="F434" s="3">
        <f>IF(OR(INDEX($P$2:$P$1001,MATCH(ROWS($O$2:O434),$O$2:$O$1001,0),1)&gt;=100000,INDEX($V$1005:$AE$1005,1,MATCH(COLUMNS($V$1006:Z1006),$V$1006:$AE$1006,0))&gt;=100000), " ",IF(INDEX($V$2:$AE$1001,MATCH(ROWS($O$2:O434),$O$2:$O$1001,0),MATCH(COLUMNS($V$1006:Z1006),$V$1006:$AE$1006,0)), HYPERLINK("#",""), HYPERLINK(CONCATENATE("#Metadata!", ADDRESS(INDEX($Q$2:$Q$1001,MATCH(ROWS($O$2:O434),$O$2:$O$1001,0),0), INDEX($V$1004:$AE$1004,1,MATCH(COLUMNS($V$1006:Z1006),$V$1006:$AE$1006,0)))),"Fix")))</f>
        <v>0</v>
      </c>
      <c r="G434" s="3">
        <f>IF(OR(INDEX($P$2:$P$1001,MATCH(ROWS($O$2:O434),$O$2:$O$1001,0),1)&gt;=100000,INDEX($V$1005:$AE$1005,1,MATCH(COLUMNS($V$1006:AA1006),$V$1006:$AE$1006,0))&gt;=100000), " ",IF(INDEX($V$2:$AE$1001,MATCH(ROWS($O$2:O434),$O$2:$O$1001,0),MATCH(COLUMNS($V$1006:AA1006),$V$1006:$AE$1006,0)), HYPERLINK("#",""), HYPERLINK(CONCATENATE("#Metadata!", ADDRESS(INDEX($Q$2:$Q$1001,MATCH(ROWS($O$2:O434),$O$2:$O$1001,0),0), INDEX($V$1004:$AE$1004,1,MATCH(COLUMNS($V$1006:AA1006),$V$1006:$AE$1006,0)))),"Fix")))</f>
        <v>0</v>
      </c>
      <c r="H434" s="3">
        <f>IF(OR(INDEX($P$2:$P$1001,MATCH(ROWS($O$2:O434),$O$2:$O$1001,0),1)&gt;=100000,INDEX($V$1005:$AE$1005,1,MATCH(COLUMNS($V$1006:AB1006),$V$1006:$AE$1006,0))&gt;=100000), " ",IF(INDEX($V$2:$AE$1001,MATCH(ROWS($O$2:O434),$O$2:$O$1001,0),MATCH(COLUMNS($V$1006:AB1006),$V$1006:$AE$1006,0)), HYPERLINK("#",""), HYPERLINK(CONCATENATE("#Metadata!", ADDRESS(INDEX($Q$2:$Q$1001,MATCH(ROWS($O$2:O434),$O$2:$O$1001,0),0), INDEX($V$1004:$AE$1004,1,MATCH(COLUMNS($V$1006:AB1006),$V$1006:$AE$1006,0)))),"Fix")))</f>
        <v>0</v>
      </c>
      <c r="I434" s="3">
        <f>IF(OR(INDEX($P$2:$P$1001,MATCH(ROWS($O$2:O434),$O$2:$O$1001,0),1)&gt;=100000,INDEX($V$1005:$AE$1005,1,MATCH(COLUMNS($V$1006:AC1006),$V$1006:$AE$1006,0))&gt;=100000), " ",IF(INDEX($V$2:$AE$1001,MATCH(ROWS($O$2:O434),$O$2:$O$1001,0),MATCH(COLUMNS($V$1006:AC1006),$V$1006:$AE$1006,0)), HYPERLINK("#",""), HYPERLINK(CONCATENATE("#Metadata!", ADDRESS(INDEX($Q$2:$Q$1001,MATCH(ROWS($O$2:O434),$O$2:$O$1001,0),0), INDEX($V$1004:$AE$1004,1,MATCH(COLUMNS($V$1006:AC1006),$V$1006:$AE$1006,0)))),"Fix")))</f>
        <v>0</v>
      </c>
      <c r="J434" s="3">
        <f>IF(OR(INDEX($P$2:$P$1001,MATCH(ROWS($O$2:O434),$O$2:$O$1001,0),1)&gt;=100000,INDEX($V$1005:$AE$1005,1,MATCH(COLUMNS($V$1006:AD1006),$V$1006:$AE$1006,0))&gt;=100000), " ",IF(INDEX($V$2:$AE$1001,MATCH(ROWS($O$2:O434),$O$2:$O$1001,0),MATCH(COLUMNS($V$1006:AD1006),$V$1006:$AE$1006,0)), HYPERLINK("#",""), HYPERLINK(CONCATENATE("#Metadata!", ADDRESS(INDEX($Q$2:$Q$1001,MATCH(ROWS($O$2:O434),$O$2:$O$1001,0),0), INDEX($V$1004:$AE$1004,1,MATCH(COLUMNS($V$1006:AD1006),$V$1006:$AE$1006,0)))),"Fix")))</f>
        <v>0</v>
      </c>
      <c r="K434" s="3">
        <f>IF(OR(INDEX($P$2:$P$1001,MATCH(ROWS($O$2:O434),$O$2:$O$1001,0),1)&gt;=100000,INDEX($V$1005:$AE$1005,1,MATCH(COLUMNS($V$1006:AE1006),$V$1006:$AE$1006,0))&gt;=100000), " ",IF(INDEX($V$2:$AE$1001,MATCH(ROWS($O$2:O434),$O$2:$O$1001,0),MATCH(COLUMNS($V$1006:AE1006),$V$1006:$AE$1006,0)), HYPERLINK("#",""), HYPERLINK(CONCATENATE("#Metadata!", ADDRESS(INDEX($Q$2:$Q$1001,MATCH(ROWS($O$2:O434),$O$2:$O$1001,0),0), INDEX($V$1004:$AE$1004,1,MATCH(COLUMNS($V$1006:AE1006),$V$1006:$AE$1006,0)))),"Fix")))</f>
        <v>0</v>
      </c>
      <c r="O434">
        <v>0</v>
      </c>
      <c r="P434">
        <v>0</v>
      </c>
      <c r="Q434">
        <v>0</v>
      </c>
      <c r="R434">
        <f>IF(S434,TRUE,AND(V434:AE434))</f>
        <v>0</v>
      </c>
      <c r="S434">
        <f>COUNTBLANK(Metadata!B434:K434)=COLUMNS(Metadata!B434:K434)</f>
        <v>0</v>
      </c>
      <c r="T434">
        <v>0</v>
      </c>
      <c r="V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W434">
        <f>AND(IF(Metadata!C434="",FALSE,TRUE),exact(Metadata!C434,"animal secretion"))</f>
        <v>0</v>
      </c>
      <c r="X434">
        <f>AND(IF(Metadata!D434="",FALSE,TRUE),exact(Metadata!D434,"saliva"))</f>
        <v>0</v>
      </c>
      <c r="Y434">
        <f>AND(IF(Metadata!E434="",FALSE,TRUE),exact(Metadata!E434,"human-oral"))</f>
        <v>0</v>
      </c>
      <c r="Z434">
        <f>AND(IF(Metadata!F434="",FALSE,TRUE),exact(Metadata!F434,"UBERON:oral cavity"))</f>
        <v>0</v>
      </c>
      <c r="AA434">
        <f>AND(IF(Metadata!G434="",FALSE,TRUE),exact(Metadata!G434,"UBERON:saliva"))</f>
        <v>0</v>
      </c>
      <c r="AB434">
        <f>AND(IF(Metadata!H434="",FALSE,TRUE),exact(Metadata!H434,"UBERON:tongue"))</f>
        <v>0</v>
      </c>
      <c r="AC434">
        <f>AND(IF(Metadata!I434="",FALSE,TRUE),exact(Metadata!I434,"tongue"))</f>
        <v>0</v>
      </c>
      <c r="AD434">
        <f>AND(IF(Metadata!J434="",FALSE,TRUE),exact(Metadata!J434,"human oral metagenome"))</f>
        <v>0</v>
      </c>
      <c r="AE434">
        <f>AND(IF(Metadata!K434="",FALSE,TRUE),exact(Metadata!K434,"447426"))</f>
        <v>0</v>
      </c>
    </row>
    <row r="435" spans="1:31">
      <c r="A435" s="4">
        <f>IF(B435=" "," ",HYPERLINK(CONCATENATE("#metadata!",ADDRESS(INDEX($Q$2:$Q$1001,MATCH(ROWS($O$2:O435),$O$2:$O$1001,0),0),1)),INDEX($T$2:$T$1001,MATCH(ROWS($O$2:O435),$O$2:$O$1001,0),0)))</f>
        <v>0</v>
      </c>
      <c r="B435" s="3">
        <f>IF(OR(INDEX($P$2:$P$1001,MATCH(ROWS($O$2:O435),$O$2:$O$1001,0),1)&gt;=100000,INDEX($V$1005:$AE$1005,1,MATCH(COLUMNS($V$1006:V1006),$V$1006:$AE$1006,0))&gt;=100000), " ",IF(INDEX($V$2:$AE$1001,MATCH(ROWS($O$2:O435),$O$2:$O$1001,0),MATCH(COLUMNS($V$1006:V1006),$V$1006:$AE$1006,0)), HYPERLINK("#",""), HYPERLINK(CONCATENATE("#Metadata!", ADDRESS(INDEX($Q$2:$Q$1001,MATCH(ROWS($O$2:O435),$O$2:$O$1001,0),0), INDEX($V$1004:$AE$1004,1,MATCH(COLUMNS($V$1006:V1006),$V$1006:$AE$1006,0)))),"Fix")))</f>
        <v>0</v>
      </c>
      <c r="C435" s="3">
        <f>IF(OR(INDEX($P$2:$P$1001,MATCH(ROWS($O$2:O435),$O$2:$O$1001,0),1)&gt;=100000,INDEX($V$1005:$AE$1005,1,MATCH(COLUMNS($V$1006:W1006),$V$1006:$AE$1006,0))&gt;=100000), " ",IF(INDEX($V$2:$AE$1001,MATCH(ROWS($O$2:O435),$O$2:$O$1001,0),MATCH(COLUMNS($V$1006:W1006),$V$1006:$AE$1006,0)), HYPERLINK("#",""), HYPERLINK(CONCATENATE("#Metadata!", ADDRESS(INDEX($Q$2:$Q$1001,MATCH(ROWS($O$2:O435),$O$2:$O$1001,0),0), INDEX($V$1004:$AE$1004,1,MATCH(COLUMNS($V$1006:W1006),$V$1006:$AE$1006,0)))),"Fix")))</f>
        <v>0</v>
      </c>
      <c r="D435" s="3">
        <f>IF(OR(INDEX($P$2:$P$1001,MATCH(ROWS($O$2:O435),$O$2:$O$1001,0),1)&gt;=100000,INDEX($V$1005:$AE$1005,1,MATCH(COLUMNS($V$1006:X1006),$V$1006:$AE$1006,0))&gt;=100000), " ",IF(INDEX($V$2:$AE$1001,MATCH(ROWS($O$2:O435),$O$2:$O$1001,0),MATCH(COLUMNS($V$1006:X1006),$V$1006:$AE$1006,0)), HYPERLINK("#",""), HYPERLINK(CONCATENATE("#Metadata!", ADDRESS(INDEX($Q$2:$Q$1001,MATCH(ROWS($O$2:O435),$O$2:$O$1001,0),0), INDEX($V$1004:$AE$1004,1,MATCH(COLUMNS($V$1006:X1006),$V$1006:$AE$1006,0)))),"Fix")))</f>
        <v>0</v>
      </c>
      <c r="E435" s="3">
        <f>IF(OR(INDEX($P$2:$P$1001,MATCH(ROWS($O$2:O435),$O$2:$O$1001,0),1)&gt;=100000,INDEX($V$1005:$AE$1005,1,MATCH(COLUMNS($V$1006:Y1006),$V$1006:$AE$1006,0))&gt;=100000), " ",IF(INDEX($V$2:$AE$1001,MATCH(ROWS($O$2:O435),$O$2:$O$1001,0),MATCH(COLUMNS($V$1006:Y1006),$V$1006:$AE$1006,0)), HYPERLINK("#",""), HYPERLINK(CONCATENATE("#Metadata!", ADDRESS(INDEX($Q$2:$Q$1001,MATCH(ROWS($O$2:O435),$O$2:$O$1001,0),0), INDEX($V$1004:$AE$1004,1,MATCH(COLUMNS($V$1006:Y1006),$V$1006:$AE$1006,0)))),"Fix")))</f>
        <v>0</v>
      </c>
      <c r="F435" s="3">
        <f>IF(OR(INDEX($P$2:$P$1001,MATCH(ROWS($O$2:O435),$O$2:$O$1001,0),1)&gt;=100000,INDEX($V$1005:$AE$1005,1,MATCH(COLUMNS($V$1006:Z1006),$V$1006:$AE$1006,0))&gt;=100000), " ",IF(INDEX($V$2:$AE$1001,MATCH(ROWS($O$2:O435),$O$2:$O$1001,0),MATCH(COLUMNS($V$1006:Z1006),$V$1006:$AE$1006,0)), HYPERLINK("#",""), HYPERLINK(CONCATENATE("#Metadata!", ADDRESS(INDEX($Q$2:$Q$1001,MATCH(ROWS($O$2:O435),$O$2:$O$1001,0),0), INDEX($V$1004:$AE$1004,1,MATCH(COLUMNS($V$1006:Z1006),$V$1006:$AE$1006,0)))),"Fix")))</f>
        <v>0</v>
      </c>
      <c r="G435" s="3">
        <f>IF(OR(INDEX($P$2:$P$1001,MATCH(ROWS($O$2:O435),$O$2:$O$1001,0),1)&gt;=100000,INDEX($V$1005:$AE$1005,1,MATCH(COLUMNS($V$1006:AA1006),$V$1006:$AE$1006,0))&gt;=100000), " ",IF(INDEX($V$2:$AE$1001,MATCH(ROWS($O$2:O435),$O$2:$O$1001,0),MATCH(COLUMNS($V$1006:AA1006),$V$1006:$AE$1006,0)), HYPERLINK("#",""), HYPERLINK(CONCATENATE("#Metadata!", ADDRESS(INDEX($Q$2:$Q$1001,MATCH(ROWS($O$2:O435),$O$2:$O$1001,0),0), INDEX($V$1004:$AE$1004,1,MATCH(COLUMNS($V$1006:AA1006),$V$1006:$AE$1006,0)))),"Fix")))</f>
        <v>0</v>
      </c>
      <c r="H435" s="3">
        <f>IF(OR(INDEX($P$2:$P$1001,MATCH(ROWS($O$2:O435),$O$2:$O$1001,0),1)&gt;=100000,INDEX($V$1005:$AE$1005,1,MATCH(COLUMNS($V$1006:AB1006),$V$1006:$AE$1006,0))&gt;=100000), " ",IF(INDEX($V$2:$AE$1001,MATCH(ROWS($O$2:O435),$O$2:$O$1001,0),MATCH(COLUMNS($V$1006:AB1006),$V$1006:$AE$1006,0)), HYPERLINK("#",""), HYPERLINK(CONCATENATE("#Metadata!", ADDRESS(INDEX($Q$2:$Q$1001,MATCH(ROWS($O$2:O435),$O$2:$O$1001,0),0), INDEX($V$1004:$AE$1004,1,MATCH(COLUMNS($V$1006:AB1006),$V$1006:$AE$1006,0)))),"Fix")))</f>
        <v>0</v>
      </c>
      <c r="I435" s="3">
        <f>IF(OR(INDEX($P$2:$P$1001,MATCH(ROWS($O$2:O435),$O$2:$O$1001,0),1)&gt;=100000,INDEX($V$1005:$AE$1005,1,MATCH(COLUMNS($V$1006:AC1006),$V$1006:$AE$1006,0))&gt;=100000), " ",IF(INDEX($V$2:$AE$1001,MATCH(ROWS($O$2:O435),$O$2:$O$1001,0),MATCH(COLUMNS($V$1006:AC1006),$V$1006:$AE$1006,0)), HYPERLINK("#",""), HYPERLINK(CONCATENATE("#Metadata!", ADDRESS(INDEX($Q$2:$Q$1001,MATCH(ROWS($O$2:O435),$O$2:$O$1001,0),0), INDEX($V$1004:$AE$1004,1,MATCH(COLUMNS($V$1006:AC1006),$V$1006:$AE$1006,0)))),"Fix")))</f>
        <v>0</v>
      </c>
      <c r="J435" s="3">
        <f>IF(OR(INDEX($P$2:$P$1001,MATCH(ROWS($O$2:O435),$O$2:$O$1001,0),1)&gt;=100000,INDEX($V$1005:$AE$1005,1,MATCH(COLUMNS($V$1006:AD1006),$V$1006:$AE$1006,0))&gt;=100000), " ",IF(INDEX($V$2:$AE$1001,MATCH(ROWS($O$2:O435),$O$2:$O$1001,0),MATCH(COLUMNS($V$1006:AD1006),$V$1006:$AE$1006,0)), HYPERLINK("#",""), HYPERLINK(CONCATENATE("#Metadata!", ADDRESS(INDEX($Q$2:$Q$1001,MATCH(ROWS($O$2:O435),$O$2:$O$1001,0),0), INDEX($V$1004:$AE$1004,1,MATCH(COLUMNS($V$1006:AD1006),$V$1006:$AE$1006,0)))),"Fix")))</f>
        <v>0</v>
      </c>
      <c r="K435" s="3">
        <f>IF(OR(INDEX($P$2:$P$1001,MATCH(ROWS($O$2:O435),$O$2:$O$1001,0),1)&gt;=100000,INDEX($V$1005:$AE$1005,1,MATCH(COLUMNS($V$1006:AE1006),$V$1006:$AE$1006,0))&gt;=100000), " ",IF(INDEX($V$2:$AE$1001,MATCH(ROWS($O$2:O435),$O$2:$O$1001,0),MATCH(COLUMNS($V$1006:AE1006),$V$1006:$AE$1006,0)), HYPERLINK("#",""), HYPERLINK(CONCATENATE("#Metadata!", ADDRESS(INDEX($Q$2:$Q$1001,MATCH(ROWS($O$2:O435),$O$2:$O$1001,0),0), INDEX($V$1004:$AE$1004,1,MATCH(COLUMNS($V$1006:AE1006),$V$1006:$AE$1006,0)))),"Fix")))</f>
        <v>0</v>
      </c>
      <c r="O435">
        <v>0</v>
      </c>
      <c r="P435">
        <v>0</v>
      </c>
      <c r="Q435">
        <v>0</v>
      </c>
      <c r="R435">
        <f>IF(S435,TRUE,AND(V435:AE435))</f>
        <v>0</v>
      </c>
      <c r="S435">
        <f>COUNTBLANK(Metadata!B435:K435)=COLUMNS(Metadata!B435:K435)</f>
        <v>0</v>
      </c>
      <c r="T435">
        <v>0</v>
      </c>
      <c r="V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W435">
        <f>AND(IF(Metadata!C435="",FALSE,TRUE),exact(Metadata!C435,"animal secretion"))</f>
        <v>0</v>
      </c>
      <c r="X435">
        <f>AND(IF(Metadata!D435="",FALSE,TRUE),exact(Metadata!D435,"saliva"))</f>
        <v>0</v>
      </c>
      <c r="Y435">
        <f>AND(IF(Metadata!E435="",FALSE,TRUE),exact(Metadata!E435,"human-oral"))</f>
        <v>0</v>
      </c>
      <c r="Z435">
        <f>AND(IF(Metadata!F435="",FALSE,TRUE),exact(Metadata!F435,"UBERON:oral cavity"))</f>
        <v>0</v>
      </c>
      <c r="AA435">
        <f>AND(IF(Metadata!G435="",FALSE,TRUE),exact(Metadata!G435,"UBERON:saliva"))</f>
        <v>0</v>
      </c>
      <c r="AB435">
        <f>AND(IF(Metadata!H435="",FALSE,TRUE),exact(Metadata!H435,"UBERON:tongue"))</f>
        <v>0</v>
      </c>
      <c r="AC435">
        <f>AND(IF(Metadata!I435="",FALSE,TRUE),exact(Metadata!I435,"tongue"))</f>
        <v>0</v>
      </c>
      <c r="AD435">
        <f>AND(IF(Metadata!J435="",FALSE,TRUE),exact(Metadata!J435,"human oral metagenome"))</f>
        <v>0</v>
      </c>
      <c r="AE435">
        <f>AND(IF(Metadata!K435="",FALSE,TRUE),exact(Metadata!K435,"447426"))</f>
        <v>0</v>
      </c>
    </row>
    <row r="436" spans="1:31">
      <c r="A436" s="4">
        <f>IF(B436=" "," ",HYPERLINK(CONCATENATE("#metadata!",ADDRESS(INDEX($Q$2:$Q$1001,MATCH(ROWS($O$2:O436),$O$2:$O$1001,0),0),1)),INDEX($T$2:$T$1001,MATCH(ROWS($O$2:O436),$O$2:$O$1001,0),0)))</f>
        <v>0</v>
      </c>
      <c r="B436" s="3">
        <f>IF(OR(INDEX($P$2:$P$1001,MATCH(ROWS($O$2:O436),$O$2:$O$1001,0),1)&gt;=100000,INDEX($V$1005:$AE$1005,1,MATCH(COLUMNS($V$1006:V1006),$V$1006:$AE$1006,0))&gt;=100000), " ",IF(INDEX($V$2:$AE$1001,MATCH(ROWS($O$2:O436),$O$2:$O$1001,0),MATCH(COLUMNS($V$1006:V1006),$V$1006:$AE$1006,0)), HYPERLINK("#",""), HYPERLINK(CONCATENATE("#Metadata!", ADDRESS(INDEX($Q$2:$Q$1001,MATCH(ROWS($O$2:O436),$O$2:$O$1001,0),0), INDEX($V$1004:$AE$1004,1,MATCH(COLUMNS($V$1006:V1006),$V$1006:$AE$1006,0)))),"Fix")))</f>
        <v>0</v>
      </c>
      <c r="C436" s="3">
        <f>IF(OR(INDEX($P$2:$P$1001,MATCH(ROWS($O$2:O436),$O$2:$O$1001,0),1)&gt;=100000,INDEX($V$1005:$AE$1005,1,MATCH(COLUMNS($V$1006:W1006),$V$1006:$AE$1006,0))&gt;=100000), " ",IF(INDEX($V$2:$AE$1001,MATCH(ROWS($O$2:O436),$O$2:$O$1001,0),MATCH(COLUMNS($V$1006:W1006),$V$1006:$AE$1006,0)), HYPERLINK("#",""), HYPERLINK(CONCATENATE("#Metadata!", ADDRESS(INDEX($Q$2:$Q$1001,MATCH(ROWS($O$2:O436),$O$2:$O$1001,0),0), INDEX($V$1004:$AE$1004,1,MATCH(COLUMNS($V$1006:W1006),$V$1006:$AE$1006,0)))),"Fix")))</f>
        <v>0</v>
      </c>
      <c r="D436" s="3">
        <f>IF(OR(INDEX($P$2:$P$1001,MATCH(ROWS($O$2:O436),$O$2:$O$1001,0),1)&gt;=100000,INDEX($V$1005:$AE$1005,1,MATCH(COLUMNS($V$1006:X1006),$V$1006:$AE$1006,0))&gt;=100000), " ",IF(INDEX($V$2:$AE$1001,MATCH(ROWS($O$2:O436),$O$2:$O$1001,0),MATCH(COLUMNS($V$1006:X1006),$V$1006:$AE$1006,0)), HYPERLINK("#",""), HYPERLINK(CONCATENATE("#Metadata!", ADDRESS(INDEX($Q$2:$Q$1001,MATCH(ROWS($O$2:O436),$O$2:$O$1001,0),0), INDEX($V$1004:$AE$1004,1,MATCH(COLUMNS($V$1006:X1006),$V$1006:$AE$1006,0)))),"Fix")))</f>
        <v>0</v>
      </c>
      <c r="E436" s="3">
        <f>IF(OR(INDEX($P$2:$P$1001,MATCH(ROWS($O$2:O436),$O$2:$O$1001,0),1)&gt;=100000,INDEX($V$1005:$AE$1005,1,MATCH(COLUMNS($V$1006:Y1006),$V$1006:$AE$1006,0))&gt;=100000), " ",IF(INDEX($V$2:$AE$1001,MATCH(ROWS($O$2:O436),$O$2:$O$1001,0),MATCH(COLUMNS($V$1006:Y1006),$V$1006:$AE$1006,0)), HYPERLINK("#",""), HYPERLINK(CONCATENATE("#Metadata!", ADDRESS(INDEX($Q$2:$Q$1001,MATCH(ROWS($O$2:O436),$O$2:$O$1001,0),0), INDEX($V$1004:$AE$1004,1,MATCH(COLUMNS($V$1006:Y1006),$V$1006:$AE$1006,0)))),"Fix")))</f>
        <v>0</v>
      </c>
      <c r="F436" s="3">
        <f>IF(OR(INDEX($P$2:$P$1001,MATCH(ROWS($O$2:O436),$O$2:$O$1001,0),1)&gt;=100000,INDEX($V$1005:$AE$1005,1,MATCH(COLUMNS($V$1006:Z1006),$V$1006:$AE$1006,0))&gt;=100000), " ",IF(INDEX($V$2:$AE$1001,MATCH(ROWS($O$2:O436),$O$2:$O$1001,0),MATCH(COLUMNS($V$1006:Z1006),$V$1006:$AE$1006,0)), HYPERLINK("#",""), HYPERLINK(CONCATENATE("#Metadata!", ADDRESS(INDEX($Q$2:$Q$1001,MATCH(ROWS($O$2:O436),$O$2:$O$1001,0),0), INDEX($V$1004:$AE$1004,1,MATCH(COLUMNS($V$1006:Z1006),$V$1006:$AE$1006,0)))),"Fix")))</f>
        <v>0</v>
      </c>
      <c r="G436" s="3">
        <f>IF(OR(INDEX($P$2:$P$1001,MATCH(ROWS($O$2:O436),$O$2:$O$1001,0),1)&gt;=100000,INDEX($V$1005:$AE$1005,1,MATCH(COLUMNS($V$1006:AA1006),$V$1006:$AE$1006,0))&gt;=100000), " ",IF(INDEX($V$2:$AE$1001,MATCH(ROWS($O$2:O436),$O$2:$O$1001,0),MATCH(COLUMNS($V$1006:AA1006),$V$1006:$AE$1006,0)), HYPERLINK("#",""), HYPERLINK(CONCATENATE("#Metadata!", ADDRESS(INDEX($Q$2:$Q$1001,MATCH(ROWS($O$2:O436),$O$2:$O$1001,0),0), INDEX($V$1004:$AE$1004,1,MATCH(COLUMNS($V$1006:AA1006),$V$1006:$AE$1006,0)))),"Fix")))</f>
        <v>0</v>
      </c>
      <c r="H436" s="3">
        <f>IF(OR(INDEX($P$2:$P$1001,MATCH(ROWS($O$2:O436),$O$2:$O$1001,0),1)&gt;=100000,INDEX($V$1005:$AE$1005,1,MATCH(COLUMNS($V$1006:AB1006),$V$1006:$AE$1006,0))&gt;=100000), " ",IF(INDEX($V$2:$AE$1001,MATCH(ROWS($O$2:O436),$O$2:$O$1001,0),MATCH(COLUMNS($V$1006:AB1006),$V$1006:$AE$1006,0)), HYPERLINK("#",""), HYPERLINK(CONCATENATE("#Metadata!", ADDRESS(INDEX($Q$2:$Q$1001,MATCH(ROWS($O$2:O436),$O$2:$O$1001,0),0), INDEX($V$1004:$AE$1004,1,MATCH(COLUMNS($V$1006:AB1006),$V$1006:$AE$1006,0)))),"Fix")))</f>
        <v>0</v>
      </c>
      <c r="I436" s="3">
        <f>IF(OR(INDEX($P$2:$P$1001,MATCH(ROWS($O$2:O436),$O$2:$O$1001,0),1)&gt;=100000,INDEX($V$1005:$AE$1005,1,MATCH(COLUMNS($V$1006:AC1006),$V$1006:$AE$1006,0))&gt;=100000), " ",IF(INDEX($V$2:$AE$1001,MATCH(ROWS($O$2:O436),$O$2:$O$1001,0),MATCH(COLUMNS($V$1006:AC1006),$V$1006:$AE$1006,0)), HYPERLINK("#",""), HYPERLINK(CONCATENATE("#Metadata!", ADDRESS(INDEX($Q$2:$Q$1001,MATCH(ROWS($O$2:O436),$O$2:$O$1001,0),0), INDEX($V$1004:$AE$1004,1,MATCH(COLUMNS($V$1006:AC1006),$V$1006:$AE$1006,0)))),"Fix")))</f>
        <v>0</v>
      </c>
      <c r="J436" s="3">
        <f>IF(OR(INDEX($P$2:$P$1001,MATCH(ROWS($O$2:O436),$O$2:$O$1001,0),1)&gt;=100000,INDEX($V$1005:$AE$1005,1,MATCH(COLUMNS($V$1006:AD1006),$V$1006:$AE$1006,0))&gt;=100000), " ",IF(INDEX($V$2:$AE$1001,MATCH(ROWS($O$2:O436),$O$2:$O$1001,0),MATCH(COLUMNS($V$1006:AD1006),$V$1006:$AE$1006,0)), HYPERLINK("#",""), HYPERLINK(CONCATENATE("#Metadata!", ADDRESS(INDEX($Q$2:$Q$1001,MATCH(ROWS($O$2:O436),$O$2:$O$1001,0),0), INDEX($V$1004:$AE$1004,1,MATCH(COLUMNS($V$1006:AD1006),$V$1006:$AE$1006,0)))),"Fix")))</f>
        <v>0</v>
      </c>
      <c r="K436" s="3">
        <f>IF(OR(INDEX($P$2:$P$1001,MATCH(ROWS($O$2:O436),$O$2:$O$1001,0),1)&gt;=100000,INDEX($V$1005:$AE$1005,1,MATCH(COLUMNS($V$1006:AE1006),$V$1006:$AE$1006,0))&gt;=100000), " ",IF(INDEX($V$2:$AE$1001,MATCH(ROWS($O$2:O436),$O$2:$O$1001,0),MATCH(COLUMNS($V$1006:AE1006),$V$1006:$AE$1006,0)), HYPERLINK("#",""), HYPERLINK(CONCATENATE("#Metadata!", ADDRESS(INDEX($Q$2:$Q$1001,MATCH(ROWS($O$2:O436),$O$2:$O$1001,0),0), INDEX($V$1004:$AE$1004,1,MATCH(COLUMNS($V$1006:AE1006),$V$1006:$AE$1006,0)))),"Fix")))</f>
        <v>0</v>
      </c>
      <c r="O436">
        <v>0</v>
      </c>
      <c r="P436">
        <v>0</v>
      </c>
      <c r="Q436">
        <v>0</v>
      </c>
      <c r="R436">
        <f>IF(S436,TRUE,AND(V436:AE436))</f>
        <v>0</v>
      </c>
      <c r="S436">
        <f>COUNTBLANK(Metadata!B436:K436)=COLUMNS(Metadata!B436:K436)</f>
        <v>0</v>
      </c>
      <c r="T436">
        <v>0</v>
      </c>
      <c r="V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W436">
        <f>AND(IF(Metadata!C436="",FALSE,TRUE),exact(Metadata!C436,"animal secretion"))</f>
        <v>0</v>
      </c>
      <c r="X436">
        <f>AND(IF(Metadata!D436="",FALSE,TRUE),exact(Metadata!D436,"saliva"))</f>
        <v>0</v>
      </c>
      <c r="Y436">
        <f>AND(IF(Metadata!E436="",FALSE,TRUE),exact(Metadata!E436,"human-oral"))</f>
        <v>0</v>
      </c>
      <c r="Z436">
        <f>AND(IF(Metadata!F436="",FALSE,TRUE),exact(Metadata!F436,"UBERON:oral cavity"))</f>
        <v>0</v>
      </c>
      <c r="AA436">
        <f>AND(IF(Metadata!G436="",FALSE,TRUE),exact(Metadata!G436,"UBERON:saliva"))</f>
        <v>0</v>
      </c>
      <c r="AB436">
        <f>AND(IF(Metadata!H436="",FALSE,TRUE),exact(Metadata!H436,"UBERON:tongue"))</f>
        <v>0</v>
      </c>
      <c r="AC436">
        <f>AND(IF(Metadata!I436="",FALSE,TRUE),exact(Metadata!I436,"tongue"))</f>
        <v>0</v>
      </c>
      <c r="AD436">
        <f>AND(IF(Metadata!J436="",FALSE,TRUE),exact(Metadata!J436,"human oral metagenome"))</f>
        <v>0</v>
      </c>
      <c r="AE436">
        <f>AND(IF(Metadata!K436="",FALSE,TRUE),exact(Metadata!K436,"447426"))</f>
        <v>0</v>
      </c>
    </row>
    <row r="437" spans="1:31">
      <c r="A437" s="4">
        <f>IF(B437=" "," ",HYPERLINK(CONCATENATE("#metadata!",ADDRESS(INDEX($Q$2:$Q$1001,MATCH(ROWS($O$2:O437),$O$2:$O$1001,0),0),1)),INDEX($T$2:$T$1001,MATCH(ROWS($O$2:O437),$O$2:$O$1001,0),0)))</f>
        <v>0</v>
      </c>
      <c r="B437" s="3">
        <f>IF(OR(INDEX($P$2:$P$1001,MATCH(ROWS($O$2:O437),$O$2:$O$1001,0),1)&gt;=100000,INDEX($V$1005:$AE$1005,1,MATCH(COLUMNS($V$1006:V1006),$V$1006:$AE$1006,0))&gt;=100000), " ",IF(INDEX($V$2:$AE$1001,MATCH(ROWS($O$2:O437),$O$2:$O$1001,0),MATCH(COLUMNS($V$1006:V1006),$V$1006:$AE$1006,0)), HYPERLINK("#",""), HYPERLINK(CONCATENATE("#Metadata!", ADDRESS(INDEX($Q$2:$Q$1001,MATCH(ROWS($O$2:O437),$O$2:$O$1001,0),0), INDEX($V$1004:$AE$1004,1,MATCH(COLUMNS($V$1006:V1006),$V$1006:$AE$1006,0)))),"Fix")))</f>
        <v>0</v>
      </c>
      <c r="C437" s="3">
        <f>IF(OR(INDEX($P$2:$P$1001,MATCH(ROWS($O$2:O437),$O$2:$O$1001,0),1)&gt;=100000,INDEX($V$1005:$AE$1005,1,MATCH(COLUMNS($V$1006:W1006),$V$1006:$AE$1006,0))&gt;=100000), " ",IF(INDEX($V$2:$AE$1001,MATCH(ROWS($O$2:O437),$O$2:$O$1001,0),MATCH(COLUMNS($V$1006:W1006),$V$1006:$AE$1006,0)), HYPERLINK("#",""), HYPERLINK(CONCATENATE("#Metadata!", ADDRESS(INDEX($Q$2:$Q$1001,MATCH(ROWS($O$2:O437),$O$2:$O$1001,0),0), INDEX($V$1004:$AE$1004,1,MATCH(COLUMNS($V$1006:W1006),$V$1006:$AE$1006,0)))),"Fix")))</f>
        <v>0</v>
      </c>
      <c r="D437" s="3">
        <f>IF(OR(INDEX($P$2:$P$1001,MATCH(ROWS($O$2:O437),$O$2:$O$1001,0),1)&gt;=100000,INDEX($V$1005:$AE$1005,1,MATCH(COLUMNS($V$1006:X1006),$V$1006:$AE$1006,0))&gt;=100000), " ",IF(INDEX($V$2:$AE$1001,MATCH(ROWS($O$2:O437),$O$2:$O$1001,0),MATCH(COLUMNS($V$1006:X1006),$V$1006:$AE$1006,0)), HYPERLINK("#",""), HYPERLINK(CONCATENATE("#Metadata!", ADDRESS(INDEX($Q$2:$Q$1001,MATCH(ROWS($O$2:O437),$O$2:$O$1001,0),0), INDEX($V$1004:$AE$1004,1,MATCH(COLUMNS($V$1006:X1006),$V$1006:$AE$1006,0)))),"Fix")))</f>
        <v>0</v>
      </c>
      <c r="E437" s="3">
        <f>IF(OR(INDEX($P$2:$P$1001,MATCH(ROWS($O$2:O437),$O$2:$O$1001,0),1)&gt;=100000,INDEX($V$1005:$AE$1005,1,MATCH(COLUMNS($V$1006:Y1006),$V$1006:$AE$1006,0))&gt;=100000), " ",IF(INDEX($V$2:$AE$1001,MATCH(ROWS($O$2:O437),$O$2:$O$1001,0),MATCH(COLUMNS($V$1006:Y1006),$V$1006:$AE$1006,0)), HYPERLINK("#",""), HYPERLINK(CONCATENATE("#Metadata!", ADDRESS(INDEX($Q$2:$Q$1001,MATCH(ROWS($O$2:O437),$O$2:$O$1001,0),0), INDEX($V$1004:$AE$1004,1,MATCH(COLUMNS($V$1006:Y1006),$V$1006:$AE$1006,0)))),"Fix")))</f>
        <v>0</v>
      </c>
      <c r="F437" s="3">
        <f>IF(OR(INDEX($P$2:$P$1001,MATCH(ROWS($O$2:O437),$O$2:$O$1001,0),1)&gt;=100000,INDEX($V$1005:$AE$1005,1,MATCH(COLUMNS($V$1006:Z1006),$V$1006:$AE$1006,0))&gt;=100000), " ",IF(INDEX($V$2:$AE$1001,MATCH(ROWS($O$2:O437),$O$2:$O$1001,0),MATCH(COLUMNS($V$1006:Z1006),$V$1006:$AE$1006,0)), HYPERLINK("#",""), HYPERLINK(CONCATENATE("#Metadata!", ADDRESS(INDEX($Q$2:$Q$1001,MATCH(ROWS($O$2:O437),$O$2:$O$1001,0),0), INDEX($V$1004:$AE$1004,1,MATCH(COLUMNS($V$1006:Z1006),$V$1006:$AE$1006,0)))),"Fix")))</f>
        <v>0</v>
      </c>
      <c r="G437" s="3">
        <f>IF(OR(INDEX($P$2:$P$1001,MATCH(ROWS($O$2:O437),$O$2:$O$1001,0),1)&gt;=100000,INDEX($V$1005:$AE$1005,1,MATCH(COLUMNS($V$1006:AA1006),$V$1006:$AE$1006,0))&gt;=100000), " ",IF(INDEX($V$2:$AE$1001,MATCH(ROWS($O$2:O437),$O$2:$O$1001,0),MATCH(COLUMNS($V$1006:AA1006),$V$1006:$AE$1006,0)), HYPERLINK("#",""), HYPERLINK(CONCATENATE("#Metadata!", ADDRESS(INDEX($Q$2:$Q$1001,MATCH(ROWS($O$2:O437),$O$2:$O$1001,0),0), INDEX($V$1004:$AE$1004,1,MATCH(COLUMNS($V$1006:AA1006),$V$1006:$AE$1006,0)))),"Fix")))</f>
        <v>0</v>
      </c>
      <c r="H437" s="3">
        <f>IF(OR(INDEX($P$2:$P$1001,MATCH(ROWS($O$2:O437),$O$2:$O$1001,0),1)&gt;=100000,INDEX($V$1005:$AE$1005,1,MATCH(COLUMNS($V$1006:AB1006),$V$1006:$AE$1006,0))&gt;=100000), " ",IF(INDEX($V$2:$AE$1001,MATCH(ROWS($O$2:O437),$O$2:$O$1001,0),MATCH(COLUMNS($V$1006:AB1006),$V$1006:$AE$1006,0)), HYPERLINK("#",""), HYPERLINK(CONCATENATE("#Metadata!", ADDRESS(INDEX($Q$2:$Q$1001,MATCH(ROWS($O$2:O437),$O$2:$O$1001,0),0), INDEX($V$1004:$AE$1004,1,MATCH(COLUMNS($V$1006:AB1006),$V$1006:$AE$1006,0)))),"Fix")))</f>
        <v>0</v>
      </c>
      <c r="I437" s="3">
        <f>IF(OR(INDEX($P$2:$P$1001,MATCH(ROWS($O$2:O437),$O$2:$O$1001,0),1)&gt;=100000,INDEX($V$1005:$AE$1005,1,MATCH(COLUMNS($V$1006:AC1006),$V$1006:$AE$1006,0))&gt;=100000), " ",IF(INDEX($V$2:$AE$1001,MATCH(ROWS($O$2:O437),$O$2:$O$1001,0),MATCH(COLUMNS($V$1006:AC1006),$V$1006:$AE$1006,0)), HYPERLINK("#",""), HYPERLINK(CONCATENATE("#Metadata!", ADDRESS(INDEX($Q$2:$Q$1001,MATCH(ROWS($O$2:O437),$O$2:$O$1001,0),0), INDEX($V$1004:$AE$1004,1,MATCH(COLUMNS($V$1006:AC1006),$V$1006:$AE$1006,0)))),"Fix")))</f>
        <v>0</v>
      </c>
      <c r="J437" s="3">
        <f>IF(OR(INDEX($P$2:$P$1001,MATCH(ROWS($O$2:O437),$O$2:$O$1001,0),1)&gt;=100000,INDEX($V$1005:$AE$1005,1,MATCH(COLUMNS($V$1006:AD1006),$V$1006:$AE$1006,0))&gt;=100000), " ",IF(INDEX($V$2:$AE$1001,MATCH(ROWS($O$2:O437),$O$2:$O$1001,0),MATCH(COLUMNS($V$1006:AD1006),$V$1006:$AE$1006,0)), HYPERLINK("#",""), HYPERLINK(CONCATENATE("#Metadata!", ADDRESS(INDEX($Q$2:$Q$1001,MATCH(ROWS($O$2:O437),$O$2:$O$1001,0),0), INDEX($V$1004:$AE$1004,1,MATCH(COLUMNS($V$1006:AD1006),$V$1006:$AE$1006,0)))),"Fix")))</f>
        <v>0</v>
      </c>
      <c r="K437" s="3">
        <f>IF(OR(INDEX($P$2:$P$1001,MATCH(ROWS($O$2:O437),$O$2:$O$1001,0),1)&gt;=100000,INDEX($V$1005:$AE$1005,1,MATCH(COLUMNS($V$1006:AE1006),$V$1006:$AE$1006,0))&gt;=100000), " ",IF(INDEX($V$2:$AE$1001,MATCH(ROWS($O$2:O437),$O$2:$O$1001,0),MATCH(COLUMNS($V$1006:AE1006),$V$1006:$AE$1006,0)), HYPERLINK("#",""), HYPERLINK(CONCATENATE("#Metadata!", ADDRESS(INDEX($Q$2:$Q$1001,MATCH(ROWS($O$2:O437),$O$2:$O$1001,0),0), INDEX($V$1004:$AE$1004,1,MATCH(COLUMNS($V$1006:AE1006),$V$1006:$AE$1006,0)))),"Fix")))</f>
        <v>0</v>
      </c>
      <c r="O437">
        <v>0</v>
      </c>
      <c r="P437">
        <v>0</v>
      </c>
      <c r="Q437">
        <v>0</v>
      </c>
      <c r="R437">
        <f>IF(S437,TRUE,AND(V437:AE437))</f>
        <v>0</v>
      </c>
      <c r="S437">
        <f>COUNTBLANK(Metadata!B437:K437)=COLUMNS(Metadata!B437:K437)</f>
        <v>0</v>
      </c>
      <c r="T437">
        <v>0</v>
      </c>
      <c r="V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W437">
        <f>AND(IF(Metadata!C437="",FALSE,TRUE),exact(Metadata!C437,"animal secretion"))</f>
        <v>0</v>
      </c>
      <c r="X437">
        <f>AND(IF(Metadata!D437="",FALSE,TRUE),exact(Metadata!D437,"saliva"))</f>
        <v>0</v>
      </c>
      <c r="Y437">
        <f>AND(IF(Metadata!E437="",FALSE,TRUE),exact(Metadata!E437,"human-oral"))</f>
        <v>0</v>
      </c>
      <c r="Z437">
        <f>AND(IF(Metadata!F437="",FALSE,TRUE),exact(Metadata!F437,"UBERON:oral cavity"))</f>
        <v>0</v>
      </c>
      <c r="AA437">
        <f>AND(IF(Metadata!G437="",FALSE,TRUE),exact(Metadata!G437,"UBERON:saliva"))</f>
        <v>0</v>
      </c>
      <c r="AB437">
        <f>AND(IF(Metadata!H437="",FALSE,TRUE),exact(Metadata!H437,"UBERON:tongue"))</f>
        <v>0</v>
      </c>
      <c r="AC437">
        <f>AND(IF(Metadata!I437="",FALSE,TRUE),exact(Metadata!I437,"tongue"))</f>
        <v>0</v>
      </c>
      <c r="AD437">
        <f>AND(IF(Metadata!J437="",FALSE,TRUE),exact(Metadata!J437,"human oral metagenome"))</f>
        <v>0</v>
      </c>
      <c r="AE437">
        <f>AND(IF(Metadata!K437="",FALSE,TRUE),exact(Metadata!K437,"447426"))</f>
        <v>0</v>
      </c>
    </row>
    <row r="438" spans="1:31">
      <c r="A438" s="4">
        <f>IF(B438=" "," ",HYPERLINK(CONCATENATE("#metadata!",ADDRESS(INDEX($Q$2:$Q$1001,MATCH(ROWS($O$2:O438),$O$2:$O$1001,0),0),1)),INDEX($T$2:$T$1001,MATCH(ROWS($O$2:O438),$O$2:$O$1001,0),0)))</f>
        <v>0</v>
      </c>
      <c r="B438" s="3">
        <f>IF(OR(INDEX($P$2:$P$1001,MATCH(ROWS($O$2:O438),$O$2:$O$1001,0),1)&gt;=100000,INDEX($V$1005:$AE$1005,1,MATCH(COLUMNS($V$1006:V1006),$V$1006:$AE$1006,0))&gt;=100000), " ",IF(INDEX($V$2:$AE$1001,MATCH(ROWS($O$2:O438),$O$2:$O$1001,0),MATCH(COLUMNS($V$1006:V1006),$V$1006:$AE$1006,0)), HYPERLINK("#",""), HYPERLINK(CONCATENATE("#Metadata!", ADDRESS(INDEX($Q$2:$Q$1001,MATCH(ROWS($O$2:O438),$O$2:$O$1001,0),0), INDEX($V$1004:$AE$1004,1,MATCH(COLUMNS($V$1006:V1006),$V$1006:$AE$1006,0)))),"Fix")))</f>
        <v>0</v>
      </c>
      <c r="C438" s="3">
        <f>IF(OR(INDEX($P$2:$P$1001,MATCH(ROWS($O$2:O438),$O$2:$O$1001,0),1)&gt;=100000,INDEX($V$1005:$AE$1005,1,MATCH(COLUMNS($V$1006:W1006),$V$1006:$AE$1006,0))&gt;=100000), " ",IF(INDEX($V$2:$AE$1001,MATCH(ROWS($O$2:O438),$O$2:$O$1001,0),MATCH(COLUMNS($V$1006:W1006),$V$1006:$AE$1006,0)), HYPERLINK("#",""), HYPERLINK(CONCATENATE("#Metadata!", ADDRESS(INDEX($Q$2:$Q$1001,MATCH(ROWS($O$2:O438),$O$2:$O$1001,0),0), INDEX($V$1004:$AE$1004,1,MATCH(COLUMNS($V$1006:W1006),$V$1006:$AE$1006,0)))),"Fix")))</f>
        <v>0</v>
      </c>
      <c r="D438" s="3">
        <f>IF(OR(INDEX($P$2:$P$1001,MATCH(ROWS($O$2:O438),$O$2:$O$1001,0),1)&gt;=100000,INDEX($V$1005:$AE$1005,1,MATCH(COLUMNS($V$1006:X1006),$V$1006:$AE$1006,0))&gt;=100000), " ",IF(INDEX($V$2:$AE$1001,MATCH(ROWS($O$2:O438),$O$2:$O$1001,0),MATCH(COLUMNS($V$1006:X1006),$V$1006:$AE$1006,0)), HYPERLINK("#",""), HYPERLINK(CONCATENATE("#Metadata!", ADDRESS(INDEX($Q$2:$Q$1001,MATCH(ROWS($O$2:O438),$O$2:$O$1001,0),0), INDEX($V$1004:$AE$1004,1,MATCH(COLUMNS($V$1006:X1006),$V$1006:$AE$1006,0)))),"Fix")))</f>
        <v>0</v>
      </c>
      <c r="E438" s="3">
        <f>IF(OR(INDEX($P$2:$P$1001,MATCH(ROWS($O$2:O438),$O$2:$O$1001,0),1)&gt;=100000,INDEX($V$1005:$AE$1005,1,MATCH(COLUMNS($V$1006:Y1006),$V$1006:$AE$1006,0))&gt;=100000), " ",IF(INDEX($V$2:$AE$1001,MATCH(ROWS($O$2:O438),$O$2:$O$1001,0),MATCH(COLUMNS($V$1006:Y1006),$V$1006:$AE$1006,0)), HYPERLINK("#",""), HYPERLINK(CONCATENATE("#Metadata!", ADDRESS(INDEX($Q$2:$Q$1001,MATCH(ROWS($O$2:O438),$O$2:$O$1001,0),0), INDEX($V$1004:$AE$1004,1,MATCH(COLUMNS($V$1006:Y1006),$V$1006:$AE$1006,0)))),"Fix")))</f>
        <v>0</v>
      </c>
      <c r="F438" s="3">
        <f>IF(OR(INDEX($P$2:$P$1001,MATCH(ROWS($O$2:O438),$O$2:$O$1001,0),1)&gt;=100000,INDEX($V$1005:$AE$1005,1,MATCH(COLUMNS($V$1006:Z1006),$V$1006:$AE$1006,0))&gt;=100000), " ",IF(INDEX($V$2:$AE$1001,MATCH(ROWS($O$2:O438),$O$2:$O$1001,0),MATCH(COLUMNS($V$1006:Z1006),$V$1006:$AE$1006,0)), HYPERLINK("#",""), HYPERLINK(CONCATENATE("#Metadata!", ADDRESS(INDEX($Q$2:$Q$1001,MATCH(ROWS($O$2:O438),$O$2:$O$1001,0),0), INDEX($V$1004:$AE$1004,1,MATCH(COLUMNS($V$1006:Z1006),$V$1006:$AE$1006,0)))),"Fix")))</f>
        <v>0</v>
      </c>
      <c r="G438" s="3">
        <f>IF(OR(INDEX($P$2:$P$1001,MATCH(ROWS($O$2:O438),$O$2:$O$1001,0),1)&gt;=100000,INDEX($V$1005:$AE$1005,1,MATCH(COLUMNS($V$1006:AA1006),$V$1006:$AE$1006,0))&gt;=100000), " ",IF(INDEX($V$2:$AE$1001,MATCH(ROWS($O$2:O438),$O$2:$O$1001,0),MATCH(COLUMNS($V$1006:AA1006),$V$1006:$AE$1006,0)), HYPERLINK("#",""), HYPERLINK(CONCATENATE("#Metadata!", ADDRESS(INDEX($Q$2:$Q$1001,MATCH(ROWS($O$2:O438),$O$2:$O$1001,0),0), INDEX($V$1004:$AE$1004,1,MATCH(COLUMNS($V$1006:AA1006),$V$1006:$AE$1006,0)))),"Fix")))</f>
        <v>0</v>
      </c>
      <c r="H438" s="3">
        <f>IF(OR(INDEX($P$2:$P$1001,MATCH(ROWS($O$2:O438),$O$2:$O$1001,0),1)&gt;=100000,INDEX($V$1005:$AE$1005,1,MATCH(COLUMNS($V$1006:AB1006),$V$1006:$AE$1006,0))&gt;=100000), " ",IF(INDEX($V$2:$AE$1001,MATCH(ROWS($O$2:O438),$O$2:$O$1001,0),MATCH(COLUMNS($V$1006:AB1006),$V$1006:$AE$1006,0)), HYPERLINK("#",""), HYPERLINK(CONCATENATE("#Metadata!", ADDRESS(INDEX($Q$2:$Q$1001,MATCH(ROWS($O$2:O438),$O$2:$O$1001,0),0), INDEX($V$1004:$AE$1004,1,MATCH(COLUMNS($V$1006:AB1006),$V$1006:$AE$1006,0)))),"Fix")))</f>
        <v>0</v>
      </c>
      <c r="I438" s="3">
        <f>IF(OR(INDEX($P$2:$P$1001,MATCH(ROWS($O$2:O438),$O$2:$O$1001,0),1)&gt;=100000,INDEX($V$1005:$AE$1005,1,MATCH(COLUMNS($V$1006:AC1006),$V$1006:$AE$1006,0))&gt;=100000), " ",IF(INDEX($V$2:$AE$1001,MATCH(ROWS($O$2:O438),$O$2:$O$1001,0),MATCH(COLUMNS($V$1006:AC1006),$V$1006:$AE$1006,0)), HYPERLINK("#",""), HYPERLINK(CONCATENATE("#Metadata!", ADDRESS(INDEX($Q$2:$Q$1001,MATCH(ROWS($O$2:O438),$O$2:$O$1001,0),0), INDEX($V$1004:$AE$1004,1,MATCH(COLUMNS($V$1006:AC1006),$V$1006:$AE$1006,0)))),"Fix")))</f>
        <v>0</v>
      </c>
      <c r="J438" s="3">
        <f>IF(OR(INDEX($P$2:$P$1001,MATCH(ROWS($O$2:O438),$O$2:$O$1001,0),1)&gt;=100000,INDEX($V$1005:$AE$1005,1,MATCH(COLUMNS($V$1006:AD1006),$V$1006:$AE$1006,0))&gt;=100000), " ",IF(INDEX($V$2:$AE$1001,MATCH(ROWS($O$2:O438),$O$2:$O$1001,0),MATCH(COLUMNS($V$1006:AD1006),$V$1006:$AE$1006,0)), HYPERLINK("#",""), HYPERLINK(CONCATENATE("#Metadata!", ADDRESS(INDEX($Q$2:$Q$1001,MATCH(ROWS($O$2:O438),$O$2:$O$1001,0),0), INDEX($V$1004:$AE$1004,1,MATCH(COLUMNS($V$1006:AD1006),$V$1006:$AE$1006,0)))),"Fix")))</f>
        <v>0</v>
      </c>
      <c r="K438" s="3">
        <f>IF(OR(INDEX($P$2:$P$1001,MATCH(ROWS($O$2:O438),$O$2:$O$1001,0),1)&gt;=100000,INDEX($V$1005:$AE$1005,1,MATCH(COLUMNS($V$1006:AE1006),$V$1006:$AE$1006,0))&gt;=100000), " ",IF(INDEX($V$2:$AE$1001,MATCH(ROWS($O$2:O438),$O$2:$O$1001,0),MATCH(COLUMNS($V$1006:AE1006),$V$1006:$AE$1006,0)), HYPERLINK("#",""), HYPERLINK(CONCATENATE("#Metadata!", ADDRESS(INDEX($Q$2:$Q$1001,MATCH(ROWS($O$2:O438),$O$2:$O$1001,0),0), INDEX($V$1004:$AE$1004,1,MATCH(COLUMNS($V$1006:AE1006),$V$1006:$AE$1006,0)))),"Fix")))</f>
        <v>0</v>
      </c>
      <c r="O438">
        <v>0</v>
      </c>
      <c r="P438">
        <v>0</v>
      </c>
      <c r="Q438">
        <v>0</v>
      </c>
      <c r="R438">
        <f>IF(S438,TRUE,AND(V438:AE438))</f>
        <v>0</v>
      </c>
      <c r="S438">
        <f>COUNTBLANK(Metadata!B438:K438)=COLUMNS(Metadata!B438:K438)</f>
        <v>0</v>
      </c>
      <c r="T438">
        <v>0</v>
      </c>
      <c r="V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W438">
        <f>AND(IF(Metadata!C438="",FALSE,TRUE),exact(Metadata!C438,"animal secretion"))</f>
        <v>0</v>
      </c>
      <c r="X438">
        <f>AND(IF(Metadata!D438="",FALSE,TRUE),exact(Metadata!D438,"saliva"))</f>
        <v>0</v>
      </c>
      <c r="Y438">
        <f>AND(IF(Metadata!E438="",FALSE,TRUE),exact(Metadata!E438,"human-oral"))</f>
        <v>0</v>
      </c>
      <c r="Z438">
        <f>AND(IF(Metadata!F438="",FALSE,TRUE),exact(Metadata!F438,"UBERON:oral cavity"))</f>
        <v>0</v>
      </c>
      <c r="AA438">
        <f>AND(IF(Metadata!G438="",FALSE,TRUE),exact(Metadata!G438,"UBERON:saliva"))</f>
        <v>0</v>
      </c>
      <c r="AB438">
        <f>AND(IF(Metadata!H438="",FALSE,TRUE),exact(Metadata!H438,"UBERON:tongue"))</f>
        <v>0</v>
      </c>
      <c r="AC438">
        <f>AND(IF(Metadata!I438="",FALSE,TRUE),exact(Metadata!I438,"tongue"))</f>
        <v>0</v>
      </c>
      <c r="AD438">
        <f>AND(IF(Metadata!J438="",FALSE,TRUE),exact(Metadata!J438,"human oral metagenome"))</f>
        <v>0</v>
      </c>
      <c r="AE438">
        <f>AND(IF(Metadata!K438="",FALSE,TRUE),exact(Metadata!K438,"447426"))</f>
        <v>0</v>
      </c>
    </row>
    <row r="439" spans="1:31">
      <c r="A439" s="4">
        <f>IF(B439=" "," ",HYPERLINK(CONCATENATE("#metadata!",ADDRESS(INDEX($Q$2:$Q$1001,MATCH(ROWS($O$2:O439),$O$2:$O$1001,0),0),1)),INDEX($T$2:$T$1001,MATCH(ROWS($O$2:O439),$O$2:$O$1001,0),0)))</f>
        <v>0</v>
      </c>
      <c r="B439" s="3">
        <f>IF(OR(INDEX($P$2:$P$1001,MATCH(ROWS($O$2:O439),$O$2:$O$1001,0),1)&gt;=100000,INDEX($V$1005:$AE$1005,1,MATCH(COLUMNS($V$1006:V1006),$V$1006:$AE$1006,0))&gt;=100000), " ",IF(INDEX($V$2:$AE$1001,MATCH(ROWS($O$2:O439),$O$2:$O$1001,0),MATCH(COLUMNS($V$1006:V1006),$V$1006:$AE$1006,0)), HYPERLINK("#",""), HYPERLINK(CONCATENATE("#Metadata!", ADDRESS(INDEX($Q$2:$Q$1001,MATCH(ROWS($O$2:O439),$O$2:$O$1001,0),0), INDEX($V$1004:$AE$1004,1,MATCH(COLUMNS($V$1006:V1006),$V$1006:$AE$1006,0)))),"Fix")))</f>
        <v>0</v>
      </c>
      <c r="C439" s="3">
        <f>IF(OR(INDEX($P$2:$P$1001,MATCH(ROWS($O$2:O439),$O$2:$O$1001,0),1)&gt;=100000,INDEX($V$1005:$AE$1005,1,MATCH(COLUMNS($V$1006:W1006),$V$1006:$AE$1006,0))&gt;=100000), " ",IF(INDEX($V$2:$AE$1001,MATCH(ROWS($O$2:O439),$O$2:$O$1001,0),MATCH(COLUMNS($V$1006:W1006),$V$1006:$AE$1006,0)), HYPERLINK("#",""), HYPERLINK(CONCATENATE("#Metadata!", ADDRESS(INDEX($Q$2:$Q$1001,MATCH(ROWS($O$2:O439),$O$2:$O$1001,0),0), INDEX($V$1004:$AE$1004,1,MATCH(COLUMNS($V$1006:W1006),$V$1006:$AE$1006,0)))),"Fix")))</f>
        <v>0</v>
      </c>
      <c r="D439" s="3">
        <f>IF(OR(INDEX($P$2:$P$1001,MATCH(ROWS($O$2:O439),$O$2:$O$1001,0),1)&gt;=100000,INDEX($V$1005:$AE$1005,1,MATCH(COLUMNS($V$1006:X1006),$V$1006:$AE$1006,0))&gt;=100000), " ",IF(INDEX($V$2:$AE$1001,MATCH(ROWS($O$2:O439),$O$2:$O$1001,0),MATCH(COLUMNS($V$1006:X1006),$V$1006:$AE$1006,0)), HYPERLINK("#",""), HYPERLINK(CONCATENATE("#Metadata!", ADDRESS(INDEX($Q$2:$Q$1001,MATCH(ROWS($O$2:O439),$O$2:$O$1001,0),0), INDEX($V$1004:$AE$1004,1,MATCH(COLUMNS($V$1006:X1006),$V$1006:$AE$1006,0)))),"Fix")))</f>
        <v>0</v>
      </c>
      <c r="E439" s="3">
        <f>IF(OR(INDEX($P$2:$P$1001,MATCH(ROWS($O$2:O439),$O$2:$O$1001,0),1)&gt;=100000,INDEX($V$1005:$AE$1005,1,MATCH(COLUMNS($V$1006:Y1006),$V$1006:$AE$1006,0))&gt;=100000), " ",IF(INDEX($V$2:$AE$1001,MATCH(ROWS($O$2:O439),$O$2:$O$1001,0),MATCH(COLUMNS($V$1006:Y1006),$V$1006:$AE$1006,0)), HYPERLINK("#",""), HYPERLINK(CONCATENATE("#Metadata!", ADDRESS(INDEX($Q$2:$Q$1001,MATCH(ROWS($O$2:O439),$O$2:$O$1001,0),0), INDEX($V$1004:$AE$1004,1,MATCH(COLUMNS($V$1006:Y1006),$V$1006:$AE$1006,0)))),"Fix")))</f>
        <v>0</v>
      </c>
      <c r="F439" s="3">
        <f>IF(OR(INDEX($P$2:$P$1001,MATCH(ROWS($O$2:O439),$O$2:$O$1001,0),1)&gt;=100000,INDEX($V$1005:$AE$1005,1,MATCH(COLUMNS($V$1006:Z1006),$V$1006:$AE$1006,0))&gt;=100000), " ",IF(INDEX($V$2:$AE$1001,MATCH(ROWS($O$2:O439),$O$2:$O$1001,0),MATCH(COLUMNS($V$1006:Z1006),$V$1006:$AE$1006,0)), HYPERLINK("#",""), HYPERLINK(CONCATENATE("#Metadata!", ADDRESS(INDEX($Q$2:$Q$1001,MATCH(ROWS($O$2:O439),$O$2:$O$1001,0),0), INDEX($V$1004:$AE$1004,1,MATCH(COLUMNS($V$1006:Z1006),$V$1006:$AE$1006,0)))),"Fix")))</f>
        <v>0</v>
      </c>
      <c r="G439" s="3">
        <f>IF(OR(INDEX($P$2:$P$1001,MATCH(ROWS($O$2:O439),$O$2:$O$1001,0),1)&gt;=100000,INDEX($V$1005:$AE$1005,1,MATCH(COLUMNS($V$1006:AA1006),$V$1006:$AE$1006,0))&gt;=100000), " ",IF(INDEX($V$2:$AE$1001,MATCH(ROWS($O$2:O439),$O$2:$O$1001,0),MATCH(COLUMNS($V$1006:AA1006),$V$1006:$AE$1006,0)), HYPERLINK("#",""), HYPERLINK(CONCATENATE("#Metadata!", ADDRESS(INDEX($Q$2:$Q$1001,MATCH(ROWS($O$2:O439),$O$2:$O$1001,0),0), INDEX($V$1004:$AE$1004,1,MATCH(COLUMNS($V$1006:AA1006),$V$1006:$AE$1006,0)))),"Fix")))</f>
        <v>0</v>
      </c>
      <c r="H439" s="3">
        <f>IF(OR(INDEX($P$2:$P$1001,MATCH(ROWS($O$2:O439),$O$2:$O$1001,0),1)&gt;=100000,INDEX($V$1005:$AE$1005,1,MATCH(COLUMNS($V$1006:AB1006),$V$1006:$AE$1006,0))&gt;=100000), " ",IF(INDEX($V$2:$AE$1001,MATCH(ROWS($O$2:O439),$O$2:$O$1001,0),MATCH(COLUMNS($V$1006:AB1006),$V$1006:$AE$1006,0)), HYPERLINK("#",""), HYPERLINK(CONCATENATE("#Metadata!", ADDRESS(INDEX($Q$2:$Q$1001,MATCH(ROWS($O$2:O439),$O$2:$O$1001,0),0), INDEX($V$1004:$AE$1004,1,MATCH(COLUMNS($V$1006:AB1006),$V$1006:$AE$1006,0)))),"Fix")))</f>
        <v>0</v>
      </c>
      <c r="I439" s="3">
        <f>IF(OR(INDEX($P$2:$P$1001,MATCH(ROWS($O$2:O439),$O$2:$O$1001,0),1)&gt;=100000,INDEX($V$1005:$AE$1005,1,MATCH(COLUMNS($V$1006:AC1006),$V$1006:$AE$1006,0))&gt;=100000), " ",IF(INDEX($V$2:$AE$1001,MATCH(ROWS($O$2:O439),$O$2:$O$1001,0),MATCH(COLUMNS($V$1006:AC1006),$V$1006:$AE$1006,0)), HYPERLINK("#",""), HYPERLINK(CONCATENATE("#Metadata!", ADDRESS(INDEX($Q$2:$Q$1001,MATCH(ROWS($O$2:O439),$O$2:$O$1001,0),0), INDEX($V$1004:$AE$1004,1,MATCH(COLUMNS($V$1006:AC1006),$V$1006:$AE$1006,0)))),"Fix")))</f>
        <v>0</v>
      </c>
      <c r="J439" s="3">
        <f>IF(OR(INDEX($P$2:$P$1001,MATCH(ROWS($O$2:O439),$O$2:$O$1001,0),1)&gt;=100000,INDEX($V$1005:$AE$1005,1,MATCH(COLUMNS($V$1006:AD1006),$V$1006:$AE$1006,0))&gt;=100000), " ",IF(INDEX($V$2:$AE$1001,MATCH(ROWS($O$2:O439),$O$2:$O$1001,0),MATCH(COLUMNS($V$1006:AD1006),$V$1006:$AE$1006,0)), HYPERLINK("#",""), HYPERLINK(CONCATENATE("#Metadata!", ADDRESS(INDEX($Q$2:$Q$1001,MATCH(ROWS($O$2:O439),$O$2:$O$1001,0),0), INDEX($V$1004:$AE$1004,1,MATCH(COLUMNS($V$1006:AD1006),$V$1006:$AE$1006,0)))),"Fix")))</f>
        <v>0</v>
      </c>
      <c r="K439" s="3">
        <f>IF(OR(INDEX($P$2:$P$1001,MATCH(ROWS($O$2:O439),$O$2:$O$1001,0),1)&gt;=100000,INDEX($V$1005:$AE$1005,1,MATCH(COLUMNS($V$1006:AE1006),$V$1006:$AE$1006,0))&gt;=100000), " ",IF(INDEX($V$2:$AE$1001,MATCH(ROWS($O$2:O439),$O$2:$O$1001,0),MATCH(COLUMNS($V$1006:AE1006),$V$1006:$AE$1006,0)), HYPERLINK("#",""), HYPERLINK(CONCATENATE("#Metadata!", ADDRESS(INDEX($Q$2:$Q$1001,MATCH(ROWS($O$2:O439),$O$2:$O$1001,0),0), INDEX($V$1004:$AE$1004,1,MATCH(COLUMNS($V$1006:AE1006),$V$1006:$AE$1006,0)))),"Fix")))</f>
        <v>0</v>
      </c>
      <c r="O439">
        <v>0</v>
      </c>
      <c r="P439">
        <v>0</v>
      </c>
      <c r="Q439">
        <v>0</v>
      </c>
      <c r="R439">
        <f>IF(S439,TRUE,AND(V439:AE439))</f>
        <v>0</v>
      </c>
      <c r="S439">
        <f>COUNTBLANK(Metadata!B439:K439)=COLUMNS(Metadata!B439:K439)</f>
        <v>0</v>
      </c>
      <c r="T439">
        <v>0</v>
      </c>
      <c r="V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W439">
        <f>AND(IF(Metadata!C439="",FALSE,TRUE),exact(Metadata!C439,"animal secretion"))</f>
        <v>0</v>
      </c>
      <c r="X439">
        <f>AND(IF(Metadata!D439="",FALSE,TRUE),exact(Metadata!D439,"saliva"))</f>
        <v>0</v>
      </c>
      <c r="Y439">
        <f>AND(IF(Metadata!E439="",FALSE,TRUE),exact(Metadata!E439,"human-oral"))</f>
        <v>0</v>
      </c>
      <c r="Z439">
        <f>AND(IF(Metadata!F439="",FALSE,TRUE),exact(Metadata!F439,"UBERON:oral cavity"))</f>
        <v>0</v>
      </c>
      <c r="AA439">
        <f>AND(IF(Metadata!G439="",FALSE,TRUE),exact(Metadata!G439,"UBERON:saliva"))</f>
        <v>0</v>
      </c>
      <c r="AB439">
        <f>AND(IF(Metadata!H439="",FALSE,TRUE),exact(Metadata!H439,"UBERON:tongue"))</f>
        <v>0</v>
      </c>
      <c r="AC439">
        <f>AND(IF(Metadata!I439="",FALSE,TRUE),exact(Metadata!I439,"tongue"))</f>
        <v>0</v>
      </c>
      <c r="AD439">
        <f>AND(IF(Metadata!J439="",FALSE,TRUE),exact(Metadata!J439,"human oral metagenome"))</f>
        <v>0</v>
      </c>
      <c r="AE439">
        <f>AND(IF(Metadata!K439="",FALSE,TRUE),exact(Metadata!K439,"447426"))</f>
        <v>0</v>
      </c>
    </row>
    <row r="440" spans="1:31">
      <c r="A440" s="4">
        <f>IF(B440=" "," ",HYPERLINK(CONCATENATE("#metadata!",ADDRESS(INDEX($Q$2:$Q$1001,MATCH(ROWS($O$2:O440),$O$2:$O$1001,0),0),1)),INDEX($T$2:$T$1001,MATCH(ROWS($O$2:O440),$O$2:$O$1001,0),0)))</f>
        <v>0</v>
      </c>
      <c r="B440" s="3">
        <f>IF(OR(INDEX($P$2:$P$1001,MATCH(ROWS($O$2:O440),$O$2:$O$1001,0),1)&gt;=100000,INDEX($V$1005:$AE$1005,1,MATCH(COLUMNS($V$1006:V1006),$V$1006:$AE$1006,0))&gt;=100000), " ",IF(INDEX($V$2:$AE$1001,MATCH(ROWS($O$2:O440),$O$2:$O$1001,0),MATCH(COLUMNS($V$1006:V1006),$V$1006:$AE$1006,0)), HYPERLINK("#",""), HYPERLINK(CONCATENATE("#Metadata!", ADDRESS(INDEX($Q$2:$Q$1001,MATCH(ROWS($O$2:O440),$O$2:$O$1001,0),0), INDEX($V$1004:$AE$1004,1,MATCH(COLUMNS($V$1006:V1006),$V$1006:$AE$1006,0)))),"Fix")))</f>
        <v>0</v>
      </c>
      <c r="C440" s="3">
        <f>IF(OR(INDEX($P$2:$P$1001,MATCH(ROWS($O$2:O440),$O$2:$O$1001,0),1)&gt;=100000,INDEX($V$1005:$AE$1005,1,MATCH(COLUMNS($V$1006:W1006),$V$1006:$AE$1006,0))&gt;=100000), " ",IF(INDEX($V$2:$AE$1001,MATCH(ROWS($O$2:O440),$O$2:$O$1001,0),MATCH(COLUMNS($V$1006:W1006),$V$1006:$AE$1006,0)), HYPERLINK("#",""), HYPERLINK(CONCATENATE("#Metadata!", ADDRESS(INDEX($Q$2:$Q$1001,MATCH(ROWS($O$2:O440),$O$2:$O$1001,0),0), INDEX($V$1004:$AE$1004,1,MATCH(COLUMNS($V$1006:W1006),$V$1006:$AE$1006,0)))),"Fix")))</f>
        <v>0</v>
      </c>
      <c r="D440" s="3">
        <f>IF(OR(INDEX($P$2:$P$1001,MATCH(ROWS($O$2:O440),$O$2:$O$1001,0),1)&gt;=100000,INDEX($V$1005:$AE$1005,1,MATCH(COLUMNS($V$1006:X1006),$V$1006:$AE$1006,0))&gt;=100000), " ",IF(INDEX($V$2:$AE$1001,MATCH(ROWS($O$2:O440),$O$2:$O$1001,0),MATCH(COLUMNS($V$1006:X1006),$V$1006:$AE$1006,0)), HYPERLINK("#",""), HYPERLINK(CONCATENATE("#Metadata!", ADDRESS(INDEX($Q$2:$Q$1001,MATCH(ROWS($O$2:O440),$O$2:$O$1001,0),0), INDEX($V$1004:$AE$1004,1,MATCH(COLUMNS($V$1006:X1006),$V$1006:$AE$1006,0)))),"Fix")))</f>
        <v>0</v>
      </c>
      <c r="E440" s="3">
        <f>IF(OR(INDEX($P$2:$P$1001,MATCH(ROWS($O$2:O440),$O$2:$O$1001,0),1)&gt;=100000,INDEX($V$1005:$AE$1005,1,MATCH(COLUMNS($V$1006:Y1006),$V$1006:$AE$1006,0))&gt;=100000), " ",IF(INDEX($V$2:$AE$1001,MATCH(ROWS($O$2:O440),$O$2:$O$1001,0),MATCH(COLUMNS($V$1006:Y1006),$V$1006:$AE$1006,0)), HYPERLINK("#",""), HYPERLINK(CONCATENATE("#Metadata!", ADDRESS(INDEX($Q$2:$Q$1001,MATCH(ROWS($O$2:O440),$O$2:$O$1001,0),0), INDEX($V$1004:$AE$1004,1,MATCH(COLUMNS($V$1006:Y1006),$V$1006:$AE$1006,0)))),"Fix")))</f>
        <v>0</v>
      </c>
      <c r="F440" s="3">
        <f>IF(OR(INDEX($P$2:$P$1001,MATCH(ROWS($O$2:O440),$O$2:$O$1001,0),1)&gt;=100000,INDEX($V$1005:$AE$1005,1,MATCH(COLUMNS($V$1006:Z1006),$V$1006:$AE$1006,0))&gt;=100000), " ",IF(INDEX($V$2:$AE$1001,MATCH(ROWS($O$2:O440),$O$2:$O$1001,0),MATCH(COLUMNS($V$1006:Z1006),$V$1006:$AE$1006,0)), HYPERLINK("#",""), HYPERLINK(CONCATENATE("#Metadata!", ADDRESS(INDEX($Q$2:$Q$1001,MATCH(ROWS($O$2:O440),$O$2:$O$1001,0),0), INDEX($V$1004:$AE$1004,1,MATCH(COLUMNS($V$1006:Z1006),$V$1006:$AE$1006,0)))),"Fix")))</f>
        <v>0</v>
      </c>
      <c r="G440" s="3">
        <f>IF(OR(INDEX($P$2:$P$1001,MATCH(ROWS($O$2:O440),$O$2:$O$1001,0),1)&gt;=100000,INDEX($V$1005:$AE$1005,1,MATCH(COLUMNS($V$1006:AA1006),$V$1006:$AE$1006,0))&gt;=100000), " ",IF(INDEX($V$2:$AE$1001,MATCH(ROWS($O$2:O440),$O$2:$O$1001,0),MATCH(COLUMNS($V$1006:AA1006),$V$1006:$AE$1006,0)), HYPERLINK("#",""), HYPERLINK(CONCATENATE("#Metadata!", ADDRESS(INDEX($Q$2:$Q$1001,MATCH(ROWS($O$2:O440),$O$2:$O$1001,0),0), INDEX($V$1004:$AE$1004,1,MATCH(COLUMNS($V$1006:AA1006),$V$1006:$AE$1006,0)))),"Fix")))</f>
        <v>0</v>
      </c>
      <c r="H440" s="3">
        <f>IF(OR(INDEX($P$2:$P$1001,MATCH(ROWS($O$2:O440),$O$2:$O$1001,0),1)&gt;=100000,INDEX($V$1005:$AE$1005,1,MATCH(COLUMNS($V$1006:AB1006),$V$1006:$AE$1006,0))&gt;=100000), " ",IF(INDEX($V$2:$AE$1001,MATCH(ROWS($O$2:O440),$O$2:$O$1001,0),MATCH(COLUMNS($V$1006:AB1006),$V$1006:$AE$1006,0)), HYPERLINK("#",""), HYPERLINK(CONCATENATE("#Metadata!", ADDRESS(INDEX($Q$2:$Q$1001,MATCH(ROWS($O$2:O440),$O$2:$O$1001,0),0), INDEX($V$1004:$AE$1004,1,MATCH(COLUMNS($V$1006:AB1006),$V$1006:$AE$1006,0)))),"Fix")))</f>
        <v>0</v>
      </c>
      <c r="I440" s="3">
        <f>IF(OR(INDEX($P$2:$P$1001,MATCH(ROWS($O$2:O440),$O$2:$O$1001,0),1)&gt;=100000,INDEX($V$1005:$AE$1005,1,MATCH(COLUMNS($V$1006:AC1006),$V$1006:$AE$1006,0))&gt;=100000), " ",IF(INDEX($V$2:$AE$1001,MATCH(ROWS($O$2:O440),$O$2:$O$1001,0),MATCH(COLUMNS($V$1006:AC1006),$V$1006:$AE$1006,0)), HYPERLINK("#",""), HYPERLINK(CONCATENATE("#Metadata!", ADDRESS(INDEX($Q$2:$Q$1001,MATCH(ROWS($O$2:O440),$O$2:$O$1001,0),0), INDEX($V$1004:$AE$1004,1,MATCH(COLUMNS($V$1006:AC1006),$V$1006:$AE$1006,0)))),"Fix")))</f>
        <v>0</v>
      </c>
      <c r="J440" s="3">
        <f>IF(OR(INDEX($P$2:$P$1001,MATCH(ROWS($O$2:O440),$O$2:$O$1001,0),1)&gt;=100000,INDEX($V$1005:$AE$1005,1,MATCH(COLUMNS($V$1006:AD1006),$V$1006:$AE$1006,0))&gt;=100000), " ",IF(INDEX($V$2:$AE$1001,MATCH(ROWS($O$2:O440),$O$2:$O$1001,0),MATCH(COLUMNS($V$1006:AD1006),$V$1006:$AE$1006,0)), HYPERLINK("#",""), HYPERLINK(CONCATENATE("#Metadata!", ADDRESS(INDEX($Q$2:$Q$1001,MATCH(ROWS($O$2:O440),$O$2:$O$1001,0),0), INDEX($V$1004:$AE$1004,1,MATCH(COLUMNS($V$1006:AD1006),$V$1006:$AE$1006,0)))),"Fix")))</f>
        <v>0</v>
      </c>
      <c r="K440" s="3">
        <f>IF(OR(INDEX($P$2:$P$1001,MATCH(ROWS($O$2:O440),$O$2:$O$1001,0),1)&gt;=100000,INDEX($V$1005:$AE$1005,1,MATCH(COLUMNS($V$1006:AE1006),$V$1006:$AE$1006,0))&gt;=100000), " ",IF(INDEX($V$2:$AE$1001,MATCH(ROWS($O$2:O440),$O$2:$O$1001,0),MATCH(COLUMNS($V$1006:AE1006),$V$1006:$AE$1006,0)), HYPERLINK("#",""), HYPERLINK(CONCATENATE("#Metadata!", ADDRESS(INDEX($Q$2:$Q$1001,MATCH(ROWS($O$2:O440),$O$2:$O$1001,0),0), INDEX($V$1004:$AE$1004,1,MATCH(COLUMNS($V$1006:AE1006),$V$1006:$AE$1006,0)))),"Fix")))</f>
        <v>0</v>
      </c>
      <c r="O440">
        <v>0</v>
      </c>
      <c r="P440">
        <v>0</v>
      </c>
      <c r="Q440">
        <v>0</v>
      </c>
      <c r="R440">
        <f>IF(S440,TRUE,AND(V440:AE440))</f>
        <v>0</v>
      </c>
      <c r="S440">
        <f>COUNTBLANK(Metadata!B440:K440)=COLUMNS(Metadata!B440:K440)</f>
        <v>0</v>
      </c>
      <c r="T440">
        <v>0</v>
      </c>
      <c r="V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W440">
        <f>AND(IF(Metadata!C440="",FALSE,TRUE),exact(Metadata!C440,"animal secretion"))</f>
        <v>0</v>
      </c>
      <c r="X440">
        <f>AND(IF(Metadata!D440="",FALSE,TRUE),exact(Metadata!D440,"saliva"))</f>
        <v>0</v>
      </c>
      <c r="Y440">
        <f>AND(IF(Metadata!E440="",FALSE,TRUE),exact(Metadata!E440,"human-oral"))</f>
        <v>0</v>
      </c>
      <c r="Z440">
        <f>AND(IF(Metadata!F440="",FALSE,TRUE),exact(Metadata!F440,"UBERON:oral cavity"))</f>
        <v>0</v>
      </c>
      <c r="AA440">
        <f>AND(IF(Metadata!G440="",FALSE,TRUE),exact(Metadata!G440,"UBERON:saliva"))</f>
        <v>0</v>
      </c>
      <c r="AB440">
        <f>AND(IF(Metadata!H440="",FALSE,TRUE),exact(Metadata!H440,"UBERON:tongue"))</f>
        <v>0</v>
      </c>
      <c r="AC440">
        <f>AND(IF(Metadata!I440="",FALSE,TRUE),exact(Metadata!I440,"tongue"))</f>
        <v>0</v>
      </c>
      <c r="AD440">
        <f>AND(IF(Metadata!J440="",FALSE,TRUE),exact(Metadata!J440,"human oral metagenome"))</f>
        <v>0</v>
      </c>
      <c r="AE440">
        <f>AND(IF(Metadata!K440="",FALSE,TRUE),exact(Metadata!K440,"447426"))</f>
        <v>0</v>
      </c>
    </row>
    <row r="441" spans="1:31">
      <c r="A441" s="4">
        <f>IF(B441=" "," ",HYPERLINK(CONCATENATE("#metadata!",ADDRESS(INDEX($Q$2:$Q$1001,MATCH(ROWS($O$2:O441),$O$2:$O$1001,0),0),1)),INDEX($T$2:$T$1001,MATCH(ROWS($O$2:O441),$O$2:$O$1001,0),0)))</f>
        <v>0</v>
      </c>
      <c r="B441" s="3">
        <f>IF(OR(INDEX($P$2:$P$1001,MATCH(ROWS($O$2:O441),$O$2:$O$1001,0),1)&gt;=100000,INDEX($V$1005:$AE$1005,1,MATCH(COLUMNS($V$1006:V1006),$V$1006:$AE$1006,0))&gt;=100000), " ",IF(INDEX($V$2:$AE$1001,MATCH(ROWS($O$2:O441),$O$2:$O$1001,0),MATCH(COLUMNS($V$1006:V1006),$V$1006:$AE$1006,0)), HYPERLINK("#",""), HYPERLINK(CONCATENATE("#Metadata!", ADDRESS(INDEX($Q$2:$Q$1001,MATCH(ROWS($O$2:O441),$O$2:$O$1001,0),0), INDEX($V$1004:$AE$1004,1,MATCH(COLUMNS($V$1006:V1006),$V$1006:$AE$1006,0)))),"Fix")))</f>
        <v>0</v>
      </c>
      <c r="C441" s="3">
        <f>IF(OR(INDEX($P$2:$P$1001,MATCH(ROWS($O$2:O441),$O$2:$O$1001,0),1)&gt;=100000,INDEX($V$1005:$AE$1005,1,MATCH(COLUMNS($V$1006:W1006),$V$1006:$AE$1006,0))&gt;=100000), " ",IF(INDEX($V$2:$AE$1001,MATCH(ROWS($O$2:O441),$O$2:$O$1001,0),MATCH(COLUMNS($V$1006:W1006),$V$1006:$AE$1006,0)), HYPERLINK("#",""), HYPERLINK(CONCATENATE("#Metadata!", ADDRESS(INDEX($Q$2:$Q$1001,MATCH(ROWS($O$2:O441),$O$2:$O$1001,0),0), INDEX($V$1004:$AE$1004,1,MATCH(COLUMNS($V$1006:W1006),$V$1006:$AE$1006,0)))),"Fix")))</f>
        <v>0</v>
      </c>
      <c r="D441" s="3">
        <f>IF(OR(INDEX($P$2:$P$1001,MATCH(ROWS($O$2:O441),$O$2:$O$1001,0),1)&gt;=100000,INDEX($V$1005:$AE$1005,1,MATCH(COLUMNS($V$1006:X1006),$V$1006:$AE$1006,0))&gt;=100000), " ",IF(INDEX($V$2:$AE$1001,MATCH(ROWS($O$2:O441),$O$2:$O$1001,0),MATCH(COLUMNS($V$1006:X1006),$V$1006:$AE$1006,0)), HYPERLINK("#",""), HYPERLINK(CONCATENATE("#Metadata!", ADDRESS(INDEX($Q$2:$Q$1001,MATCH(ROWS($O$2:O441),$O$2:$O$1001,0),0), INDEX($V$1004:$AE$1004,1,MATCH(COLUMNS($V$1006:X1006),$V$1006:$AE$1006,0)))),"Fix")))</f>
        <v>0</v>
      </c>
      <c r="E441" s="3">
        <f>IF(OR(INDEX($P$2:$P$1001,MATCH(ROWS($O$2:O441),$O$2:$O$1001,0),1)&gt;=100000,INDEX($V$1005:$AE$1005,1,MATCH(COLUMNS($V$1006:Y1006),$V$1006:$AE$1006,0))&gt;=100000), " ",IF(INDEX($V$2:$AE$1001,MATCH(ROWS($O$2:O441),$O$2:$O$1001,0),MATCH(COLUMNS($V$1006:Y1006),$V$1006:$AE$1006,0)), HYPERLINK("#",""), HYPERLINK(CONCATENATE("#Metadata!", ADDRESS(INDEX($Q$2:$Q$1001,MATCH(ROWS($O$2:O441),$O$2:$O$1001,0),0), INDEX($V$1004:$AE$1004,1,MATCH(COLUMNS($V$1006:Y1006),$V$1006:$AE$1006,0)))),"Fix")))</f>
        <v>0</v>
      </c>
      <c r="F441" s="3">
        <f>IF(OR(INDEX($P$2:$P$1001,MATCH(ROWS($O$2:O441),$O$2:$O$1001,0),1)&gt;=100000,INDEX($V$1005:$AE$1005,1,MATCH(COLUMNS($V$1006:Z1006),$V$1006:$AE$1006,0))&gt;=100000), " ",IF(INDEX($V$2:$AE$1001,MATCH(ROWS($O$2:O441),$O$2:$O$1001,0),MATCH(COLUMNS($V$1006:Z1006),$V$1006:$AE$1006,0)), HYPERLINK("#",""), HYPERLINK(CONCATENATE("#Metadata!", ADDRESS(INDEX($Q$2:$Q$1001,MATCH(ROWS($O$2:O441),$O$2:$O$1001,0),0), INDEX($V$1004:$AE$1004,1,MATCH(COLUMNS($V$1006:Z1006),$V$1006:$AE$1006,0)))),"Fix")))</f>
        <v>0</v>
      </c>
      <c r="G441" s="3">
        <f>IF(OR(INDEX($P$2:$P$1001,MATCH(ROWS($O$2:O441),$O$2:$O$1001,0),1)&gt;=100000,INDEX($V$1005:$AE$1005,1,MATCH(COLUMNS($V$1006:AA1006),$V$1006:$AE$1006,0))&gt;=100000), " ",IF(INDEX($V$2:$AE$1001,MATCH(ROWS($O$2:O441),$O$2:$O$1001,0),MATCH(COLUMNS($V$1006:AA1006),$V$1006:$AE$1006,0)), HYPERLINK("#",""), HYPERLINK(CONCATENATE("#Metadata!", ADDRESS(INDEX($Q$2:$Q$1001,MATCH(ROWS($O$2:O441),$O$2:$O$1001,0),0), INDEX($V$1004:$AE$1004,1,MATCH(COLUMNS($V$1006:AA1006),$V$1006:$AE$1006,0)))),"Fix")))</f>
        <v>0</v>
      </c>
      <c r="H441" s="3">
        <f>IF(OR(INDEX($P$2:$P$1001,MATCH(ROWS($O$2:O441),$O$2:$O$1001,0),1)&gt;=100000,INDEX($V$1005:$AE$1005,1,MATCH(COLUMNS($V$1006:AB1006),$V$1006:$AE$1006,0))&gt;=100000), " ",IF(INDEX($V$2:$AE$1001,MATCH(ROWS($O$2:O441),$O$2:$O$1001,0),MATCH(COLUMNS($V$1006:AB1006),$V$1006:$AE$1006,0)), HYPERLINK("#",""), HYPERLINK(CONCATENATE("#Metadata!", ADDRESS(INDEX($Q$2:$Q$1001,MATCH(ROWS($O$2:O441),$O$2:$O$1001,0),0), INDEX($V$1004:$AE$1004,1,MATCH(COLUMNS($V$1006:AB1006),$V$1006:$AE$1006,0)))),"Fix")))</f>
        <v>0</v>
      </c>
      <c r="I441" s="3">
        <f>IF(OR(INDEX($P$2:$P$1001,MATCH(ROWS($O$2:O441),$O$2:$O$1001,0),1)&gt;=100000,INDEX($V$1005:$AE$1005,1,MATCH(COLUMNS($V$1006:AC1006),$V$1006:$AE$1006,0))&gt;=100000), " ",IF(INDEX($V$2:$AE$1001,MATCH(ROWS($O$2:O441),$O$2:$O$1001,0),MATCH(COLUMNS($V$1006:AC1006),$V$1006:$AE$1006,0)), HYPERLINK("#",""), HYPERLINK(CONCATENATE("#Metadata!", ADDRESS(INDEX($Q$2:$Q$1001,MATCH(ROWS($O$2:O441),$O$2:$O$1001,0),0), INDEX($V$1004:$AE$1004,1,MATCH(COLUMNS($V$1006:AC1006),$V$1006:$AE$1006,0)))),"Fix")))</f>
        <v>0</v>
      </c>
      <c r="J441" s="3">
        <f>IF(OR(INDEX($P$2:$P$1001,MATCH(ROWS($O$2:O441),$O$2:$O$1001,0),1)&gt;=100000,INDEX($V$1005:$AE$1005,1,MATCH(COLUMNS($V$1006:AD1006),$V$1006:$AE$1006,0))&gt;=100000), " ",IF(INDEX($V$2:$AE$1001,MATCH(ROWS($O$2:O441),$O$2:$O$1001,0),MATCH(COLUMNS($V$1006:AD1006),$V$1006:$AE$1006,0)), HYPERLINK("#",""), HYPERLINK(CONCATENATE("#Metadata!", ADDRESS(INDEX($Q$2:$Q$1001,MATCH(ROWS($O$2:O441),$O$2:$O$1001,0),0), INDEX($V$1004:$AE$1004,1,MATCH(COLUMNS($V$1006:AD1006),$V$1006:$AE$1006,0)))),"Fix")))</f>
        <v>0</v>
      </c>
      <c r="K441" s="3">
        <f>IF(OR(INDEX($P$2:$P$1001,MATCH(ROWS($O$2:O441),$O$2:$O$1001,0),1)&gt;=100000,INDEX($V$1005:$AE$1005,1,MATCH(COLUMNS($V$1006:AE1006),$V$1006:$AE$1006,0))&gt;=100000), " ",IF(INDEX($V$2:$AE$1001,MATCH(ROWS($O$2:O441),$O$2:$O$1001,0),MATCH(COLUMNS($V$1006:AE1006),$V$1006:$AE$1006,0)), HYPERLINK("#",""), HYPERLINK(CONCATENATE("#Metadata!", ADDRESS(INDEX($Q$2:$Q$1001,MATCH(ROWS($O$2:O441),$O$2:$O$1001,0),0), INDEX($V$1004:$AE$1004,1,MATCH(COLUMNS($V$1006:AE1006),$V$1006:$AE$1006,0)))),"Fix")))</f>
        <v>0</v>
      </c>
      <c r="O441">
        <v>0</v>
      </c>
      <c r="P441">
        <v>0</v>
      </c>
      <c r="Q441">
        <v>0</v>
      </c>
      <c r="R441">
        <f>IF(S441,TRUE,AND(V441:AE441))</f>
        <v>0</v>
      </c>
      <c r="S441">
        <f>COUNTBLANK(Metadata!B441:K441)=COLUMNS(Metadata!B441:K441)</f>
        <v>0</v>
      </c>
      <c r="T441">
        <v>0</v>
      </c>
      <c r="V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W441">
        <f>AND(IF(Metadata!C441="",FALSE,TRUE),exact(Metadata!C441,"animal secretion"))</f>
        <v>0</v>
      </c>
      <c r="X441">
        <f>AND(IF(Metadata!D441="",FALSE,TRUE),exact(Metadata!D441,"saliva"))</f>
        <v>0</v>
      </c>
      <c r="Y441">
        <f>AND(IF(Metadata!E441="",FALSE,TRUE),exact(Metadata!E441,"human-oral"))</f>
        <v>0</v>
      </c>
      <c r="Z441">
        <f>AND(IF(Metadata!F441="",FALSE,TRUE),exact(Metadata!F441,"UBERON:oral cavity"))</f>
        <v>0</v>
      </c>
      <c r="AA441">
        <f>AND(IF(Metadata!G441="",FALSE,TRUE),exact(Metadata!G441,"UBERON:saliva"))</f>
        <v>0</v>
      </c>
      <c r="AB441">
        <f>AND(IF(Metadata!H441="",FALSE,TRUE),exact(Metadata!H441,"UBERON:tongue"))</f>
        <v>0</v>
      </c>
      <c r="AC441">
        <f>AND(IF(Metadata!I441="",FALSE,TRUE),exact(Metadata!I441,"tongue"))</f>
        <v>0</v>
      </c>
      <c r="AD441">
        <f>AND(IF(Metadata!J441="",FALSE,TRUE),exact(Metadata!J441,"human oral metagenome"))</f>
        <v>0</v>
      </c>
      <c r="AE441">
        <f>AND(IF(Metadata!K441="",FALSE,TRUE),exact(Metadata!K441,"447426"))</f>
        <v>0</v>
      </c>
    </row>
    <row r="442" spans="1:31">
      <c r="A442" s="4">
        <f>IF(B442=" "," ",HYPERLINK(CONCATENATE("#metadata!",ADDRESS(INDEX($Q$2:$Q$1001,MATCH(ROWS($O$2:O442),$O$2:$O$1001,0),0),1)),INDEX($T$2:$T$1001,MATCH(ROWS($O$2:O442),$O$2:$O$1001,0),0)))</f>
        <v>0</v>
      </c>
      <c r="B442" s="3">
        <f>IF(OR(INDEX($P$2:$P$1001,MATCH(ROWS($O$2:O442),$O$2:$O$1001,0),1)&gt;=100000,INDEX($V$1005:$AE$1005,1,MATCH(COLUMNS($V$1006:V1006),$V$1006:$AE$1006,0))&gt;=100000), " ",IF(INDEX($V$2:$AE$1001,MATCH(ROWS($O$2:O442),$O$2:$O$1001,0),MATCH(COLUMNS($V$1006:V1006),$V$1006:$AE$1006,0)), HYPERLINK("#",""), HYPERLINK(CONCATENATE("#Metadata!", ADDRESS(INDEX($Q$2:$Q$1001,MATCH(ROWS($O$2:O442),$O$2:$O$1001,0),0), INDEX($V$1004:$AE$1004,1,MATCH(COLUMNS($V$1006:V1006),$V$1006:$AE$1006,0)))),"Fix")))</f>
        <v>0</v>
      </c>
      <c r="C442" s="3">
        <f>IF(OR(INDEX($P$2:$P$1001,MATCH(ROWS($O$2:O442),$O$2:$O$1001,0),1)&gt;=100000,INDEX($V$1005:$AE$1005,1,MATCH(COLUMNS($V$1006:W1006),$V$1006:$AE$1006,0))&gt;=100000), " ",IF(INDEX($V$2:$AE$1001,MATCH(ROWS($O$2:O442),$O$2:$O$1001,0),MATCH(COLUMNS($V$1006:W1006),$V$1006:$AE$1006,0)), HYPERLINK("#",""), HYPERLINK(CONCATENATE("#Metadata!", ADDRESS(INDEX($Q$2:$Q$1001,MATCH(ROWS($O$2:O442),$O$2:$O$1001,0),0), INDEX($V$1004:$AE$1004,1,MATCH(COLUMNS($V$1006:W1006),$V$1006:$AE$1006,0)))),"Fix")))</f>
        <v>0</v>
      </c>
      <c r="D442" s="3">
        <f>IF(OR(INDEX($P$2:$P$1001,MATCH(ROWS($O$2:O442),$O$2:$O$1001,0),1)&gt;=100000,INDEX($V$1005:$AE$1005,1,MATCH(COLUMNS($V$1006:X1006),$V$1006:$AE$1006,0))&gt;=100000), " ",IF(INDEX($V$2:$AE$1001,MATCH(ROWS($O$2:O442),$O$2:$O$1001,0),MATCH(COLUMNS($V$1006:X1006),$V$1006:$AE$1006,0)), HYPERLINK("#",""), HYPERLINK(CONCATENATE("#Metadata!", ADDRESS(INDEX($Q$2:$Q$1001,MATCH(ROWS($O$2:O442),$O$2:$O$1001,0),0), INDEX($V$1004:$AE$1004,1,MATCH(COLUMNS($V$1006:X1006),$V$1006:$AE$1006,0)))),"Fix")))</f>
        <v>0</v>
      </c>
      <c r="E442" s="3">
        <f>IF(OR(INDEX($P$2:$P$1001,MATCH(ROWS($O$2:O442),$O$2:$O$1001,0),1)&gt;=100000,INDEX($V$1005:$AE$1005,1,MATCH(COLUMNS($V$1006:Y1006),$V$1006:$AE$1006,0))&gt;=100000), " ",IF(INDEX($V$2:$AE$1001,MATCH(ROWS($O$2:O442),$O$2:$O$1001,0),MATCH(COLUMNS($V$1006:Y1006),$V$1006:$AE$1006,0)), HYPERLINK("#",""), HYPERLINK(CONCATENATE("#Metadata!", ADDRESS(INDEX($Q$2:$Q$1001,MATCH(ROWS($O$2:O442),$O$2:$O$1001,0),0), INDEX($V$1004:$AE$1004,1,MATCH(COLUMNS($V$1006:Y1006),$V$1006:$AE$1006,0)))),"Fix")))</f>
        <v>0</v>
      </c>
      <c r="F442" s="3">
        <f>IF(OR(INDEX($P$2:$P$1001,MATCH(ROWS($O$2:O442),$O$2:$O$1001,0),1)&gt;=100000,INDEX($V$1005:$AE$1005,1,MATCH(COLUMNS($V$1006:Z1006),$V$1006:$AE$1006,0))&gt;=100000), " ",IF(INDEX($V$2:$AE$1001,MATCH(ROWS($O$2:O442),$O$2:$O$1001,0),MATCH(COLUMNS($V$1006:Z1006),$V$1006:$AE$1006,0)), HYPERLINK("#",""), HYPERLINK(CONCATENATE("#Metadata!", ADDRESS(INDEX($Q$2:$Q$1001,MATCH(ROWS($O$2:O442),$O$2:$O$1001,0),0), INDEX($V$1004:$AE$1004,1,MATCH(COLUMNS($V$1006:Z1006),$V$1006:$AE$1006,0)))),"Fix")))</f>
        <v>0</v>
      </c>
      <c r="G442" s="3">
        <f>IF(OR(INDEX($P$2:$P$1001,MATCH(ROWS($O$2:O442),$O$2:$O$1001,0),1)&gt;=100000,INDEX($V$1005:$AE$1005,1,MATCH(COLUMNS($V$1006:AA1006),$V$1006:$AE$1006,0))&gt;=100000), " ",IF(INDEX($V$2:$AE$1001,MATCH(ROWS($O$2:O442),$O$2:$O$1001,0),MATCH(COLUMNS($V$1006:AA1006),$V$1006:$AE$1006,0)), HYPERLINK("#",""), HYPERLINK(CONCATENATE("#Metadata!", ADDRESS(INDEX($Q$2:$Q$1001,MATCH(ROWS($O$2:O442),$O$2:$O$1001,0),0), INDEX($V$1004:$AE$1004,1,MATCH(COLUMNS($V$1006:AA1006),$V$1006:$AE$1006,0)))),"Fix")))</f>
        <v>0</v>
      </c>
      <c r="H442" s="3">
        <f>IF(OR(INDEX($P$2:$P$1001,MATCH(ROWS($O$2:O442),$O$2:$O$1001,0),1)&gt;=100000,INDEX($V$1005:$AE$1005,1,MATCH(COLUMNS($V$1006:AB1006),$V$1006:$AE$1006,0))&gt;=100000), " ",IF(INDEX($V$2:$AE$1001,MATCH(ROWS($O$2:O442),$O$2:$O$1001,0),MATCH(COLUMNS($V$1006:AB1006),$V$1006:$AE$1006,0)), HYPERLINK("#",""), HYPERLINK(CONCATENATE("#Metadata!", ADDRESS(INDEX($Q$2:$Q$1001,MATCH(ROWS($O$2:O442),$O$2:$O$1001,0),0), INDEX($V$1004:$AE$1004,1,MATCH(COLUMNS($V$1006:AB1006),$V$1006:$AE$1006,0)))),"Fix")))</f>
        <v>0</v>
      </c>
      <c r="I442" s="3">
        <f>IF(OR(INDEX($P$2:$P$1001,MATCH(ROWS($O$2:O442),$O$2:$O$1001,0),1)&gt;=100000,INDEX($V$1005:$AE$1005,1,MATCH(COLUMNS($V$1006:AC1006),$V$1006:$AE$1006,0))&gt;=100000), " ",IF(INDEX($V$2:$AE$1001,MATCH(ROWS($O$2:O442),$O$2:$O$1001,0),MATCH(COLUMNS($V$1006:AC1006),$V$1006:$AE$1006,0)), HYPERLINK("#",""), HYPERLINK(CONCATENATE("#Metadata!", ADDRESS(INDEX($Q$2:$Q$1001,MATCH(ROWS($O$2:O442),$O$2:$O$1001,0),0), INDEX($V$1004:$AE$1004,1,MATCH(COLUMNS($V$1006:AC1006),$V$1006:$AE$1006,0)))),"Fix")))</f>
        <v>0</v>
      </c>
      <c r="J442" s="3">
        <f>IF(OR(INDEX($P$2:$P$1001,MATCH(ROWS($O$2:O442),$O$2:$O$1001,0),1)&gt;=100000,INDEX($V$1005:$AE$1005,1,MATCH(COLUMNS($V$1006:AD1006),$V$1006:$AE$1006,0))&gt;=100000), " ",IF(INDEX($V$2:$AE$1001,MATCH(ROWS($O$2:O442),$O$2:$O$1001,0),MATCH(COLUMNS($V$1006:AD1006),$V$1006:$AE$1006,0)), HYPERLINK("#",""), HYPERLINK(CONCATENATE("#Metadata!", ADDRESS(INDEX($Q$2:$Q$1001,MATCH(ROWS($O$2:O442),$O$2:$O$1001,0),0), INDEX($V$1004:$AE$1004,1,MATCH(COLUMNS($V$1006:AD1006),$V$1006:$AE$1006,0)))),"Fix")))</f>
        <v>0</v>
      </c>
      <c r="K442" s="3">
        <f>IF(OR(INDEX($P$2:$P$1001,MATCH(ROWS($O$2:O442),$O$2:$O$1001,0),1)&gt;=100000,INDEX($V$1005:$AE$1005,1,MATCH(COLUMNS($V$1006:AE1006),$V$1006:$AE$1006,0))&gt;=100000), " ",IF(INDEX($V$2:$AE$1001,MATCH(ROWS($O$2:O442),$O$2:$O$1001,0),MATCH(COLUMNS($V$1006:AE1006),$V$1006:$AE$1006,0)), HYPERLINK("#",""), HYPERLINK(CONCATENATE("#Metadata!", ADDRESS(INDEX($Q$2:$Q$1001,MATCH(ROWS($O$2:O442),$O$2:$O$1001,0),0), INDEX($V$1004:$AE$1004,1,MATCH(COLUMNS($V$1006:AE1006),$V$1006:$AE$1006,0)))),"Fix")))</f>
        <v>0</v>
      </c>
      <c r="O442">
        <v>0</v>
      </c>
      <c r="P442">
        <v>0</v>
      </c>
      <c r="Q442">
        <v>0</v>
      </c>
      <c r="R442">
        <f>IF(S442,TRUE,AND(V442:AE442))</f>
        <v>0</v>
      </c>
      <c r="S442">
        <f>COUNTBLANK(Metadata!B442:K442)=COLUMNS(Metadata!B442:K442)</f>
        <v>0</v>
      </c>
      <c r="T442">
        <v>0</v>
      </c>
      <c r="V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W442">
        <f>AND(IF(Metadata!C442="",FALSE,TRUE),exact(Metadata!C442,"animal secretion"))</f>
        <v>0</v>
      </c>
      <c r="X442">
        <f>AND(IF(Metadata!D442="",FALSE,TRUE),exact(Metadata!D442,"saliva"))</f>
        <v>0</v>
      </c>
      <c r="Y442">
        <f>AND(IF(Metadata!E442="",FALSE,TRUE),exact(Metadata!E442,"human-oral"))</f>
        <v>0</v>
      </c>
      <c r="Z442">
        <f>AND(IF(Metadata!F442="",FALSE,TRUE),exact(Metadata!F442,"UBERON:oral cavity"))</f>
        <v>0</v>
      </c>
      <c r="AA442">
        <f>AND(IF(Metadata!G442="",FALSE,TRUE),exact(Metadata!G442,"UBERON:saliva"))</f>
        <v>0</v>
      </c>
      <c r="AB442">
        <f>AND(IF(Metadata!H442="",FALSE,TRUE),exact(Metadata!H442,"UBERON:tongue"))</f>
        <v>0</v>
      </c>
      <c r="AC442">
        <f>AND(IF(Metadata!I442="",FALSE,TRUE),exact(Metadata!I442,"tongue"))</f>
        <v>0</v>
      </c>
      <c r="AD442">
        <f>AND(IF(Metadata!J442="",FALSE,TRUE),exact(Metadata!J442,"human oral metagenome"))</f>
        <v>0</v>
      </c>
      <c r="AE442">
        <f>AND(IF(Metadata!K442="",FALSE,TRUE),exact(Metadata!K442,"447426"))</f>
        <v>0</v>
      </c>
    </row>
    <row r="443" spans="1:31">
      <c r="A443" s="4">
        <f>IF(B443=" "," ",HYPERLINK(CONCATENATE("#metadata!",ADDRESS(INDEX($Q$2:$Q$1001,MATCH(ROWS($O$2:O443),$O$2:$O$1001,0),0),1)),INDEX($T$2:$T$1001,MATCH(ROWS($O$2:O443),$O$2:$O$1001,0),0)))</f>
        <v>0</v>
      </c>
      <c r="B443" s="3">
        <f>IF(OR(INDEX($P$2:$P$1001,MATCH(ROWS($O$2:O443),$O$2:$O$1001,0),1)&gt;=100000,INDEX($V$1005:$AE$1005,1,MATCH(COLUMNS($V$1006:V1006),$V$1006:$AE$1006,0))&gt;=100000), " ",IF(INDEX($V$2:$AE$1001,MATCH(ROWS($O$2:O443),$O$2:$O$1001,0),MATCH(COLUMNS($V$1006:V1006),$V$1006:$AE$1006,0)), HYPERLINK("#",""), HYPERLINK(CONCATENATE("#Metadata!", ADDRESS(INDEX($Q$2:$Q$1001,MATCH(ROWS($O$2:O443),$O$2:$O$1001,0),0), INDEX($V$1004:$AE$1004,1,MATCH(COLUMNS($V$1006:V1006),$V$1006:$AE$1006,0)))),"Fix")))</f>
        <v>0</v>
      </c>
      <c r="C443" s="3">
        <f>IF(OR(INDEX($P$2:$P$1001,MATCH(ROWS($O$2:O443),$O$2:$O$1001,0),1)&gt;=100000,INDEX($V$1005:$AE$1005,1,MATCH(COLUMNS($V$1006:W1006),$V$1006:$AE$1006,0))&gt;=100000), " ",IF(INDEX($V$2:$AE$1001,MATCH(ROWS($O$2:O443),$O$2:$O$1001,0),MATCH(COLUMNS($V$1006:W1006),$V$1006:$AE$1006,0)), HYPERLINK("#",""), HYPERLINK(CONCATENATE("#Metadata!", ADDRESS(INDEX($Q$2:$Q$1001,MATCH(ROWS($O$2:O443),$O$2:$O$1001,0),0), INDEX($V$1004:$AE$1004,1,MATCH(COLUMNS($V$1006:W1006),$V$1006:$AE$1006,0)))),"Fix")))</f>
        <v>0</v>
      </c>
      <c r="D443" s="3">
        <f>IF(OR(INDEX($P$2:$P$1001,MATCH(ROWS($O$2:O443),$O$2:$O$1001,0),1)&gt;=100000,INDEX($V$1005:$AE$1005,1,MATCH(COLUMNS($V$1006:X1006),$V$1006:$AE$1006,0))&gt;=100000), " ",IF(INDEX($V$2:$AE$1001,MATCH(ROWS($O$2:O443),$O$2:$O$1001,0),MATCH(COLUMNS($V$1006:X1006),$V$1006:$AE$1006,0)), HYPERLINK("#",""), HYPERLINK(CONCATENATE("#Metadata!", ADDRESS(INDEX($Q$2:$Q$1001,MATCH(ROWS($O$2:O443),$O$2:$O$1001,0),0), INDEX($V$1004:$AE$1004,1,MATCH(COLUMNS($V$1006:X1006),$V$1006:$AE$1006,0)))),"Fix")))</f>
        <v>0</v>
      </c>
      <c r="E443" s="3">
        <f>IF(OR(INDEX($P$2:$P$1001,MATCH(ROWS($O$2:O443),$O$2:$O$1001,0),1)&gt;=100000,INDEX($V$1005:$AE$1005,1,MATCH(COLUMNS($V$1006:Y1006),$V$1006:$AE$1006,0))&gt;=100000), " ",IF(INDEX($V$2:$AE$1001,MATCH(ROWS($O$2:O443),$O$2:$O$1001,0),MATCH(COLUMNS($V$1006:Y1006),$V$1006:$AE$1006,0)), HYPERLINK("#",""), HYPERLINK(CONCATENATE("#Metadata!", ADDRESS(INDEX($Q$2:$Q$1001,MATCH(ROWS($O$2:O443),$O$2:$O$1001,0),0), INDEX($V$1004:$AE$1004,1,MATCH(COLUMNS($V$1006:Y1006),$V$1006:$AE$1006,0)))),"Fix")))</f>
        <v>0</v>
      </c>
      <c r="F443" s="3">
        <f>IF(OR(INDEX($P$2:$P$1001,MATCH(ROWS($O$2:O443),$O$2:$O$1001,0),1)&gt;=100000,INDEX($V$1005:$AE$1005,1,MATCH(COLUMNS($V$1006:Z1006),$V$1006:$AE$1006,0))&gt;=100000), " ",IF(INDEX($V$2:$AE$1001,MATCH(ROWS($O$2:O443),$O$2:$O$1001,0),MATCH(COLUMNS($V$1006:Z1006),$V$1006:$AE$1006,0)), HYPERLINK("#",""), HYPERLINK(CONCATENATE("#Metadata!", ADDRESS(INDEX($Q$2:$Q$1001,MATCH(ROWS($O$2:O443),$O$2:$O$1001,0),0), INDEX($V$1004:$AE$1004,1,MATCH(COLUMNS($V$1006:Z1006),$V$1006:$AE$1006,0)))),"Fix")))</f>
        <v>0</v>
      </c>
      <c r="G443" s="3">
        <f>IF(OR(INDEX($P$2:$P$1001,MATCH(ROWS($O$2:O443),$O$2:$O$1001,0),1)&gt;=100000,INDEX($V$1005:$AE$1005,1,MATCH(COLUMNS($V$1006:AA1006),$V$1006:$AE$1006,0))&gt;=100000), " ",IF(INDEX($V$2:$AE$1001,MATCH(ROWS($O$2:O443),$O$2:$O$1001,0),MATCH(COLUMNS($V$1006:AA1006),$V$1006:$AE$1006,0)), HYPERLINK("#",""), HYPERLINK(CONCATENATE("#Metadata!", ADDRESS(INDEX($Q$2:$Q$1001,MATCH(ROWS($O$2:O443),$O$2:$O$1001,0),0), INDEX($V$1004:$AE$1004,1,MATCH(COLUMNS($V$1006:AA1006),$V$1006:$AE$1006,0)))),"Fix")))</f>
        <v>0</v>
      </c>
      <c r="H443" s="3">
        <f>IF(OR(INDEX($P$2:$P$1001,MATCH(ROWS($O$2:O443),$O$2:$O$1001,0),1)&gt;=100000,INDEX($V$1005:$AE$1005,1,MATCH(COLUMNS($V$1006:AB1006),$V$1006:$AE$1006,0))&gt;=100000), " ",IF(INDEX($V$2:$AE$1001,MATCH(ROWS($O$2:O443),$O$2:$O$1001,0),MATCH(COLUMNS($V$1006:AB1006),$V$1006:$AE$1006,0)), HYPERLINK("#",""), HYPERLINK(CONCATENATE("#Metadata!", ADDRESS(INDEX($Q$2:$Q$1001,MATCH(ROWS($O$2:O443),$O$2:$O$1001,0),0), INDEX($V$1004:$AE$1004,1,MATCH(COLUMNS($V$1006:AB1006),$V$1006:$AE$1006,0)))),"Fix")))</f>
        <v>0</v>
      </c>
      <c r="I443" s="3">
        <f>IF(OR(INDEX($P$2:$P$1001,MATCH(ROWS($O$2:O443),$O$2:$O$1001,0),1)&gt;=100000,INDEX($V$1005:$AE$1005,1,MATCH(COLUMNS($V$1006:AC1006),$V$1006:$AE$1006,0))&gt;=100000), " ",IF(INDEX($V$2:$AE$1001,MATCH(ROWS($O$2:O443),$O$2:$O$1001,0),MATCH(COLUMNS($V$1006:AC1006),$V$1006:$AE$1006,0)), HYPERLINK("#",""), HYPERLINK(CONCATENATE("#Metadata!", ADDRESS(INDEX($Q$2:$Q$1001,MATCH(ROWS($O$2:O443),$O$2:$O$1001,0),0), INDEX($V$1004:$AE$1004,1,MATCH(COLUMNS($V$1006:AC1006),$V$1006:$AE$1006,0)))),"Fix")))</f>
        <v>0</v>
      </c>
      <c r="J443" s="3">
        <f>IF(OR(INDEX($P$2:$P$1001,MATCH(ROWS($O$2:O443),$O$2:$O$1001,0),1)&gt;=100000,INDEX($V$1005:$AE$1005,1,MATCH(COLUMNS($V$1006:AD1006),$V$1006:$AE$1006,0))&gt;=100000), " ",IF(INDEX($V$2:$AE$1001,MATCH(ROWS($O$2:O443),$O$2:$O$1001,0),MATCH(COLUMNS($V$1006:AD1006),$V$1006:$AE$1006,0)), HYPERLINK("#",""), HYPERLINK(CONCATENATE("#Metadata!", ADDRESS(INDEX($Q$2:$Q$1001,MATCH(ROWS($O$2:O443),$O$2:$O$1001,0),0), INDEX($V$1004:$AE$1004,1,MATCH(COLUMNS($V$1006:AD1006),$V$1006:$AE$1006,0)))),"Fix")))</f>
        <v>0</v>
      </c>
      <c r="K443" s="3">
        <f>IF(OR(INDEX($P$2:$P$1001,MATCH(ROWS($O$2:O443),$O$2:$O$1001,0),1)&gt;=100000,INDEX($V$1005:$AE$1005,1,MATCH(COLUMNS($V$1006:AE1006),$V$1006:$AE$1006,0))&gt;=100000), " ",IF(INDEX($V$2:$AE$1001,MATCH(ROWS($O$2:O443),$O$2:$O$1001,0),MATCH(COLUMNS($V$1006:AE1006),$V$1006:$AE$1006,0)), HYPERLINK("#",""), HYPERLINK(CONCATENATE("#Metadata!", ADDRESS(INDEX($Q$2:$Q$1001,MATCH(ROWS($O$2:O443),$O$2:$O$1001,0),0), INDEX($V$1004:$AE$1004,1,MATCH(COLUMNS($V$1006:AE1006),$V$1006:$AE$1006,0)))),"Fix")))</f>
        <v>0</v>
      </c>
      <c r="O443">
        <v>0</v>
      </c>
      <c r="P443">
        <v>0</v>
      </c>
      <c r="Q443">
        <v>0</v>
      </c>
      <c r="R443">
        <f>IF(S443,TRUE,AND(V443:AE443))</f>
        <v>0</v>
      </c>
      <c r="S443">
        <f>COUNTBLANK(Metadata!B443:K443)=COLUMNS(Metadata!B443:K443)</f>
        <v>0</v>
      </c>
      <c r="T443">
        <v>0</v>
      </c>
      <c r="V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W443">
        <f>AND(IF(Metadata!C443="",FALSE,TRUE),exact(Metadata!C443,"animal secretion"))</f>
        <v>0</v>
      </c>
      <c r="X443">
        <f>AND(IF(Metadata!D443="",FALSE,TRUE),exact(Metadata!D443,"saliva"))</f>
        <v>0</v>
      </c>
      <c r="Y443">
        <f>AND(IF(Metadata!E443="",FALSE,TRUE),exact(Metadata!E443,"human-oral"))</f>
        <v>0</v>
      </c>
      <c r="Z443">
        <f>AND(IF(Metadata!F443="",FALSE,TRUE),exact(Metadata!F443,"UBERON:oral cavity"))</f>
        <v>0</v>
      </c>
      <c r="AA443">
        <f>AND(IF(Metadata!G443="",FALSE,TRUE),exact(Metadata!G443,"UBERON:saliva"))</f>
        <v>0</v>
      </c>
      <c r="AB443">
        <f>AND(IF(Metadata!H443="",FALSE,TRUE),exact(Metadata!H443,"UBERON:tongue"))</f>
        <v>0</v>
      </c>
      <c r="AC443">
        <f>AND(IF(Metadata!I443="",FALSE,TRUE),exact(Metadata!I443,"tongue"))</f>
        <v>0</v>
      </c>
      <c r="AD443">
        <f>AND(IF(Metadata!J443="",FALSE,TRUE),exact(Metadata!J443,"human oral metagenome"))</f>
        <v>0</v>
      </c>
      <c r="AE443">
        <f>AND(IF(Metadata!K443="",FALSE,TRUE),exact(Metadata!K443,"447426"))</f>
        <v>0</v>
      </c>
    </row>
    <row r="444" spans="1:31">
      <c r="A444" s="4">
        <f>IF(B444=" "," ",HYPERLINK(CONCATENATE("#metadata!",ADDRESS(INDEX($Q$2:$Q$1001,MATCH(ROWS($O$2:O444),$O$2:$O$1001,0),0),1)),INDEX($T$2:$T$1001,MATCH(ROWS($O$2:O444),$O$2:$O$1001,0),0)))</f>
        <v>0</v>
      </c>
      <c r="B444" s="3">
        <f>IF(OR(INDEX($P$2:$P$1001,MATCH(ROWS($O$2:O444),$O$2:$O$1001,0),1)&gt;=100000,INDEX($V$1005:$AE$1005,1,MATCH(COLUMNS($V$1006:V1006),$V$1006:$AE$1006,0))&gt;=100000), " ",IF(INDEX($V$2:$AE$1001,MATCH(ROWS($O$2:O444),$O$2:$O$1001,0),MATCH(COLUMNS($V$1006:V1006),$V$1006:$AE$1006,0)), HYPERLINK("#",""), HYPERLINK(CONCATENATE("#Metadata!", ADDRESS(INDEX($Q$2:$Q$1001,MATCH(ROWS($O$2:O444),$O$2:$O$1001,0),0), INDEX($V$1004:$AE$1004,1,MATCH(COLUMNS($V$1006:V1006),$V$1006:$AE$1006,0)))),"Fix")))</f>
        <v>0</v>
      </c>
      <c r="C444" s="3">
        <f>IF(OR(INDEX($P$2:$P$1001,MATCH(ROWS($O$2:O444),$O$2:$O$1001,0),1)&gt;=100000,INDEX($V$1005:$AE$1005,1,MATCH(COLUMNS($V$1006:W1006),$V$1006:$AE$1006,0))&gt;=100000), " ",IF(INDEX($V$2:$AE$1001,MATCH(ROWS($O$2:O444),$O$2:$O$1001,0),MATCH(COLUMNS($V$1006:W1006),$V$1006:$AE$1006,0)), HYPERLINK("#",""), HYPERLINK(CONCATENATE("#Metadata!", ADDRESS(INDEX($Q$2:$Q$1001,MATCH(ROWS($O$2:O444),$O$2:$O$1001,0),0), INDEX($V$1004:$AE$1004,1,MATCH(COLUMNS($V$1006:W1006),$V$1006:$AE$1006,0)))),"Fix")))</f>
        <v>0</v>
      </c>
      <c r="D444" s="3">
        <f>IF(OR(INDEX($P$2:$P$1001,MATCH(ROWS($O$2:O444),$O$2:$O$1001,0),1)&gt;=100000,INDEX($V$1005:$AE$1005,1,MATCH(COLUMNS($V$1006:X1006),$V$1006:$AE$1006,0))&gt;=100000), " ",IF(INDEX($V$2:$AE$1001,MATCH(ROWS($O$2:O444),$O$2:$O$1001,0),MATCH(COLUMNS($V$1006:X1006),$V$1006:$AE$1006,0)), HYPERLINK("#",""), HYPERLINK(CONCATENATE("#Metadata!", ADDRESS(INDEX($Q$2:$Q$1001,MATCH(ROWS($O$2:O444),$O$2:$O$1001,0),0), INDEX($V$1004:$AE$1004,1,MATCH(COLUMNS($V$1006:X1006),$V$1006:$AE$1006,0)))),"Fix")))</f>
        <v>0</v>
      </c>
      <c r="E444" s="3">
        <f>IF(OR(INDEX($P$2:$P$1001,MATCH(ROWS($O$2:O444),$O$2:$O$1001,0),1)&gt;=100000,INDEX($V$1005:$AE$1005,1,MATCH(COLUMNS($V$1006:Y1006),$V$1006:$AE$1006,0))&gt;=100000), " ",IF(INDEX($V$2:$AE$1001,MATCH(ROWS($O$2:O444),$O$2:$O$1001,0),MATCH(COLUMNS($V$1006:Y1006),$V$1006:$AE$1006,0)), HYPERLINK("#",""), HYPERLINK(CONCATENATE("#Metadata!", ADDRESS(INDEX($Q$2:$Q$1001,MATCH(ROWS($O$2:O444),$O$2:$O$1001,0),0), INDEX($V$1004:$AE$1004,1,MATCH(COLUMNS($V$1006:Y1006),$V$1006:$AE$1006,0)))),"Fix")))</f>
        <v>0</v>
      </c>
      <c r="F444" s="3">
        <f>IF(OR(INDEX($P$2:$P$1001,MATCH(ROWS($O$2:O444),$O$2:$O$1001,0),1)&gt;=100000,INDEX($V$1005:$AE$1005,1,MATCH(COLUMNS($V$1006:Z1006),$V$1006:$AE$1006,0))&gt;=100000), " ",IF(INDEX($V$2:$AE$1001,MATCH(ROWS($O$2:O444),$O$2:$O$1001,0),MATCH(COLUMNS($V$1006:Z1006),$V$1006:$AE$1006,0)), HYPERLINK("#",""), HYPERLINK(CONCATENATE("#Metadata!", ADDRESS(INDEX($Q$2:$Q$1001,MATCH(ROWS($O$2:O444),$O$2:$O$1001,0),0), INDEX($V$1004:$AE$1004,1,MATCH(COLUMNS($V$1006:Z1006),$V$1006:$AE$1006,0)))),"Fix")))</f>
        <v>0</v>
      </c>
      <c r="G444" s="3">
        <f>IF(OR(INDEX($P$2:$P$1001,MATCH(ROWS($O$2:O444),$O$2:$O$1001,0),1)&gt;=100000,INDEX($V$1005:$AE$1005,1,MATCH(COLUMNS($V$1006:AA1006),$V$1006:$AE$1006,0))&gt;=100000), " ",IF(INDEX($V$2:$AE$1001,MATCH(ROWS($O$2:O444),$O$2:$O$1001,0),MATCH(COLUMNS($V$1006:AA1006),$V$1006:$AE$1006,0)), HYPERLINK("#",""), HYPERLINK(CONCATENATE("#Metadata!", ADDRESS(INDEX($Q$2:$Q$1001,MATCH(ROWS($O$2:O444),$O$2:$O$1001,0),0), INDEX($V$1004:$AE$1004,1,MATCH(COLUMNS($V$1006:AA1006),$V$1006:$AE$1006,0)))),"Fix")))</f>
        <v>0</v>
      </c>
      <c r="H444" s="3">
        <f>IF(OR(INDEX($P$2:$P$1001,MATCH(ROWS($O$2:O444),$O$2:$O$1001,0),1)&gt;=100000,INDEX($V$1005:$AE$1005,1,MATCH(COLUMNS($V$1006:AB1006),$V$1006:$AE$1006,0))&gt;=100000), " ",IF(INDEX($V$2:$AE$1001,MATCH(ROWS($O$2:O444),$O$2:$O$1001,0),MATCH(COLUMNS($V$1006:AB1006),$V$1006:$AE$1006,0)), HYPERLINK("#",""), HYPERLINK(CONCATENATE("#Metadata!", ADDRESS(INDEX($Q$2:$Q$1001,MATCH(ROWS($O$2:O444),$O$2:$O$1001,0),0), INDEX($V$1004:$AE$1004,1,MATCH(COLUMNS($V$1006:AB1006),$V$1006:$AE$1006,0)))),"Fix")))</f>
        <v>0</v>
      </c>
      <c r="I444" s="3">
        <f>IF(OR(INDEX($P$2:$P$1001,MATCH(ROWS($O$2:O444),$O$2:$O$1001,0),1)&gt;=100000,INDEX($V$1005:$AE$1005,1,MATCH(COLUMNS($V$1006:AC1006),$V$1006:$AE$1006,0))&gt;=100000), " ",IF(INDEX($V$2:$AE$1001,MATCH(ROWS($O$2:O444),$O$2:$O$1001,0),MATCH(COLUMNS($V$1006:AC1006),$V$1006:$AE$1006,0)), HYPERLINK("#",""), HYPERLINK(CONCATENATE("#Metadata!", ADDRESS(INDEX($Q$2:$Q$1001,MATCH(ROWS($O$2:O444),$O$2:$O$1001,0),0), INDEX($V$1004:$AE$1004,1,MATCH(COLUMNS($V$1006:AC1006),$V$1006:$AE$1006,0)))),"Fix")))</f>
        <v>0</v>
      </c>
      <c r="J444" s="3">
        <f>IF(OR(INDEX($P$2:$P$1001,MATCH(ROWS($O$2:O444),$O$2:$O$1001,0),1)&gt;=100000,INDEX($V$1005:$AE$1005,1,MATCH(COLUMNS($V$1006:AD1006),$V$1006:$AE$1006,0))&gt;=100000), " ",IF(INDEX($V$2:$AE$1001,MATCH(ROWS($O$2:O444),$O$2:$O$1001,0),MATCH(COLUMNS($V$1006:AD1006),$V$1006:$AE$1006,0)), HYPERLINK("#",""), HYPERLINK(CONCATENATE("#Metadata!", ADDRESS(INDEX($Q$2:$Q$1001,MATCH(ROWS($O$2:O444),$O$2:$O$1001,0),0), INDEX($V$1004:$AE$1004,1,MATCH(COLUMNS($V$1006:AD1006),$V$1006:$AE$1006,0)))),"Fix")))</f>
        <v>0</v>
      </c>
      <c r="K444" s="3">
        <f>IF(OR(INDEX($P$2:$P$1001,MATCH(ROWS($O$2:O444),$O$2:$O$1001,0),1)&gt;=100000,INDEX($V$1005:$AE$1005,1,MATCH(COLUMNS($V$1006:AE1006),$V$1006:$AE$1006,0))&gt;=100000), " ",IF(INDEX($V$2:$AE$1001,MATCH(ROWS($O$2:O444),$O$2:$O$1001,0),MATCH(COLUMNS($V$1006:AE1006),$V$1006:$AE$1006,0)), HYPERLINK("#",""), HYPERLINK(CONCATENATE("#Metadata!", ADDRESS(INDEX($Q$2:$Q$1001,MATCH(ROWS($O$2:O444),$O$2:$O$1001,0),0), INDEX($V$1004:$AE$1004,1,MATCH(COLUMNS($V$1006:AE1006),$V$1006:$AE$1006,0)))),"Fix")))</f>
        <v>0</v>
      </c>
      <c r="O444">
        <v>0</v>
      </c>
      <c r="P444">
        <v>0</v>
      </c>
      <c r="Q444">
        <v>0</v>
      </c>
      <c r="R444">
        <f>IF(S444,TRUE,AND(V444:AE444))</f>
        <v>0</v>
      </c>
      <c r="S444">
        <f>COUNTBLANK(Metadata!B444:K444)=COLUMNS(Metadata!B444:K444)</f>
        <v>0</v>
      </c>
      <c r="T444">
        <v>0</v>
      </c>
      <c r="V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W444">
        <f>AND(IF(Metadata!C444="",FALSE,TRUE),exact(Metadata!C444,"animal secretion"))</f>
        <v>0</v>
      </c>
      <c r="X444">
        <f>AND(IF(Metadata!D444="",FALSE,TRUE),exact(Metadata!D444,"saliva"))</f>
        <v>0</v>
      </c>
      <c r="Y444">
        <f>AND(IF(Metadata!E444="",FALSE,TRUE),exact(Metadata!E444,"human-oral"))</f>
        <v>0</v>
      </c>
      <c r="Z444">
        <f>AND(IF(Metadata!F444="",FALSE,TRUE),exact(Metadata!F444,"UBERON:oral cavity"))</f>
        <v>0</v>
      </c>
      <c r="AA444">
        <f>AND(IF(Metadata!G444="",FALSE,TRUE),exact(Metadata!G444,"UBERON:saliva"))</f>
        <v>0</v>
      </c>
      <c r="AB444">
        <f>AND(IF(Metadata!H444="",FALSE,TRUE),exact(Metadata!H444,"UBERON:tongue"))</f>
        <v>0</v>
      </c>
      <c r="AC444">
        <f>AND(IF(Metadata!I444="",FALSE,TRUE),exact(Metadata!I444,"tongue"))</f>
        <v>0</v>
      </c>
      <c r="AD444">
        <f>AND(IF(Metadata!J444="",FALSE,TRUE),exact(Metadata!J444,"human oral metagenome"))</f>
        <v>0</v>
      </c>
      <c r="AE444">
        <f>AND(IF(Metadata!K444="",FALSE,TRUE),exact(Metadata!K444,"447426"))</f>
        <v>0</v>
      </c>
    </row>
    <row r="445" spans="1:31">
      <c r="A445" s="4">
        <f>IF(B445=" "," ",HYPERLINK(CONCATENATE("#metadata!",ADDRESS(INDEX($Q$2:$Q$1001,MATCH(ROWS($O$2:O445),$O$2:$O$1001,0),0),1)),INDEX($T$2:$T$1001,MATCH(ROWS($O$2:O445),$O$2:$O$1001,0),0)))</f>
        <v>0</v>
      </c>
      <c r="B445" s="3">
        <f>IF(OR(INDEX($P$2:$P$1001,MATCH(ROWS($O$2:O445),$O$2:$O$1001,0),1)&gt;=100000,INDEX($V$1005:$AE$1005,1,MATCH(COLUMNS($V$1006:V1006),$V$1006:$AE$1006,0))&gt;=100000), " ",IF(INDEX($V$2:$AE$1001,MATCH(ROWS($O$2:O445),$O$2:$O$1001,0),MATCH(COLUMNS($V$1006:V1006),$V$1006:$AE$1006,0)), HYPERLINK("#",""), HYPERLINK(CONCATENATE("#Metadata!", ADDRESS(INDEX($Q$2:$Q$1001,MATCH(ROWS($O$2:O445),$O$2:$O$1001,0),0), INDEX($V$1004:$AE$1004,1,MATCH(COLUMNS($V$1006:V1006),$V$1006:$AE$1006,0)))),"Fix")))</f>
        <v>0</v>
      </c>
      <c r="C445" s="3">
        <f>IF(OR(INDEX($P$2:$P$1001,MATCH(ROWS($O$2:O445),$O$2:$O$1001,0),1)&gt;=100000,INDEX($V$1005:$AE$1005,1,MATCH(COLUMNS($V$1006:W1006),$V$1006:$AE$1006,0))&gt;=100000), " ",IF(INDEX($V$2:$AE$1001,MATCH(ROWS($O$2:O445),$O$2:$O$1001,0),MATCH(COLUMNS($V$1006:W1006),$V$1006:$AE$1006,0)), HYPERLINK("#",""), HYPERLINK(CONCATENATE("#Metadata!", ADDRESS(INDEX($Q$2:$Q$1001,MATCH(ROWS($O$2:O445),$O$2:$O$1001,0),0), INDEX($V$1004:$AE$1004,1,MATCH(COLUMNS($V$1006:W1006),$V$1006:$AE$1006,0)))),"Fix")))</f>
        <v>0</v>
      </c>
      <c r="D445" s="3">
        <f>IF(OR(INDEX($P$2:$P$1001,MATCH(ROWS($O$2:O445),$O$2:$O$1001,0),1)&gt;=100000,INDEX($V$1005:$AE$1005,1,MATCH(COLUMNS($V$1006:X1006),$V$1006:$AE$1006,0))&gt;=100000), " ",IF(INDEX($V$2:$AE$1001,MATCH(ROWS($O$2:O445),$O$2:$O$1001,0),MATCH(COLUMNS($V$1006:X1006),$V$1006:$AE$1006,0)), HYPERLINK("#",""), HYPERLINK(CONCATENATE("#Metadata!", ADDRESS(INDEX($Q$2:$Q$1001,MATCH(ROWS($O$2:O445),$O$2:$O$1001,0),0), INDEX($V$1004:$AE$1004,1,MATCH(COLUMNS($V$1006:X1006),$V$1006:$AE$1006,0)))),"Fix")))</f>
        <v>0</v>
      </c>
      <c r="E445" s="3">
        <f>IF(OR(INDEX($P$2:$P$1001,MATCH(ROWS($O$2:O445),$O$2:$O$1001,0),1)&gt;=100000,INDEX($V$1005:$AE$1005,1,MATCH(COLUMNS($V$1006:Y1006),$V$1006:$AE$1006,0))&gt;=100000), " ",IF(INDEX($V$2:$AE$1001,MATCH(ROWS($O$2:O445),$O$2:$O$1001,0),MATCH(COLUMNS($V$1006:Y1006),$V$1006:$AE$1006,0)), HYPERLINK("#",""), HYPERLINK(CONCATENATE("#Metadata!", ADDRESS(INDEX($Q$2:$Q$1001,MATCH(ROWS($O$2:O445),$O$2:$O$1001,0),0), INDEX($V$1004:$AE$1004,1,MATCH(COLUMNS($V$1006:Y1006),$V$1006:$AE$1006,0)))),"Fix")))</f>
        <v>0</v>
      </c>
      <c r="F445" s="3">
        <f>IF(OR(INDEX($P$2:$P$1001,MATCH(ROWS($O$2:O445),$O$2:$O$1001,0),1)&gt;=100000,INDEX($V$1005:$AE$1005,1,MATCH(COLUMNS($V$1006:Z1006),$V$1006:$AE$1006,0))&gt;=100000), " ",IF(INDEX($V$2:$AE$1001,MATCH(ROWS($O$2:O445),$O$2:$O$1001,0),MATCH(COLUMNS($V$1006:Z1006),$V$1006:$AE$1006,0)), HYPERLINK("#",""), HYPERLINK(CONCATENATE("#Metadata!", ADDRESS(INDEX($Q$2:$Q$1001,MATCH(ROWS($O$2:O445),$O$2:$O$1001,0),0), INDEX($V$1004:$AE$1004,1,MATCH(COLUMNS($V$1006:Z1006),$V$1006:$AE$1006,0)))),"Fix")))</f>
        <v>0</v>
      </c>
      <c r="G445" s="3">
        <f>IF(OR(INDEX($P$2:$P$1001,MATCH(ROWS($O$2:O445),$O$2:$O$1001,0),1)&gt;=100000,INDEX($V$1005:$AE$1005,1,MATCH(COLUMNS($V$1006:AA1006),$V$1006:$AE$1006,0))&gt;=100000), " ",IF(INDEX($V$2:$AE$1001,MATCH(ROWS($O$2:O445),$O$2:$O$1001,0),MATCH(COLUMNS($V$1006:AA1006),$V$1006:$AE$1006,0)), HYPERLINK("#",""), HYPERLINK(CONCATENATE("#Metadata!", ADDRESS(INDEX($Q$2:$Q$1001,MATCH(ROWS($O$2:O445),$O$2:$O$1001,0),0), INDEX($V$1004:$AE$1004,1,MATCH(COLUMNS($V$1006:AA1006),$V$1006:$AE$1006,0)))),"Fix")))</f>
        <v>0</v>
      </c>
      <c r="H445" s="3">
        <f>IF(OR(INDEX($P$2:$P$1001,MATCH(ROWS($O$2:O445),$O$2:$O$1001,0),1)&gt;=100000,INDEX($V$1005:$AE$1005,1,MATCH(COLUMNS($V$1006:AB1006),$V$1006:$AE$1006,0))&gt;=100000), " ",IF(INDEX($V$2:$AE$1001,MATCH(ROWS($O$2:O445),$O$2:$O$1001,0),MATCH(COLUMNS($V$1006:AB1006),$V$1006:$AE$1006,0)), HYPERLINK("#",""), HYPERLINK(CONCATENATE("#Metadata!", ADDRESS(INDEX($Q$2:$Q$1001,MATCH(ROWS($O$2:O445),$O$2:$O$1001,0),0), INDEX($V$1004:$AE$1004,1,MATCH(COLUMNS($V$1006:AB1006),$V$1006:$AE$1006,0)))),"Fix")))</f>
        <v>0</v>
      </c>
      <c r="I445" s="3">
        <f>IF(OR(INDEX($P$2:$P$1001,MATCH(ROWS($O$2:O445),$O$2:$O$1001,0),1)&gt;=100000,INDEX($V$1005:$AE$1005,1,MATCH(COLUMNS($V$1006:AC1006),$V$1006:$AE$1006,0))&gt;=100000), " ",IF(INDEX($V$2:$AE$1001,MATCH(ROWS($O$2:O445),$O$2:$O$1001,0),MATCH(COLUMNS($V$1006:AC1006),$V$1006:$AE$1006,0)), HYPERLINK("#",""), HYPERLINK(CONCATENATE("#Metadata!", ADDRESS(INDEX($Q$2:$Q$1001,MATCH(ROWS($O$2:O445),$O$2:$O$1001,0),0), INDEX($V$1004:$AE$1004,1,MATCH(COLUMNS($V$1006:AC1006),$V$1006:$AE$1006,0)))),"Fix")))</f>
        <v>0</v>
      </c>
      <c r="J445" s="3">
        <f>IF(OR(INDEX($P$2:$P$1001,MATCH(ROWS($O$2:O445),$O$2:$O$1001,0),1)&gt;=100000,INDEX($V$1005:$AE$1005,1,MATCH(COLUMNS($V$1006:AD1006),$V$1006:$AE$1006,0))&gt;=100000), " ",IF(INDEX($V$2:$AE$1001,MATCH(ROWS($O$2:O445),$O$2:$O$1001,0),MATCH(COLUMNS($V$1006:AD1006),$V$1006:$AE$1006,0)), HYPERLINK("#",""), HYPERLINK(CONCATENATE("#Metadata!", ADDRESS(INDEX($Q$2:$Q$1001,MATCH(ROWS($O$2:O445),$O$2:$O$1001,0),0), INDEX($V$1004:$AE$1004,1,MATCH(COLUMNS($V$1006:AD1006),$V$1006:$AE$1006,0)))),"Fix")))</f>
        <v>0</v>
      </c>
      <c r="K445" s="3">
        <f>IF(OR(INDEX($P$2:$P$1001,MATCH(ROWS($O$2:O445),$O$2:$O$1001,0),1)&gt;=100000,INDEX($V$1005:$AE$1005,1,MATCH(COLUMNS($V$1006:AE1006),$V$1006:$AE$1006,0))&gt;=100000), " ",IF(INDEX($V$2:$AE$1001,MATCH(ROWS($O$2:O445),$O$2:$O$1001,0),MATCH(COLUMNS($V$1006:AE1006),$V$1006:$AE$1006,0)), HYPERLINK("#",""), HYPERLINK(CONCATENATE("#Metadata!", ADDRESS(INDEX($Q$2:$Q$1001,MATCH(ROWS($O$2:O445),$O$2:$O$1001,0),0), INDEX($V$1004:$AE$1004,1,MATCH(COLUMNS($V$1006:AE1006),$V$1006:$AE$1006,0)))),"Fix")))</f>
        <v>0</v>
      </c>
      <c r="O445">
        <v>0</v>
      </c>
      <c r="P445">
        <v>0</v>
      </c>
      <c r="Q445">
        <v>0</v>
      </c>
      <c r="R445">
        <f>IF(S445,TRUE,AND(V445:AE445))</f>
        <v>0</v>
      </c>
      <c r="S445">
        <f>COUNTBLANK(Metadata!B445:K445)=COLUMNS(Metadata!B445:K445)</f>
        <v>0</v>
      </c>
      <c r="T445">
        <v>0</v>
      </c>
      <c r="V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W445">
        <f>AND(IF(Metadata!C445="",FALSE,TRUE),exact(Metadata!C445,"animal secretion"))</f>
        <v>0</v>
      </c>
      <c r="X445">
        <f>AND(IF(Metadata!D445="",FALSE,TRUE),exact(Metadata!D445,"saliva"))</f>
        <v>0</v>
      </c>
      <c r="Y445">
        <f>AND(IF(Metadata!E445="",FALSE,TRUE),exact(Metadata!E445,"human-oral"))</f>
        <v>0</v>
      </c>
      <c r="Z445">
        <f>AND(IF(Metadata!F445="",FALSE,TRUE),exact(Metadata!F445,"UBERON:oral cavity"))</f>
        <v>0</v>
      </c>
      <c r="AA445">
        <f>AND(IF(Metadata!G445="",FALSE,TRUE),exact(Metadata!G445,"UBERON:saliva"))</f>
        <v>0</v>
      </c>
      <c r="AB445">
        <f>AND(IF(Metadata!H445="",FALSE,TRUE),exact(Metadata!H445,"UBERON:tongue"))</f>
        <v>0</v>
      </c>
      <c r="AC445">
        <f>AND(IF(Metadata!I445="",FALSE,TRUE),exact(Metadata!I445,"tongue"))</f>
        <v>0</v>
      </c>
      <c r="AD445">
        <f>AND(IF(Metadata!J445="",FALSE,TRUE),exact(Metadata!J445,"human oral metagenome"))</f>
        <v>0</v>
      </c>
      <c r="AE445">
        <f>AND(IF(Metadata!K445="",FALSE,TRUE),exact(Metadata!K445,"447426"))</f>
        <v>0</v>
      </c>
    </row>
    <row r="446" spans="1:31">
      <c r="A446" s="4">
        <f>IF(B446=" "," ",HYPERLINK(CONCATENATE("#metadata!",ADDRESS(INDEX($Q$2:$Q$1001,MATCH(ROWS($O$2:O446),$O$2:$O$1001,0),0),1)),INDEX($T$2:$T$1001,MATCH(ROWS($O$2:O446),$O$2:$O$1001,0),0)))</f>
        <v>0</v>
      </c>
      <c r="B446" s="3">
        <f>IF(OR(INDEX($P$2:$P$1001,MATCH(ROWS($O$2:O446),$O$2:$O$1001,0),1)&gt;=100000,INDEX($V$1005:$AE$1005,1,MATCH(COLUMNS($V$1006:V1006),$V$1006:$AE$1006,0))&gt;=100000), " ",IF(INDEX($V$2:$AE$1001,MATCH(ROWS($O$2:O446),$O$2:$O$1001,0),MATCH(COLUMNS($V$1006:V1006),$V$1006:$AE$1006,0)), HYPERLINK("#",""), HYPERLINK(CONCATENATE("#Metadata!", ADDRESS(INDEX($Q$2:$Q$1001,MATCH(ROWS($O$2:O446),$O$2:$O$1001,0),0), INDEX($V$1004:$AE$1004,1,MATCH(COLUMNS($V$1006:V1006),$V$1006:$AE$1006,0)))),"Fix")))</f>
        <v>0</v>
      </c>
      <c r="C446" s="3">
        <f>IF(OR(INDEX($P$2:$P$1001,MATCH(ROWS($O$2:O446),$O$2:$O$1001,0),1)&gt;=100000,INDEX($V$1005:$AE$1005,1,MATCH(COLUMNS($V$1006:W1006),$V$1006:$AE$1006,0))&gt;=100000), " ",IF(INDEX($V$2:$AE$1001,MATCH(ROWS($O$2:O446),$O$2:$O$1001,0),MATCH(COLUMNS($V$1006:W1006),$V$1006:$AE$1006,0)), HYPERLINK("#",""), HYPERLINK(CONCATENATE("#Metadata!", ADDRESS(INDEX($Q$2:$Q$1001,MATCH(ROWS($O$2:O446),$O$2:$O$1001,0),0), INDEX($V$1004:$AE$1004,1,MATCH(COLUMNS($V$1006:W1006),$V$1006:$AE$1006,0)))),"Fix")))</f>
        <v>0</v>
      </c>
      <c r="D446" s="3">
        <f>IF(OR(INDEX($P$2:$P$1001,MATCH(ROWS($O$2:O446),$O$2:$O$1001,0),1)&gt;=100000,INDEX($V$1005:$AE$1005,1,MATCH(COLUMNS($V$1006:X1006),$V$1006:$AE$1006,0))&gt;=100000), " ",IF(INDEX($V$2:$AE$1001,MATCH(ROWS($O$2:O446),$O$2:$O$1001,0),MATCH(COLUMNS($V$1006:X1006),$V$1006:$AE$1006,0)), HYPERLINK("#",""), HYPERLINK(CONCATENATE("#Metadata!", ADDRESS(INDEX($Q$2:$Q$1001,MATCH(ROWS($O$2:O446),$O$2:$O$1001,0),0), INDEX($V$1004:$AE$1004,1,MATCH(COLUMNS($V$1006:X1006),$V$1006:$AE$1006,0)))),"Fix")))</f>
        <v>0</v>
      </c>
      <c r="E446" s="3">
        <f>IF(OR(INDEX($P$2:$P$1001,MATCH(ROWS($O$2:O446),$O$2:$O$1001,0),1)&gt;=100000,INDEX($V$1005:$AE$1005,1,MATCH(COLUMNS($V$1006:Y1006),$V$1006:$AE$1006,0))&gt;=100000), " ",IF(INDEX($V$2:$AE$1001,MATCH(ROWS($O$2:O446),$O$2:$O$1001,0),MATCH(COLUMNS($V$1006:Y1006),$V$1006:$AE$1006,0)), HYPERLINK("#",""), HYPERLINK(CONCATENATE("#Metadata!", ADDRESS(INDEX($Q$2:$Q$1001,MATCH(ROWS($O$2:O446),$O$2:$O$1001,0),0), INDEX($V$1004:$AE$1004,1,MATCH(COLUMNS($V$1006:Y1006),$V$1006:$AE$1006,0)))),"Fix")))</f>
        <v>0</v>
      </c>
      <c r="F446" s="3">
        <f>IF(OR(INDEX($P$2:$P$1001,MATCH(ROWS($O$2:O446),$O$2:$O$1001,0),1)&gt;=100000,INDEX($V$1005:$AE$1005,1,MATCH(COLUMNS($V$1006:Z1006),$V$1006:$AE$1006,0))&gt;=100000), " ",IF(INDEX($V$2:$AE$1001,MATCH(ROWS($O$2:O446),$O$2:$O$1001,0),MATCH(COLUMNS($V$1006:Z1006),$V$1006:$AE$1006,0)), HYPERLINK("#",""), HYPERLINK(CONCATENATE("#Metadata!", ADDRESS(INDEX($Q$2:$Q$1001,MATCH(ROWS($O$2:O446),$O$2:$O$1001,0),0), INDEX($V$1004:$AE$1004,1,MATCH(COLUMNS($V$1006:Z1006),$V$1006:$AE$1006,0)))),"Fix")))</f>
        <v>0</v>
      </c>
      <c r="G446" s="3">
        <f>IF(OR(INDEX($P$2:$P$1001,MATCH(ROWS($O$2:O446),$O$2:$O$1001,0),1)&gt;=100000,INDEX($V$1005:$AE$1005,1,MATCH(COLUMNS($V$1006:AA1006),$V$1006:$AE$1006,0))&gt;=100000), " ",IF(INDEX($V$2:$AE$1001,MATCH(ROWS($O$2:O446),$O$2:$O$1001,0),MATCH(COLUMNS($V$1006:AA1006),$V$1006:$AE$1006,0)), HYPERLINK("#",""), HYPERLINK(CONCATENATE("#Metadata!", ADDRESS(INDEX($Q$2:$Q$1001,MATCH(ROWS($O$2:O446),$O$2:$O$1001,0),0), INDEX($V$1004:$AE$1004,1,MATCH(COLUMNS($V$1006:AA1006),$V$1006:$AE$1006,0)))),"Fix")))</f>
        <v>0</v>
      </c>
      <c r="H446" s="3">
        <f>IF(OR(INDEX($P$2:$P$1001,MATCH(ROWS($O$2:O446),$O$2:$O$1001,0),1)&gt;=100000,INDEX($V$1005:$AE$1005,1,MATCH(COLUMNS($V$1006:AB1006),$V$1006:$AE$1006,0))&gt;=100000), " ",IF(INDEX($V$2:$AE$1001,MATCH(ROWS($O$2:O446),$O$2:$O$1001,0),MATCH(COLUMNS($V$1006:AB1006),$V$1006:$AE$1006,0)), HYPERLINK("#",""), HYPERLINK(CONCATENATE("#Metadata!", ADDRESS(INDEX($Q$2:$Q$1001,MATCH(ROWS($O$2:O446),$O$2:$O$1001,0),0), INDEX($V$1004:$AE$1004,1,MATCH(COLUMNS($V$1006:AB1006),$V$1006:$AE$1006,0)))),"Fix")))</f>
        <v>0</v>
      </c>
      <c r="I446" s="3">
        <f>IF(OR(INDEX($P$2:$P$1001,MATCH(ROWS($O$2:O446),$O$2:$O$1001,0),1)&gt;=100000,INDEX($V$1005:$AE$1005,1,MATCH(COLUMNS($V$1006:AC1006),$V$1006:$AE$1006,0))&gt;=100000), " ",IF(INDEX($V$2:$AE$1001,MATCH(ROWS($O$2:O446),$O$2:$O$1001,0),MATCH(COLUMNS($V$1006:AC1006),$V$1006:$AE$1006,0)), HYPERLINK("#",""), HYPERLINK(CONCATENATE("#Metadata!", ADDRESS(INDEX($Q$2:$Q$1001,MATCH(ROWS($O$2:O446),$O$2:$O$1001,0),0), INDEX($V$1004:$AE$1004,1,MATCH(COLUMNS($V$1006:AC1006),$V$1006:$AE$1006,0)))),"Fix")))</f>
        <v>0</v>
      </c>
      <c r="J446" s="3">
        <f>IF(OR(INDEX($P$2:$P$1001,MATCH(ROWS($O$2:O446),$O$2:$O$1001,0),1)&gt;=100000,INDEX($V$1005:$AE$1005,1,MATCH(COLUMNS($V$1006:AD1006),$V$1006:$AE$1006,0))&gt;=100000), " ",IF(INDEX($V$2:$AE$1001,MATCH(ROWS($O$2:O446),$O$2:$O$1001,0),MATCH(COLUMNS($V$1006:AD1006),$V$1006:$AE$1006,0)), HYPERLINK("#",""), HYPERLINK(CONCATENATE("#Metadata!", ADDRESS(INDEX($Q$2:$Q$1001,MATCH(ROWS($O$2:O446),$O$2:$O$1001,0),0), INDEX($V$1004:$AE$1004,1,MATCH(COLUMNS($V$1006:AD1006),$V$1006:$AE$1006,0)))),"Fix")))</f>
        <v>0</v>
      </c>
      <c r="K446" s="3">
        <f>IF(OR(INDEX($P$2:$P$1001,MATCH(ROWS($O$2:O446),$O$2:$O$1001,0),1)&gt;=100000,INDEX($V$1005:$AE$1005,1,MATCH(COLUMNS($V$1006:AE1006),$V$1006:$AE$1006,0))&gt;=100000), " ",IF(INDEX($V$2:$AE$1001,MATCH(ROWS($O$2:O446),$O$2:$O$1001,0),MATCH(COLUMNS($V$1006:AE1006),$V$1006:$AE$1006,0)), HYPERLINK("#",""), HYPERLINK(CONCATENATE("#Metadata!", ADDRESS(INDEX($Q$2:$Q$1001,MATCH(ROWS($O$2:O446),$O$2:$O$1001,0),0), INDEX($V$1004:$AE$1004,1,MATCH(COLUMNS($V$1006:AE1006),$V$1006:$AE$1006,0)))),"Fix")))</f>
        <v>0</v>
      </c>
      <c r="O446">
        <v>0</v>
      </c>
      <c r="P446">
        <v>0</v>
      </c>
      <c r="Q446">
        <v>0</v>
      </c>
      <c r="R446">
        <f>IF(S446,TRUE,AND(V446:AE446))</f>
        <v>0</v>
      </c>
      <c r="S446">
        <f>COUNTBLANK(Metadata!B446:K446)=COLUMNS(Metadata!B446:K446)</f>
        <v>0</v>
      </c>
      <c r="T446">
        <v>0</v>
      </c>
      <c r="V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W446">
        <f>AND(IF(Metadata!C446="",FALSE,TRUE),exact(Metadata!C446,"animal secretion"))</f>
        <v>0</v>
      </c>
      <c r="X446">
        <f>AND(IF(Metadata!D446="",FALSE,TRUE),exact(Metadata!D446,"saliva"))</f>
        <v>0</v>
      </c>
      <c r="Y446">
        <f>AND(IF(Metadata!E446="",FALSE,TRUE),exact(Metadata!E446,"human-oral"))</f>
        <v>0</v>
      </c>
      <c r="Z446">
        <f>AND(IF(Metadata!F446="",FALSE,TRUE),exact(Metadata!F446,"UBERON:oral cavity"))</f>
        <v>0</v>
      </c>
      <c r="AA446">
        <f>AND(IF(Metadata!G446="",FALSE,TRUE),exact(Metadata!G446,"UBERON:saliva"))</f>
        <v>0</v>
      </c>
      <c r="AB446">
        <f>AND(IF(Metadata!H446="",FALSE,TRUE),exact(Metadata!H446,"UBERON:tongue"))</f>
        <v>0</v>
      </c>
      <c r="AC446">
        <f>AND(IF(Metadata!I446="",FALSE,TRUE),exact(Metadata!I446,"tongue"))</f>
        <v>0</v>
      </c>
      <c r="AD446">
        <f>AND(IF(Metadata!J446="",FALSE,TRUE),exact(Metadata!J446,"human oral metagenome"))</f>
        <v>0</v>
      </c>
      <c r="AE446">
        <f>AND(IF(Metadata!K446="",FALSE,TRUE),exact(Metadata!K446,"447426"))</f>
        <v>0</v>
      </c>
    </row>
    <row r="447" spans="1:31">
      <c r="A447" s="4">
        <f>IF(B447=" "," ",HYPERLINK(CONCATENATE("#metadata!",ADDRESS(INDEX($Q$2:$Q$1001,MATCH(ROWS($O$2:O447),$O$2:$O$1001,0),0),1)),INDEX($T$2:$T$1001,MATCH(ROWS($O$2:O447),$O$2:$O$1001,0),0)))</f>
        <v>0</v>
      </c>
      <c r="B447" s="3">
        <f>IF(OR(INDEX($P$2:$P$1001,MATCH(ROWS($O$2:O447),$O$2:$O$1001,0),1)&gt;=100000,INDEX($V$1005:$AE$1005,1,MATCH(COLUMNS($V$1006:V1006),$V$1006:$AE$1006,0))&gt;=100000), " ",IF(INDEX($V$2:$AE$1001,MATCH(ROWS($O$2:O447),$O$2:$O$1001,0),MATCH(COLUMNS($V$1006:V1006),$V$1006:$AE$1006,0)), HYPERLINK("#",""), HYPERLINK(CONCATENATE("#Metadata!", ADDRESS(INDEX($Q$2:$Q$1001,MATCH(ROWS($O$2:O447),$O$2:$O$1001,0),0), INDEX($V$1004:$AE$1004,1,MATCH(COLUMNS($V$1006:V1006),$V$1006:$AE$1006,0)))),"Fix")))</f>
        <v>0</v>
      </c>
      <c r="C447" s="3">
        <f>IF(OR(INDEX($P$2:$P$1001,MATCH(ROWS($O$2:O447),$O$2:$O$1001,0),1)&gt;=100000,INDEX($V$1005:$AE$1005,1,MATCH(COLUMNS($V$1006:W1006),$V$1006:$AE$1006,0))&gt;=100000), " ",IF(INDEX($V$2:$AE$1001,MATCH(ROWS($O$2:O447),$O$2:$O$1001,0),MATCH(COLUMNS($V$1006:W1006),$V$1006:$AE$1006,0)), HYPERLINK("#",""), HYPERLINK(CONCATENATE("#Metadata!", ADDRESS(INDEX($Q$2:$Q$1001,MATCH(ROWS($O$2:O447),$O$2:$O$1001,0),0), INDEX($V$1004:$AE$1004,1,MATCH(COLUMNS($V$1006:W1006),$V$1006:$AE$1006,0)))),"Fix")))</f>
        <v>0</v>
      </c>
      <c r="D447" s="3">
        <f>IF(OR(INDEX($P$2:$P$1001,MATCH(ROWS($O$2:O447),$O$2:$O$1001,0),1)&gt;=100000,INDEX($V$1005:$AE$1005,1,MATCH(COLUMNS($V$1006:X1006),$V$1006:$AE$1006,0))&gt;=100000), " ",IF(INDEX($V$2:$AE$1001,MATCH(ROWS($O$2:O447),$O$2:$O$1001,0),MATCH(COLUMNS($V$1006:X1006),$V$1006:$AE$1006,0)), HYPERLINK("#",""), HYPERLINK(CONCATENATE("#Metadata!", ADDRESS(INDEX($Q$2:$Q$1001,MATCH(ROWS($O$2:O447),$O$2:$O$1001,0),0), INDEX($V$1004:$AE$1004,1,MATCH(COLUMNS($V$1006:X1006),$V$1006:$AE$1006,0)))),"Fix")))</f>
        <v>0</v>
      </c>
      <c r="E447" s="3">
        <f>IF(OR(INDEX($P$2:$P$1001,MATCH(ROWS($O$2:O447),$O$2:$O$1001,0),1)&gt;=100000,INDEX($V$1005:$AE$1005,1,MATCH(COLUMNS($V$1006:Y1006),$V$1006:$AE$1006,0))&gt;=100000), " ",IF(INDEX($V$2:$AE$1001,MATCH(ROWS($O$2:O447),$O$2:$O$1001,0),MATCH(COLUMNS($V$1006:Y1006),$V$1006:$AE$1006,0)), HYPERLINK("#",""), HYPERLINK(CONCATENATE("#Metadata!", ADDRESS(INDEX($Q$2:$Q$1001,MATCH(ROWS($O$2:O447),$O$2:$O$1001,0),0), INDEX($V$1004:$AE$1004,1,MATCH(COLUMNS($V$1006:Y1006),$V$1006:$AE$1006,0)))),"Fix")))</f>
        <v>0</v>
      </c>
      <c r="F447" s="3">
        <f>IF(OR(INDEX($P$2:$P$1001,MATCH(ROWS($O$2:O447),$O$2:$O$1001,0),1)&gt;=100000,INDEX($V$1005:$AE$1005,1,MATCH(COLUMNS($V$1006:Z1006),$V$1006:$AE$1006,0))&gt;=100000), " ",IF(INDEX($V$2:$AE$1001,MATCH(ROWS($O$2:O447),$O$2:$O$1001,0),MATCH(COLUMNS($V$1006:Z1006),$V$1006:$AE$1006,0)), HYPERLINK("#",""), HYPERLINK(CONCATENATE("#Metadata!", ADDRESS(INDEX($Q$2:$Q$1001,MATCH(ROWS($O$2:O447),$O$2:$O$1001,0),0), INDEX($V$1004:$AE$1004,1,MATCH(COLUMNS($V$1006:Z1006),$V$1006:$AE$1006,0)))),"Fix")))</f>
        <v>0</v>
      </c>
      <c r="G447" s="3">
        <f>IF(OR(INDEX($P$2:$P$1001,MATCH(ROWS($O$2:O447),$O$2:$O$1001,0),1)&gt;=100000,INDEX($V$1005:$AE$1005,1,MATCH(COLUMNS($V$1006:AA1006),$V$1006:$AE$1006,0))&gt;=100000), " ",IF(INDEX($V$2:$AE$1001,MATCH(ROWS($O$2:O447),$O$2:$O$1001,0),MATCH(COLUMNS($V$1006:AA1006),$V$1006:$AE$1006,0)), HYPERLINK("#",""), HYPERLINK(CONCATENATE("#Metadata!", ADDRESS(INDEX($Q$2:$Q$1001,MATCH(ROWS($O$2:O447),$O$2:$O$1001,0),0), INDEX($V$1004:$AE$1004,1,MATCH(COLUMNS($V$1006:AA1006),$V$1006:$AE$1006,0)))),"Fix")))</f>
        <v>0</v>
      </c>
      <c r="H447" s="3">
        <f>IF(OR(INDEX($P$2:$P$1001,MATCH(ROWS($O$2:O447),$O$2:$O$1001,0),1)&gt;=100000,INDEX($V$1005:$AE$1005,1,MATCH(COLUMNS($V$1006:AB1006),$V$1006:$AE$1006,0))&gt;=100000), " ",IF(INDEX($V$2:$AE$1001,MATCH(ROWS($O$2:O447),$O$2:$O$1001,0),MATCH(COLUMNS($V$1006:AB1006),$V$1006:$AE$1006,0)), HYPERLINK("#",""), HYPERLINK(CONCATENATE("#Metadata!", ADDRESS(INDEX($Q$2:$Q$1001,MATCH(ROWS($O$2:O447),$O$2:$O$1001,0),0), INDEX($V$1004:$AE$1004,1,MATCH(COLUMNS($V$1006:AB1006),$V$1006:$AE$1006,0)))),"Fix")))</f>
        <v>0</v>
      </c>
      <c r="I447" s="3">
        <f>IF(OR(INDEX($P$2:$P$1001,MATCH(ROWS($O$2:O447),$O$2:$O$1001,0),1)&gt;=100000,INDEX($V$1005:$AE$1005,1,MATCH(COLUMNS($V$1006:AC1006),$V$1006:$AE$1006,0))&gt;=100000), " ",IF(INDEX($V$2:$AE$1001,MATCH(ROWS($O$2:O447),$O$2:$O$1001,0),MATCH(COLUMNS($V$1006:AC1006),$V$1006:$AE$1006,0)), HYPERLINK("#",""), HYPERLINK(CONCATENATE("#Metadata!", ADDRESS(INDEX($Q$2:$Q$1001,MATCH(ROWS($O$2:O447),$O$2:$O$1001,0),0), INDEX($V$1004:$AE$1004,1,MATCH(COLUMNS($V$1006:AC1006),$V$1006:$AE$1006,0)))),"Fix")))</f>
        <v>0</v>
      </c>
      <c r="J447" s="3">
        <f>IF(OR(INDEX($P$2:$P$1001,MATCH(ROWS($O$2:O447),$O$2:$O$1001,0),1)&gt;=100000,INDEX($V$1005:$AE$1005,1,MATCH(COLUMNS($V$1006:AD1006),$V$1006:$AE$1006,0))&gt;=100000), " ",IF(INDEX($V$2:$AE$1001,MATCH(ROWS($O$2:O447),$O$2:$O$1001,0),MATCH(COLUMNS($V$1006:AD1006),$V$1006:$AE$1006,0)), HYPERLINK("#",""), HYPERLINK(CONCATENATE("#Metadata!", ADDRESS(INDEX($Q$2:$Q$1001,MATCH(ROWS($O$2:O447),$O$2:$O$1001,0),0), INDEX($V$1004:$AE$1004,1,MATCH(COLUMNS($V$1006:AD1006),$V$1006:$AE$1006,0)))),"Fix")))</f>
        <v>0</v>
      </c>
      <c r="K447" s="3">
        <f>IF(OR(INDEX($P$2:$P$1001,MATCH(ROWS($O$2:O447),$O$2:$O$1001,0),1)&gt;=100000,INDEX($V$1005:$AE$1005,1,MATCH(COLUMNS($V$1006:AE1006),$V$1006:$AE$1006,0))&gt;=100000), " ",IF(INDEX($V$2:$AE$1001,MATCH(ROWS($O$2:O447),$O$2:$O$1001,0),MATCH(COLUMNS($V$1006:AE1006),$V$1006:$AE$1006,0)), HYPERLINK("#",""), HYPERLINK(CONCATENATE("#Metadata!", ADDRESS(INDEX($Q$2:$Q$1001,MATCH(ROWS($O$2:O447),$O$2:$O$1001,0),0), INDEX($V$1004:$AE$1004,1,MATCH(COLUMNS($V$1006:AE1006),$V$1006:$AE$1006,0)))),"Fix")))</f>
        <v>0</v>
      </c>
      <c r="O447">
        <v>0</v>
      </c>
      <c r="P447">
        <v>0</v>
      </c>
      <c r="Q447">
        <v>0</v>
      </c>
      <c r="R447">
        <f>IF(S447,TRUE,AND(V447:AE447))</f>
        <v>0</v>
      </c>
      <c r="S447">
        <f>COUNTBLANK(Metadata!B447:K447)=COLUMNS(Metadata!B447:K447)</f>
        <v>0</v>
      </c>
      <c r="T447">
        <v>0</v>
      </c>
      <c r="V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W447">
        <f>AND(IF(Metadata!C447="",FALSE,TRUE),exact(Metadata!C447,"animal secretion"))</f>
        <v>0</v>
      </c>
      <c r="X447">
        <f>AND(IF(Metadata!D447="",FALSE,TRUE),exact(Metadata!D447,"saliva"))</f>
        <v>0</v>
      </c>
      <c r="Y447">
        <f>AND(IF(Metadata!E447="",FALSE,TRUE),exact(Metadata!E447,"human-oral"))</f>
        <v>0</v>
      </c>
      <c r="Z447">
        <f>AND(IF(Metadata!F447="",FALSE,TRUE),exact(Metadata!F447,"UBERON:oral cavity"))</f>
        <v>0</v>
      </c>
      <c r="AA447">
        <f>AND(IF(Metadata!G447="",FALSE,TRUE),exact(Metadata!G447,"UBERON:saliva"))</f>
        <v>0</v>
      </c>
      <c r="AB447">
        <f>AND(IF(Metadata!H447="",FALSE,TRUE),exact(Metadata!H447,"UBERON:tongue"))</f>
        <v>0</v>
      </c>
      <c r="AC447">
        <f>AND(IF(Metadata!I447="",FALSE,TRUE),exact(Metadata!I447,"tongue"))</f>
        <v>0</v>
      </c>
      <c r="AD447">
        <f>AND(IF(Metadata!J447="",FALSE,TRUE),exact(Metadata!J447,"human oral metagenome"))</f>
        <v>0</v>
      </c>
      <c r="AE447">
        <f>AND(IF(Metadata!K447="",FALSE,TRUE),exact(Metadata!K447,"447426"))</f>
        <v>0</v>
      </c>
    </row>
    <row r="448" spans="1:31">
      <c r="A448" s="4">
        <f>IF(B448=" "," ",HYPERLINK(CONCATENATE("#metadata!",ADDRESS(INDEX($Q$2:$Q$1001,MATCH(ROWS($O$2:O448),$O$2:$O$1001,0),0),1)),INDEX($T$2:$T$1001,MATCH(ROWS($O$2:O448),$O$2:$O$1001,0),0)))</f>
        <v>0</v>
      </c>
      <c r="B448" s="3">
        <f>IF(OR(INDEX($P$2:$P$1001,MATCH(ROWS($O$2:O448),$O$2:$O$1001,0),1)&gt;=100000,INDEX($V$1005:$AE$1005,1,MATCH(COLUMNS($V$1006:V1006),$V$1006:$AE$1006,0))&gt;=100000), " ",IF(INDEX($V$2:$AE$1001,MATCH(ROWS($O$2:O448),$O$2:$O$1001,0),MATCH(COLUMNS($V$1006:V1006),$V$1006:$AE$1006,0)), HYPERLINK("#",""), HYPERLINK(CONCATENATE("#Metadata!", ADDRESS(INDEX($Q$2:$Q$1001,MATCH(ROWS($O$2:O448),$O$2:$O$1001,0),0), INDEX($V$1004:$AE$1004,1,MATCH(COLUMNS($V$1006:V1006),$V$1006:$AE$1006,0)))),"Fix")))</f>
        <v>0</v>
      </c>
      <c r="C448" s="3">
        <f>IF(OR(INDEX($P$2:$P$1001,MATCH(ROWS($O$2:O448),$O$2:$O$1001,0),1)&gt;=100000,INDEX($V$1005:$AE$1005,1,MATCH(COLUMNS($V$1006:W1006),$V$1006:$AE$1006,0))&gt;=100000), " ",IF(INDEX($V$2:$AE$1001,MATCH(ROWS($O$2:O448),$O$2:$O$1001,0),MATCH(COLUMNS($V$1006:W1006),$V$1006:$AE$1006,0)), HYPERLINK("#",""), HYPERLINK(CONCATENATE("#Metadata!", ADDRESS(INDEX($Q$2:$Q$1001,MATCH(ROWS($O$2:O448),$O$2:$O$1001,0),0), INDEX($V$1004:$AE$1004,1,MATCH(COLUMNS($V$1006:W1006),$V$1006:$AE$1006,0)))),"Fix")))</f>
        <v>0</v>
      </c>
      <c r="D448" s="3">
        <f>IF(OR(INDEX($P$2:$P$1001,MATCH(ROWS($O$2:O448),$O$2:$O$1001,0),1)&gt;=100000,INDEX($V$1005:$AE$1005,1,MATCH(COLUMNS($V$1006:X1006),$V$1006:$AE$1006,0))&gt;=100000), " ",IF(INDEX($V$2:$AE$1001,MATCH(ROWS($O$2:O448),$O$2:$O$1001,0),MATCH(COLUMNS($V$1006:X1006),$V$1006:$AE$1006,0)), HYPERLINK("#",""), HYPERLINK(CONCATENATE("#Metadata!", ADDRESS(INDEX($Q$2:$Q$1001,MATCH(ROWS($O$2:O448),$O$2:$O$1001,0),0), INDEX($V$1004:$AE$1004,1,MATCH(COLUMNS($V$1006:X1006),$V$1006:$AE$1006,0)))),"Fix")))</f>
        <v>0</v>
      </c>
      <c r="E448" s="3">
        <f>IF(OR(INDEX($P$2:$P$1001,MATCH(ROWS($O$2:O448),$O$2:$O$1001,0),1)&gt;=100000,INDEX($V$1005:$AE$1005,1,MATCH(COLUMNS($V$1006:Y1006),$V$1006:$AE$1006,0))&gt;=100000), " ",IF(INDEX($V$2:$AE$1001,MATCH(ROWS($O$2:O448),$O$2:$O$1001,0),MATCH(COLUMNS($V$1006:Y1006),$V$1006:$AE$1006,0)), HYPERLINK("#",""), HYPERLINK(CONCATENATE("#Metadata!", ADDRESS(INDEX($Q$2:$Q$1001,MATCH(ROWS($O$2:O448),$O$2:$O$1001,0),0), INDEX($V$1004:$AE$1004,1,MATCH(COLUMNS($V$1006:Y1006),$V$1006:$AE$1006,0)))),"Fix")))</f>
        <v>0</v>
      </c>
      <c r="F448" s="3">
        <f>IF(OR(INDEX($P$2:$P$1001,MATCH(ROWS($O$2:O448),$O$2:$O$1001,0),1)&gt;=100000,INDEX($V$1005:$AE$1005,1,MATCH(COLUMNS($V$1006:Z1006),$V$1006:$AE$1006,0))&gt;=100000), " ",IF(INDEX($V$2:$AE$1001,MATCH(ROWS($O$2:O448),$O$2:$O$1001,0),MATCH(COLUMNS($V$1006:Z1006),$V$1006:$AE$1006,0)), HYPERLINK("#",""), HYPERLINK(CONCATENATE("#Metadata!", ADDRESS(INDEX($Q$2:$Q$1001,MATCH(ROWS($O$2:O448),$O$2:$O$1001,0),0), INDEX($V$1004:$AE$1004,1,MATCH(COLUMNS($V$1006:Z1006),$V$1006:$AE$1006,0)))),"Fix")))</f>
        <v>0</v>
      </c>
      <c r="G448" s="3">
        <f>IF(OR(INDEX($P$2:$P$1001,MATCH(ROWS($O$2:O448),$O$2:$O$1001,0),1)&gt;=100000,INDEX($V$1005:$AE$1005,1,MATCH(COLUMNS($V$1006:AA1006),$V$1006:$AE$1006,0))&gt;=100000), " ",IF(INDEX($V$2:$AE$1001,MATCH(ROWS($O$2:O448),$O$2:$O$1001,0),MATCH(COLUMNS($V$1006:AA1006),$V$1006:$AE$1006,0)), HYPERLINK("#",""), HYPERLINK(CONCATENATE("#Metadata!", ADDRESS(INDEX($Q$2:$Q$1001,MATCH(ROWS($O$2:O448),$O$2:$O$1001,0),0), INDEX($V$1004:$AE$1004,1,MATCH(COLUMNS($V$1006:AA1006),$V$1006:$AE$1006,0)))),"Fix")))</f>
        <v>0</v>
      </c>
      <c r="H448" s="3">
        <f>IF(OR(INDEX($P$2:$P$1001,MATCH(ROWS($O$2:O448),$O$2:$O$1001,0),1)&gt;=100000,INDEX($V$1005:$AE$1005,1,MATCH(COLUMNS($V$1006:AB1006),$V$1006:$AE$1006,0))&gt;=100000), " ",IF(INDEX($V$2:$AE$1001,MATCH(ROWS($O$2:O448),$O$2:$O$1001,0),MATCH(COLUMNS($V$1006:AB1006),$V$1006:$AE$1006,0)), HYPERLINK("#",""), HYPERLINK(CONCATENATE("#Metadata!", ADDRESS(INDEX($Q$2:$Q$1001,MATCH(ROWS($O$2:O448),$O$2:$O$1001,0),0), INDEX($V$1004:$AE$1004,1,MATCH(COLUMNS($V$1006:AB1006),$V$1006:$AE$1006,0)))),"Fix")))</f>
        <v>0</v>
      </c>
      <c r="I448" s="3">
        <f>IF(OR(INDEX($P$2:$P$1001,MATCH(ROWS($O$2:O448),$O$2:$O$1001,0),1)&gt;=100000,INDEX($V$1005:$AE$1005,1,MATCH(COLUMNS($V$1006:AC1006),$V$1006:$AE$1006,0))&gt;=100000), " ",IF(INDEX($V$2:$AE$1001,MATCH(ROWS($O$2:O448),$O$2:$O$1001,0),MATCH(COLUMNS($V$1006:AC1006),$V$1006:$AE$1006,0)), HYPERLINK("#",""), HYPERLINK(CONCATENATE("#Metadata!", ADDRESS(INDEX($Q$2:$Q$1001,MATCH(ROWS($O$2:O448),$O$2:$O$1001,0),0), INDEX($V$1004:$AE$1004,1,MATCH(COLUMNS($V$1006:AC1006),$V$1006:$AE$1006,0)))),"Fix")))</f>
        <v>0</v>
      </c>
      <c r="J448" s="3">
        <f>IF(OR(INDEX($P$2:$P$1001,MATCH(ROWS($O$2:O448),$O$2:$O$1001,0),1)&gt;=100000,INDEX($V$1005:$AE$1005,1,MATCH(COLUMNS($V$1006:AD1006),$V$1006:$AE$1006,0))&gt;=100000), " ",IF(INDEX($V$2:$AE$1001,MATCH(ROWS($O$2:O448),$O$2:$O$1001,0),MATCH(COLUMNS($V$1006:AD1006),$V$1006:$AE$1006,0)), HYPERLINK("#",""), HYPERLINK(CONCATENATE("#Metadata!", ADDRESS(INDEX($Q$2:$Q$1001,MATCH(ROWS($O$2:O448),$O$2:$O$1001,0),0), INDEX($V$1004:$AE$1004,1,MATCH(COLUMNS($V$1006:AD1006),$V$1006:$AE$1006,0)))),"Fix")))</f>
        <v>0</v>
      </c>
      <c r="K448" s="3">
        <f>IF(OR(INDEX($P$2:$P$1001,MATCH(ROWS($O$2:O448),$O$2:$O$1001,0),1)&gt;=100000,INDEX($V$1005:$AE$1005,1,MATCH(COLUMNS($V$1006:AE1006),$V$1006:$AE$1006,0))&gt;=100000), " ",IF(INDEX($V$2:$AE$1001,MATCH(ROWS($O$2:O448),$O$2:$O$1001,0),MATCH(COLUMNS($V$1006:AE1006),$V$1006:$AE$1006,0)), HYPERLINK("#",""), HYPERLINK(CONCATENATE("#Metadata!", ADDRESS(INDEX($Q$2:$Q$1001,MATCH(ROWS($O$2:O448),$O$2:$O$1001,0),0), INDEX($V$1004:$AE$1004,1,MATCH(COLUMNS($V$1006:AE1006),$V$1006:$AE$1006,0)))),"Fix")))</f>
        <v>0</v>
      </c>
      <c r="O448">
        <v>0</v>
      </c>
      <c r="P448">
        <v>0</v>
      </c>
      <c r="Q448">
        <v>0</v>
      </c>
      <c r="R448">
        <f>IF(S448,TRUE,AND(V448:AE448))</f>
        <v>0</v>
      </c>
      <c r="S448">
        <f>COUNTBLANK(Metadata!B448:K448)=COLUMNS(Metadata!B448:K448)</f>
        <v>0</v>
      </c>
      <c r="T448">
        <v>0</v>
      </c>
      <c r="V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W448">
        <f>AND(IF(Metadata!C448="",FALSE,TRUE),exact(Metadata!C448,"animal secretion"))</f>
        <v>0</v>
      </c>
      <c r="X448">
        <f>AND(IF(Metadata!D448="",FALSE,TRUE),exact(Metadata!D448,"saliva"))</f>
        <v>0</v>
      </c>
      <c r="Y448">
        <f>AND(IF(Metadata!E448="",FALSE,TRUE),exact(Metadata!E448,"human-oral"))</f>
        <v>0</v>
      </c>
      <c r="Z448">
        <f>AND(IF(Metadata!F448="",FALSE,TRUE),exact(Metadata!F448,"UBERON:oral cavity"))</f>
        <v>0</v>
      </c>
      <c r="AA448">
        <f>AND(IF(Metadata!G448="",FALSE,TRUE),exact(Metadata!G448,"UBERON:saliva"))</f>
        <v>0</v>
      </c>
      <c r="AB448">
        <f>AND(IF(Metadata!H448="",FALSE,TRUE),exact(Metadata!H448,"UBERON:tongue"))</f>
        <v>0</v>
      </c>
      <c r="AC448">
        <f>AND(IF(Metadata!I448="",FALSE,TRUE),exact(Metadata!I448,"tongue"))</f>
        <v>0</v>
      </c>
      <c r="AD448">
        <f>AND(IF(Metadata!J448="",FALSE,TRUE),exact(Metadata!J448,"human oral metagenome"))</f>
        <v>0</v>
      </c>
      <c r="AE448">
        <f>AND(IF(Metadata!K448="",FALSE,TRUE),exact(Metadata!K448,"447426"))</f>
        <v>0</v>
      </c>
    </row>
    <row r="449" spans="1:31">
      <c r="A449" s="4">
        <f>IF(B449=" "," ",HYPERLINK(CONCATENATE("#metadata!",ADDRESS(INDEX($Q$2:$Q$1001,MATCH(ROWS($O$2:O449),$O$2:$O$1001,0),0),1)),INDEX($T$2:$T$1001,MATCH(ROWS($O$2:O449),$O$2:$O$1001,0),0)))</f>
        <v>0</v>
      </c>
      <c r="B449" s="3">
        <f>IF(OR(INDEX($P$2:$P$1001,MATCH(ROWS($O$2:O449),$O$2:$O$1001,0),1)&gt;=100000,INDEX($V$1005:$AE$1005,1,MATCH(COLUMNS($V$1006:V1006),$V$1006:$AE$1006,0))&gt;=100000), " ",IF(INDEX($V$2:$AE$1001,MATCH(ROWS($O$2:O449),$O$2:$O$1001,0),MATCH(COLUMNS($V$1006:V1006),$V$1006:$AE$1006,0)), HYPERLINK("#",""), HYPERLINK(CONCATENATE("#Metadata!", ADDRESS(INDEX($Q$2:$Q$1001,MATCH(ROWS($O$2:O449),$O$2:$O$1001,0),0), INDEX($V$1004:$AE$1004,1,MATCH(COLUMNS($V$1006:V1006),$V$1006:$AE$1006,0)))),"Fix")))</f>
        <v>0</v>
      </c>
      <c r="C449" s="3">
        <f>IF(OR(INDEX($P$2:$P$1001,MATCH(ROWS($O$2:O449),$O$2:$O$1001,0),1)&gt;=100000,INDEX($V$1005:$AE$1005,1,MATCH(COLUMNS($V$1006:W1006),$V$1006:$AE$1006,0))&gt;=100000), " ",IF(INDEX($V$2:$AE$1001,MATCH(ROWS($O$2:O449),$O$2:$O$1001,0),MATCH(COLUMNS($V$1006:W1006),$V$1006:$AE$1006,0)), HYPERLINK("#",""), HYPERLINK(CONCATENATE("#Metadata!", ADDRESS(INDEX($Q$2:$Q$1001,MATCH(ROWS($O$2:O449),$O$2:$O$1001,0),0), INDEX($V$1004:$AE$1004,1,MATCH(COLUMNS($V$1006:W1006),$V$1006:$AE$1006,0)))),"Fix")))</f>
        <v>0</v>
      </c>
      <c r="D449" s="3">
        <f>IF(OR(INDEX($P$2:$P$1001,MATCH(ROWS($O$2:O449),$O$2:$O$1001,0),1)&gt;=100000,INDEX($V$1005:$AE$1005,1,MATCH(COLUMNS($V$1006:X1006),$V$1006:$AE$1006,0))&gt;=100000), " ",IF(INDEX($V$2:$AE$1001,MATCH(ROWS($O$2:O449),$O$2:$O$1001,0),MATCH(COLUMNS($V$1006:X1006),$V$1006:$AE$1006,0)), HYPERLINK("#",""), HYPERLINK(CONCATENATE("#Metadata!", ADDRESS(INDEX($Q$2:$Q$1001,MATCH(ROWS($O$2:O449),$O$2:$O$1001,0),0), INDEX($V$1004:$AE$1004,1,MATCH(COLUMNS($V$1006:X1006),$V$1006:$AE$1006,0)))),"Fix")))</f>
        <v>0</v>
      </c>
      <c r="E449" s="3">
        <f>IF(OR(INDEX($P$2:$P$1001,MATCH(ROWS($O$2:O449),$O$2:$O$1001,0),1)&gt;=100000,INDEX($V$1005:$AE$1005,1,MATCH(COLUMNS($V$1006:Y1006),$V$1006:$AE$1006,0))&gt;=100000), " ",IF(INDEX($V$2:$AE$1001,MATCH(ROWS($O$2:O449),$O$2:$O$1001,0),MATCH(COLUMNS($V$1006:Y1006),$V$1006:$AE$1006,0)), HYPERLINK("#",""), HYPERLINK(CONCATENATE("#Metadata!", ADDRESS(INDEX($Q$2:$Q$1001,MATCH(ROWS($O$2:O449),$O$2:$O$1001,0),0), INDEX($V$1004:$AE$1004,1,MATCH(COLUMNS($V$1006:Y1006),$V$1006:$AE$1006,0)))),"Fix")))</f>
        <v>0</v>
      </c>
      <c r="F449" s="3">
        <f>IF(OR(INDEX($P$2:$P$1001,MATCH(ROWS($O$2:O449),$O$2:$O$1001,0),1)&gt;=100000,INDEX($V$1005:$AE$1005,1,MATCH(COLUMNS($V$1006:Z1006),$V$1006:$AE$1006,0))&gt;=100000), " ",IF(INDEX($V$2:$AE$1001,MATCH(ROWS($O$2:O449),$O$2:$O$1001,0),MATCH(COLUMNS($V$1006:Z1006),$V$1006:$AE$1006,0)), HYPERLINK("#",""), HYPERLINK(CONCATENATE("#Metadata!", ADDRESS(INDEX($Q$2:$Q$1001,MATCH(ROWS($O$2:O449),$O$2:$O$1001,0),0), INDEX($V$1004:$AE$1004,1,MATCH(COLUMNS($V$1006:Z1006),$V$1006:$AE$1006,0)))),"Fix")))</f>
        <v>0</v>
      </c>
      <c r="G449" s="3">
        <f>IF(OR(INDEX($P$2:$P$1001,MATCH(ROWS($O$2:O449),$O$2:$O$1001,0),1)&gt;=100000,INDEX($V$1005:$AE$1005,1,MATCH(COLUMNS($V$1006:AA1006),$V$1006:$AE$1006,0))&gt;=100000), " ",IF(INDEX($V$2:$AE$1001,MATCH(ROWS($O$2:O449),$O$2:$O$1001,0),MATCH(COLUMNS($V$1006:AA1006),$V$1006:$AE$1006,0)), HYPERLINK("#",""), HYPERLINK(CONCATENATE("#Metadata!", ADDRESS(INDEX($Q$2:$Q$1001,MATCH(ROWS($O$2:O449),$O$2:$O$1001,0),0), INDEX($V$1004:$AE$1004,1,MATCH(COLUMNS($V$1006:AA1006),$V$1006:$AE$1006,0)))),"Fix")))</f>
        <v>0</v>
      </c>
      <c r="H449" s="3">
        <f>IF(OR(INDEX($P$2:$P$1001,MATCH(ROWS($O$2:O449),$O$2:$O$1001,0),1)&gt;=100000,INDEX($V$1005:$AE$1005,1,MATCH(COLUMNS($V$1006:AB1006),$V$1006:$AE$1006,0))&gt;=100000), " ",IF(INDEX($V$2:$AE$1001,MATCH(ROWS($O$2:O449),$O$2:$O$1001,0),MATCH(COLUMNS($V$1006:AB1006),$V$1006:$AE$1006,0)), HYPERLINK("#",""), HYPERLINK(CONCATENATE("#Metadata!", ADDRESS(INDEX($Q$2:$Q$1001,MATCH(ROWS($O$2:O449),$O$2:$O$1001,0),0), INDEX($V$1004:$AE$1004,1,MATCH(COLUMNS($V$1006:AB1006),$V$1006:$AE$1006,0)))),"Fix")))</f>
        <v>0</v>
      </c>
      <c r="I449" s="3">
        <f>IF(OR(INDEX($P$2:$P$1001,MATCH(ROWS($O$2:O449),$O$2:$O$1001,0),1)&gt;=100000,INDEX($V$1005:$AE$1005,1,MATCH(COLUMNS($V$1006:AC1006),$V$1006:$AE$1006,0))&gt;=100000), " ",IF(INDEX($V$2:$AE$1001,MATCH(ROWS($O$2:O449),$O$2:$O$1001,0),MATCH(COLUMNS($V$1006:AC1006),$V$1006:$AE$1006,0)), HYPERLINK("#",""), HYPERLINK(CONCATENATE("#Metadata!", ADDRESS(INDEX($Q$2:$Q$1001,MATCH(ROWS($O$2:O449),$O$2:$O$1001,0),0), INDEX($V$1004:$AE$1004,1,MATCH(COLUMNS($V$1006:AC1006),$V$1006:$AE$1006,0)))),"Fix")))</f>
        <v>0</v>
      </c>
      <c r="J449" s="3">
        <f>IF(OR(INDEX($P$2:$P$1001,MATCH(ROWS($O$2:O449),$O$2:$O$1001,0),1)&gt;=100000,INDEX($V$1005:$AE$1005,1,MATCH(COLUMNS($V$1006:AD1006),$V$1006:$AE$1006,0))&gt;=100000), " ",IF(INDEX($V$2:$AE$1001,MATCH(ROWS($O$2:O449),$O$2:$O$1001,0),MATCH(COLUMNS($V$1006:AD1006),$V$1006:$AE$1006,0)), HYPERLINK("#",""), HYPERLINK(CONCATENATE("#Metadata!", ADDRESS(INDEX($Q$2:$Q$1001,MATCH(ROWS($O$2:O449),$O$2:$O$1001,0),0), INDEX($V$1004:$AE$1004,1,MATCH(COLUMNS($V$1006:AD1006),$V$1006:$AE$1006,0)))),"Fix")))</f>
        <v>0</v>
      </c>
      <c r="K449" s="3">
        <f>IF(OR(INDEX($P$2:$P$1001,MATCH(ROWS($O$2:O449),$O$2:$O$1001,0),1)&gt;=100000,INDEX($V$1005:$AE$1005,1,MATCH(COLUMNS($V$1006:AE1006),$V$1006:$AE$1006,0))&gt;=100000), " ",IF(INDEX($V$2:$AE$1001,MATCH(ROWS($O$2:O449),$O$2:$O$1001,0),MATCH(COLUMNS($V$1006:AE1006),$V$1006:$AE$1006,0)), HYPERLINK("#",""), HYPERLINK(CONCATENATE("#Metadata!", ADDRESS(INDEX($Q$2:$Q$1001,MATCH(ROWS($O$2:O449),$O$2:$O$1001,0),0), INDEX($V$1004:$AE$1004,1,MATCH(COLUMNS($V$1006:AE1006),$V$1006:$AE$1006,0)))),"Fix")))</f>
        <v>0</v>
      </c>
      <c r="O449">
        <v>0</v>
      </c>
      <c r="P449">
        <v>0</v>
      </c>
      <c r="Q449">
        <v>0</v>
      </c>
      <c r="R449">
        <f>IF(S449,TRUE,AND(V449:AE449))</f>
        <v>0</v>
      </c>
      <c r="S449">
        <f>COUNTBLANK(Metadata!B449:K449)=COLUMNS(Metadata!B449:K449)</f>
        <v>0</v>
      </c>
      <c r="T449">
        <v>0</v>
      </c>
      <c r="V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W449">
        <f>AND(IF(Metadata!C449="",FALSE,TRUE),exact(Metadata!C449,"animal secretion"))</f>
        <v>0</v>
      </c>
      <c r="X449">
        <f>AND(IF(Metadata!D449="",FALSE,TRUE),exact(Metadata!D449,"saliva"))</f>
        <v>0</v>
      </c>
      <c r="Y449">
        <f>AND(IF(Metadata!E449="",FALSE,TRUE),exact(Metadata!E449,"human-oral"))</f>
        <v>0</v>
      </c>
      <c r="Z449">
        <f>AND(IF(Metadata!F449="",FALSE,TRUE),exact(Metadata!F449,"UBERON:oral cavity"))</f>
        <v>0</v>
      </c>
      <c r="AA449">
        <f>AND(IF(Metadata!G449="",FALSE,TRUE),exact(Metadata!G449,"UBERON:saliva"))</f>
        <v>0</v>
      </c>
      <c r="AB449">
        <f>AND(IF(Metadata!H449="",FALSE,TRUE),exact(Metadata!H449,"UBERON:tongue"))</f>
        <v>0</v>
      </c>
      <c r="AC449">
        <f>AND(IF(Metadata!I449="",FALSE,TRUE),exact(Metadata!I449,"tongue"))</f>
        <v>0</v>
      </c>
      <c r="AD449">
        <f>AND(IF(Metadata!J449="",FALSE,TRUE),exact(Metadata!J449,"human oral metagenome"))</f>
        <v>0</v>
      </c>
      <c r="AE449">
        <f>AND(IF(Metadata!K449="",FALSE,TRUE),exact(Metadata!K449,"447426"))</f>
        <v>0</v>
      </c>
    </row>
    <row r="450" spans="1:31">
      <c r="A450" s="4">
        <f>IF(B450=" "," ",HYPERLINK(CONCATENATE("#metadata!",ADDRESS(INDEX($Q$2:$Q$1001,MATCH(ROWS($O$2:O450),$O$2:$O$1001,0),0),1)),INDEX($T$2:$T$1001,MATCH(ROWS($O$2:O450),$O$2:$O$1001,0),0)))</f>
        <v>0</v>
      </c>
      <c r="B450" s="3">
        <f>IF(OR(INDEX($P$2:$P$1001,MATCH(ROWS($O$2:O450),$O$2:$O$1001,0),1)&gt;=100000,INDEX($V$1005:$AE$1005,1,MATCH(COLUMNS($V$1006:V1006),$V$1006:$AE$1006,0))&gt;=100000), " ",IF(INDEX($V$2:$AE$1001,MATCH(ROWS($O$2:O450),$O$2:$O$1001,0),MATCH(COLUMNS($V$1006:V1006),$V$1006:$AE$1006,0)), HYPERLINK("#",""), HYPERLINK(CONCATENATE("#Metadata!", ADDRESS(INDEX($Q$2:$Q$1001,MATCH(ROWS($O$2:O450),$O$2:$O$1001,0),0), INDEX($V$1004:$AE$1004,1,MATCH(COLUMNS($V$1006:V1006),$V$1006:$AE$1006,0)))),"Fix")))</f>
        <v>0</v>
      </c>
      <c r="C450" s="3">
        <f>IF(OR(INDEX($P$2:$P$1001,MATCH(ROWS($O$2:O450),$O$2:$O$1001,0),1)&gt;=100000,INDEX($V$1005:$AE$1005,1,MATCH(COLUMNS($V$1006:W1006),$V$1006:$AE$1006,0))&gt;=100000), " ",IF(INDEX($V$2:$AE$1001,MATCH(ROWS($O$2:O450),$O$2:$O$1001,0),MATCH(COLUMNS($V$1006:W1006),$V$1006:$AE$1006,0)), HYPERLINK("#",""), HYPERLINK(CONCATENATE("#Metadata!", ADDRESS(INDEX($Q$2:$Q$1001,MATCH(ROWS($O$2:O450),$O$2:$O$1001,0),0), INDEX($V$1004:$AE$1004,1,MATCH(COLUMNS($V$1006:W1006),$V$1006:$AE$1006,0)))),"Fix")))</f>
        <v>0</v>
      </c>
      <c r="D450" s="3">
        <f>IF(OR(INDEX($P$2:$P$1001,MATCH(ROWS($O$2:O450),$O$2:$O$1001,0),1)&gt;=100000,INDEX($V$1005:$AE$1005,1,MATCH(COLUMNS($V$1006:X1006),$V$1006:$AE$1006,0))&gt;=100000), " ",IF(INDEX($V$2:$AE$1001,MATCH(ROWS($O$2:O450),$O$2:$O$1001,0),MATCH(COLUMNS($V$1006:X1006),$V$1006:$AE$1006,0)), HYPERLINK("#",""), HYPERLINK(CONCATENATE("#Metadata!", ADDRESS(INDEX($Q$2:$Q$1001,MATCH(ROWS($O$2:O450),$O$2:$O$1001,0),0), INDEX($V$1004:$AE$1004,1,MATCH(COLUMNS($V$1006:X1006),$V$1006:$AE$1006,0)))),"Fix")))</f>
        <v>0</v>
      </c>
      <c r="E450" s="3">
        <f>IF(OR(INDEX($P$2:$P$1001,MATCH(ROWS($O$2:O450),$O$2:$O$1001,0),1)&gt;=100000,INDEX($V$1005:$AE$1005,1,MATCH(COLUMNS($V$1006:Y1006),$V$1006:$AE$1006,0))&gt;=100000), " ",IF(INDEX($V$2:$AE$1001,MATCH(ROWS($O$2:O450),$O$2:$O$1001,0),MATCH(COLUMNS($V$1006:Y1006),$V$1006:$AE$1006,0)), HYPERLINK("#",""), HYPERLINK(CONCATENATE("#Metadata!", ADDRESS(INDEX($Q$2:$Q$1001,MATCH(ROWS($O$2:O450),$O$2:$O$1001,0),0), INDEX($V$1004:$AE$1004,1,MATCH(COLUMNS($V$1006:Y1006),$V$1006:$AE$1006,0)))),"Fix")))</f>
        <v>0</v>
      </c>
      <c r="F450" s="3">
        <f>IF(OR(INDEX($P$2:$P$1001,MATCH(ROWS($O$2:O450),$O$2:$O$1001,0),1)&gt;=100000,INDEX($V$1005:$AE$1005,1,MATCH(COLUMNS($V$1006:Z1006),$V$1006:$AE$1006,0))&gt;=100000), " ",IF(INDEX($V$2:$AE$1001,MATCH(ROWS($O$2:O450),$O$2:$O$1001,0),MATCH(COLUMNS($V$1006:Z1006),$V$1006:$AE$1006,0)), HYPERLINK("#",""), HYPERLINK(CONCATENATE("#Metadata!", ADDRESS(INDEX($Q$2:$Q$1001,MATCH(ROWS($O$2:O450),$O$2:$O$1001,0),0), INDEX($V$1004:$AE$1004,1,MATCH(COLUMNS($V$1006:Z1006),$V$1006:$AE$1006,0)))),"Fix")))</f>
        <v>0</v>
      </c>
      <c r="G450" s="3">
        <f>IF(OR(INDEX($P$2:$P$1001,MATCH(ROWS($O$2:O450),$O$2:$O$1001,0),1)&gt;=100000,INDEX($V$1005:$AE$1005,1,MATCH(COLUMNS($V$1006:AA1006),$V$1006:$AE$1006,0))&gt;=100000), " ",IF(INDEX($V$2:$AE$1001,MATCH(ROWS($O$2:O450),$O$2:$O$1001,0),MATCH(COLUMNS($V$1006:AA1006),$V$1006:$AE$1006,0)), HYPERLINK("#",""), HYPERLINK(CONCATENATE("#Metadata!", ADDRESS(INDEX($Q$2:$Q$1001,MATCH(ROWS($O$2:O450),$O$2:$O$1001,0),0), INDEX($V$1004:$AE$1004,1,MATCH(COLUMNS($V$1006:AA1006),$V$1006:$AE$1006,0)))),"Fix")))</f>
        <v>0</v>
      </c>
      <c r="H450" s="3">
        <f>IF(OR(INDEX($P$2:$P$1001,MATCH(ROWS($O$2:O450),$O$2:$O$1001,0),1)&gt;=100000,INDEX($V$1005:$AE$1005,1,MATCH(COLUMNS($V$1006:AB1006),$V$1006:$AE$1006,0))&gt;=100000), " ",IF(INDEX($V$2:$AE$1001,MATCH(ROWS($O$2:O450),$O$2:$O$1001,0),MATCH(COLUMNS($V$1006:AB1006),$V$1006:$AE$1006,0)), HYPERLINK("#",""), HYPERLINK(CONCATENATE("#Metadata!", ADDRESS(INDEX($Q$2:$Q$1001,MATCH(ROWS($O$2:O450),$O$2:$O$1001,0),0), INDEX($V$1004:$AE$1004,1,MATCH(COLUMNS($V$1006:AB1006),$V$1006:$AE$1006,0)))),"Fix")))</f>
        <v>0</v>
      </c>
      <c r="I450" s="3">
        <f>IF(OR(INDEX($P$2:$P$1001,MATCH(ROWS($O$2:O450),$O$2:$O$1001,0),1)&gt;=100000,INDEX($V$1005:$AE$1005,1,MATCH(COLUMNS($V$1006:AC1006),$V$1006:$AE$1006,0))&gt;=100000), " ",IF(INDEX($V$2:$AE$1001,MATCH(ROWS($O$2:O450),$O$2:$O$1001,0),MATCH(COLUMNS($V$1006:AC1006),$V$1006:$AE$1006,0)), HYPERLINK("#",""), HYPERLINK(CONCATENATE("#Metadata!", ADDRESS(INDEX($Q$2:$Q$1001,MATCH(ROWS($O$2:O450),$O$2:$O$1001,0),0), INDEX($V$1004:$AE$1004,1,MATCH(COLUMNS($V$1006:AC1006),$V$1006:$AE$1006,0)))),"Fix")))</f>
        <v>0</v>
      </c>
      <c r="J450" s="3">
        <f>IF(OR(INDEX($P$2:$P$1001,MATCH(ROWS($O$2:O450),$O$2:$O$1001,0),1)&gt;=100000,INDEX($V$1005:$AE$1005,1,MATCH(COLUMNS($V$1006:AD1006),$V$1006:$AE$1006,0))&gt;=100000), " ",IF(INDEX($V$2:$AE$1001,MATCH(ROWS($O$2:O450),$O$2:$O$1001,0),MATCH(COLUMNS($V$1006:AD1006),$V$1006:$AE$1006,0)), HYPERLINK("#",""), HYPERLINK(CONCATENATE("#Metadata!", ADDRESS(INDEX($Q$2:$Q$1001,MATCH(ROWS($O$2:O450),$O$2:$O$1001,0),0), INDEX($V$1004:$AE$1004,1,MATCH(COLUMNS($V$1006:AD1006),$V$1006:$AE$1006,0)))),"Fix")))</f>
        <v>0</v>
      </c>
      <c r="K450" s="3">
        <f>IF(OR(INDEX($P$2:$P$1001,MATCH(ROWS($O$2:O450),$O$2:$O$1001,0),1)&gt;=100000,INDEX($V$1005:$AE$1005,1,MATCH(COLUMNS($V$1006:AE1006),$V$1006:$AE$1006,0))&gt;=100000), " ",IF(INDEX($V$2:$AE$1001,MATCH(ROWS($O$2:O450),$O$2:$O$1001,0),MATCH(COLUMNS($V$1006:AE1006),$V$1006:$AE$1006,0)), HYPERLINK("#",""), HYPERLINK(CONCATENATE("#Metadata!", ADDRESS(INDEX($Q$2:$Q$1001,MATCH(ROWS($O$2:O450),$O$2:$O$1001,0),0), INDEX($V$1004:$AE$1004,1,MATCH(COLUMNS($V$1006:AE1006),$V$1006:$AE$1006,0)))),"Fix")))</f>
        <v>0</v>
      </c>
      <c r="O450">
        <v>0</v>
      </c>
      <c r="P450">
        <v>0</v>
      </c>
      <c r="Q450">
        <v>0</v>
      </c>
      <c r="R450">
        <f>IF(S450,TRUE,AND(V450:AE450))</f>
        <v>0</v>
      </c>
      <c r="S450">
        <f>COUNTBLANK(Metadata!B450:K450)=COLUMNS(Metadata!B450:K450)</f>
        <v>0</v>
      </c>
      <c r="T450">
        <v>0</v>
      </c>
      <c r="V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W450">
        <f>AND(IF(Metadata!C450="",FALSE,TRUE),exact(Metadata!C450,"animal secretion"))</f>
        <v>0</v>
      </c>
      <c r="X450">
        <f>AND(IF(Metadata!D450="",FALSE,TRUE),exact(Metadata!D450,"saliva"))</f>
        <v>0</v>
      </c>
      <c r="Y450">
        <f>AND(IF(Metadata!E450="",FALSE,TRUE),exact(Metadata!E450,"human-oral"))</f>
        <v>0</v>
      </c>
      <c r="Z450">
        <f>AND(IF(Metadata!F450="",FALSE,TRUE),exact(Metadata!F450,"UBERON:oral cavity"))</f>
        <v>0</v>
      </c>
      <c r="AA450">
        <f>AND(IF(Metadata!G450="",FALSE,TRUE),exact(Metadata!G450,"UBERON:saliva"))</f>
        <v>0</v>
      </c>
      <c r="AB450">
        <f>AND(IF(Metadata!H450="",FALSE,TRUE),exact(Metadata!H450,"UBERON:tongue"))</f>
        <v>0</v>
      </c>
      <c r="AC450">
        <f>AND(IF(Metadata!I450="",FALSE,TRUE),exact(Metadata!I450,"tongue"))</f>
        <v>0</v>
      </c>
      <c r="AD450">
        <f>AND(IF(Metadata!J450="",FALSE,TRUE),exact(Metadata!J450,"human oral metagenome"))</f>
        <v>0</v>
      </c>
      <c r="AE450">
        <f>AND(IF(Metadata!K450="",FALSE,TRUE),exact(Metadata!K450,"447426"))</f>
        <v>0</v>
      </c>
    </row>
    <row r="451" spans="1:31">
      <c r="A451" s="4">
        <f>IF(B451=" "," ",HYPERLINK(CONCATENATE("#metadata!",ADDRESS(INDEX($Q$2:$Q$1001,MATCH(ROWS($O$2:O451),$O$2:$O$1001,0),0),1)),INDEX($T$2:$T$1001,MATCH(ROWS($O$2:O451),$O$2:$O$1001,0),0)))</f>
        <v>0</v>
      </c>
      <c r="B451" s="3">
        <f>IF(OR(INDEX($P$2:$P$1001,MATCH(ROWS($O$2:O451),$O$2:$O$1001,0),1)&gt;=100000,INDEX($V$1005:$AE$1005,1,MATCH(COLUMNS($V$1006:V1006),$V$1006:$AE$1006,0))&gt;=100000), " ",IF(INDEX($V$2:$AE$1001,MATCH(ROWS($O$2:O451),$O$2:$O$1001,0),MATCH(COLUMNS($V$1006:V1006),$V$1006:$AE$1006,0)), HYPERLINK("#",""), HYPERLINK(CONCATENATE("#Metadata!", ADDRESS(INDEX($Q$2:$Q$1001,MATCH(ROWS($O$2:O451),$O$2:$O$1001,0),0), INDEX($V$1004:$AE$1004,1,MATCH(COLUMNS($V$1006:V1006),$V$1006:$AE$1006,0)))),"Fix")))</f>
        <v>0</v>
      </c>
      <c r="C451" s="3">
        <f>IF(OR(INDEX($P$2:$P$1001,MATCH(ROWS($O$2:O451),$O$2:$O$1001,0),1)&gt;=100000,INDEX($V$1005:$AE$1005,1,MATCH(COLUMNS($V$1006:W1006),$V$1006:$AE$1006,0))&gt;=100000), " ",IF(INDEX($V$2:$AE$1001,MATCH(ROWS($O$2:O451),$O$2:$O$1001,0),MATCH(COLUMNS($V$1006:W1006),$V$1006:$AE$1006,0)), HYPERLINK("#",""), HYPERLINK(CONCATENATE("#Metadata!", ADDRESS(INDEX($Q$2:$Q$1001,MATCH(ROWS($O$2:O451),$O$2:$O$1001,0),0), INDEX($V$1004:$AE$1004,1,MATCH(COLUMNS($V$1006:W1006),$V$1006:$AE$1006,0)))),"Fix")))</f>
        <v>0</v>
      </c>
      <c r="D451" s="3">
        <f>IF(OR(INDEX($P$2:$P$1001,MATCH(ROWS($O$2:O451),$O$2:$O$1001,0),1)&gt;=100000,INDEX($V$1005:$AE$1005,1,MATCH(COLUMNS($V$1006:X1006),$V$1006:$AE$1006,0))&gt;=100000), " ",IF(INDEX($V$2:$AE$1001,MATCH(ROWS($O$2:O451),$O$2:$O$1001,0),MATCH(COLUMNS($V$1006:X1006),$V$1006:$AE$1006,0)), HYPERLINK("#",""), HYPERLINK(CONCATENATE("#Metadata!", ADDRESS(INDEX($Q$2:$Q$1001,MATCH(ROWS($O$2:O451),$O$2:$O$1001,0),0), INDEX($V$1004:$AE$1004,1,MATCH(COLUMNS($V$1006:X1006),$V$1006:$AE$1006,0)))),"Fix")))</f>
        <v>0</v>
      </c>
      <c r="E451" s="3">
        <f>IF(OR(INDEX($P$2:$P$1001,MATCH(ROWS($O$2:O451),$O$2:$O$1001,0),1)&gt;=100000,INDEX($V$1005:$AE$1005,1,MATCH(COLUMNS($V$1006:Y1006),$V$1006:$AE$1006,0))&gt;=100000), " ",IF(INDEX($V$2:$AE$1001,MATCH(ROWS($O$2:O451),$O$2:$O$1001,0),MATCH(COLUMNS($V$1006:Y1006),$V$1006:$AE$1006,0)), HYPERLINK("#",""), HYPERLINK(CONCATENATE("#Metadata!", ADDRESS(INDEX($Q$2:$Q$1001,MATCH(ROWS($O$2:O451),$O$2:$O$1001,0),0), INDEX($V$1004:$AE$1004,1,MATCH(COLUMNS($V$1006:Y1006),$V$1006:$AE$1006,0)))),"Fix")))</f>
        <v>0</v>
      </c>
      <c r="F451" s="3">
        <f>IF(OR(INDEX($P$2:$P$1001,MATCH(ROWS($O$2:O451),$O$2:$O$1001,0),1)&gt;=100000,INDEX($V$1005:$AE$1005,1,MATCH(COLUMNS($V$1006:Z1006),$V$1006:$AE$1006,0))&gt;=100000), " ",IF(INDEX($V$2:$AE$1001,MATCH(ROWS($O$2:O451),$O$2:$O$1001,0),MATCH(COLUMNS($V$1006:Z1006),$V$1006:$AE$1006,0)), HYPERLINK("#",""), HYPERLINK(CONCATENATE("#Metadata!", ADDRESS(INDEX($Q$2:$Q$1001,MATCH(ROWS($O$2:O451),$O$2:$O$1001,0),0), INDEX($V$1004:$AE$1004,1,MATCH(COLUMNS($V$1006:Z1006),$V$1006:$AE$1006,0)))),"Fix")))</f>
        <v>0</v>
      </c>
      <c r="G451" s="3">
        <f>IF(OR(INDEX($P$2:$P$1001,MATCH(ROWS($O$2:O451),$O$2:$O$1001,0),1)&gt;=100000,INDEX($V$1005:$AE$1005,1,MATCH(COLUMNS($V$1006:AA1006),$V$1006:$AE$1006,0))&gt;=100000), " ",IF(INDEX($V$2:$AE$1001,MATCH(ROWS($O$2:O451),$O$2:$O$1001,0),MATCH(COLUMNS($V$1006:AA1006),$V$1006:$AE$1006,0)), HYPERLINK("#",""), HYPERLINK(CONCATENATE("#Metadata!", ADDRESS(INDEX($Q$2:$Q$1001,MATCH(ROWS($O$2:O451),$O$2:$O$1001,0),0), INDEX($V$1004:$AE$1004,1,MATCH(COLUMNS($V$1006:AA1006),$V$1006:$AE$1006,0)))),"Fix")))</f>
        <v>0</v>
      </c>
      <c r="H451" s="3">
        <f>IF(OR(INDEX($P$2:$P$1001,MATCH(ROWS($O$2:O451),$O$2:$O$1001,0),1)&gt;=100000,INDEX($V$1005:$AE$1005,1,MATCH(COLUMNS($V$1006:AB1006),$V$1006:$AE$1006,0))&gt;=100000), " ",IF(INDEX($V$2:$AE$1001,MATCH(ROWS($O$2:O451),$O$2:$O$1001,0),MATCH(COLUMNS($V$1006:AB1006),$V$1006:$AE$1006,0)), HYPERLINK("#",""), HYPERLINK(CONCATENATE("#Metadata!", ADDRESS(INDEX($Q$2:$Q$1001,MATCH(ROWS($O$2:O451),$O$2:$O$1001,0),0), INDEX($V$1004:$AE$1004,1,MATCH(COLUMNS($V$1006:AB1006),$V$1006:$AE$1006,0)))),"Fix")))</f>
        <v>0</v>
      </c>
      <c r="I451" s="3">
        <f>IF(OR(INDEX($P$2:$P$1001,MATCH(ROWS($O$2:O451),$O$2:$O$1001,0),1)&gt;=100000,INDEX($V$1005:$AE$1005,1,MATCH(COLUMNS($V$1006:AC1006),$V$1006:$AE$1006,0))&gt;=100000), " ",IF(INDEX($V$2:$AE$1001,MATCH(ROWS($O$2:O451),$O$2:$O$1001,0),MATCH(COLUMNS($V$1006:AC1006),$V$1006:$AE$1006,0)), HYPERLINK("#",""), HYPERLINK(CONCATENATE("#Metadata!", ADDRESS(INDEX($Q$2:$Q$1001,MATCH(ROWS($O$2:O451),$O$2:$O$1001,0),0), INDEX($V$1004:$AE$1004,1,MATCH(COLUMNS($V$1006:AC1006),$V$1006:$AE$1006,0)))),"Fix")))</f>
        <v>0</v>
      </c>
      <c r="J451" s="3">
        <f>IF(OR(INDEX($P$2:$P$1001,MATCH(ROWS($O$2:O451),$O$2:$O$1001,0),1)&gt;=100000,INDEX($V$1005:$AE$1005,1,MATCH(COLUMNS($V$1006:AD1006),$V$1006:$AE$1006,0))&gt;=100000), " ",IF(INDEX($V$2:$AE$1001,MATCH(ROWS($O$2:O451),$O$2:$O$1001,0),MATCH(COLUMNS($V$1006:AD1006),$V$1006:$AE$1006,0)), HYPERLINK("#",""), HYPERLINK(CONCATENATE("#Metadata!", ADDRESS(INDEX($Q$2:$Q$1001,MATCH(ROWS($O$2:O451),$O$2:$O$1001,0),0), INDEX($V$1004:$AE$1004,1,MATCH(COLUMNS($V$1006:AD1006),$V$1006:$AE$1006,0)))),"Fix")))</f>
        <v>0</v>
      </c>
      <c r="K451" s="3">
        <f>IF(OR(INDEX($P$2:$P$1001,MATCH(ROWS($O$2:O451),$O$2:$O$1001,0),1)&gt;=100000,INDEX($V$1005:$AE$1005,1,MATCH(COLUMNS($V$1006:AE1006),$V$1006:$AE$1006,0))&gt;=100000), " ",IF(INDEX($V$2:$AE$1001,MATCH(ROWS($O$2:O451),$O$2:$O$1001,0),MATCH(COLUMNS($V$1006:AE1006),$V$1006:$AE$1006,0)), HYPERLINK("#",""), HYPERLINK(CONCATENATE("#Metadata!", ADDRESS(INDEX($Q$2:$Q$1001,MATCH(ROWS($O$2:O451),$O$2:$O$1001,0),0), INDEX($V$1004:$AE$1004,1,MATCH(COLUMNS($V$1006:AE1006),$V$1006:$AE$1006,0)))),"Fix")))</f>
        <v>0</v>
      </c>
      <c r="O451">
        <v>0</v>
      </c>
      <c r="P451">
        <v>0</v>
      </c>
      <c r="Q451">
        <v>0</v>
      </c>
      <c r="R451">
        <f>IF(S451,TRUE,AND(V451:AE451))</f>
        <v>0</v>
      </c>
      <c r="S451">
        <f>COUNTBLANK(Metadata!B451:K451)=COLUMNS(Metadata!B451:K451)</f>
        <v>0</v>
      </c>
      <c r="T451">
        <v>0</v>
      </c>
      <c r="V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W451">
        <f>AND(IF(Metadata!C451="",FALSE,TRUE),exact(Metadata!C451,"animal secretion"))</f>
        <v>0</v>
      </c>
      <c r="X451">
        <f>AND(IF(Metadata!D451="",FALSE,TRUE),exact(Metadata!D451,"saliva"))</f>
        <v>0</v>
      </c>
      <c r="Y451">
        <f>AND(IF(Metadata!E451="",FALSE,TRUE),exact(Metadata!E451,"human-oral"))</f>
        <v>0</v>
      </c>
      <c r="Z451">
        <f>AND(IF(Metadata!F451="",FALSE,TRUE),exact(Metadata!F451,"UBERON:oral cavity"))</f>
        <v>0</v>
      </c>
      <c r="AA451">
        <f>AND(IF(Metadata!G451="",FALSE,TRUE),exact(Metadata!G451,"UBERON:saliva"))</f>
        <v>0</v>
      </c>
      <c r="AB451">
        <f>AND(IF(Metadata!H451="",FALSE,TRUE),exact(Metadata!H451,"UBERON:tongue"))</f>
        <v>0</v>
      </c>
      <c r="AC451">
        <f>AND(IF(Metadata!I451="",FALSE,TRUE),exact(Metadata!I451,"tongue"))</f>
        <v>0</v>
      </c>
      <c r="AD451">
        <f>AND(IF(Metadata!J451="",FALSE,TRUE),exact(Metadata!J451,"human oral metagenome"))</f>
        <v>0</v>
      </c>
      <c r="AE451">
        <f>AND(IF(Metadata!K451="",FALSE,TRUE),exact(Metadata!K451,"447426"))</f>
        <v>0</v>
      </c>
    </row>
    <row r="452" spans="1:31">
      <c r="A452" s="4">
        <f>IF(B452=" "," ",HYPERLINK(CONCATENATE("#metadata!",ADDRESS(INDEX($Q$2:$Q$1001,MATCH(ROWS($O$2:O452),$O$2:$O$1001,0),0),1)),INDEX($T$2:$T$1001,MATCH(ROWS($O$2:O452),$O$2:$O$1001,0),0)))</f>
        <v>0</v>
      </c>
      <c r="B452" s="3">
        <f>IF(OR(INDEX($P$2:$P$1001,MATCH(ROWS($O$2:O452),$O$2:$O$1001,0),1)&gt;=100000,INDEX($V$1005:$AE$1005,1,MATCH(COLUMNS($V$1006:V1006),$V$1006:$AE$1006,0))&gt;=100000), " ",IF(INDEX($V$2:$AE$1001,MATCH(ROWS($O$2:O452),$O$2:$O$1001,0),MATCH(COLUMNS($V$1006:V1006),$V$1006:$AE$1006,0)), HYPERLINK("#",""), HYPERLINK(CONCATENATE("#Metadata!", ADDRESS(INDEX($Q$2:$Q$1001,MATCH(ROWS($O$2:O452),$O$2:$O$1001,0),0), INDEX($V$1004:$AE$1004,1,MATCH(COLUMNS($V$1006:V1006),$V$1006:$AE$1006,0)))),"Fix")))</f>
        <v>0</v>
      </c>
      <c r="C452" s="3">
        <f>IF(OR(INDEX($P$2:$P$1001,MATCH(ROWS($O$2:O452),$O$2:$O$1001,0),1)&gt;=100000,INDEX($V$1005:$AE$1005,1,MATCH(COLUMNS($V$1006:W1006),$V$1006:$AE$1006,0))&gt;=100000), " ",IF(INDEX($V$2:$AE$1001,MATCH(ROWS($O$2:O452),$O$2:$O$1001,0),MATCH(COLUMNS($V$1006:W1006),$V$1006:$AE$1006,0)), HYPERLINK("#",""), HYPERLINK(CONCATENATE("#Metadata!", ADDRESS(INDEX($Q$2:$Q$1001,MATCH(ROWS($O$2:O452),$O$2:$O$1001,0),0), INDEX($V$1004:$AE$1004,1,MATCH(COLUMNS($V$1006:W1006),$V$1006:$AE$1006,0)))),"Fix")))</f>
        <v>0</v>
      </c>
      <c r="D452" s="3">
        <f>IF(OR(INDEX($P$2:$P$1001,MATCH(ROWS($O$2:O452),$O$2:$O$1001,0),1)&gt;=100000,INDEX($V$1005:$AE$1005,1,MATCH(COLUMNS($V$1006:X1006),$V$1006:$AE$1006,0))&gt;=100000), " ",IF(INDEX($V$2:$AE$1001,MATCH(ROWS($O$2:O452),$O$2:$O$1001,0),MATCH(COLUMNS($V$1006:X1006),$V$1006:$AE$1006,0)), HYPERLINK("#",""), HYPERLINK(CONCATENATE("#Metadata!", ADDRESS(INDEX($Q$2:$Q$1001,MATCH(ROWS($O$2:O452),$O$2:$O$1001,0),0), INDEX($V$1004:$AE$1004,1,MATCH(COLUMNS($V$1006:X1006),$V$1006:$AE$1006,0)))),"Fix")))</f>
        <v>0</v>
      </c>
      <c r="E452" s="3">
        <f>IF(OR(INDEX($P$2:$P$1001,MATCH(ROWS($O$2:O452),$O$2:$O$1001,0),1)&gt;=100000,INDEX($V$1005:$AE$1005,1,MATCH(COLUMNS($V$1006:Y1006),$V$1006:$AE$1006,0))&gt;=100000), " ",IF(INDEX($V$2:$AE$1001,MATCH(ROWS($O$2:O452),$O$2:$O$1001,0),MATCH(COLUMNS($V$1006:Y1006),$V$1006:$AE$1006,0)), HYPERLINK("#",""), HYPERLINK(CONCATENATE("#Metadata!", ADDRESS(INDEX($Q$2:$Q$1001,MATCH(ROWS($O$2:O452),$O$2:$O$1001,0),0), INDEX($V$1004:$AE$1004,1,MATCH(COLUMNS($V$1006:Y1006),$V$1006:$AE$1006,0)))),"Fix")))</f>
        <v>0</v>
      </c>
      <c r="F452" s="3">
        <f>IF(OR(INDEX($P$2:$P$1001,MATCH(ROWS($O$2:O452),$O$2:$O$1001,0),1)&gt;=100000,INDEX($V$1005:$AE$1005,1,MATCH(COLUMNS($V$1006:Z1006),$V$1006:$AE$1006,0))&gt;=100000), " ",IF(INDEX($V$2:$AE$1001,MATCH(ROWS($O$2:O452),$O$2:$O$1001,0),MATCH(COLUMNS($V$1006:Z1006),$V$1006:$AE$1006,0)), HYPERLINK("#",""), HYPERLINK(CONCATENATE("#Metadata!", ADDRESS(INDEX($Q$2:$Q$1001,MATCH(ROWS($O$2:O452),$O$2:$O$1001,0),0), INDEX($V$1004:$AE$1004,1,MATCH(COLUMNS($V$1006:Z1006),$V$1006:$AE$1006,0)))),"Fix")))</f>
        <v>0</v>
      </c>
      <c r="G452" s="3">
        <f>IF(OR(INDEX($P$2:$P$1001,MATCH(ROWS($O$2:O452),$O$2:$O$1001,0),1)&gt;=100000,INDEX($V$1005:$AE$1005,1,MATCH(COLUMNS($V$1006:AA1006),$V$1006:$AE$1006,0))&gt;=100000), " ",IF(INDEX($V$2:$AE$1001,MATCH(ROWS($O$2:O452),$O$2:$O$1001,0),MATCH(COLUMNS($V$1006:AA1006),$V$1006:$AE$1006,0)), HYPERLINK("#",""), HYPERLINK(CONCATENATE("#Metadata!", ADDRESS(INDEX($Q$2:$Q$1001,MATCH(ROWS($O$2:O452),$O$2:$O$1001,0),0), INDEX($V$1004:$AE$1004,1,MATCH(COLUMNS($V$1006:AA1006),$V$1006:$AE$1006,0)))),"Fix")))</f>
        <v>0</v>
      </c>
      <c r="H452" s="3">
        <f>IF(OR(INDEX($P$2:$P$1001,MATCH(ROWS($O$2:O452),$O$2:$O$1001,0),1)&gt;=100000,INDEX($V$1005:$AE$1005,1,MATCH(COLUMNS($V$1006:AB1006),$V$1006:$AE$1006,0))&gt;=100000), " ",IF(INDEX($V$2:$AE$1001,MATCH(ROWS($O$2:O452),$O$2:$O$1001,0),MATCH(COLUMNS($V$1006:AB1006),$V$1006:$AE$1006,0)), HYPERLINK("#",""), HYPERLINK(CONCATENATE("#Metadata!", ADDRESS(INDEX($Q$2:$Q$1001,MATCH(ROWS($O$2:O452),$O$2:$O$1001,0),0), INDEX($V$1004:$AE$1004,1,MATCH(COLUMNS($V$1006:AB1006),$V$1006:$AE$1006,0)))),"Fix")))</f>
        <v>0</v>
      </c>
      <c r="I452" s="3">
        <f>IF(OR(INDEX($P$2:$P$1001,MATCH(ROWS($O$2:O452),$O$2:$O$1001,0),1)&gt;=100000,INDEX($V$1005:$AE$1005,1,MATCH(COLUMNS($V$1006:AC1006),$V$1006:$AE$1006,0))&gt;=100000), " ",IF(INDEX($V$2:$AE$1001,MATCH(ROWS($O$2:O452),$O$2:$O$1001,0),MATCH(COLUMNS($V$1006:AC1006),$V$1006:$AE$1006,0)), HYPERLINK("#",""), HYPERLINK(CONCATENATE("#Metadata!", ADDRESS(INDEX($Q$2:$Q$1001,MATCH(ROWS($O$2:O452),$O$2:$O$1001,0),0), INDEX($V$1004:$AE$1004,1,MATCH(COLUMNS($V$1006:AC1006),$V$1006:$AE$1006,0)))),"Fix")))</f>
        <v>0</v>
      </c>
      <c r="J452" s="3">
        <f>IF(OR(INDEX($P$2:$P$1001,MATCH(ROWS($O$2:O452),$O$2:$O$1001,0),1)&gt;=100000,INDEX($V$1005:$AE$1005,1,MATCH(COLUMNS($V$1006:AD1006),$V$1006:$AE$1006,0))&gt;=100000), " ",IF(INDEX($V$2:$AE$1001,MATCH(ROWS($O$2:O452),$O$2:$O$1001,0),MATCH(COLUMNS($V$1006:AD1006),$V$1006:$AE$1006,0)), HYPERLINK("#",""), HYPERLINK(CONCATENATE("#Metadata!", ADDRESS(INDEX($Q$2:$Q$1001,MATCH(ROWS($O$2:O452),$O$2:$O$1001,0),0), INDEX($V$1004:$AE$1004,1,MATCH(COLUMNS($V$1006:AD1006),$V$1006:$AE$1006,0)))),"Fix")))</f>
        <v>0</v>
      </c>
      <c r="K452" s="3">
        <f>IF(OR(INDEX($P$2:$P$1001,MATCH(ROWS($O$2:O452),$O$2:$O$1001,0),1)&gt;=100000,INDEX($V$1005:$AE$1005,1,MATCH(COLUMNS($V$1006:AE1006),$V$1006:$AE$1006,0))&gt;=100000), " ",IF(INDEX($V$2:$AE$1001,MATCH(ROWS($O$2:O452),$O$2:$O$1001,0),MATCH(COLUMNS($V$1006:AE1006),$V$1006:$AE$1006,0)), HYPERLINK("#",""), HYPERLINK(CONCATENATE("#Metadata!", ADDRESS(INDEX($Q$2:$Q$1001,MATCH(ROWS($O$2:O452),$O$2:$O$1001,0),0), INDEX($V$1004:$AE$1004,1,MATCH(COLUMNS($V$1006:AE1006),$V$1006:$AE$1006,0)))),"Fix")))</f>
        <v>0</v>
      </c>
      <c r="O452">
        <v>0</v>
      </c>
      <c r="P452">
        <v>0</v>
      </c>
      <c r="Q452">
        <v>0</v>
      </c>
      <c r="R452">
        <f>IF(S452,TRUE,AND(V452:AE452))</f>
        <v>0</v>
      </c>
      <c r="S452">
        <f>COUNTBLANK(Metadata!B452:K452)=COLUMNS(Metadata!B452:K452)</f>
        <v>0</v>
      </c>
      <c r="T452">
        <v>0</v>
      </c>
      <c r="V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W452">
        <f>AND(IF(Metadata!C452="",FALSE,TRUE),exact(Metadata!C452,"animal secretion"))</f>
        <v>0</v>
      </c>
      <c r="X452">
        <f>AND(IF(Metadata!D452="",FALSE,TRUE),exact(Metadata!D452,"saliva"))</f>
        <v>0</v>
      </c>
      <c r="Y452">
        <f>AND(IF(Metadata!E452="",FALSE,TRUE),exact(Metadata!E452,"human-oral"))</f>
        <v>0</v>
      </c>
      <c r="Z452">
        <f>AND(IF(Metadata!F452="",FALSE,TRUE),exact(Metadata!F452,"UBERON:oral cavity"))</f>
        <v>0</v>
      </c>
      <c r="AA452">
        <f>AND(IF(Metadata!G452="",FALSE,TRUE),exact(Metadata!G452,"UBERON:saliva"))</f>
        <v>0</v>
      </c>
      <c r="AB452">
        <f>AND(IF(Metadata!H452="",FALSE,TRUE),exact(Metadata!H452,"UBERON:tongue"))</f>
        <v>0</v>
      </c>
      <c r="AC452">
        <f>AND(IF(Metadata!I452="",FALSE,TRUE),exact(Metadata!I452,"tongue"))</f>
        <v>0</v>
      </c>
      <c r="AD452">
        <f>AND(IF(Metadata!J452="",FALSE,TRUE),exact(Metadata!J452,"human oral metagenome"))</f>
        <v>0</v>
      </c>
      <c r="AE452">
        <f>AND(IF(Metadata!K452="",FALSE,TRUE),exact(Metadata!K452,"447426"))</f>
        <v>0</v>
      </c>
    </row>
    <row r="453" spans="1:31">
      <c r="A453" s="4">
        <f>IF(B453=" "," ",HYPERLINK(CONCATENATE("#metadata!",ADDRESS(INDEX($Q$2:$Q$1001,MATCH(ROWS($O$2:O453),$O$2:$O$1001,0),0),1)),INDEX($T$2:$T$1001,MATCH(ROWS($O$2:O453),$O$2:$O$1001,0),0)))</f>
        <v>0</v>
      </c>
      <c r="B453" s="3">
        <f>IF(OR(INDEX($P$2:$P$1001,MATCH(ROWS($O$2:O453),$O$2:$O$1001,0),1)&gt;=100000,INDEX($V$1005:$AE$1005,1,MATCH(COLUMNS($V$1006:V1006),$V$1006:$AE$1006,0))&gt;=100000), " ",IF(INDEX($V$2:$AE$1001,MATCH(ROWS($O$2:O453),$O$2:$O$1001,0),MATCH(COLUMNS($V$1006:V1006),$V$1006:$AE$1006,0)), HYPERLINK("#",""), HYPERLINK(CONCATENATE("#Metadata!", ADDRESS(INDEX($Q$2:$Q$1001,MATCH(ROWS($O$2:O453),$O$2:$O$1001,0),0), INDEX($V$1004:$AE$1004,1,MATCH(COLUMNS($V$1006:V1006),$V$1006:$AE$1006,0)))),"Fix")))</f>
        <v>0</v>
      </c>
      <c r="C453" s="3">
        <f>IF(OR(INDEX($P$2:$P$1001,MATCH(ROWS($O$2:O453),$O$2:$O$1001,0),1)&gt;=100000,INDEX($V$1005:$AE$1005,1,MATCH(COLUMNS($V$1006:W1006),$V$1006:$AE$1006,0))&gt;=100000), " ",IF(INDEX($V$2:$AE$1001,MATCH(ROWS($O$2:O453),$O$2:$O$1001,0),MATCH(COLUMNS($V$1006:W1006),$V$1006:$AE$1006,0)), HYPERLINK("#",""), HYPERLINK(CONCATENATE("#Metadata!", ADDRESS(INDEX($Q$2:$Q$1001,MATCH(ROWS($O$2:O453),$O$2:$O$1001,0),0), INDEX($V$1004:$AE$1004,1,MATCH(COLUMNS($V$1006:W1006),$V$1006:$AE$1006,0)))),"Fix")))</f>
        <v>0</v>
      </c>
      <c r="D453" s="3">
        <f>IF(OR(INDEX($P$2:$P$1001,MATCH(ROWS($O$2:O453),$O$2:$O$1001,0),1)&gt;=100000,INDEX($V$1005:$AE$1005,1,MATCH(COLUMNS($V$1006:X1006),$V$1006:$AE$1006,0))&gt;=100000), " ",IF(INDEX($V$2:$AE$1001,MATCH(ROWS($O$2:O453),$O$2:$O$1001,0),MATCH(COLUMNS($V$1006:X1006),$V$1006:$AE$1006,0)), HYPERLINK("#",""), HYPERLINK(CONCATENATE("#Metadata!", ADDRESS(INDEX($Q$2:$Q$1001,MATCH(ROWS($O$2:O453),$O$2:$O$1001,0),0), INDEX($V$1004:$AE$1004,1,MATCH(COLUMNS($V$1006:X1006),$V$1006:$AE$1006,0)))),"Fix")))</f>
        <v>0</v>
      </c>
      <c r="E453" s="3">
        <f>IF(OR(INDEX($P$2:$P$1001,MATCH(ROWS($O$2:O453),$O$2:$O$1001,0),1)&gt;=100000,INDEX($V$1005:$AE$1005,1,MATCH(COLUMNS($V$1006:Y1006),$V$1006:$AE$1006,0))&gt;=100000), " ",IF(INDEX($V$2:$AE$1001,MATCH(ROWS($O$2:O453),$O$2:$O$1001,0),MATCH(COLUMNS($V$1006:Y1006),$V$1006:$AE$1006,0)), HYPERLINK("#",""), HYPERLINK(CONCATENATE("#Metadata!", ADDRESS(INDEX($Q$2:$Q$1001,MATCH(ROWS($O$2:O453),$O$2:$O$1001,0),0), INDEX($V$1004:$AE$1004,1,MATCH(COLUMNS($V$1006:Y1006),$V$1006:$AE$1006,0)))),"Fix")))</f>
        <v>0</v>
      </c>
      <c r="F453" s="3">
        <f>IF(OR(INDEX($P$2:$P$1001,MATCH(ROWS($O$2:O453),$O$2:$O$1001,0),1)&gt;=100000,INDEX($V$1005:$AE$1005,1,MATCH(COLUMNS($V$1006:Z1006),$V$1006:$AE$1006,0))&gt;=100000), " ",IF(INDEX($V$2:$AE$1001,MATCH(ROWS($O$2:O453),$O$2:$O$1001,0),MATCH(COLUMNS($V$1006:Z1006),$V$1006:$AE$1006,0)), HYPERLINK("#",""), HYPERLINK(CONCATENATE("#Metadata!", ADDRESS(INDEX($Q$2:$Q$1001,MATCH(ROWS($O$2:O453),$O$2:$O$1001,0),0), INDEX($V$1004:$AE$1004,1,MATCH(COLUMNS($V$1006:Z1006),$V$1006:$AE$1006,0)))),"Fix")))</f>
        <v>0</v>
      </c>
      <c r="G453" s="3">
        <f>IF(OR(INDEX($P$2:$P$1001,MATCH(ROWS($O$2:O453),$O$2:$O$1001,0),1)&gt;=100000,INDEX($V$1005:$AE$1005,1,MATCH(COLUMNS($V$1006:AA1006),$V$1006:$AE$1006,0))&gt;=100000), " ",IF(INDEX($V$2:$AE$1001,MATCH(ROWS($O$2:O453),$O$2:$O$1001,0),MATCH(COLUMNS($V$1006:AA1006),$V$1006:$AE$1006,0)), HYPERLINK("#",""), HYPERLINK(CONCATENATE("#Metadata!", ADDRESS(INDEX($Q$2:$Q$1001,MATCH(ROWS($O$2:O453),$O$2:$O$1001,0),0), INDEX($V$1004:$AE$1004,1,MATCH(COLUMNS($V$1006:AA1006),$V$1006:$AE$1006,0)))),"Fix")))</f>
        <v>0</v>
      </c>
      <c r="H453" s="3">
        <f>IF(OR(INDEX($P$2:$P$1001,MATCH(ROWS($O$2:O453),$O$2:$O$1001,0),1)&gt;=100000,INDEX($V$1005:$AE$1005,1,MATCH(COLUMNS($V$1006:AB1006),$V$1006:$AE$1006,0))&gt;=100000), " ",IF(INDEX($V$2:$AE$1001,MATCH(ROWS($O$2:O453),$O$2:$O$1001,0),MATCH(COLUMNS($V$1006:AB1006),$V$1006:$AE$1006,0)), HYPERLINK("#",""), HYPERLINK(CONCATENATE("#Metadata!", ADDRESS(INDEX($Q$2:$Q$1001,MATCH(ROWS($O$2:O453),$O$2:$O$1001,0),0), INDEX($V$1004:$AE$1004,1,MATCH(COLUMNS($V$1006:AB1006),$V$1006:$AE$1006,0)))),"Fix")))</f>
        <v>0</v>
      </c>
      <c r="I453" s="3">
        <f>IF(OR(INDEX($P$2:$P$1001,MATCH(ROWS($O$2:O453),$O$2:$O$1001,0),1)&gt;=100000,INDEX($V$1005:$AE$1005,1,MATCH(COLUMNS($V$1006:AC1006),$V$1006:$AE$1006,0))&gt;=100000), " ",IF(INDEX($V$2:$AE$1001,MATCH(ROWS($O$2:O453),$O$2:$O$1001,0),MATCH(COLUMNS($V$1006:AC1006),$V$1006:$AE$1006,0)), HYPERLINK("#",""), HYPERLINK(CONCATENATE("#Metadata!", ADDRESS(INDEX($Q$2:$Q$1001,MATCH(ROWS($O$2:O453),$O$2:$O$1001,0),0), INDEX($V$1004:$AE$1004,1,MATCH(COLUMNS($V$1006:AC1006),$V$1006:$AE$1006,0)))),"Fix")))</f>
        <v>0</v>
      </c>
      <c r="J453" s="3">
        <f>IF(OR(INDEX($P$2:$P$1001,MATCH(ROWS($O$2:O453),$O$2:$O$1001,0),1)&gt;=100000,INDEX($V$1005:$AE$1005,1,MATCH(COLUMNS($V$1006:AD1006),$V$1006:$AE$1006,0))&gt;=100000), " ",IF(INDEX($V$2:$AE$1001,MATCH(ROWS($O$2:O453),$O$2:$O$1001,0),MATCH(COLUMNS($V$1006:AD1006),$V$1006:$AE$1006,0)), HYPERLINK("#",""), HYPERLINK(CONCATENATE("#Metadata!", ADDRESS(INDEX($Q$2:$Q$1001,MATCH(ROWS($O$2:O453),$O$2:$O$1001,0),0), INDEX($V$1004:$AE$1004,1,MATCH(COLUMNS($V$1006:AD1006),$V$1006:$AE$1006,0)))),"Fix")))</f>
        <v>0</v>
      </c>
      <c r="K453" s="3">
        <f>IF(OR(INDEX($P$2:$P$1001,MATCH(ROWS($O$2:O453),$O$2:$O$1001,0),1)&gt;=100000,INDEX($V$1005:$AE$1005,1,MATCH(COLUMNS($V$1006:AE1006),$V$1006:$AE$1006,0))&gt;=100000), " ",IF(INDEX($V$2:$AE$1001,MATCH(ROWS($O$2:O453),$O$2:$O$1001,0),MATCH(COLUMNS($V$1006:AE1006),$V$1006:$AE$1006,0)), HYPERLINK("#",""), HYPERLINK(CONCATENATE("#Metadata!", ADDRESS(INDEX($Q$2:$Q$1001,MATCH(ROWS($O$2:O453),$O$2:$O$1001,0),0), INDEX($V$1004:$AE$1004,1,MATCH(COLUMNS($V$1006:AE1006),$V$1006:$AE$1006,0)))),"Fix")))</f>
        <v>0</v>
      </c>
      <c r="O453">
        <v>0</v>
      </c>
      <c r="P453">
        <v>0</v>
      </c>
      <c r="Q453">
        <v>0</v>
      </c>
      <c r="R453">
        <f>IF(S453,TRUE,AND(V453:AE453))</f>
        <v>0</v>
      </c>
      <c r="S453">
        <f>COUNTBLANK(Metadata!B453:K453)=COLUMNS(Metadata!B453:K453)</f>
        <v>0</v>
      </c>
      <c r="T453">
        <v>0</v>
      </c>
      <c r="V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W453">
        <f>AND(IF(Metadata!C453="",FALSE,TRUE),exact(Metadata!C453,"animal secretion"))</f>
        <v>0</v>
      </c>
      <c r="X453">
        <f>AND(IF(Metadata!D453="",FALSE,TRUE),exact(Metadata!D453,"saliva"))</f>
        <v>0</v>
      </c>
      <c r="Y453">
        <f>AND(IF(Metadata!E453="",FALSE,TRUE),exact(Metadata!E453,"human-oral"))</f>
        <v>0</v>
      </c>
      <c r="Z453">
        <f>AND(IF(Metadata!F453="",FALSE,TRUE),exact(Metadata!F453,"UBERON:oral cavity"))</f>
        <v>0</v>
      </c>
      <c r="AA453">
        <f>AND(IF(Metadata!G453="",FALSE,TRUE),exact(Metadata!G453,"UBERON:saliva"))</f>
        <v>0</v>
      </c>
      <c r="AB453">
        <f>AND(IF(Metadata!H453="",FALSE,TRUE),exact(Metadata!H453,"UBERON:tongue"))</f>
        <v>0</v>
      </c>
      <c r="AC453">
        <f>AND(IF(Metadata!I453="",FALSE,TRUE),exact(Metadata!I453,"tongue"))</f>
        <v>0</v>
      </c>
      <c r="AD453">
        <f>AND(IF(Metadata!J453="",FALSE,TRUE),exact(Metadata!J453,"human oral metagenome"))</f>
        <v>0</v>
      </c>
      <c r="AE453">
        <f>AND(IF(Metadata!K453="",FALSE,TRUE),exact(Metadata!K453,"447426"))</f>
        <v>0</v>
      </c>
    </row>
    <row r="454" spans="1:31">
      <c r="A454" s="4">
        <f>IF(B454=" "," ",HYPERLINK(CONCATENATE("#metadata!",ADDRESS(INDEX($Q$2:$Q$1001,MATCH(ROWS($O$2:O454),$O$2:$O$1001,0),0),1)),INDEX($T$2:$T$1001,MATCH(ROWS($O$2:O454),$O$2:$O$1001,0),0)))</f>
        <v>0</v>
      </c>
      <c r="B454" s="3">
        <f>IF(OR(INDEX($P$2:$P$1001,MATCH(ROWS($O$2:O454),$O$2:$O$1001,0),1)&gt;=100000,INDEX($V$1005:$AE$1005,1,MATCH(COLUMNS($V$1006:V1006),$V$1006:$AE$1006,0))&gt;=100000), " ",IF(INDEX($V$2:$AE$1001,MATCH(ROWS($O$2:O454),$O$2:$O$1001,0),MATCH(COLUMNS($V$1006:V1006),$V$1006:$AE$1006,0)), HYPERLINK("#",""), HYPERLINK(CONCATENATE("#Metadata!", ADDRESS(INDEX($Q$2:$Q$1001,MATCH(ROWS($O$2:O454),$O$2:$O$1001,0),0), INDEX($V$1004:$AE$1004,1,MATCH(COLUMNS($V$1006:V1006),$V$1006:$AE$1006,0)))),"Fix")))</f>
        <v>0</v>
      </c>
      <c r="C454" s="3">
        <f>IF(OR(INDEX($P$2:$P$1001,MATCH(ROWS($O$2:O454),$O$2:$O$1001,0),1)&gt;=100000,INDEX($V$1005:$AE$1005,1,MATCH(COLUMNS($V$1006:W1006),$V$1006:$AE$1006,0))&gt;=100000), " ",IF(INDEX($V$2:$AE$1001,MATCH(ROWS($O$2:O454),$O$2:$O$1001,0),MATCH(COLUMNS($V$1006:W1006),$V$1006:$AE$1006,0)), HYPERLINK("#",""), HYPERLINK(CONCATENATE("#Metadata!", ADDRESS(INDEX($Q$2:$Q$1001,MATCH(ROWS($O$2:O454),$O$2:$O$1001,0),0), INDEX($V$1004:$AE$1004,1,MATCH(COLUMNS($V$1006:W1006),$V$1006:$AE$1006,0)))),"Fix")))</f>
        <v>0</v>
      </c>
      <c r="D454" s="3">
        <f>IF(OR(INDEX($P$2:$P$1001,MATCH(ROWS($O$2:O454),$O$2:$O$1001,0),1)&gt;=100000,INDEX($V$1005:$AE$1005,1,MATCH(COLUMNS($V$1006:X1006),$V$1006:$AE$1006,0))&gt;=100000), " ",IF(INDEX($V$2:$AE$1001,MATCH(ROWS($O$2:O454),$O$2:$O$1001,0),MATCH(COLUMNS($V$1006:X1006),$V$1006:$AE$1006,0)), HYPERLINK("#",""), HYPERLINK(CONCATENATE("#Metadata!", ADDRESS(INDEX($Q$2:$Q$1001,MATCH(ROWS($O$2:O454),$O$2:$O$1001,0),0), INDEX($V$1004:$AE$1004,1,MATCH(COLUMNS($V$1006:X1006),$V$1006:$AE$1006,0)))),"Fix")))</f>
        <v>0</v>
      </c>
      <c r="E454" s="3">
        <f>IF(OR(INDEX($P$2:$P$1001,MATCH(ROWS($O$2:O454),$O$2:$O$1001,0),1)&gt;=100000,INDEX($V$1005:$AE$1005,1,MATCH(COLUMNS($V$1006:Y1006),$V$1006:$AE$1006,0))&gt;=100000), " ",IF(INDEX($V$2:$AE$1001,MATCH(ROWS($O$2:O454),$O$2:$O$1001,0),MATCH(COLUMNS($V$1006:Y1006),$V$1006:$AE$1006,0)), HYPERLINK("#",""), HYPERLINK(CONCATENATE("#Metadata!", ADDRESS(INDEX($Q$2:$Q$1001,MATCH(ROWS($O$2:O454),$O$2:$O$1001,0),0), INDEX($V$1004:$AE$1004,1,MATCH(COLUMNS($V$1006:Y1006),$V$1006:$AE$1006,0)))),"Fix")))</f>
        <v>0</v>
      </c>
      <c r="F454" s="3">
        <f>IF(OR(INDEX($P$2:$P$1001,MATCH(ROWS($O$2:O454),$O$2:$O$1001,0),1)&gt;=100000,INDEX($V$1005:$AE$1005,1,MATCH(COLUMNS($V$1006:Z1006),$V$1006:$AE$1006,0))&gt;=100000), " ",IF(INDEX($V$2:$AE$1001,MATCH(ROWS($O$2:O454),$O$2:$O$1001,0),MATCH(COLUMNS($V$1006:Z1006),$V$1006:$AE$1006,0)), HYPERLINK("#",""), HYPERLINK(CONCATENATE("#Metadata!", ADDRESS(INDEX($Q$2:$Q$1001,MATCH(ROWS($O$2:O454),$O$2:$O$1001,0),0), INDEX($V$1004:$AE$1004,1,MATCH(COLUMNS($V$1006:Z1006),$V$1006:$AE$1006,0)))),"Fix")))</f>
        <v>0</v>
      </c>
      <c r="G454" s="3">
        <f>IF(OR(INDEX($P$2:$P$1001,MATCH(ROWS($O$2:O454),$O$2:$O$1001,0),1)&gt;=100000,INDEX($V$1005:$AE$1005,1,MATCH(COLUMNS($V$1006:AA1006),$V$1006:$AE$1006,0))&gt;=100000), " ",IF(INDEX($V$2:$AE$1001,MATCH(ROWS($O$2:O454),$O$2:$O$1001,0),MATCH(COLUMNS($V$1006:AA1006),$V$1006:$AE$1006,0)), HYPERLINK("#",""), HYPERLINK(CONCATENATE("#Metadata!", ADDRESS(INDEX($Q$2:$Q$1001,MATCH(ROWS($O$2:O454),$O$2:$O$1001,0),0), INDEX($V$1004:$AE$1004,1,MATCH(COLUMNS($V$1006:AA1006),$V$1006:$AE$1006,0)))),"Fix")))</f>
        <v>0</v>
      </c>
      <c r="H454" s="3">
        <f>IF(OR(INDEX($P$2:$P$1001,MATCH(ROWS($O$2:O454),$O$2:$O$1001,0),1)&gt;=100000,INDEX($V$1005:$AE$1005,1,MATCH(COLUMNS($V$1006:AB1006),$V$1006:$AE$1006,0))&gt;=100000), " ",IF(INDEX($V$2:$AE$1001,MATCH(ROWS($O$2:O454),$O$2:$O$1001,0),MATCH(COLUMNS($V$1006:AB1006),$V$1006:$AE$1006,0)), HYPERLINK("#",""), HYPERLINK(CONCATENATE("#Metadata!", ADDRESS(INDEX($Q$2:$Q$1001,MATCH(ROWS($O$2:O454),$O$2:$O$1001,0),0), INDEX($V$1004:$AE$1004,1,MATCH(COLUMNS($V$1006:AB1006),$V$1006:$AE$1006,0)))),"Fix")))</f>
        <v>0</v>
      </c>
      <c r="I454" s="3">
        <f>IF(OR(INDEX($P$2:$P$1001,MATCH(ROWS($O$2:O454),$O$2:$O$1001,0),1)&gt;=100000,INDEX($V$1005:$AE$1005,1,MATCH(COLUMNS($V$1006:AC1006),$V$1006:$AE$1006,0))&gt;=100000), " ",IF(INDEX($V$2:$AE$1001,MATCH(ROWS($O$2:O454),$O$2:$O$1001,0),MATCH(COLUMNS($V$1006:AC1006),$V$1006:$AE$1006,0)), HYPERLINK("#",""), HYPERLINK(CONCATENATE("#Metadata!", ADDRESS(INDEX($Q$2:$Q$1001,MATCH(ROWS($O$2:O454),$O$2:$O$1001,0),0), INDEX($V$1004:$AE$1004,1,MATCH(COLUMNS($V$1006:AC1006),$V$1006:$AE$1006,0)))),"Fix")))</f>
        <v>0</v>
      </c>
      <c r="J454" s="3">
        <f>IF(OR(INDEX($P$2:$P$1001,MATCH(ROWS($O$2:O454),$O$2:$O$1001,0),1)&gt;=100000,INDEX($V$1005:$AE$1005,1,MATCH(COLUMNS($V$1006:AD1006),$V$1006:$AE$1006,0))&gt;=100000), " ",IF(INDEX($V$2:$AE$1001,MATCH(ROWS($O$2:O454),$O$2:$O$1001,0),MATCH(COLUMNS($V$1006:AD1006),$V$1006:$AE$1006,0)), HYPERLINK("#",""), HYPERLINK(CONCATENATE("#Metadata!", ADDRESS(INDEX($Q$2:$Q$1001,MATCH(ROWS($O$2:O454),$O$2:$O$1001,0),0), INDEX($V$1004:$AE$1004,1,MATCH(COLUMNS($V$1006:AD1006),$V$1006:$AE$1006,0)))),"Fix")))</f>
        <v>0</v>
      </c>
      <c r="K454" s="3">
        <f>IF(OR(INDEX($P$2:$P$1001,MATCH(ROWS($O$2:O454),$O$2:$O$1001,0),1)&gt;=100000,INDEX($V$1005:$AE$1005,1,MATCH(COLUMNS($V$1006:AE1006),$V$1006:$AE$1006,0))&gt;=100000), " ",IF(INDEX($V$2:$AE$1001,MATCH(ROWS($O$2:O454),$O$2:$O$1001,0),MATCH(COLUMNS($V$1006:AE1006),$V$1006:$AE$1006,0)), HYPERLINK("#",""), HYPERLINK(CONCATENATE("#Metadata!", ADDRESS(INDEX($Q$2:$Q$1001,MATCH(ROWS($O$2:O454),$O$2:$O$1001,0),0), INDEX($V$1004:$AE$1004,1,MATCH(COLUMNS($V$1006:AE1006),$V$1006:$AE$1006,0)))),"Fix")))</f>
        <v>0</v>
      </c>
      <c r="O454">
        <v>0</v>
      </c>
      <c r="P454">
        <v>0</v>
      </c>
      <c r="Q454">
        <v>0</v>
      </c>
      <c r="R454">
        <f>IF(S454,TRUE,AND(V454:AE454))</f>
        <v>0</v>
      </c>
      <c r="S454">
        <f>COUNTBLANK(Metadata!B454:K454)=COLUMNS(Metadata!B454:K454)</f>
        <v>0</v>
      </c>
      <c r="T454">
        <v>0</v>
      </c>
      <c r="V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W454">
        <f>AND(IF(Metadata!C454="",FALSE,TRUE),exact(Metadata!C454,"animal secretion"))</f>
        <v>0</v>
      </c>
      <c r="X454">
        <f>AND(IF(Metadata!D454="",FALSE,TRUE),exact(Metadata!D454,"saliva"))</f>
        <v>0</v>
      </c>
      <c r="Y454">
        <f>AND(IF(Metadata!E454="",FALSE,TRUE),exact(Metadata!E454,"human-oral"))</f>
        <v>0</v>
      </c>
      <c r="Z454">
        <f>AND(IF(Metadata!F454="",FALSE,TRUE),exact(Metadata!F454,"UBERON:oral cavity"))</f>
        <v>0</v>
      </c>
      <c r="AA454">
        <f>AND(IF(Metadata!G454="",FALSE,TRUE),exact(Metadata!G454,"UBERON:saliva"))</f>
        <v>0</v>
      </c>
      <c r="AB454">
        <f>AND(IF(Metadata!H454="",FALSE,TRUE),exact(Metadata!H454,"UBERON:tongue"))</f>
        <v>0</v>
      </c>
      <c r="AC454">
        <f>AND(IF(Metadata!I454="",FALSE,TRUE),exact(Metadata!I454,"tongue"))</f>
        <v>0</v>
      </c>
      <c r="AD454">
        <f>AND(IF(Metadata!J454="",FALSE,TRUE),exact(Metadata!J454,"human oral metagenome"))</f>
        <v>0</v>
      </c>
      <c r="AE454">
        <f>AND(IF(Metadata!K454="",FALSE,TRUE),exact(Metadata!K454,"447426"))</f>
        <v>0</v>
      </c>
    </row>
    <row r="455" spans="1:31">
      <c r="A455" s="4">
        <f>IF(B455=" "," ",HYPERLINK(CONCATENATE("#metadata!",ADDRESS(INDEX($Q$2:$Q$1001,MATCH(ROWS($O$2:O455),$O$2:$O$1001,0),0),1)),INDEX($T$2:$T$1001,MATCH(ROWS($O$2:O455),$O$2:$O$1001,0),0)))</f>
        <v>0</v>
      </c>
      <c r="B455" s="3">
        <f>IF(OR(INDEX($P$2:$P$1001,MATCH(ROWS($O$2:O455),$O$2:$O$1001,0),1)&gt;=100000,INDEX($V$1005:$AE$1005,1,MATCH(COLUMNS($V$1006:V1006),$V$1006:$AE$1006,0))&gt;=100000), " ",IF(INDEX($V$2:$AE$1001,MATCH(ROWS($O$2:O455),$O$2:$O$1001,0),MATCH(COLUMNS($V$1006:V1006),$V$1006:$AE$1006,0)), HYPERLINK("#",""), HYPERLINK(CONCATENATE("#Metadata!", ADDRESS(INDEX($Q$2:$Q$1001,MATCH(ROWS($O$2:O455),$O$2:$O$1001,0),0), INDEX($V$1004:$AE$1004,1,MATCH(COLUMNS($V$1006:V1006),$V$1006:$AE$1006,0)))),"Fix")))</f>
        <v>0</v>
      </c>
      <c r="C455" s="3">
        <f>IF(OR(INDEX($P$2:$P$1001,MATCH(ROWS($O$2:O455),$O$2:$O$1001,0),1)&gt;=100000,INDEX($V$1005:$AE$1005,1,MATCH(COLUMNS($V$1006:W1006),$V$1006:$AE$1006,0))&gt;=100000), " ",IF(INDEX($V$2:$AE$1001,MATCH(ROWS($O$2:O455),$O$2:$O$1001,0),MATCH(COLUMNS($V$1006:W1006),$V$1006:$AE$1006,0)), HYPERLINK("#",""), HYPERLINK(CONCATENATE("#Metadata!", ADDRESS(INDEX($Q$2:$Q$1001,MATCH(ROWS($O$2:O455),$O$2:$O$1001,0),0), INDEX($V$1004:$AE$1004,1,MATCH(COLUMNS($V$1006:W1006),$V$1006:$AE$1006,0)))),"Fix")))</f>
        <v>0</v>
      </c>
      <c r="D455" s="3">
        <f>IF(OR(INDEX($P$2:$P$1001,MATCH(ROWS($O$2:O455),$O$2:$O$1001,0),1)&gt;=100000,INDEX($V$1005:$AE$1005,1,MATCH(COLUMNS($V$1006:X1006),$V$1006:$AE$1006,0))&gt;=100000), " ",IF(INDEX($V$2:$AE$1001,MATCH(ROWS($O$2:O455),$O$2:$O$1001,0),MATCH(COLUMNS($V$1006:X1006),$V$1006:$AE$1006,0)), HYPERLINK("#",""), HYPERLINK(CONCATENATE("#Metadata!", ADDRESS(INDEX($Q$2:$Q$1001,MATCH(ROWS($O$2:O455),$O$2:$O$1001,0),0), INDEX($V$1004:$AE$1004,1,MATCH(COLUMNS($V$1006:X1006),$V$1006:$AE$1006,0)))),"Fix")))</f>
        <v>0</v>
      </c>
      <c r="E455" s="3">
        <f>IF(OR(INDEX($P$2:$P$1001,MATCH(ROWS($O$2:O455),$O$2:$O$1001,0),1)&gt;=100000,INDEX($V$1005:$AE$1005,1,MATCH(COLUMNS($V$1006:Y1006),$V$1006:$AE$1006,0))&gt;=100000), " ",IF(INDEX($V$2:$AE$1001,MATCH(ROWS($O$2:O455),$O$2:$O$1001,0),MATCH(COLUMNS($V$1006:Y1006),$V$1006:$AE$1006,0)), HYPERLINK("#",""), HYPERLINK(CONCATENATE("#Metadata!", ADDRESS(INDEX($Q$2:$Q$1001,MATCH(ROWS($O$2:O455),$O$2:$O$1001,0),0), INDEX($V$1004:$AE$1004,1,MATCH(COLUMNS($V$1006:Y1006),$V$1006:$AE$1006,0)))),"Fix")))</f>
        <v>0</v>
      </c>
      <c r="F455" s="3">
        <f>IF(OR(INDEX($P$2:$P$1001,MATCH(ROWS($O$2:O455),$O$2:$O$1001,0),1)&gt;=100000,INDEX($V$1005:$AE$1005,1,MATCH(COLUMNS($V$1006:Z1006),$V$1006:$AE$1006,0))&gt;=100000), " ",IF(INDEX($V$2:$AE$1001,MATCH(ROWS($O$2:O455),$O$2:$O$1001,0),MATCH(COLUMNS($V$1006:Z1006),$V$1006:$AE$1006,0)), HYPERLINK("#",""), HYPERLINK(CONCATENATE("#Metadata!", ADDRESS(INDEX($Q$2:$Q$1001,MATCH(ROWS($O$2:O455),$O$2:$O$1001,0),0), INDEX($V$1004:$AE$1004,1,MATCH(COLUMNS($V$1006:Z1006),$V$1006:$AE$1006,0)))),"Fix")))</f>
        <v>0</v>
      </c>
      <c r="G455" s="3">
        <f>IF(OR(INDEX($P$2:$P$1001,MATCH(ROWS($O$2:O455),$O$2:$O$1001,0),1)&gt;=100000,INDEX($V$1005:$AE$1005,1,MATCH(COLUMNS($V$1006:AA1006),$V$1006:$AE$1006,0))&gt;=100000), " ",IF(INDEX($V$2:$AE$1001,MATCH(ROWS($O$2:O455),$O$2:$O$1001,0),MATCH(COLUMNS($V$1006:AA1006),$V$1006:$AE$1006,0)), HYPERLINK("#",""), HYPERLINK(CONCATENATE("#Metadata!", ADDRESS(INDEX($Q$2:$Q$1001,MATCH(ROWS($O$2:O455),$O$2:$O$1001,0),0), INDEX($V$1004:$AE$1004,1,MATCH(COLUMNS($V$1006:AA1006),$V$1006:$AE$1006,0)))),"Fix")))</f>
        <v>0</v>
      </c>
      <c r="H455" s="3">
        <f>IF(OR(INDEX($P$2:$P$1001,MATCH(ROWS($O$2:O455),$O$2:$O$1001,0),1)&gt;=100000,INDEX($V$1005:$AE$1005,1,MATCH(COLUMNS($V$1006:AB1006),$V$1006:$AE$1006,0))&gt;=100000), " ",IF(INDEX($V$2:$AE$1001,MATCH(ROWS($O$2:O455),$O$2:$O$1001,0),MATCH(COLUMNS($V$1006:AB1006),$V$1006:$AE$1006,0)), HYPERLINK("#",""), HYPERLINK(CONCATENATE("#Metadata!", ADDRESS(INDEX($Q$2:$Q$1001,MATCH(ROWS($O$2:O455),$O$2:$O$1001,0),0), INDEX($V$1004:$AE$1004,1,MATCH(COLUMNS($V$1006:AB1006),$V$1006:$AE$1006,0)))),"Fix")))</f>
        <v>0</v>
      </c>
      <c r="I455" s="3">
        <f>IF(OR(INDEX($P$2:$P$1001,MATCH(ROWS($O$2:O455),$O$2:$O$1001,0),1)&gt;=100000,INDEX($V$1005:$AE$1005,1,MATCH(COLUMNS($V$1006:AC1006),$V$1006:$AE$1006,0))&gt;=100000), " ",IF(INDEX($V$2:$AE$1001,MATCH(ROWS($O$2:O455),$O$2:$O$1001,0),MATCH(COLUMNS($V$1006:AC1006),$V$1006:$AE$1006,0)), HYPERLINK("#",""), HYPERLINK(CONCATENATE("#Metadata!", ADDRESS(INDEX($Q$2:$Q$1001,MATCH(ROWS($O$2:O455),$O$2:$O$1001,0),0), INDEX($V$1004:$AE$1004,1,MATCH(COLUMNS($V$1006:AC1006),$V$1006:$AE$1006,0)))),"Fix")))</f>
        <v>0</v>
      </c>
      <c r="J455" s="3">
        <f>IF(OR(INDEX($P$2:$P$1001,MATCH(ROWS($O$2:O455),$O$2:$O$1001,0),1)&gt;=100000,INDEX($V$1005:$AE$1005,1,MATCH(COLUMNS($V$1006:AD1006),$V$1006:$AE$1006,0))&gt;=100000), " ",IF(INDEX($V$2:$AE$1001,MATCH(ROWS($O$2:O455),$O$2:$O$1001,0),MATCH(COLUMNS($V$1006:AD1006),$V$1006:$AE$1006,0)), HYPERLINK("#",""), HYPERLINK(CONCATENATE("#Metadata!", ADDRESS(INDEX($Q$2:$Q$1001,MATCH(ROWS($O$2:O455),$O$2:$O$1001,0),0), INDEX($V$1004:$AE$1004,1,MATCH(COLUMNS($V$1006:AD1006),$V$1006:$AE$1006,0)))),"Fix")))</f>
        <v>0</v>
      </c>
      <c r="K455" s="3">
        <f>IF(OR(INDEX($P$2:$P$1001,MATCH(ROWS($O$2:O455),$O$2:$O$1001,0),1)&gt;=100000,INDEX($V$1005:$AE$1005,1,MATCH(COLUMNS($V$1006:AE1006),$V$1006:$AE$1006,0))&gt;=100000), " ",IF(INDEX($V$2:$AE$1001,MATCH(ROWS($O$2:O455),$O$2:$O$1001,0),MATCH(COLUMNS($V$1006:AE1006),$V$1006:$AE$1006,0)), HYPERLINK("#",""), HYPERLINK(CONCATENATE("#Metadata!", ADDRESS(INDEX($Q$2:$Q$1001,MATCH(ROWS($O$2:O455),$O$2:$O$1001,0),0), INDEX($V$1004:$AE$1004,1,MATCH(COLUMNS($V$1006:AE1006),$V$1006:$AE$1006,0)))),"Fix")))</f>
        <v>0</v>
      </c>
      <c r="O455">
        <v>0</v>
      </c>
      <c r="P455">
        <v>0</v>
      </c>
      <c r="Q455">
        <v>0</v>
      </c>
      <c r="R455">
        <f>IF(S455,TRUE,AND(V455:AE455))</f>
        <v>0</v>
      </c>
      <c r="S455">
        <f>COUNTBLANK(Metadata!B455:K455)=COLUMNS(Metadata!B455:K455)</f>
        <v>0</v>
      </c>
      <c r="T455">
        <v>0</v>
      </c>
      <c r="V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W455">
        <f>AND(IF(Metadata!C455="",FALSE,TRUE),exact(Metadata!C455,"animal secretion"))</f>
        <v>0</v>
      </c>
      <c r="X455">
        <f>AND(IF(Metadata!D455="",FALSE,TRUE),exact(Metadata!D455,"saliva"))</f>
        <v>0</v>
      </c>
      <c r="Y455">
        <f>AND(IF(Metadata!E455="",FALSE,TRUE),exact(Metadata!E455,"human-oral"))</f>
        <v>0</v>
      </c>
      <c r="Z455">
        <f>AND(IF(Metadata!F455="",FALSE,TRUE),exact(Metadata!F455,"UBERON:oral cavity"))</f>
        <v>0</v>
      </c>
      <c r="AA455">
        <f>AND(IF(Metadata!G455="",FALSE,TRUE),exact(Metadata!G455,"UBERON:saliva"))</f>
        <v>0</v>
      </c>
      <c r="AB455">
        <f>AND(IF(Metadata!H455="",FALSE,TRUE),exact(Metadata!H455,"UBERON:tongue"))</f>
        <v>0</v>
      </c>
      <c r="AC455">
        <f>AND(IF(Metadata!I455="",FALSE,TRUE),exact(Metadata!I455,"tongue"))</f>
        <v>0</v>
      </c>
      <c r="AD455">
        <f>AND(IF(Metadata!J455="",FALSE,TRUE),exact(Metadata!J455,"human oral metagenome"))</f>
        <v>0</v>
      </c>
      <c r="AE455">
        <f>AND(IF(Metadata!K455="",FALSE,TRUE),exact(Metadata!K455,"447426"))</f>
        <v>0</v>
      </c>
    </row>
    <row r="456" spans="1:31">
      <c r="A456" s="4">
        <f>IF(B456=" "," ",HYPERLINK(CONCATENATE("#metadata!",ADDRESS(INDEX($Q$2:$Q$1001,MATCH(ROWS($O$2:O456),$O$2:$O$1001,0),0),1)),INDEX($T$2:$T$1001,MATCH(ROWS($O$2:O456),$O$2:$O$1001,0),0)))</f>
        <v>0</v>
      </c>
      <c r="B456" s="3">
        <f>IF(OR(INDEX($P$2:$P$1001,MATCH(ROWS($O$2:O456),$O$2:$O$1001,0),1)&gt;=100000,INDEX($V$1005:$AE$1005,1,MATCH(COLUMNS($V$1006:V1006),$V$1006:$AE$1006,0))&gt;=100000), " ",IF(INDEX($V$2:$AE$1001,MATCH(ROWS($O$2:O456),$O$2:$O$1001,0),MATCH(COLUMNS($V$1006:V1006),$V$1006:$AE$1006,0)), HYPERLINK("#",""), HYPERLINK(CONCATENATE("#Metadata!", ADDRESS(INDEX($Q$2:$Q$1001,MATCH(ROWS($O$2:O456),$O$2:$O$1001,0),0), INDEX($V$1004:$AE$1004,1,MATCH(COLUMNS($V$1006:V1006),$V$1006:$AE$1006,0)))),"Fix")))</f>
        <v>0</v>
      </c>
      <c r="C456" s="3">
        <f>IF(OR(INDEX($P$2:$P$1001,MATCH(ROWS($O$2:O456),$O$2:$O$1001,0),1)&gt;=100000,INDEX($V$1005:$AE$1005,1,MATCH(COLUMNS($V$1006:W1006),$V$1006:$AE$1006,0))&gt;=100000), " ",IF(INDEX($V$2:$AE$1001,MATCH(ROWS($O$2:O456),$O$2:$O$1001,0),MATCH(COLUMNS($V$1006:W1006),$V$1006:$AE$1006,0)), HYPERLINK("#",""), HYPERLINK(CONCATENATE("#Metadata!", ADDRESS(INDEX($Q$2:$Q$1001,MATCH(ROWS($O$2:O456),$O$2:$O$1001,0),0), INDEX($V$1004:$AE$1004,1,MATCH(COLUMNS($V$1006:W1006),$V$1006:$AE$1006,0)))),"Fix")))</f>
        <v>0</v>
      </c>
      <c r="D456" s="3">
        <f>IF(OR(INDEX($P$2:$P$1001,MATCH(ROWS($O$2:O456),$O$2:$O$1001,0),1)&gt;=100000,INDEX($V$1005:$AE$1005,1,MATCH(COLUMNS($V$1006:X1006),$V$1006:$AE$1006,0))&gt;=100000), " ",IF(INDEX($V$2:$AE$1001,MATCH(ROWS($O$2:O456),$O$2:$O$1001,0),MATCH(COLUMNS($V$1006:X1006),$V$1006:$AE$1006,0)), HYPERLINK("#",""), HYPERLINK(CONCATENATE("#Metadata!", ADDRESS(INDEX($Q$2:$Q$1001,MATCH(ROWS($O$2:O456),$O$2:$O$1001,0),0), INDEX($V$1004:$AE$1004,1,MATCH(COLUMNS($V$1006:X1006),$V$1006:$AE$1006,0)))),"Fix")))</f>
        <v>0</v>
      </c>
      <c r="E456" s="3">
        <f>IF(OR(INDEX($P$2:$P$1001,MATCH(ROWS($O$2:O456),$O$2:$O$1001,0),1)&gt;=100000,INDEX($V$1005:$AE$1005,1,MATCH(COLUMNS($V$1006:Y1006),$V$1006:$AE$1006,0))&gt;=100000), " ",IF(INDEX($V$2:$AE$1001,MATCH(ROWS($O$2:O456),$O$2:$O$1001,0),MATCH(COLUMNS($V$1006:Y1006),$V$1006:$AE$1006,0)), HYPERLINK("#",""), HYPERLINK(CONCATENATE("#Metadata!", ADDRESS(INDEX($Q$2:$Q$1001,MATCH(ROWS($O$2:O456),$O$2:$O$1001,0),0), INDEX($V$1004:$AE$1004,1,MATCH(COLUMNS($V$1006:Y1006),$V$1006:$AE$1006,0)))),"Fix")))</f>
        <v>0</v>
      </c>
      <c r="F456" s="3">
        <f>IF(OR(INDEX($P$2:$P$1001,MATCH(ROWS($O$2:O456),$O$2:$O$1001,0),1)&gt;=100000,INDEX($V$1005:$AE$1005,1,MATCH(COLUMNS($V$1006:Z1006),$V$1006:$AE$1006,0))&gt;=100000), " ",IF(INDEX($V$2:$AE$1001,MATCH(ROWS($O$2:O456),$O$2:$O$1001,0),MATCH(COLUMNS($V$1006:Z1006),$V$1006:$AE$1006,0)), HYPERLINK("#",""), HYPERLINK(CONCATENATE("#Metadata!", ADDRESS(INDEX($Q$2:$Q$1001,MATCH(ROWS($O$2:O456),$O$2:$O$1001,0),0), INDEX($V$1004:$AE$1004,1,MATCH(COLUMNS($V$1006:Z1006),$V$1006:$AE$1006,0)))),"Fix")))</f>
        <v>0</v>
      </c>
      <c r="G456" s="3">
        <f>IF(OR(INDEX($P$2:$P$1001,MATCH(ROWS($O$2:O456),$O$2:$O$1001,0),1)&gt;=100000,INDEX($V$1005:$AE$1005,1,MATCH(COLUMNS($V$1006:AA1006),$V$1006:$AE$1006,0))&gt;=100000), " ",IF(INDEX($V$2:$AE$1001,MATCH(ROWS($O$2:O456),$O$2:$O$1001,0),MATCH(COLUMNS($V$1006:AA1006),$V$1006:$AE$1006,0)), HYPERLINK("#",""), HYPERLINK(CONCATENATE("#Metadata!", ADDRESS(INDEX($Q$2:$Q$1001,MATCH(ROWS($O$2:O456),$O$2:$O$1001,0),0), INDEX($V$1004:$AE$1004,1,MATCH(COLUMNS($V$1006:AA1006),$V$1006:$AE$1006,0)))),"Fix")))</f>
        <v>0</v>
      </c>
      <c r="H456" s="3">
        <f>IF(OR(INDEX($P$2:$P$1001,MATCH(ROWS($O$2:O456),$O$2:$O$1001,0),1)&gt;=100000,INDEX($V$1005:$AE$1005,1,MATCH(COLUMNS($V$1006:AB1006),$V$1006:$AE$1006,0))&gt;=100000), " ",IF(INDEX($V$2:$AE$1001,MATCH(ROWS($O$2:O456),$O$2:$O$1001,0),MATCH(COLUMNS($V$1006:AB1006),$V$1006:$AE$1006,0)), HYPERLINK("#",""), HYPERLINK(CONCATENATE("#Metadata!", ADDRESS(INDEX($Q$2:$Q$1001,MATCH(ROWS($O$2:O456),$O$2:$O$1001,0),0), INDEX($V$1004:$AE$1004,1,MATCH(COLUMNS($V$1006:AB1006),$V$1006:$AE$1006,0)))),"Fix")))</f>
        <v>0</v>
      </c>
      <c r="I456" s="3">
        <f>IF(OR(INDEX($P$2:$P$1001,MATCH(ROWS($O$2:O456),$O$2:$O$1001,0),1)&gt;=100000,INDEX($V$1005:$AE$1005,1,MATCH(COLUMNS($V$1006:AC1006),$V$1006:$AE$1006,0))&gt;=100000), " ",IF(INDEX($V$2:$AE$1001,MATCH(ROWS($O$2:O456),$O$2:$O$1001,0),MATCH(COLUMNS($V$1006:AC1006),$V$1006:$AE$1006,0)), HYPERLINK("#",""), HYPERLINK(CONCATENATE("#Metadata!", ADDRESS(INDEX($Q$2:$Q$1001,MATCH(ROWS($O$2:O456),$O$2:$O$1001,0),0), INDEX($V$1004:$AE$1004,1,MATCH(COLUMNS($V$1006:AC1006),$V$1006:$AE$1006,0)))),"Fix")))</f>
        <v>0</v>
      </c>
      <c r="J456" s="3">
        <f>IF(OR(INDEX($P$2:$P$1001,MATCH(ROWS($O$2:O456),$O$2:$O$1001,0),1)&gt;=100000,INDEX($V$1005:$AE$1005,1,MATCH(COLUMNS($V$1006:AD1006),$V$1006:$AE$1006,0))&gt;=100000), " ",IF(INDEX($V$2:$AE$1001,MATCH(ROWS($O$2:O456),$O$2:$O$1001,0),MATCH(COLUMNS($V$1006:AD1006),$V$1006:$AE$1006,0)), HYPERLINK("#",""), HYPERLINK(CONCATENATE("#Metadata!", ADDRESS(INDEX($Q$2:$Q$1001,MATCH(ROWS($O$2:O456),$O$2:$O$1001,0),0), INDEX($V$1004:$AE$1004,1,MATCH(COLUMNS($V$1006:AD1006),$V$1006:$AE$1006,0)))),"Fix")))</f>
        <v>0</v>
      </c>
      <c r="K456" s="3">
        <f>IF(OR(INDEX($P$2:$P$1001,MATCH(ROWS($O$2:O456),$O$2:$O$1001,0),1)&gt;=100000,INDEX($V$1005:$AE$1005,1,MATCH(COLUMNS($V$1006:AE1006),$V$1006:$AE$1006,0))&gt;=100000), " ",IF(INDEX($V$2:$AE$1001,MATCH(ROWS($O$2:O456),$O$2:$O$1001,0),MATCH(COLUMNS($V$1006:AE1006),$V$1006:$AE$1006,0)), HYPERLINK("#",""), HYPERLINK(CONCATENATE("#Metadata!", ADDRESS(INDEX($Q$2:$Q$1001,MATCH(ROWS($O$2:O456),$O$2:$O$1001,0),0), INDEX($V$1004:$AE$1004,1,MATCH(COLUMNS($V$1006:AE1006),$V$1006:$AE$1006,0)))),"Fix")))</f>
        <v>0</v>
      </c>
      <c r="O456">
        <v>0</v>
      </c>
      <c r="P456">
        <v>0</v>
      </c>
      <c r="Q456">
        <v>0</v>
      </c>
      <c r="R456">
        <f>IF(S456,TRUE,AND(V456:AE456))</f>
        <v>0</v>
      </c>
      <c r="S456">
        <f>COUNTBLANK(Metadata!B456:K456)=COLUMNS(Metadata!B456:K456)</f>
        <v>0</v>
      </c>
      <c r="T456">
        <v>0</v>
      </c>
      <c r="V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W456">
        <f>AND(IF(Metadata!C456="",FALSE,TRUE),exact(Metadata!C456,"animal secretion"))</f>
        <v>0</v>
      </c>
      <c r="X456">
        <f>AND(IF(Metadata!D456="",FALSE,TRUE),exact(Metadata!D456,"saliva"))</f>
        <v>0</v>
      </c>
      <c r="Y456">
        <f>AND(IF(Metadata!E456="",FALSE,TRUE),exact(Metadata!E456,"human-oral"))</f>
        <v>0</v>
      </c>
      <c r="Z456">
        <f>AND(IF(Metadata!F456="",FALSE,TRUE),exact(Metadata!F456,"UBERON:oral cavity"))</f>
        <v>0</v>
      </c>
      <c r="AA456">
        <f>AND(IF(Metadata!G456="",FALSE,TRUE),exact(Metadata!G456,"UBERON:saliva"))</f>
        <v>0</v>
      </c>
      <c r="AB456">
        <f>AND(IF(Metadata!H456="",FALSE,TRUE),exact(Metadata!H456,"UBERON:tongue"))</f>
        <v>0</v>
      </c>
      <c r="AC456">
        <f>AND(IF(Metadata!I456="",FALSE,TRUE),exact(Metadata!I456,"tongue"))</f>
        <v>0</v>
      </c>
      <c r="AD456">
        <f>AND(IF(Metadata!J456="",FALSE,TRUE),exact(Metadata!J456,"human oral metagenome"))</f>
        <v>0</v>
      </c>
      <c r="AE456">
        <f>AND(IF(Metadata!K456="",FALSE,TRUE),exact(Metadata!K456,"447426"))</f>
        <v>0</v>
      </c>
    </row>
    <row r="457" spans="1:31">
      <c r="A457" s="4">
        <f>IF(B457=" "," ",HYPERLINK(CONCATENATE("#metadata!",ADDRESS(INDEX($Q$2:$Q$1001,MATCH(ROWS($O$2:O457),$O$2:$O$1001,0),0),1)),INDEX($T$2:$T$1001,MATCH(ROWS($O$2:O457),$O$2:$O$1001,0),0)))</f>
        <v>0</v>
      </c>
      <c r="B457" s="3">
        <f>IF(OR(INDEX($P$2:$P$1001,MATCH(ROWS($O$2:O457),$O$2:$O$1001,0),1)&gt;=100000,INDEX($V$1005:$AE$1005,1,MATCH(COLUMNS($V$1006:V1006),$V$1006:$AE$1006,0))&gt;=100000), " ",IF(INDEX($V$2:$AE$1001,MATCH(ROWS($O$2:O457),$O$2:$O$1001,0),MATCH(COLUMNS($V$1006:V1006),$V$1006:$AE$1006,0)), HYPERLINK("#",""), HYPERLINK(CONCATENATE("#Metadata!", ADDRESS(INDEX($Q$2:$Q$1001,MATCH(ROWS($O$2:O457),$O$2:$O$1001,0),0), INDEX($V$1004:$AE$1004,1,MATCH(COLUMNS($V$1006:V1006),$V$1006:$AE$1006,0)))),"Fix")))</f>
        <v>0</v>
      </c>
      <c r="C457" s="3">
        <f>IF(OR(INDEX($P$2:$P$1001,MATCH(ROWS($O$2:O457),$O$2:$O$1001,0),1)&gt;=100000,INDEX($V$1005:$AE$1005,1,MATCH(COLUMNS($V$1006:W1006),$V$1006:$AE$1006,0))&gt;=100000), " ",IF(INDEX($V$2:$AE$1001,MATCH(ROWS($O$2:O457),$O$2:$O$1001,0),MATCH(COLUMNS($V$1006:W1006),$V$1006:$AE$1006,0)), HYPERLINK("#",""), HYPERLINK(CONCATENATE("#Metadata!", ADDRESS(INDEX($Q$2:$Q$1001,MATCH(ROWS($O$2:O457),$O$2:$O$1001,0),0), INDEX($V$1004:$AE$1004,1,MATCH(COLUMNS($V$1006:W1006),$V$1006:$AE$1006,0)))),"Fix")))</f>
        <v>0</v>
      </c>
      <c r="D457" s="3">
        <f>IF(OR(INDEX($P$2:$P$1001,MATCH(ROWS($O$2:O457),$O$2:$O$1001,0),1)&gt;=100000,INDEX($V$1005:$AE$1005,1,MATCH(COLUMNS($V$1006:X1006),$V$1006:$AE$1006,0))&gt;=100000), " ",IF(INDEX($V$2:$AE$1001,MATCH(ROWS($O$2:O457),$O$2:$O$1001,0),MATCH(COLUMNS($V$1006:X1006),$V$1006:$AE$1006,0)), HYPERLINK("#",""), HYPERLINK(CONCATENATE("#Metadata!", ADDRESS(INDEX($Q$2:$Q$1001,MATCH(ROWS($O$2:O457),$O$2:$O$1001,0),0), INDEX($V$1004:$AE$1004,1,MATCH(COLUMNS($V$1006:X1006),$V$1006:$AE$1006,0)))),"Fix")))</f>
        <v>0</v>
      </c>
      <c r="E457" s="3">
        <f>IF(OR(INDEX($P$2:$P$1001,MATCH(ROWS($O$2:O457),$O$2:$O$1001,0),1)&gt;=100000,INDEX($V$1005:$AE$1005,1,MATCH(COLUMNS($V$1006:Y1006),$V$1006:$AE$1006,0))&gt;=100000), " ",IF(INDEX($V$2:$AE$1001,MATCH(ROWS($O$2:O457),$O$2:$O$1001,0),MATCH(COLUMNS($V$1006:Y1006),$V$1006:$AE$1006,0)), HYPERLINK("#",""), HYPERLINK(CONCATENATE("#Metadata!", ADDRESS(INDEX($Q$2:$Q$1001,MATCH(ROWS($O$2:O457),$O$2:$O$1001,0),0), INDEX($V$1004:$AE$1004,1,MATCH(COLUMNS($V$1006:Y1006),$V$1006:$AE$1006,0)))),"Fix")))</f>
        <v>0</v>
      </c>
      <c r="F457" s="3">
        <f>IF(OR(INDEX($P$2:$P$1001,MATCH(ROWS($O$2:O457),$O$2:$O$1001,0),1)&gt;=100000,INDEX($V$1005:$AE$1005,1,MATCH(COLUMNS($V$1006:Z1006),$V$1006:$AE$1006,0))&gt;=100000), " ",IF(INDEX($V$2:$AE$1001,MATCH(ROWS($O$2:O457),$O$2:$O$1001,0),MATCH(COLUMNS($V$1006:Z1006),$V$1006:$AE$1006,0)), HYPERLINK("#",""), HYPERLINK(CONCATENATE("#Metadata!", ADDRESS(INDEX($Q$2:$Q$1001,MATCH(ROWS($O$2:O457),$O$2:$O$1001,0),0), INDEX($V$1004:$AE$1004,1,MATCH(COLUMNS($V$1006:Z1006),$V$1006:$AE$1006,0)))),"Fix")))</f>
        <v>0</v>
      </c>
      <c r="G457" s="3">
        <f>IF(OR(INDEX($P$2:$P$1001,MATCH(ROWS($O$2:O457),$O$2:$O$1001,0),1)&gt;=100000,INDEX($V$1005:$AE$1005,1,MATCH(COLUMNS($V$1006:AA1006),$V$1006:$AE$1006,0))&gt;=100000), " ",IF(INDEX($V$2:$AE$1001,MATCH(ROWS($O$2:O457),$O$2:$O$1001,0),MATCH(COLUMNS($V$1006:AA1006),$V$1006:$AE$1006,0)), HYPERLINK("#",""), HYPERLINK(CONCATENATE("#Metadata!", ADDRESS(INDEX($Q$2:$Q$1001,MATCH(ROWS($O$2:O457),$O$2:$O$1001,0),0), INDEX($V$1004:$AE$1004,1,MATCH(COLUMNS($V$1006:AA1006),$V$1006:$AE$1006,0)))),"Fix")))</f>
        <v>0</v>
      </c>
      <c r="H457" s="3">
        <f>IF(OR(INDEX($P$2:$P$1001,MATCH(ROWS($O$2:O457),$O$2:$O$1001,0),1)&gt;=100000,INDEX($V$1005:$AE$1005,1,MATCH(COLUMNS($V$1006:AB1006),$V$1006:$AE$1006,0))&gt;=100000), " ",IF(INDEX($V$2:$AE$1001,MATCH(ROWS($O$2:O457),$O$2:$O$1001,0),MATCH(COLUMNS($V$1006:AB1006),$V$1006:$AE$1006,0)), HYPERLINK("#",""), HYPERLINK(CONCATENATE("#Metadata!", ADDRESS(INDEX($Q$2:$Q$1001,MATCH(ROWS($O$2:O457),$O$2:$O$1001,0),0), INDEX($V$1004:$AE$1004,1,MATCH(COLUMNS($V$1006:AB1006),$V$1006:$AE$1006,0)))),"Fix")))</f>
        <v>0</v>
      </c>
      <c r="I457" s="3">
        <f>IF(OR(INDEX($P$2:$P$1001,MATCH(ROWS($O$2:O457),$O$2:$O$1001,0),1)&gt;=100000,INDEX($V$1005:$AE$1005,1,MATCH(COLUMNS($V$1006:AC1006),$V$1006:$AE$1006,0))&gt;=100000), " ",IF(INDEX($V$2:$AE$1001,MATCH(ROWS($O$2:O457),$O$2:$O$1001,0),MATCH(COLUMNS($V$1006:AC1006),$V$1006:$AE$1006,0)), HYPERLINK("#",""), HYPERLINK(CONCATENATE("#Metadata!", ADDRESS(INDEX($Q$2:$Q$1001,MATCH(ROWS($O$2:O457),$O$2:$O$1001,0),0), INDEX($V$1004:$AE$1004,1,MATCH(COLUMNS($V$1006:AC1006),$V$1006:$AE$1006,0)))),"Fix")))</f>
        <v>0</v>
      </c>
      <c r="J457" s="3">
        <f>IF(OR(INDEX($P$2:$P$1001,MATCH(ROWS($O$2:O457),$O$2:$O$1001,0),1)&gt;=100000,INDEX($V$1005:$AE$1005,1,MATCH(COLUMNS($V$1006:AD1006),$V$1006:$AE$1006,0))&gt;=100000), " ",IF(INDEX($V$2:$AE$1001,MATCH(ROWS($O$2:O457),$O$2:$O$1001,0),MATCH(COLUMNS($V$1006:AD1006),$V$1006:$AE$1006,0)), HYPERLINK("#",""), HYPERLINK(CONCATENATE("#Metadata!", ADDRESS(INDEX($Q$2:$Q$1001,MATCH(ROWS($O$2:O457),$O$2:$O$1001,0),0), INDEX($V$1004:$AE$1004,1,MATCH(COLUMNS($V$1006:AD1006),$V$1006:$AE$1006,0)))),"Fix")))</f>
        <v>0</v>
      </c>
      <c r="K457" s="3">
        <f>IF(OR(INDEX($P$2:$P$1001,MATCH(ROWS($O$2:O457),$O$2:$O$1001,0),1)&gt;=100000,INDEX($V$1005:$AE$1005,1,MATCH(COLUMNS($V$1006:AE1006),$V$1006:$AE$1006,0))&gt;=100000), " ",IF(INDEX($V$2:$AE$1001,MATCH(ROWS($O$2:O457),$O$2:$O$1001,0),MATCH(COLUMNS($V$1006:AE1006),$V$1006:$AE$1006,0)), HYPERLINK("#",""), HYPERLINK(CONCATENATE("#Metadata!", ADDRESS(INDEX($Q$2:$Q$1001,MATCH(ROWS($O$2:O457),$O$2:$O$1001,0),0), INDEX($V$1004:$AE$1004,1,MATCH(COLUMNS($V$1006:AE1006),$V$1006:$AE$1006,0)))),"Fix")))</f>
        <v>0</v>
      </c>
      <c r="O457">
        <v>0</v>
      </c>
      <c r="P457">
        <v>0</v>
      </c>
      <c r="Q457">
        <v>0</v>
      </c>
      <c r="R457">
        <f>IF(S457,TRUE,AND(V457:AE457))</f>
        <v>0</v>
      </c>
      <c r="S457">
        <f>COUNTBLANK(Metadata!B457:K457)=COLUMNS(Metadata!B457:K457)</f>
        <v>0</v>
      </c>
      <c r="T457">
        <v>0</v>
      </c>
      <c r="V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W457">
        <f>AND(IF(Metadata!C457="",FALSE,TRUE),exact(Metadata!C457,"animal secretion"))</f>
        <v>0</v>
      </c>
      <c r="X457">
        <f>AND(IF(Metadata!D457="",FALSE,TRUE),exact(Metadata!D457,"saliva"))</f>
        <v>0</v>
      </c>
      <c r="Y457">
        <f>AND(IF(Metadata!E457="",FALSE,TRUE),exact(Metadata!E457,"human-oral"))</f>
        <v>0</v>
      </c>
      <c r="Z457">
        <f>AND(IF(Metadata!F457="",FALSE,TRUE),exact(Metadata!F457,"UBERON:oral cavity"))</f>
        <v>0</v>
      </c>
      <c r="AA457">
        <f>AND(IF(Metadata!G457="",FALSE,TRUE),exact(Metadata!G457,"UBERON:saliva"))</f>
        <v>0</v>
      </c>
      <c r="AB457">
        <f>AND(IF(Metadata!H457="",FALSE,TRUE),exact(Metadata!H457,"UBERON:tongue"))</f>
        <v>0</v>
      </c>
      <c r="AC457">
        <f>AND(IF(Metadata!I457="",FALSE,TRUE),exact(Metadata!I457,"tongue"))</f>
        <v>0</v>
      </c>
      <c r="AD457">
        <f>AND(IF(Metadata!J457="",FALSE,TRUE),exact(Metadata!J457,"human oral metagenome"))</f>
        <v>0</v>
      </c>
      <c r="AE457">
        <f>AND(IF(Metadata!K457="",FALSE,TRUE),exact(Metadata!K457,"447426"))</f>
        <v>0</v>
      </c>
    </row>
    <row r="458" spans="1:31">
      <c r="A458" s="4">
        <f>IF(B458=" "," ",HYPERLINK(CONCATENATE("#metadata!",ADDRESS(INDEX($Q$2:$Q$1001,MATCH(ROWS($O$2:O458),$O$2:$O$1001,0),0),1)),INDEX($T$2:$T$1001,MATCH(ROWS($O$2:O458),$O$2:$O$1001,0),0)))</f>
        <v>0</v>
      </c>
      <c r="B458" s="3">
        <f>IF(OR(INDEX($P$2:$P$1001,MATCH(ROWS($O$2:O458),$O$2:$O$1001,0),1)&gt;=100000,INDEX($V$1005:$AE$1005,1,MATCH(COLUMNS($V$1006:V1006),$V$1006:$AE$1006,0))&gt;=100000), " ",IF(INDEX($V$2:$AE$1001,MATCH(ROWS($O$2:O458),$O$2:$O$1001,0),MATCH(COLUMNS($V$1006:V1006),$V$1006:$AE$1006,0)), HYPERLINK("#",""), HYPERLINK(CONCATENATE("#Metadata!", ADDRESS(INDEX($Q$2:$Q$1001,MATCH(ROWS($O$2:O458),$O$2:$O$1001,0),0), INDEX($V$1004:$AE$1004,1,MATCH(COLUMNS($V$1006:V1006),$V$1006:$AE$1006,0)))),"Fix")))</f>
        <v>0</v>
      </c>
      <c r="C458" s="3">
        <f>IF(OR(INDEX($P$2:$P$1001,MATCH(ROWS($O$2:O458),$O$2:$O$1001,0),1)&gt;=100000,INDEX($V$1005:$AE$1005,1,MATCH(COLUMNS($V$1006:W1006),$V$1006:$AE$1006,0))&gt;=100000), " ",IF(INDEX($V$2:$AE$1001,MATCH(ROWS($O$2:O458),$O$2:$O$1001,0),MATCH(COLUMNS($V$1006:W1006),$V$1006:$AE$1006,0)), HYPERLINK("#",""), HYPERLINK(CONCATENATE("#Metadata!", ADDRESS(INDEX($Q$2:$Q$1001,MATCH(ROWS($O$2:O458),$O$2:$O$1001,0),0), INDEX($V$1004:$AE$1004,1,MATCH(COLUMNS($V$1006:W1006),$V$1006:$AE$1006,0)))),"Fix")))</f>
        <v>0</v>
      </c>
      <c r="D458" s="3">
        <f>IF(OR(INDEX($P$2:$P$1001,MATCH(ROWS($O$2:O458),$O$2:$O$1001,0),1)&gt;=100000,INDEX($V$1005:$AE$1005,1,MATCH(COLUMNS($V$1006:X1006),$V$1006:$AE$1006,0))&gt;=100000), " ",IF(INDEX($V$2:$AE$1001,MATCH(ROWS($O$2:O458),$O$2:$O$1001,0),MATCH(COLUMNS($V$1006:X1006),$V$1006:$AE$1006,0)), HYPERLINK("#",""), HYPERLINK(CONCATENATE("#Metadata!", ADDRESS(INDEX($Q$2:$Q$1001,MATCH(ROWS($O$2:O458),$O$2:$O$1001,0),0), INDEX($V$1004:$AE$1004,1,MATCH(COLUMNS($V$1006:X1006),$V$1006:$AE$1006,0)))),"Fix")))</f>
        <v>0</v>
      </c>
      <c r="E458" s="3">
        <f>IF(OR(INDEX($P$2:$P$1001,MATCH(ROWS($O$2:O458),$O$2:$O$1001,0),1)&gt;=100000,INDEX($V$1005:$AE$1005,1,MATCH(COLUMNS($V$1006:Y1006),$V$1006:$AE$1006,0))&gt;=100000), " ",IF(INDEX($V$2:$AE$1001,MATCH(ROWS($O$2:O458),$O$2:$O$1001,0),MATCH(COLUMNS($V$1006:Y1006),$V$1006:$AE$1006,0)), HYPERLINK("#",""), HYPERLINK(CONCATENATE("#Metadata!", ADDRESS(INDEX($Q$2:$Q$1001,MATCH(ROWS($O$2:O458),$O$2:$O$1001,0),0), INDEX($V$1004:$AE$1004,1,MATCH(COLUMNS($V$1006:Y1006),$V$1006:$AE$1006,0)))),"Fix")))</f>
        <v>0</v>
      </c>
      <c r="F458" s="3">
        <f>IF(OR(INDEX($P$2:$P$1001,MATCH(ROWS($O$2:O458),$O$2:$O$1001,0),1)&gt;=100000,INDEX($V$1005:$AE$1005,1,MATCH(COLUMNS($V$1006:Z1006),$V$1006:$AE$1006,0))&gt;=100000), " ",IF(INDEX($V$2:$AE$1001,MATCH(ROWS($O$2:O458),$O$2:$O$1001,0),MATCH(COLUMNS($V$1006:Z1006),$V$1006:$AE$1006,0)), HYPERLINK("#",""), HYPERLINK(CONCATENATE("#Metadata!", ADDRESS(INDEX($Q$2:$Q$1001,MATCH(ROWS($O$2:O458),$O$2:$O$1001,0),0), INDEX($V$1004:$AE$1004,1,MATCH(COLUMNS($V$1006:Z1006),$V$1006:$AE$1006,0)))),"Fix")))</f>
        <v>0</v>
      </c>
      <c r="G458" s="3">
        <f>IF(OR(INDEX($P$2:$P$1001,MATCH(ROWS($O$2:O458),$O$2:$O$1001,0),1)&gt;=100000,INDEX($V$1005:$AE$1005,1,MATCH(COLUMNS($V$1006:AA1006),$V$1006:$AE$1006,0))&gt;=100000), " ",IF(INDEX($V$2:$AE$1001,MATCH(ROWS($O$2:O458),$O$2:$O$1001,0),MATCH(COLUMNS($V$1006:AA1006),$V$1006:$AE$1006,0)), HYPERLINK("#",""), HYPERLINK(CONCATENATE("#Metadata!", ADDRESS(INDEX($Q$2:$Q$1001,MATCH(ROWS($O$2:O458),$O$2:$O$1001,0),0), INDEX($V$1004:$AE$1004,1,MATCH(COLUMNS($V$1006:AA1006),$V$1006:$AE$1006,0)))),"Fix")))</f>
        <v>0</v>
      </c>
      <c r="H458" s="3">
        <f>IF(OR(INDEX($P$2:$P$1001,MATCH(ROWS($O$2:O458),$O$2:$O$1001,0),1)&gt;=100000,INDEX($V$1005:$AE$1005,1,MATCH(COLUMNS($V$1006:AB1006),$V$1006:$AE$1006,0))&gt;=100000), " ",IF(INDEX($V$2:$AE$1001,MATCH(ROWS($O$2:O458),$O$2:$O$1001,0),MATCH(COLUMNS($V$1006:AB1006),$V$1006:$AE$1006,0)), HYPERLINK("#",""), HYPERLINK(CONCATENATE("#Metadata!", ADDRESS(INDEX($Q$2:$Q$1001,MATCH(ROWS($O$2:O458),$O$2:$O$1001,0),0), INDEX($V$1004:$AE$1004,1,MATCH(COLUMNS($V$1006:AB1006),$V$1006:$AE$1006,0)))),"Fix")))</f>
        <v>0</v>
      </c>
      <c r="I458" s="3">
        <f>IF(OR(INDEX($P$2:$P$1001,MATCH(ROWS($O$2:O458),$O$2:$O$1001,0),1)&gt;=100000,INDEX($V$1005:$AE$1005,1,MATCH(COLUMNS($V$1006:AC1006),$V$1006:$AE$1006,0))&gt;=100000), " ",IF(INDEX($V$2:$AE$1001,MATCH(ROWS($O$2:O458),$O$2:$O$1001,0),MATCH(COLUMNS($V$1006:AC1006),$V$1006:$AE$1006,0)), HYPERLINK("#",""), HYPERLINK(CONCATENATE("#Metadata!", ADDRESS(INDEX($Q$2:$Q$1001,MATCH(ROWS($O$2:O458),$O$2:$O$1001,0),0), INDEX($V$1004:$AE$1004,1,MATCH(COLUMNS($V$1006:AC1006),$V$1006:$AE$1006,0)))),"Fix")))</f>
        <v>0</v>
      </c>
      <c r="J458" s="3">
        <f>IF(OR(INDEX($P$2:$P$1001,MATCH(ROWS($O$2:O458),$O$2:$O$1001,0),1)&gt;=100000,INDEX($V$1005:$AE$1005,1,MATCH(COLUMNS($V$1006:AD1006),$V$1006:$AE$1006,0))&gt;=100000), " ",IF(INDEX($V$2:$AE$1001,MATCH(ROWS($O$2:O458),$O$2:$O$1001,0),MATCH(COLUMNS($V$1006:AD1006),$V$1006:$AE$1006,0)), HYPERLINK("#",""), HYPERLINK(CONCATENATE("#Metadata!", ADDRESS(INDEX($Q$2:$Q$1001,MATCH(ROWS($O$2:O458),$O$2:$O$1001,0),0), INDEX($V$1004:$AE$1004,1,MATCH(COLUMNS($V$1006:AD1006),$V$1006:$AE$1006,0)))),"Fix")))</f>
        <v>0</v>
      </c>
      <c r="K458" s="3">
        <f>IF(OR(INDEX($P$2:$P$1001,MATCH(ROWS($O$2:O458),$O$2:$O$1001,0),1)&gt;=100000,INDEX($V$1005:$AE$1005,1,MATCH(COLUMNS($V$1006:AE1006),$V$1006:$AE$1006,0))&gt;=100000), " ",IF(INDEX($V$2:$AE$1001,MATCH(ROWS($O$2:O458),$O$2:$O$1001,0),MATCH(COLUMNS($V$1006:AE1006),$V$1006:$AE$1006,0)), HYPERLINK("#",""), HYPERLINK(CONCATENATE("#Metadata!", ADDRESS(INDEX($Q$2:$Q$1001,MATCH(ROWS($O$2:O458),$O$2:$O$1001,0),0), INDEX($V$1004:$AE$1004,1,MATCH(COLUMNS($V$1006:AE1006),$V$1006:$AE$1006,0)))),"Fix")))</f>
        <v>0</v>
      </c>
      <c r="O458">
        <v>0</v>
      </c>
      <c r="P458">
        <v>0</v>
      </c>
      <c r="Q458">
        <v>0</v>
      </c>
      <c r="R458">
        <f>IF(S458,TRUE,AND(V458:AE458))</f>
        <v>0</v>
      </c>
      <c r="S458">
        <f>COUNTBLANK(Metadata!B458:K458)=COLUMNS(Metadata!B458:K458)</f>
        <v>0</v>
      </c>
      <c r="T458">
        <v>0</v>
      </c>
      <c r="V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W458">
        <f>AND(IF(Metadata!C458="",FALSE,TRUE),exact(Metadata!C458,"animal secretion"))</f>
        <v>0</v>
      </c>
      <c r="X458">
        <f>AND(IF(Metadata!D458="",FALSE,TRUE),exact(Metadata!D458,"saliva"))</f>
        <v>0</v>
      </c>
      <c r="Y458">
        <f>AND(IF(Metadata!E458="",FALSE,TRUE),exact(Metadata!E458,"human-oral"))</f>
        <v>0</v>
      </c>
      <c r="Z458">
        <f>AND(IF(Metadata!F458="",FALSE,TRUE),exact(Metadata!F458,"UBERON:oral cavity"))</f>
        <v>0</v>
      </c>
      <c r="AA458">
        <f>AND(IF(Metadata!G458="",FALSE,TRUE),exact(Metadata!G458,"UBERON:saliva"))</f>
        <v>0</v>
      </c>
      <c r="AB458">
        <f>AND(IF(Metadata!H458="",FALSE,TRUE),exact(Metadata!H458,"UBERON:tongue"))</f>
        <v>0</v>
      </c>
      <c r="AC458">
        <f>AND(IF(Metadata!I458="",FALSE,TRUE),exact(Metadata!I458,"tongue"))</f>
        <v>0</v>
      </c>
      <c r="AD458">
        <f>AND(IF(Metadata!J458="",FALSE,TRUE),exact(Metadata!J458,"human oral metagenome"))</f>
        <v>0</v>
      </c>
      <c r="AE458">
        <f>AND(IF(Metadata!K458="",FALSE,TRUE),exact(Metadata!K458,"447426"))</f>
        <v>0</v>
      </c>
    </row>
    <row r="459" spans="1:31">
      <c r="A459" s="4">
        <f>IF(B459=" "," ",HYPERLINK(CONCATENATE("#metadata!",ADDRESS(INDEX($Q$2:$Q$1001,MATCH(ROWS($O$2:O459),$O$2:$O$1001,0),0),1)),INDEX($T$2:$T$1001,MATCH(ROWS($O$2:O459),$O$2:$O$1001,0),0)))</f>
        <v>0</v>
      </c>
      <c r="B459" s="3">
        <f>IF(OR(INDEX($P$2:$P$1001,MATCH(ROWS($O$2:O459),$O$2:$O$1001,0),1)&gt;=100000,INDEX($V$1005:$AE$1005,1,MATCH(COLUMNS($V$1006:V1006),$V$1006:$AE$1006,0))&gt;=100000), " ",IF(INDEX($V$2:$AE$1001,MATCH(ROWS($O$2:O459),$O$2:$O$1001,0),MATCH(COLUMNS($V$1006:V1006),$V$1006:$AE$1006,0)), HYPERLINK("#",""), HYPERLINK(CONCATENATE("#Metadata!", ADDRESS(INDEX($Q$2:$Q$1001,MATCH(ROWS($O$2:O459),$O$2:$O$1001,0),0), INDEX($V$1004:$AE$1004,1,MATCH(COLUMNS($V$1006:V1006),$V$1006:$AE$1006,0)))),"Fix")))</f>
        <v>0</v>
      </c>
      <c r="C459" s="3">
        <f>IF(OR(INDEX($P$2:$P$1001,MATCH(ROWS($O$2:O459),$O$2:$O$1001,0),1)&gt;=100000,INDEX($V$1005:$AE$1005,1,MATCH(COLUMNS($V$1006:W1006),$V$1006:$AE$1006,0))&gt;=100000), " ",IF(INDEX($V$2:$AE$1001,MATCH(ROWS($O$2:O459),$O$2:$O$1001,0),MATCH(COLUMNS($V$1006:W1006),$V$1006:$AE$1006,0)), HYPERLINK("#",""), HYPERLINK(CONCATENATE("#Metadata!", ADDRESS(INDEX($Q$2:$Q$1001,MATCH(ROWS($O$2:O459),$O$2:$O$1001,0),0), INDEX($V$1004:$AE$1004,1,MATCH(COLUMNS($V$1006:W1006),$V$1006:$AE$1006,0)))),"Fix")))</f>
        <v>0</v>
      </c>
      <c r="D459" s="3">
        <f>IF(OR(INDEX($P$2:$P$1001,MATCH(ROWS($O$2:O459),$O$2:$O$1001,0),1)&gt;=100000,INDEX($V$1005:$AE$1005,1,MATCH(COLUMNS($V$1006:X1006),$V$1006:$AE$1006,0))&gt;=100000), " ",IF(INDEX($V$2:$AE$1001,MATCH(ROWS($O$2:O459),$O$2:$O$1001,0),MATCH(COLUMNS($V$1006:X1006),$V$1006:$AE$1006,0)), HYPERLINK("#",""), HYPERLINK(CONCATENATE("#Metadata!", ADDRESS(INDEX($Q$2:$Q$1001,MATCH(ROWS($O$2:O459),$O$2:$O$1001,0),0), INDEX($V$1004:$AE$1004,1,MATCH(COLUMNS($V$1006:X1006),$V$1006:$AE$1006,0)))),"Fix")))</f>
        <v>0</v>
      </c>
      <c r="E459" s="3">
        <f>IF(OR(INDEX($P$2:$P$1001,MATCH(ROWS($O$2:O459),$O$2:$O$1001,0),1)&gt;=100000,INDEX($V$1005:$AE$1005,1,MATCH(COLUMNS($V$1006:Y1006),$V$1006:$AE$1006,0))&gt;=100000), " ",IF(INDEX($V$2:$AE$1001,MATCH(ROWS($O$2:O459),$O$2:$O$1001,0),MATCH(COLUMNS($V$1006:Y1006),$V$1006:$AE$1006,0)), HYPERLINK("#",""), HYPERLINK(CONCATENATE("#Metadata!", ADDRESS(INDEX($Q$2:$Q$1001,MATCH(ROWS($O$2:O459),$O$2:$O$1001,0),0), INDEX($V$1004:$AE$1004,1,MATCH(COLUMNS($V$1006:Y1006),$V$1006:$AE$1006,0)))),"Fix")))</f>
        <v>0</v>
      </c>
      <c r="F459" s="3">
        <f>IF(OR(INDEX($P$2:$P$1001,MATCH(ROWS($O$2:O459),$O$2:$O$1001,0),1)&gt;=100000,INDEX($V$1005:$AE$1005,1,MATCH(COLUMNS($V$1006:Z1006),$V$1006:$AE$1006,0))&gt;=100000), " ",IF(INDEX($V$2:$AE$1001,MATCH(ROWS($O$2:O459),$O$2:$O$1001,0),MATCH(COLUMNS($V$1006:Z1006),$V$1006:$AE$1006,0)), HYPERLINK("#",""), HYPERLINK(CONCATENATE("#Metadata!", ADDRESS(INDEX($Q$2:$Q$1001,MATCH(ROWS($O$2:O459),$O$2:$O$1001,0),0), INDEX($V$1004:$AE$1004,1,MATCH(COLUMNS($V$1006:Z1006),$V$1006:$AE$1006,0)))),"Fix")))</f>
        <v>0</v>
      </c>
      <c r="G459" s="3">
        <f>IF(OR(INDEX($P$2:$P$1001,MATCH(ROWS($O$2:O459),$O$2:$O$1001,0),1)&gt;=100000,INDEX($V$1005:$AE$1005,1,MATCH(COLUMNS($V$1006:AA1006),$V$1006:$AE$1006,0))&gt;=100000), " ",IF(INDEX($V$2:$AE$1001,MATCH(ROWS($O$2:O459),$O$2:$O$1001,0),MATCH(COLUMNS($V$1006:AA1006),$V$1006:$AE$1006,0)), HYPERLINK("#",""), HYPERLINK(CONCATENATE("#Metadata!", ADDRESS(INDEX($Q$2:$Q$1001,MATCH(ROWS($O$2:O459),$O$2:$O$1001,0),0), INDEX($V$1004:$AE$1004,1,MATCH(COLUMNS($V$1006:AA1006),$V$1006:$AE$1006,0)))),"Fix")))</f>
        <v>0</v>
      </c>
      <c r="H459" s="3">
        <f>IF(OR(INDEX($P$2:$P$1001,MATCH(ROWS($O$2:O459),$O$2:$O$1001,0),1)&gt;=100000,INDEX($V$1005:$AE$1005,1,MATCH(COLUMNS($V$1006:AB1006),$V$1006:$AE$1006,0))&gt;=100000), " ",IF(INDEX($V$2:$AE$1001,MATCH(ROWS($O$2:O459),$O$2:$O$1001,0),MATCH(COLUMNS($V$1006:AB1006),$V$1006:$AE$1006,0)), HYPERLINK("#",""), HYPERLINK(CONCATENATE("#Metadata!", ADDRESS(INDEX($Q$2:$Q$1001,MATCH(ROWS($O$2:O459),$O$2:$O$1001,0),0), INDEX($V$1004:$AE$1004,1,MATCH(COLUMNS($V$1006:AB1006),$V$1006:$AE$1006,0)))),"Fix")))</f>
        <v>0</v>
      </c>
      <c r="I459" s="3">
        <f>IF(OR(INDEX($P$2:$P$1001,MATCH(ROWS($O$2:O459),$O$2:$O$1001,0),1)&gt;=100000,INDEX($V$1005:$AE$1005,1,MATCH(COLUMNS($V$1006:AC1006),$V$1006:$AE$1006,0))&gt;=100000), " ",IF(INDEX($V$2:$AE$1001,MATCH(ROWS($O$2:O459),$O$2:$O$1001,0),MATCH(COLUMNS($V$1006:AC1006),$V$1006:$AE$1006,0)), HYPERLINK("#",""), HYPERLINK(CONCATENATE("#Metadata!", ADDRESS(INDEX($Q$2:$Q$1001,MATCH(ROWS($O$2:O459),$O$2:$O$1001,0),0), INDEX($V$1004:$AE$1004,1,MATCH(COLUMNS($V$1006:AC1006),$V$1006:$AE$1006,0)))),"Fix")))</f>
        <v>0</v>
      </c>
      <c r="J459" s="3">
        <f>IF(OR(INDEX($P$2:$P$1001,MATCH(ROWS($O$2:O459),$O$2:$O$1001,0),1)&gt;=100000,INDEX($V$1005:$AE$1005,1,MATCH(COLUMNS($V$1006:AD1006),$V$1006:$AE$1006,0))&gt;=100000), " ",IF(INDEX($V$2:$AE$1001,MATCH(ROWS($O$2:O459),$O$2:$O$1001,0),MATCH(COLUMNS($V$1006:AD1006),$V$1006:$AE$1006,0)), HYPERLINK("#",""), HYPERLINK(CONCATENATE("#Metadata!", ADDRESS(INDEX($Q$2:$Q$1001,MATCH(ROWS($O$2:O459),$O$2:$O$1001,0),0), INDEX($V$1004:$AE$1004,1,MATCH(COLUMNS($V$1006:AD1006),$V$1006:$AE$1006,0)))),"Fix")))</f>
        <v>0</v>
      </c>
      <c r="K459" s="3">
        <f>IF(OR(INDEX($P$2:$P$1001,MATCH(ROWS($O$2:O459),$O$2:$O$1001,0),1)&gt;=100000,INDEX($V$1005:$AE$1005,1,MATCH(COLUMNS($V$1006:AE1006),$V$1006:$AE$1006,0))&gt;=100000), " ",IF(INDEX($V$2:$AE$1001,MATCH(ROWS($O$2:O459),$O$2:$O$1001,0),MATCH(COLUMNS($V$1006:AE1006),$V$1006:$AE$1006,0)), HYPERLINK("#",""), HYPERLINK(CONCATENATE("#Metadata!", ADDRESS(INDEX($Q$2:$Q$1001,MATCH(ROWS($O$2:O459),$O$2:$O$1001,0),0), INDEX($V$1004:$AE$1004,1,MATCH(COLUMNS($V$1006:AE1006),$V$1006:$AE$1006,0)))),"Fix")))</f>
        <v>0</v>
      </c>
      <c r="O459">
        <v>0</v>
      </c>
      <c r="P459">
        <v>0</v>
      </c>
      <c r="Q459">
        <v>0</v>
      </c>
      <c r="R459">
        <f>IF(S459,TRUE,AND(V459:AE459))</f>
        <v>0</v>
      </c>
      <c r="S459">
        <f>COUNTBLANK(Metadata!B459:K459)=COLUMNS(Metadata!B459:K459)</f>
        <v>0</v>
      </c>
      <c r="T459">
        <v>0</v>
      </c>
      <c r="V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W459">
        <f>AND(IF(Metadata!C459="",FALSE,TRUE),exact(Metadata!C459,"animal secretion"))</f>
        <v>0</v>
      </c>
      <c r="X459">
        <f>AND(IF(Metadata!D459="",FALSE,TRUE),exact(Metadata!D459,"saliva"))</f>
        <v>0</v>
      </c>
      <c r="Y459">
        <f>AND(IF(Metadata!E459="",FALSE,TRUE),exact(Metadata!E459,"human-oral"))</f>
        <v>0</v>
      </c>
      <c r="Z459">
        <f>AND(IF(Metadata!F459="",FALSE,TRUE),exact(Metadata!F459,"UBERON:oral cavity"))</f>
        <v>0</v>
      </c>
      <c r="AA459">
        <f>AND(IF(Metadata!G459="",FALSE,TRUE),exact(Metadata!G459,"UBERON:saliva"))</f>
        <v>0</v>
      </c>
      <c r="AB459">
        <f>AND(IF(Metadata!H459="",FALSE,TRUE),exact(Metadata!H459,"UBERON:tongue"))</f>
        <v>0</v>
      </c>
      <c r="AC459">
        <f>AND(IF(Metadata!I459="",FALSE,TRUE),exact(Metadata!I459,"tongue"))</f>
        <v>0</v>
      </c>
      <c r="AD459">
        <f>AND(IF(Metadata!J459="",FALSE,TRUE),exact(Metadata!J459,"human oral metagenome"))</f>
        <v>0</v>
      </c>
      <c r="AE459">
        <f>AND(IF(Metadata!K459="",FALSE,TRUE),exact(Metadata!K459,"447426"))</f>
        <v>0</v>
      </c>
    </row>
    <row r="460" spans="1:31">
      <c r="A460" s="4">
        <f>IF(B460=" "," ",HYPERLINK(CONCATENATE("#metadata!",ADDRESS(INDEX($Q$2:$Q$1001,MATCH(ROWS($O$2:O460),$O$2:$O$1001,0),0),1)),INDEX($T$2:$T$1001,MATCH(ROWS($O$2:O460),$O$2:$O$1001,0),0)))</f>
        <v>0</v>
      </c>
      <c r="B460" s="3">
        <f>IF(OR(INDEX($P$2:$P$1001,MATCH(ROWS($O$2:O460),$O$2:$O$1001,0),1)&gt;=100000,INDEX($V$1005:$AE$1005,1,MATCH(COLUMNS($V$1006:V1006),$V$1006:$AE$1006,0))&gt;=100000), " ",IF(INDEX($V$2:$AE$1001,MATCH(ROWS($O$2:O460),$O$2:$O$1001,0),MATCH(COLUMNS($V$1006:V1006),$V$1006:$AE$1006,0)), HYPERLINK("#",""), HYPERLINK(CONCATENATE("#Metadata!", ADDRESS(INDEX($Q$2:$Q$1001,MATCH(ROWS($O$2:O460),$O$2:$O$1001,0),0), INDEX($V$1004:$AE$1004,1,MATCH(COLUMNS($V$1006:V1006),$V$1006:$AE$1006,0)))),"Fix")))</f>
        <v>0</v>
      </c>
      <c r="C460" s="3">
        <f>IF(OR(INDEX($P$2:$P$1001,MATCH(ROWS($O$2:O460),$O$2:$O$1001,0),1)&gt;=100000,INDEX($V$1005:$AE$1005,1,MATCH(COLUMNS($V$1006:W1006),$V$1006:$AE$1006,0))&gt;=100000), " ",IF(INDEX($V$2:$AE$1001,MATCH(ROWS($O$2:O460),$O$2:$O$1001,0),MATCH(COLUMNS($V$1006:W1006),$V$1006:$AE$1006,0)), HYPERLINK("#",""), HYPERLINK(CONCATENATE("#Metadata!", ADDRESS(INDEX($Q$2:$Q$1001,MATCH(ROWS($O$2:O460),$O$2:$O$1001,0),0), INDEX($V$1004:$AE$1004,1,MATCH(COLUMNS($V$1006:W1006),$V$1006:$AE$1006,0)))),"Fix")))</f>
        <v>0</v>
      </c>
      <c r="D460" s="3">
        <f>IF(OR(INDEX($P$2:$P$1001,MATCH(ROWS($O$2:O460),$O$2:$O$1001,0),1)&gt;=100000,INDEX($V$1005:$AE$1005,1,MATCH(COLUMNS($V$1006:X1006),$V$1006:$AE$1006,0))&gt;=100000), " ",IF(INDEX($V$2:$AE$1001,MATCH(ROWS($O$2:O460),$O$2:$O$1001,0),MATCH(COLUMNS($V$1006:X1006),$V$1006:$AE$1006,0)), HYPERLINK("#",""), HYPERLINK(CONCATENATE("#Metadata!", ADDRESS(INDEX($Q$2:$Q$1001,MATCH(ROWS($O$2:O460),$O$2:$O$1001,0),0), INDEX($V$1004:$AE$1004,1,MATCH(COLUMNS($V$1006:X1006),$V$1006:$AE$1006,0)))),"Fix")))</f>
        <v>0</v>
      </c>
      <c r="E460" s="3">
        <f>IF(OR(INDEX($P$2:$P$1001,MATCH(ROWS($O$2:O460),$O$2:$O$1001,0),1)&gt;=100000,INDEX($V$1005:$AE$1005,1,MATCH(COLUMNS($V$1006:Y1006),$V$1006:$AE$1006,0))&gt;=100000), " ",IF(INDEX($V$2:$AE$1001,MATCH(ROWS($O$2:O460),$O$2:$O$1001,0),MATCH(COLUMNS($V$1006:Y1006),$V$1006:$AE$1006,0)), HYPERLINK("#",""), HYPERLINK(CONCATENATE("#Metadata!", ADDRESS(INDEX($Q$2:$Q$1001,MATCH(ROWS($O$2:O460),$O$2:$O$1001,0),0), INDEX($V$1004:$AE$1004,1,MATCH(COLUMNS($V$1006:Y1006),$V$1006:$AE$1006,0)))),"Fix")))</f>
        <v>0</v>
      </c>
      <c r="F460" s="3">
        <f>IF(OR(INDEX($P$2:$P$1001,MATCH(ROWS($O$2:O460),$O$2:$O$1001,0),1)&gt;=100000,INDEX($V$1005:$AE$1005,1,MATCH(COLUMNS($V$1006:Z1006),$V$1006:$AE$1006,0))&gt;=100000), " ",IF(INDEX($V$2:$AE$1001,MATCH(ROWS($O$2:O460),$O$2:$O$1001,0),MATCH(COLUMNS($V$1006:Z1006),$V$1006:$AE$1006,0)), HYPERLINK("#",""), HYPERLINK(CONCATENATE("#Metadata!", ADDRESS(INDEX($Q$2:$Q$1001,MATCH(ROWS($O$2:O460),$O$2:$O$1001,0),0), INDEX($V$1004:$AE$1004,1,MATCH(COLUMNS($V$1006:Z1006),$V$1006:$AE$1006,0)))),"Fix")))</f>
        <v>0</v>
      </c>
      <c r="G460" s="3">
        <f>IF(OR(INDEX($P$2:$P$1001,MATCH(ROWS($O$2:O460),$O$2:$O$1001,0),1)&gt;=100000,INDEX($V$1005:$AE$1005,1,MATCH(COLUMNS($V$1006:AA1006),$V$1006:$AE$1006,0))&gt;=100000), " ",IF(INDEX($V$2:$AE$1001,MATCH(ROWS($O$2:O460),$O$2:$O$1001,0),MATCH(COLUMNS($V$1006:AA1006),$V$1006:$AE$1006,0)), HYPERLINK("#",""), HYPERLINK(CONCATENATE("#Metadata!", ADDRESS(INDEX($Q$2:$Q$1001,MATCH(ROWS($O$2:O460),$O$2:$O$1001,0),0), INDEX($V$1004:$AE$1004,1,MATCH(COLUMNS($V$1006:AA1006),$V$1006:$AE$1006,0)))),"Fix")))</f>
        <v>0</v>
      </c>
      <c r="H460" s="3">
        <f>IF(OR(INDEX($P$2:$P$1001,MATCH(ROWS($O$2:O460),$O$2:$O$1001,0),1)&gt;=100000,INDEX($V$1005:$AE$1005,1,MATCH(COLUMNS($V$1006:AB1006),$V$1006:$AE$1006,0))&gt;=100000), " ",IF(INDEX($V$2:$AE$1001,MATCH(ROWS($O$2:O460),$O$2:$O$1001,0),MATCH(COLUMNS($V$1006:AB1006),$V$1006:$AE$1006,0)), HYPERLINK("#",""), HYPERLINK(CONCATENATE("#Metadata!", ADDRESS(INDEX($Q$2:$Q$1001,MATCH(ROWS($O$2:O460),$O$2:$O$1001,0),0), INDEX($V$1004:$AE$1004,1,MATCH(COLUMNS($V$1006:AB1006),$V$1006:$AE$1006,0)))),"Fix")))</f>
        <v>0</v>
      </c>
      <c r="I460" s="3">
        <f>IF(OR(INDEX($P$2:$P$1001,MATCH(ROWS($O$2:O460),$O$2:$O$1001,0),1)&gt;=100000,INDEX($V$1005:$AE$1005,1,MATCH(COLUMNS($V$1006:AC1006),$V$1006:$AE$1006,0))&gt;=100000), " ",IF(INDEX($V$2:$AE$1001,MATCH(ROWS($O$2:O460),$O$2:$O$1001,0),MATCH(COLUMNS($V$1006:AC1006),$V$1006:$AE$1006,0)), HYPERLINK("#",""), HYPERLINK(CONCATENATE("#Metadata!", ADDRESS(INDEX($Q$2:$Q$1001,MATCH(ROWS($O$2:O460),$O$2:$O$1001,0),0), INDEX($V$1004:$AE$1004,1,MATCH(COLUMNS($V$1006:AC1006),$V$1006:$AE$1006,0)))),"Fix")))</f>
        <v>0</v>
      </c>
      <c r="J460" s="3">
        <f>IF(OR(INDEX($P$2:$P$1001,MATCH(ROWS($O$2:O460),$O$2:$O$1001,0),1)&gt;=100000,INDEX($V$1005:$AE$1005,1,MATCH(COLUMNS($V$1006:AD1006),$V$1006:$AE$1006,0))&gt;=100000), " ",IF(INDEX($V$2:$AE$1001,MATCH(ROWS($O$2:O460),$O$2:$O$1001,0),MATCH(COLUMNS($V$1006:AD1006),$V$1006:$AE$1006,0)), HYPERLINK("#",""), HYPERLINK(CONCATENATE("#Metadata!", ADDRESS(INDEX($Q$2:$Q$1001,MATCH(ROWS($O$2:O460),$O$2:$O$1001,0),0), INDEX($V$1004:$AE$1004,1,MATCH(COLUMNS($V$1006:AD1006),$V$1006:$AE$1006,0)))),"Fix")))</f>
        <v>0</v>
      </c>
      <c r="K460" s="3">
        <f>IF(OR(INDEX($P$2:$P$1001,MATCH(ROWS($O$2:O460),$O$2:$O$1001,0),1)&gt;=100000,INDEX($V$1005:$AE$1005,1,MATCH(COLUMNS($V$1006:AE1006),$V$1006:$AE$1006,0))&gt;=100000), " ",IF(INDEX($V$2:$AE$1001,MATCH(ROWS($O$2:O460),$O$2:$O$1001,0),MATCH(COLUMNS($V$1006:AE1006),$V$1006:$AE$1006,0)), HYPERLINK("#",""), HYPERLINK(CONCATENATE("#Metadata!", ADDRESS(INDEX($Q$2:$Q$1001,MATCH(ROWS($O$2:O460),$O$2:$O$1001,0),0), INDEX($V$1004:$AE$1004,1,MATCH(COLUMNS($V$1006:AE1006),$V$1006:$AE$1006,0)))),"Fix")))</f>
        <v>0</v>
      </c>
      <c r="O460">
        <v>0</v>
      </c>
      <c r="P460">
        <v>0</v>
      </c>
      <c r="Q460">
        <v>0</v>
      </c>
      <c r="R460">
        <f>IF(S460,TRUE,AND(V460:AE460))</f>
        <v>0</v>
      </c>
      <c r="S460">
        <f>COUNTBLANK(Metadata!B460:K460)=COLUMNS(Metadata!B460:K460)</f>
        <v>0</v>
      </c>
      <c r="T460">
        <v>0</v>
      </c>
      <c r="V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W460">
        <f>AND(IF(Metadata!C460="",FALSE,TRUE),exact(Metadata!C460,"animal secretion"))</f>
        <v>0</v>
      </c>
      <c r="X460">
        <f>AND(IF(Metadata!D460="",FALSE,TRUE),exact(Metadata!D460,"saliva"))</f>
        <v>0</v>
      </c>
      <c r="Y460">
        <f>AND(IF(Metadata!E460="",FALSE,TRUE),exact(Metadata!E460,"human-oral"))</f>
        <v>0</v>
      </c>
      <c r="Z460">
        <f>AND(IF(Metadata!F460="",FALSE,TRUE),exact(Metadata!F460,"UBERON:oral cavity"))</f>
        <v>0</v>
      </c>
      <c r="AA460">
        <f>AND(IF(Metadata!G460="",FALSE,TRUE),exact(Metadata!G460,"UBERON:saliva"))</f>
        <v>0</v>
      </c>
      <c r="AB460">
        <f>AND(IF(Metadata!H460="",FALSE,TRUE),exact(Metadata!H460,"UBERON:tongue"))</f>
        <v>0</v>
      </c>
      <c r="AC460">
        <f>AND(IF(Metadata!I460="",FALSE,TRUE),exact(Metadata!I460,"tongue"))</f>
        <v>0</v>
      </c>
      <c r="AD460">
        <f>AND(IF(Metadata!J460="",FALSE,TRUE),exact(Metadata!J460,"human oral metagenome"))</f>
        <v>0</v>
      </c>
      <c r="AE460">
        <f>AND(IF(Metadata!K460="",FALSE,TRUE),exact(Metadata!K460,"447426"))</f>
        <v>0</v>
      </c>
    </row>
    <row r="461" spans="1:31">
      <c r="A461" s="4">
        <f>IF(B461=" "," ",HYPERLINK(CONCATENATE("#metadata!",ADDRESS(INDEX($Q$2:$Q$1001,MATCH(ROWS($O$2:O461),$O$2:$O$1001,0),0),1)),INDEX($T$2:$T$1001,MATCH(ROWS($O$2:O461),$O$2:$O$1001,0),0)))</f>
        <v>0</v>
      </c>
      <c r="B461" s="3">
        <f>IF(OR(INDEX($P$2:$P$1001,MATCH(ROWS($O$2:O461),$O$2:$O$1001,0),1)&gt;=100000,INDEX($V$1005:$AE$1005,1,MATCH(COLUMNS($V$1006:V1006),$V$1006:$AE$1006,0))&gt;=100000), " ",IF(INDEX($V$2:$AE$1001,MATCH(ROWS($O$2:O461),$O$2:$O$1001,0),MATCH(COLUMNS($V$1006:V1006),$V$1006:$AE$1006,0)), HYPERLINK("#",""), HYPERLINK(CONCATENATE("#Metadata!", ADDRESS(INDEX($Q$2:$Q$1001,MATCH(ROWS($O$2:O461),$O$2:$O$1001,0),0), INDEX($V$1004:$AE$1004,1,MATCH(COLUMNS($V$1006:V1006),$V$1006:$AE$1006,0)))),"Fix")))</f>
        <v>0</v>
      </c>
      <c r="C461" s="3">
        <f>IF(OR(INDEX($P$2:$P$1001,MATCH(ROWS($O$2:O461),$O$2:$O$1001,0),1)&gt;=100000,INDEX($V$1005:$AE$1005,1,MATCH(COLUMNS($V$1006:W1006),$V$1006:$AE$1006,0))&gt;=100000), " ",IF(INDEX($V$2:$AE$1001,MATCH(ROWS($O$2:O461),$O$2:$O$1001,0),MATCH(COLUMNS($V$1006:W1006),$V$1006:$AE$1006,0)), HYPERLINK("#",""), HYPERLINK(CONCATENATE("#Metadata!", ADDRESS(INDEX($Q$2:$Q$1001,MATCH(ROWS($O$2:O461),$O$2:$O$1001,0),0), INDEX($V$1004:$AE$1004,1,MATCH(COLUMNS($V$1006:W1006),$V$1006:$AE$1006,0)))),"Fix")))</f>
        <v>0</v>
      </c>
      <c r="D461" s="3">
        <f>IF(OR(INDEX($P$2:$P$1001,MATCH(ROWS($O$2:O461),$O$2:$O$1001,0),1)&gt;=100000,INDEX($V$1005:$AE$1005,1,MATCH(COLUMNS($V$1006:X1006),$V$1006:$AE$1006,0))&gt;=100000), " ",IF(INDEX($V$2:$AE$1001,MATCH(ROWS($O$2:O461),$O$2:$O$1001,0),MATCH(COLUMNS($V$1006:X1006),$V$1006:$AE$1006,0)), HYPERLINK("#",""), HYPERLINK(CONCATENATE("#Metadata!", ADDRESS(INDEX($Q$2:$Q$1001,MATCH(ROWS($O$2:O461),$O$2:$O$1001,0),0), INDEX($V$1004:$AE$1004,1,MATCH(COLUMNS($V$1006:X1006),$V$1006:$AE$1006,0)))),"Fix")))</f>
        <v>0</v>
      </c>
      <c r="E461" s="3">
        <f>IF(OR(INDEX($P$2:$P$1001,MATCH(ROWS($O$2:O461),$O$2:$O$1001,0),1)&gt;=100000,INDEX($V$1005:$AE$1005,1,MATCH(COLUMNS($V$1006:Y1006),$V$1006:$AE$1006,0))&gt;=100000), " ",IF(INDEX($V$2:$AE$1001,MATCH(ROWS($O$2:O461),$O$2:$O$1001,0),MATCH(COLUMNS($V$1006:Y1006),$V$1006:$AE$1006,0)), HYPERLINK("#",""), HYPERLINK(CONCATENATE("#Metadata!", ADDRESS(INDEX($Q$2:$Q$1001,MATCH(ROWS($O$2:O461),$O$2:$O$1001,0),0), INDEX($V$1004:$AE$1004,1,MATCH(COLUMNS($V$1006:Y1006),$V$1006:$AE$1006,0)))),"Fix")))</f>
        <v>0</v>
      </c>
      <c r="F461" s="3">
        <f>IF(OR(INDEX($P$2:$P$1001,MATCH(ROWS($O$2:O461),$O$2:$O$1001,0),1)&gt;=100000,INDEX($V$1005:$AE$1005,1,MATCH(COLUMNS($V$1006:Z1006),$V$1006:$AE$1006,0))&gt;=100000), " ",IF(INDEX($V$2:$AE$1001,MATCH(ROWS($O$2:O461),$O$2:$O$1001,0),MATCH(COLUMNS($V$1006:Z1006),$V$1006:$AE$1006,0)), HYPERLINK("#",""), HYPERLINK(CONCATENATE("#Metadata!", ADDRESS(INDEX($Q$2:$Q$1001,MATCH(ROWS($O$2:O461),$O$2:$O$1001,0),0), INDEX($V$1004:$AE$1004,1,MATCH(COLUMNS($V$1006:Z1006),$V$1006:$AE$1006,0)))),"Fix")))</f>
        <v>0</v>
      </c>
      <c r="G461" s="3">
        <f>IF(OR(INDEX($P$2:$P$1001,MATCH(ROWS($O$2:O461),$O$2:$O$1001,0),1)&gt;=100000,INDEX($V$1005:$AE$1005,1,MATCH(COLUMNS($V$1006:AA1006),$V$1006:$AE$1006,0))&gt;=100000), " ",IF(INDEX($V$2:$AE$1001,MATCH(ROWS($O$2:O461),$O$2:$O$1001,0),MATCH(COLUMNS($V$1006:AA1006),$V$1006:$AE$1006,0)), HYPERLINK("#",""), HYPERLINK(CONCATENATE("#Metadata!", ADDRESS(INDEX($Q$2:$Q$1001,MATCH(ROWS($O$2:O461),$O$2:$O$1001,0),0), INDEX($V$1004:$AE$1004,1,MATCH(COLUMNS($V$1006:AA1006),$V$1006:$AE$1006,0)))),"Fix")))</f>
        <v>0</v>
      </c>
      <c r="H461" s="3">
        <f>IF(OR(INDEX($P$2:$P$1001,MATCH(ROWS($O$2:O461),$O$2:$O$1001,0),1)&gt;=100000,INDEX($V$1005:$AE$1005,1,MATCH(COLUMNS($V$1006:AB1006),$V$1006:$AE$1006,0))&gt;=100000), " ",IF(INDEX($V$2:$AE$1001,MATCH(ROWS($O$2:O461),$O$2:$O$1001,0),MATCH(COLUMNS($V$1006:AB1006),$V$1006:$AE$1006,0)), HYPERLINK("#",""), HYPERLINK(CONCATENATE("#Metadata!", ADDRESS(INDEX($Q$2:$Q$1001,MATCH(ROWS($O$2:O461),$O$2:$O$1001,0),0), INDEX($V$1004:$AE$1004,1,MATCH(COLUMNS($V$1006:AB1006),$V$1006:$AE$1006,0)))),"Fix")))</f>
        <v>0</v>
      </c>
      <c r="I461" s="3">
        <f>IF(OR(INDEX($P$2:$P$1001,MATCH(ROWS($O$2:O461),$O$2:$O$1001,0),1)&gt;=100000,INDEX($V$1005:$AE$1005,1,MATCH(COLUMNS($V$1006:AC1006),$V$1006:$AE$1006,0))&gt;=100000), " ",IF(INDEX($V$2:$AE$1001,MATCH(ROWS($O$2:O461),$O$2:$O$1001,0),MATCH(COLUMNS($V$1006:AC1006),$V$1006:$AE$1006,0)), HYPERLINK("#",""), HYPERLINK(CONCATENATE("#Metadata!", ADDRESS(INDEX($Q$2:$Q$1001,MATCH(ROWS($O$2:O461),$O$2:$O$1001,0),0), INDEX($V$1004:$AE$1004,1,MATCH(COLUMNS($V$1006:AC1006),$V$1006:$AE$1006,0)))),"Fix")))</f>
        <v>0</v>
      </c>
      <c r="J461" s="3">
        <f>IF(OR(INDEX($P$2:$P$1001,MATCH(ROWS($O$2:O461),$O$2:$O$1001,0),1)&gt;=100000,INDEX($V$1005:$AE$1005,1,MATCH(COLUMNS($V$1006:AD1006),$V$1006:$AE$1006,0))&gt;=100000), " ",IF(INDEX($V$2:$AE$1001,MATCH(ROWS($O$2:O461),$O$2:$O$1001,0),MATCH(COLUMNS($V$1006:AD1006),$V$1006:$AE$1006,0)), HYPERLINK("#",""), HYPERLINK(CONCATENATE("#Metadata!", ADDRESS(INDEX($Q$2:$Q$1001,MATCH(ROWS($O$2:O461),$O$2:$O$1001,0),0), INDEX($V$1004:$AE$1004,1,MATCH(COLUMNS($V$1006:AD1006),$V$1006:$AE$1006,0)))),"Fix")))</f>
        <v>0</v>
      </c>
      <c r="K461" s="3">
        <f>IF(OR(INDEX($P$2:$P$1001,MATCH(ROWS($O$2:O461),$O$2:$O$1001,0),1)&gt;=100000,INDEX($V$1005:$AE$1005,1,MATCH(COLUMNS($V$1006:AE1006),$V$1006:$AE$1006,0))&gt;=100000), " ",IF(INDEX($V$2:$AE$1001,MATCH(ROWS($O$2:O461),$O$2:$O$1001,0),MATCH(COLUMNS($V$1006:AE1006),$V$1006:$AE$1006,0)), HYPERLINK("#",""), HYPERLINK(CONCATENATE("#Metadata!", ADDRESS(INDEX($Q$2:$Q$1001,MATCH(ROWS($O$2:O461),$O$2:$O$1001,0),0), INDEX($V$1004:$AE$1004,1,MATCH(COLUMNS($V$1006:AE1006),$V$1006:$AE$1006,0)))),"Fix")))</f>
        <v>0</v>
      </c>
      <c r="O461">
        <v>0</v>
      </c>
      <c r="P461">
        <v>0</v>
      </c>
      <c r="Q461">
        <v>0</v>
      </c>
      <c r="R461">
        <f>IF(S461,TRUE,AND(V461:AE461))</f>
        <v>0</v>
      </c>
      <c r="S461">
        <f>COUNTBLANK(Metadata!B461:K461)=COLUMNS(Metadata!B461:K461)</f>
        <v>0</v>
      </c>
      <c r="T461">
        <v>0</v>
      </c>
      <c r="V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W461">
        <f>AND(IF(Metadata!C461="",FALSE,TRUE),exact(Metadata!C461,"animal secretion"))</f>
        <v>0</v>
      </c>
      <c r="X461">
        <f>AND(IF(Metadata!D461="",FALSE,TRUE),exact(Metadata!D461,"saliva"))</f>
        <v>0</v>
      </c>
      <c r="Y461">
        <f>AND(IF(Metadata!E461="",FALSE,TRUE),exact(Metadata!E461,"human-oral"))</f>
        <v>0</v>
      </c>
      <c r="Z461">
        <f>AND(IF(Metadata!F461="",FALSE,TRUE),exact(Metadata!F461,"UBERON:oral cavity"))</f>
        <v>0</v>
      </c>
      <c r="AA461">
        <f>AND(IF(Metadata!G461="",FALSE,TRUE),exact(Metadata!G461,"UBERON:saliva"))</f>
        <v>0</v>
      </c>
      <c r="AB461">
        <f>AND(IF(Metadata!H461="",FALSE,TRUE),exact(Metadata!H461,"UBERON:tongue"))</f>
        <v>0</v>
      </c>
      <c r="AC461">
        <f>AND(IF(Metadata!I461="",FALSE,TRUE),exact(Metadata!I461,"tongue"))</f>
        <v>0</v>
      </c>
      <c r="AD461">
        <f>AND(IF(Metadata!J461="",FALSE,TRUE),exact(Metadata!J461,"human oral metagenome"))</f>
        <v>0</v>
      </c>
      <c r="AE461">
        <f>AND(IF(Metadata!K461="",FALSE,TRUE),exact(Metadata!K461,"447426"))</f>
        <v>0</v>
      </c>
    </row>
    <row r="462" spans="1:31">
      <c r="A462" s="4">
        <f>IF(B462=" "," ",HYPERLINK(CONCATENATE("#metadata!",ADDRESS(INDEX($Q$2:$Q$1001,MATCH(ROWS($O$2:O462),$O$2:$O$1001,0),0),1)),INDEX($T$2:$T$1001,MATCH(ROWS($O$2:O462),$O$2:$O$1001,0),0)))</f>
        <v>0</v>
      </c>
      <c r="B462" s="3">
        <f>IF(OR(INDEX($P$2:$P$1001,MATCH(ROWS($O$2:O462),$O$2:$O$1001,0),1)&gt;=100000,INDEX($V$1005:$AE$1005,1,MATCH(COLUMNS($V$1006:V1006),$V$1006:$AE$1006,0))&gt;=100000), " ",IF(INDEX($V$2:$AE$1001,MATCH(ROWS($O$2:O462),$O$2:$O$1001,0),MATCH(COLUMNS($V$1006:V1006),$V$1006:$AE$1006,0)), HYPERLINK("#",""), HYPERLINK(CONCATENATE("#Metadata!", ADDRESS(INDEX($Q$2:$Q$1001,MATCH(ROWS($O$2:O462),$O$2:$O$1001,0),0), INDEX($V$1004:$AE$1004,1,MATCH(COLUMNS($V$1006:V1006),$V$1006:$AE$1006,0)))),"Fix")))</f>
        <v>0</v>
      </c>
      <c r="C462" s="3">
        <f>IF(OR(INDEX($P$2:$P$1001,MATCH(ROWS($O$2:O462),$O$2:$O$1001,0),1)&gt;=100000,INDEX($V$1005:$AE$1005,1,MATCH(COLUMNS($V$1006:W1006),$V$1006:$AE$1006,0))&gt;=100000), " ",IF(INDEX($V$2:$AE$1001,MATCH(ROWS($O$2:O462),$O$2:$O$1001,0),MATCH(COLUMNS($V$1006:W1006),$V$1006:$AE$1006,0)), HYPERLINK("#",""), HYPERLINK(CONCATENATE("#Metadata!", ADDRESS(INDEX($Q$2:$Q$1001,MATCH(ROWS($O$2:O462),$O$2:$O$1001,0),0), INDEX($V$1004:$AE$1004,1,MATCH(COLUMNS($V$1006:W1006),$V$1006:$AE$1006,0)))),"Fix")))</f>
        <v>0</v>
      </c>
      <c r="D462" s="3">
        <f>IF(OR(INDEX($P$2:$P$1001,MATCH(ROWS($O$2:O462),$O$2:$O$1001,0),1)&gt;=100000,INDEX($V$1005:$AE$1005,1,MATCH(COLUMNS($V$1006:X1006),$V$1006:$AE$1006,0))&gt;=100000), " ",IF(INDEX($V$2:$AE$1001,MATCH(ROWS($O$2:O462),$O$2:$O$1001,0),MATCH(COLUMNS($V$1006:X1006),$V$1006:$AE$1006,0)), HYPERLINK("#",""), HYPERLINK(CONCATENATE("#Metadata!", ADDRESS(INDEX($Q$2:$Q$1001,MATCH(ROWS($O$2:O462),$O$2:$O$1001,0),0), INDEX($V$1004:$AE$1004,1,MATCH(COLUMNS($V$1006:X1006),$V$1006:$AE$1006,0)))),"Fix")))</f>
        <v>0</v>
      </c>
      <c r="E462" s="3">
        <f>IF(OR(INDEX($P$2:$P$1001,MATCH(ROWS($O$2:O462),$O$2:$O$1001,0),1)&gt;=100000,INDEX($V$1005:$AE$1005,1,MATCH(COLUMNS($V$1006:Y1006),$V$1006:$AE$1006,0))&gt;=100000), " ",IF(INDEX($V$2:$AE$1001,MATCH(ROWS($O$2:O462),$O$2:$O$1001,0),MATCH(COLUMNS($V$1006:Y1006),$V$1006:$AE$1006,0)), HYPERLINK("#",""), HYPERLINK(CONCATENATE("#Metadata!", ADDRESS(INDEX($Q$2:$Q$1001,MATCH(ROWS($O$2:O462),$O$2:$O$1001,0),0), INDEX($V$1004:$AE$1004,1,MATCH(COLUMNS($V$1006:Y1006),$V$1006:$AE$1006,0)))),"Fix")))</f>
        <v>0</v>
      </c>
      <c r="F462" s="3">
        <f>IF(OR(INDEX($P$2:$P$1001,MATCH(ROWS($O$2:O462),$O$2:$O$1001,0),1)&gt;=100000,INDEX($V$1005:$AE$1005,1,MATCH(COLUMNS($V$1006:Z1006),$V$1006:$AE$1006,0))&gt;=100000), " ",IF(INDEX($V$2:$AE$1001,MATCH(ROWS($O$2:O462),$O$2:$O$1001,0),MATCH(COLUMNS($V$1006:Z1006),$V$1006:$AE$1006,0)), HYPERLINK("#",""), HYPERLINK(CONCATENATE("#Metadata!", ADDRESS(INDEX($Q$2:$Q$1001,MATCH(ROWS($O$2:O462),$O$2:$O$1001,0),0), INDEX($V$1004:$AE$1004,1,MATCH(COLUMNS($V$1006:Z1006),$V$1006:$AE$1006,0)))),"Fix")))</f>
        <v>0</v>
      </c>
      <c r="G462" s="3">
        <f>IF(OR(INDEX($P$2:$P$1001,MATCH(ROWS($O$2:O462),$O$2:$O$1001,0),1)&gt;=100000,INDEX($V$1005:$AE$1005,1,MATCH(COLUMNS($V$1006:AA1006),$V$1006:$AE$1006,0))&gt;=100000), " ",IF(INDEX($V$2:$AE$1001,MATCH(ROWS($O$2:O462),$O$2:$O$1001,0),MATCH(COLUMNS($V$1006:AA1006),$V$1006:$AE$1006,0)), HYPERLINK("#",""), HYPERLINK(CONCATENATE("#Metadata!", ADDRESS(INDEX($Q$2:$Q$1001,MATCH(ROWS($O$2:O462),$O$2:$O$1001,0),0), INDEX($V$1004:$AE$1004,1,MATCH(COLUMNS($V$1006:AA1006),$V$1006:$AE$1006,0)))),"Fix")))</f>
        <v>0</v>
      </c>
      <c r="H462" s="3">
        <f>IF(OR(INDEX($P$2:$P$1001,MATCH(ROWS($O$2:O462),$O$2:$O$1001,0),1)&gt;=100000,INDEX($V$1005:$AE$1005,1,MATCH(COLUMNS($V$1006:AB1006),$V$1006:$AE$1006,0))&gt;=100000), " ",IF(INDEX($V$2:$AE$1001,MATCH(ROWS($O$2:O462),$O$2:$O$1001,0),MATCH(COLUMNS($V$1006:AB1006),$V$1006:$AE$1006,0)), HYPERLINK("#",""), HYPERLINK(CONCATENATE("#Metadata!", ADDRESS(INDEX($Q$2:$Q$1001,MATCH(ROWS($O$2:O462),$O$2:$O$1001,0),0), INDEX($V$1004:$AE$1004,1,MATCH(COLUMNS($V$1006:AB1006),$V$1006:$AE$1006,0)))),"Fix")))</f>
        <v>0</v>
      </c>
      <c r="I462" s="3">
        <f>IF(OR(INDEX($P$2:$P$1001,MATCH(ROWS($O$2:O462),$O$2:$O$1001,0),1)&gt;=100000,INDEX($V$1005:$AE$1005,1,MATCH(COLUMNS($V$1006:AC1006),$V$1006:$AE$1006,0))&gt;=100000), " ",IF(INDEX($V$2:$AE$1001,MATCH(ROWS($O$2:O462),$O$2:$O$1001,0),MATCH(COLUMNS($V$1006:AC1006),$V$1006:$AE$1006,0)), HYPERLINK("#",""), HYPERLINK(CONCATENATE("#Metadata!", ADDRESS(INDEX($Q$2:$Q$1001,MATCH(ROWS($O$2:O462),$O$2:$O$1001,0),0), INDEX($V$1004:$AE$1004,1,MATCH(COLUMNS($V$1006:AC1006),$V$1006:$AE$1006,0)))),"Fix")))</f>
        <v>0</v>
      </c>
      <c r="J462" s="3">
        <f>IF(OR(INDEX($P$2:$P$1001,MATCH(ROWS($O$2:O462),$O$2:$O$1001,0),1)&gt;=100000,INDEX($V$1005:$AE$1005,1,MATCH(COLUMNS($V$1006:AD1006),$V$1006:$AE$1006,0))&gt;=100000), " ",IF(INDEX($V$2:$AE$1001,MATCH(ROWS($O$2:O462),$O$2:$O$1001,0),MATCH(COLUMNS($V$1006:AD1006),$V$1006:$AE$1006,0)), HYPERLINK("#",""), HYPERLINK(CONCATENATE("#Metadata!", ADDRESS(INDEX($Q$2:$Q$1001,MATCH(ROWS($O$2:O462),$O$2:$O$1001,0),0), INDEX($V$1004:$AE$1004,1,MATCH(COLUMNS($V$1006:AD1006),$V$1006:$AE$1006,0)))),"Fix")))</f>
        <v>0</v>
      </c>
      <c r="K462" s="3">
        <f>IF(OR(INDEX($P$2:$P$1001,MATCH(ROWS($O$2:O462),$O$2:$O$1001,0),1)&gt;=100000,INDEX($V$1005:$AE$1005,1,MATCH(COLUMNS($V$1006:AE1006),$V$1006:$AE$1006,0))&gt;=100000), " ",IF(INDEX($V$2:$AE$1001,MATCH(ROWS($O$2:O462),$O$2:$O$1001,0),MATCH(COLUMNS($V$1006:AE1006),$V$1006:$AE$1006,0)), HYPERLINK("#",""), HYPERLINK(CONCATENATE("#Metadata!", ADDRESS(INDEX($Q$2:$Q$1001,MATCH(ROWS($O$2:O462),$O$2:$O$1001,0),0), INDEX($V$1004:$AE$1004,1,MATCH(COLUMNS($V$1006:AE1006),$V$1006:$AE$1006,0)))),"Fix")))</f>
        <v>0</v>
      </c>
      <c r="O462">
        <v>0</v>
      </c>
      <c r="P462">
        <v>0</v>
      </c>
      <c r="Q462">
        <v>0</v>
      </c>
      <c r="R462">
        <f>IF(S462,TRUE,AND(V462:AE462))</f>
        <v>0</v>
      </c>
      <c r="S462">
        <f>COUNTBLANK(Metadata!B462:K462)=COLUMNS(Metadata!B462:K462)</f>
        <v>0</v>
      </c>
      <c r="T462">
        <v>0</v>
      </c>
      <c r="V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W462">
        <f>AND(IF(Metadata!C462="",FALSE,TRUE),exact(Metadata!C462,"animal secretion"))</f>
        <v>0</v>
      </c>
      <c r="X462">
        <f>AND(IF(Metadata!D462="",FALSE,TRUE),exact(Metadata!D462,"saliva"))</f>
        <v>0</v>
      </c>
      <c r="Y462">
        <f>AND(IF(Metadata!E462="",FALSE,TRUE),exact(Metadata!E462,"human-oral"))</f>
        <v>0</v>
      </c>
      <c r="Z462">
        <f>AND(IF(Metadata!F462="",FALSE,TRUE),exact(Metadata!F462,"UBERON:oral cavity"))</f>
        <v>0</v>
      </c>
      <c r="AA462">
        <f>AND(IF(Metadata!G462="",FALSE,TRUE),exact(Metadata!G462,"UBERON:saliva"))</f>
        <v>0</v>
      </c>
      <c r="AB462">
        <f>AND(IF(Metadata!H462="",FALSE,TRUE),exact(Metadata!H462,"UBERON:tongue"))</f>
        <v>0</v>
      </c>
      <c r="AC462">
        <f>AND(IF(Metadata!I462="",FALSE,TRUE),exact(Metadata!I462,"tongue"))</f>
        <v>0</v>
      </c>
      <c r="AD462">
        <f>AND(IF(Metadata!J462="",FALSE,TRUE),exact(Metadata!J462,"human oral metagenome"))</f>
        <v>0</v>
      </c>
      <c r="AE462">
        <f>AND(IF(Metadata!K462="",FALSE,TRUE),exact(Metadata!K462,"447426"))</f>
        <v>0</v>
      </c>
    </row>
    <row r="463" spans="1:31">
      <c r="A463" s="4">
        <f>IF(B463=" "," ",HYPERLINK(CONCATENATE("#metadata!",ADDRESS(INDEX($Q$2:$Q$1001,MATCH(ROWS($O$2:O463),$O$2:$O$1001,0),0),1)),INDEX($T$2:$T$1001,MATCH(ROWS($O$2:O463),$O$2:$O$1001,0),0)))</f>
        <v>0</v>
      </c>
      <c r="B463" s="3">
        <f>IF(OR(INDEX($P$2:$P$1001,MATCH(ROWS($O$2:O463),$O$2:$O$1001,0),1)&gt;=100000,INDEX($V$1005:$AE$1005,1,MATCH(COLUMNS($V$1006:V1006),$V$1006:$AE$1006,0))&gt;=100000), " ",IF(INDEX($V$2:$AE$1001,MATCH(ROWS($O$2:O463),$O$2:$O$1001,0),MATCH(COLUMNS($V$1006:V1006),$V$1006:$AE$1006,0)), HYPERLINK("#",""), HYPERLINK(CONCATENATE("#Metadata!", ADDRESS(INDEX($Q$2:$Q$1001,MATCH(ROWS($O$2:O463),$O$2:$O$1001,0),0), INDEX($V$1004:$AE$1004,1,MATCH(COLUMNS($V$1006:V1006),$V$1006:$AE$1006,0)))),"Fix")))</f>
        <v>0</v>
      </c>
      <c r="C463" s="3">
        <f>IF(OR(INDEX($P$2:$P$1001,MATCH(ROWS($O$2:O463),$O$2:$O$1001,0),1)&gt;=100000,INDEX($V$1005:$AE$1005,1,MATCH(COLUMNS($V$1006:W1006),$V$1006:$AE$1006,0))&gt;=100000), " ",IF(INDEX($V$2:$AE$1001,MATCH(ROWS($O$2:O463),$O$2:$O$1001,0),MATCH(COLUMNS($V$1006:W1006),$V$1006:$AE$1006,0)), HYPERLINK("#",""), HYPERLINK(CONCATENATE("#Metadata!", ADDRESS(INDEX($Q$2:$Q$1001,MATCH(ROWS($O$2:O463),$O$2:$O$1001,0),0), INDEX($V$1004:$AE$1004,1,MATCH(COLUMNS($V$1006:W1006),$V$1006:$AE$1006,0)))),"Fix")))</f>
        <v>0</v>
      </c>
      <c r="D463" s="3">
        <f>IF(OR(INDEX($P$2:$P$1001,MATCH(ROWS($O$2:O463),$O$2:$O$1001,0),1)&gt;=100000,INDEX($V$1005:$AE$1005,1,MATCH(COLUMNS($V$1006:X1006),$V$1006:$AE$1006,0))&gt;=100000), " ",IF(INDEX($V$2:$AE$1001,MATCH(ROWS($O$2:O463),$O$2:$O$1001,0),MATCH(COLUMNS($V$1006:X1006),$V$1006:$AE$1006,0)), HYPERLINK("#",""), HYPERLINK(CONCATENATE("#Metadata!", ADDRESS(INDEX($Q$2:$Q$1001,MATCH(ROWS($O$2:O463),$O$2:$O$1001,0),0), INDEX($V$1004:$AE$1004,1,MATCH(COLUMNS($V$1006:X1006),$V$1006:$AE$1006,0)))),"Fix")))</f>
        <v>0</v>
      </c>
      <c r="E463" s="3">
        <f>IF(OR(INDEX($P$2:$P$1001,MATCH(ROWS($O$2:O463),$O$2:$O$1001,0),1)&gt;=100000,INDEX($V$1005:$AE$1005,1,MATCH(COLUMNS($V$1006:Y1006),$V$1006:$AE$1006,0))&gt;=100000), " ",IF(INDEX($V$2:$AE$1001,MATCH(ROWS($O$2:O463),$O$2:$O$1001,0),MATCH(COLUMNS($V$1006:Y1006),$V$1006:$AE$1006,0)), HYPERLINK("#",""), HYPERLINK(CONCATENATE("#Metadata!", ADDRESS(INDEX($Q$2:$Q$1001,MATCH(ROWS($O$2:O463),$O$2:$O$1001,0),0), INDEX($V$1004:$AE$1004,1,MATCH(COLUMNS($V$1006:Y1006),$V$1006:$AE$1006,0)))),"Fix")))</f>
        <v>0</v>
      </c>
      <c r="F463" s="3">
        <f>IF(OR(INDEX($P$2:$P$1001,MATCH(ROWS($O$2:O463),$O$2:$O$1001,0),1)&gt;=100000,INDEX($V$1005:$AE$1005,1,MATCH(COLUMNS($V$1006:Z1006),$V$1006:$AE$1006,0))&gt;=100000), " ",IF(INDEX($V$2:$AE$1001,MATCH(ROWS($O$2:O463),$O$2:$O$1001,0),MATCH(COLUMNS($V$1006:Z1006),$V$1006:$AE$1006,0)), HYPERLINK("#",""), HYPERLINK(CONCATENATE("#Metadata!", ADDRESS(INDEX($Q$2:$Q$1001,MATCH(ROWS($O$2:O463),$O$2:$O$1001,0),0), INDEX($V$1004:$AE$1004,1,MATCH(COLUMNS($V$1006:Z1006),$V$1006:$AE$1006,0)))),"Fix")))</f>
        <v>0</v>
      </c>
      <c r="G463" s="3">
        <f>IF(OR(INDEX($P$2:$P$1001,MATCH(ROWS($O$2:O463),$O$2:$O$1001,0),1)&gt;=100000,INDEX($V$1005:$AE$1005,1,MATCH(COLUMNS($V$1006:AA1006),$V$1006:$AE$1006,0))&gt;=100000), " ",IF(INDEX($V$2:$AE$1001,MATCH(ROWS($O$2:O463),$O$2:$O$1001,0),MATCH(COLUMNS($V$1006:AA1006),$V$1006:$AE$1006,0)), HYPERLINK("#",""), HYPERLINK(CONCATENATE("#Metadata!", ADDRESS(INDEX($Q$2:$Q$1001,MATCH(ROWS($O$2:O463),$O$2:$O$1001,0),0), INDEX($V$1004:$AE$1004,1,MATCH(COLUMNS($V$1006:AA1006),$V$1006:$AE$1006,0)))),"Fix")))</f>
        <v>0</v>
      </c>
      <c r="H463" s="3">
        <f>IF(OR(INDEX($P$2:$P$1001,MATCH(ROWS($O$2:O463),$O$2:$O$1001,0),1)&gt;=100000,INDEX($V$1005:$AE$1005,1,MATCH(COLUMNS($V$1006:AB1006),$V$1006:$AE$1006,0))&gt;=100000), " ",IF(INDEX($V$2:$AE$1001,MATCH(ROWS($O$2:O463),$O$2:$O$1001,0),MATCH(COLUMNS($V$1006:AB1006),$V$1006:$AE$1006,0)), HYPERLINK("#",""), HYPERLINK(CONCATENATE("#Metadata!", ADDRESS(INDEX($Q$2:$Q$1001,MATCH(ROWS($O$2:O463),$O$2:$O$1001,0),0), INDEX($V$1004:$AE$1004,1,MATCH(COLUMNS($V$1006:AB1006),$V$1006:$AE$1006,0)))),"Fix")))</f>
        <v>0</v>
      </c>
      <c r="I463" s="3">
        <f>IF(OR(INDEX($P$2:$P$1001,MATCH(ROWS($O$2:O463),$O$2:$O$1001,0),1)&gt;=100000,INDEX($V$1005:$AE$1005,1,MATCH(COLUMNS($V$1006:AC1006),$V$1006:$AE$1006,0))&gt;=100000), " ",IF(INDEX($V$2:$AE$1001,MATCH(ROWS($O$2:O463),$O$2:$O$1001,0),MATCH(COLUMNS($V$1006:AC1006),$V$1006:$AE$1006,0)), HYPERLINK("#",""), HYPERLINK(CONCATENATE("#Metadata!", ADDRESS(INDEX($Q$2:$Q$1001,MATCH(ROWS($O$2:O463),$O$2:$O$1001,0),0), INDEX($V$1004:$AE$1004,1,MATCH(COLUMNS($V$1006:AC1006),$V$1006:$AE$1006,0)))),"Fix")))</f>
        <v>0</v>
      </c>
      <c r="J463" s="3">
        <f>IF(OR(INDEX($P$2:$P$1001,MATCH(ROWS($O$2:O463),$O$2:$O$1001,0),1)&gt;=100000,INDEX($V$1005:$AE$1005,1,MATCH(COLUMNS($V$1006:AD1006),$V$1006:$AE$1006,0))&gt;=100000), " ",IF(INDEX($V$2:$AE$1001,MATCH(ROWS($O$2:O463),$O$2:$O$1001,0),MATCH(COLUMNS($V$1006:AD1006),$V$1006:$AE$1006,0)), HYPERLINK("#",""), HYPERLINK(CONCATENATE("#Metadata!", ADDRESS(INDEX($Q$2:$Q$1001,MATCH(ROWS($O$2:O463),$O$2:$O$1001,0),0), INDEX($V$1004:$AE$1004,1,MATCH(COLUMNS($V$1006:AD1006),$V$1006:$AE$1006,0)))),"Fix")))</f>
        <v>0</v>
      </c>
      <c r="K463" s="3">
        <f>IF(OR(INDEX($P$2:$P$1001,MATCH(ROWS($O$2:O463),$O$2:$O$1001,0),1)&gt;=100000,INDEX($V$1005:$AE$1005,1,MATCH(COLUMNS($V$1006:AE1006),$V$1006:$AE$1006,0))&gt;=100000), " ",IF(INDEX($V$2:$AE$1001,MATCH(ROWS($O$2:O463),$O$2:$O$1001,0),MATCH(COLUMNS($V$1006:AE1006),$V$1006:$AE$1006,0)), HYPERLINK("#",""), HYPERLINK(CONCATENATE("#Metadata!", ADDRESS(INDEX($Q$2:$Q$1001,MATCH(ROWS($O$2:O463),$O$2:$O$1001,0),0), INDEX($V$1004:$AE$1004,1,MATCH(COLUMNS($V$1006:AE1006),$V$1006:$AE$1006,0)))),"Fix")))</f>
        <v>0</v>
      </c>
      <c r="O463">
        <v>0</v>
      </c>
      <c r="P463">
        <v>0</v>
      </c>
      <c r="Q463">
        <v>0</v>
      </c>
      <c r="R463">
        <f>IF(S463,TRUE,AND(V463:AE463))</f>
        <v>0</v>
      </c>
      <c r="S463">
        <f>COUNTBLANK(Metadata!B463:K463)=COLUMNS(Metadata!B463:K463)</f>
        <v>0</v>
      </c>
      <c r="T463">
        <v>0</v>
      </c>
      <c r="V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W463">
        <f>AND(IF(Metadata!C463="",FALSE,TRUE),exact(Metadata!C463,"animal secretion"))</f>
        <v>0</v>
      </c>
      <c r="X463">
        <f>AND(IF(Metadata!D463="",FALSE,TRUE),exact(Metadata!D463,"saliva"))</f>
        <v>0</v>
      </c>
      <c r="Y463">
        <f>AND(IF(Metadata!E463="",FALSE,TRUE),exact(Metadata!E463,"human-oral"))</f>
        <v>0</v>
      </c>
      <c r="Z463">
        <f>AND(IF(Metadata!F463="",FALSE,TRUE),exact(Metadata!F463,"UBERON:oral cavity"))</f>
        <v>0</v>
      </c>
      <c r="AA463">
        <f>AND(IF(Metadata!G463="",FALSE,TRUE),exact(Metadata!G463,"UBERON:saliva"))</f>
        <v>0</v>
      </c>
      <c r="AB463">
        <f>AND(IF(Metadata!H463="",FALSE,TRUE),exact(Metadata!H463,"UBERON:tongue"))</f>
        <v>0</v>
      </c>
      <c r="AC463">
        <f>AND(IF(Metadata!I463="",FALSE,TRUE),exact(Metadata!I463,"tongue"))</f>
        <v>0</v>
      </c>
      <c r="AD463">
        <f>AND(IF(Metadata!J463="",FALSE,TRUE),exact(Metadata!J463,"human oral metagenome"))</f>
        <v>0</v>
      </c>
      <c r="AE463">
        <f>AND(IF(Metadata!K463="",FALSE,TRUE),exact(Metadata!K463,"447426"))</f>
        <v>0</v>
      </c>
    </row>
    <row r="464" spans="1:31">
      <c r="A464" s="4">
        <f>IF(B464=" "," ",HYPERLINK(CONCATENATE("#metadata!",ADDRESS(INDEX($Q$2:$Q$1001,MATCH(ROWS($O$2:O464),$O$2:$O$1001,0),0),1)),INDEX($T$2:$T$1001,MATCH(ROWS($O$2:O464),$O$2:$O$1001,0),0)))</f>
        <v>0</v>
      </c>
      <c r="B464" s="3">
        <f>IF(OR(INDEX($P$2:$P$1001,MATCH(ROWS($O$2:O464),$O$2:$O$1001,0),1)&gt;=100000,INDEX($V$1005:$AE$1005,1,MATCH(COLUMNS($V$1006:V1006),$V$1006:$AE$1006,0))&gt;=100000), " ",IF(INDEX($V$2:$AE$1001,MATCH(ROWS($O$2:O464),$O$2:$O$1001,0),MATCH(COLUMNS($V$1006:V1006),$V$1006:$AE$1006,0)), HYPERLINK("#",""), HYPERLINK(CONCATENATE("#Metadata!", ADDRESS(INDEX($Q$2:$Q$1001,MATCH(ROWS($O$2:O464),$O$2:$O$1001,0),0), INDEX($V$1004:$AE$1004,1,MATCH(COLUMNS($V$1006:V1006),$V$1006:$AE$1006,0)))),"Fix")))</f>
        <v>0</v>
      </c>
      <c r="C464" s="3">
        <f>IF(OR(INDEX($P$2:$P$1001,MATCH(ROWS($O$2:O464),$O$2:$O$1001,0),1)&gt;=100000,INDEX($V$1005:$AE$1005,1,MATCH(COLUMNS($V$1006:W1006),$V$1006:$AE$1006,0))&gt;=100000), " ",IF(INDEX($V$2:$AE$1001,MATCH(ROWS($O$2:O464),$O$2:$O$1001,0),MATCH(COLUMNS($V$1006:W1006),$V$1006:$AE$1006,0)), HYPERLINK("#",""), HYPERLINK(CONCATENATE("#Metadata!", ADDRESS(INDEX($Q$2:$Q$1001,MATCH(ROWS($O$2:O464),$O$2:$O$1001,0),0), INDEX($V$1004:$AE$1004,1,MATCH(COLUMNS($V$1006:W1006),$V$1006:$AE$1006,0)))),"Fix")))</f>
        <v>0</v>
      </c>
      <c r="D464" s="3">
        <f>IF(OR(INDEX($P$2:$P$1001,MATCH(ROWS($O$2:O464),$O$2:$O$1001,0),1)&gt;=100000,INDEX($V$1005:$AE$1005,1,MATCH(COLUMNS($V$1006:X1006),$V$1006:$AE$1006,0))&gt;=100000), " ",IF(INDEX($V$2:$AE$1001,MATCH(ROWS($O$2:O464),$O$2:$O$1001,0),MATCH(COLUMNS($V$1006:X1006),$V$1006:$AE$1006,0)), HYPERLINK("#",""), HYPERLINK(CONCATENATE("#Metadata!", ADDRESS(INDEX($Q$2:$Q$1001,MATCH(ROWS($O$2:O464),$O$2:$O$1001,0),0), INDEX($V$1004:$AE$1004,1,MATCH(COLUMNS($V$1006:X1006),$V$1006:$AE$1006,0)))),"Fix")))</f>
        <v>0</v>
      </c>
      <c r="E464" s="3">
        <f>IF(OR(INDEX($P$2:$P$1001,MATCH(ROWS($O$2:O464),$O$2:$O$1001,0),1)&gt;=100000,INDEX($V$1005:$AE$1005,1,MATCH(COLUMNS($V$1006:Y1006),$V$1006:$AE$1006,0))&gt;=100000), " ",IF(INDEX($V$2:$AE$1001,MATCH(ROWS($O$2:O464),$O$2:$O$1001,0),MATCH(COLUMNS($V$1006:Y1006),$V$1006:$AE$1006,0)), HYPERLINK("#",""), HYPERLINK(CONCATENATE("#Metadata!", ADDRESS(INDEX($Q$2:$Q$1001,MATCH(ROWS($O$2:O464),$O$2:$O$1001,0),0), INDEX($V$1004:$AE$1004,1,MATCH(COLUMNS($V$1006:Y1006),$V$1006:$AE$1006,0)))),"Fix")))</f>
        <v>0</v>
      </c>
      <c r="F464" s="3">
        <f>IF(OR(INDEX($P$2:$P$1001,MATCH(ROWS($O$2:O464),$O$2:$O$1001,0),1)&gt;=100000,INDEX($V$1005:$AE$1005,1,MATCH(COLUMNS($V$1006:Z1006),$V$1006:$AE$1006,0))&gt;=100000), " ",IF(INDEX($V$2:$AE$1001,MATCH(ROWS($O$2:O464),$O$2:$O$1001,0),MATCH(COLUMNS($V$1006:Z1006),$V$1006:$AE$1006,0)), HYPERLINK("#",""), HYPERLINK(CONCATENATE("#Metadata!", ADDRESS(INDEX($Q$2:$Q$1001,MATCH(ROWS($O$2:O464),$O$2:$O$1001,0),0), INDEX($V$1004:$AE$1004,1,MATCH(COLUMNS($V$1006:Z1006),$V$1006:$AE$1006,0)))),"Fix")))</f>
        <v>0</v>
      </c>
      <c r="G464" s="3">
        <f>IF(OR(INDEX($P$2:$P$1001,MATCH(ROWS($O$2:O464),$O$2:$O$1001,0),1)&gt;=100000,INDEX($V$1005:$AE$1005,1,MATCH(COLUMNS($V$1006:AA1006),$V$1006:$AE$1006,0))&gt;=100000), " ",IF(INDEX($V$2:$AE$1001,MATCH(ROWS($O$2:O464),$O$2:$O$1001,0),MATCH(COLUMNS($V$1006:AA1006),$V$1006:$AE$1006,0)), HYPERLINK("#",""), HYPERLINK(CONCATENATE("#Metadata!", ADDRESS(INDEX($Q$2:$Q$1001,MATCH(ROWS($O$2:O464),$O$2:$O$1001,0),0), INDEX($V$1004:$AE$1004,1,MATCH(COLUMNS($V$1006:AA1006),$V$1006:$AE$1006,0)))),"Fix")))</f>
        <v>0</v>
      </c>
      <c r="H464" s="3">
        <f>IF(OR(INDEX($P$2:$P$1001,MATCH(ROWS($O$2:O464),$O$2:$O$1001,0),1)&gt;=100000,INDEX($V$1005:$AE$1005,1,MATCH(COLUMNS($V$1006:AB1006),$V$1006:$AE$1006,0))&gt;=100000), " ",IF(INDEX($V$2:$AE$1001,MATCH(ROWS($O$2:O464),$O$2:$O$1001,0),MATCH(COLUMNS($V$1006:AB1006),$V$1006:$AE$1006,0)), HYPERLINK("#",""), HYPERLINK(CONCATENATE("#Metadata!", ADDRESS(INDEX($Q$2:$Q$1001,MATCH(ROWS($O$2:O464),$O$2:$O$1001,0),0), INDEX($V$1004:$AE$1004,1,MATCH(COLUMNS($V$1006:AB1006),$V$1006:$AE$1006,0)))),"Fix")))</f>
        <v>0</v>
      </c>
      <c r="I464" s="3">
        <f>IF(OR(INDEX($P$2:$P$1001,MATCH(ROWS($O$2:O464),$O$2:$O$1001,0),1)&gt;=100000,INDEX($V$1005:$AE$1005,1,MATCH(COLUMNS($V$1006:AC1006),$V$1006:$AE$1006,0))&gt;=100000), " ",IF(INDEX($V$2:$AE$1001,MATCH(ROWS($O$2:O464),$O$2:$O$1001,0),MATCH(COLUMNS($V$1006:AC1006),$V$1006:$AE$1006,0)), HYPERLINK("#",""), HYPERLINK(CONCATENATE("#Metadata!", ADDRESS(INDEX($Q$2:$Q$1001,MATCH(ROWS($O$2:O464),$O$2:$O$1001,0),0), INDEX($V$1004:$AE$1004,1,MATCH(COLUMNS($V$1006:AC1006),$V$1006:$AE$1006,0)))),"Fix")))</f>
        <v>0</v>
      </c>
      <c r="J464" s="3">
        <f>IF(OR(INDEX($P$2:$P$1001,MATCH(ROWS($O$2:O464),$O$2:$O$1001,0),1)&gt;=100000,INDEX($V$1005:$AE$1005,1,MATCH(COLUMNS($V$1006:AD1006),$V$1006:$AE$1006,0))&gt;=100000), " ",IF(INDEX($V$2:$AE$1001,MATCH(ROWS($O$2:O464),$O$2:$O$1001,0),MATCH(COLUMNS($V$1006:AD1006),$V$1006:$AE$1006,0)), HYPERLINK("#",""), HYPERLINK(CONCATENATE("#Metadata!", ADDRESS(INDEX($Q$2:$Q$1001,MATCH(ROWS($O$2:O464),$O$2:$O$1001,0),0), INDEX($V$1004:$AE$1004,1,MATCH(COLUMNS($V$1006:AD1006),$V$1006:$AE$1006,0)))),"Fix")))</f>
        <v>0</v>
      </c>
      <c r="K464" s="3">
        <f>IF(OR(INDEX($P$2:$P$1001,MATCH(ROWS($O$2:O464),$O$2:$O$1001,0),1)&gt;=100000,INDEX($V$1005:$AE$1005,1,MATCH(COLUMNS($V$1006:AE1006),$V$1006:$AE$1006,0))&gt;=100000), " ",IF(INDEX($V$2:$AE$1001,MATCH(ROWS($O$2:O464),$O$2:$O$1001,0),MATCH(COLUMNS($V$1006:AE1006),$V$1006:$AE$1006,0)), HYPERLINK("#",""), HYPERLINK(CONCATENATE("#Metadata!", ADDRESS(INDEX($Q$2:$Q$1001,MATCH(ROWS($O$2:O464),$O$2:$O$1001,0),0), INDEX($V$1004:$AE$1004,1,MATCH(COLUMNS($V$1006:AE1006),$V$1006:$AE$1006,0)))),"Fix")))</f>
        <v>0</v>
      </c>
      <c r="O464">
        <v>0</v>
      </c>
      <c r="P464">
        <v>0</v>
      </c>
      <c r="Q464">
        <v>0</v>
      </c>
      <c r="R464">
        <f>IF(S464,TRUE,AND(V464:AE464))</f>
        <v>0</v>
      </c>
      <c r="S464">
        <f>COUNTBLANK(Metadata!B464:K464)=COLUMNS(Metadata!B464:K464)</f>
        <v>0</v>
      </c>
      <c r="T464">
        <v>0</v>
      </c>
      <c r="V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W464">
        <f>AND(IF(Metadata!C464="",FALSE,TRUE),exact(Metadata!C464,"animal secretion"))</f>
        <v>0</v>
      </c>
      <c r="X464">
        <f>AND(IF(Metadata!D464="",FALSE,TRUE),exact(Metadata!D464,"saliva"))</f>
        <v>0</v>
      </c>
      <c r="Y464">
        <f>AND(IF(Metadata!E464="",FALSE,TRUE),exact(Metadata!E464,"human-oral"))</f>
        <v>0</v>
      </c>
      <c r="Z464">
        <f>AND(IF(Metadata!F464="",FALSE,TRUE),exact(Metadata!F464,"UBERON:oral cavity"))</f>
        <v>0</v>
      </c>
      <c r="AA464">
        <f>AND(IF(Metadata!G464="",FALSE,TRUE),exact(Metadata!G464,"UBERON:saliva"))</f>
        <v>0</v>
      </c>
      <c r="AB464">
        <f>AND(IF(Metadata!H464="",FALSE,TRUE),exact(Metadata!H464,"UBERON:tongue"))</f>
        <v>0</v>
      </c>
      <c r="AC464">
        <f>AND(IF(Metadata!I464="",FALSE,TRUE),exact(Metadata!I464,"tongue"))</f>
        <v>0</v>
      </c>
      <c r="AD464">
        <f>AND(IF(Metadata!J464="",FALSE,TRUE),exact(Metadata!J464,"human oral metagenome"))</f>
        <v>0</v>
      </c>
      <c r="AE464">
        <f>AND(IF(Metadata!K464="",FALSE,TRUE),exact(Metadata!K464,"447426"))</f>
        <v>0</v>
      </c>
    </row>
    <row r="465" spans="1:31">
      <c r="A465" s="4">
        <f>IF(B465=" "," ",HYPERLINK(CONCATENATE("#metadata!",ADDRESS(INDEX($Q$2:$Q$1001,MATCH(ROWS($O$2:O465),$O$2:$O$1001,0),0),1)),INDEX($T$2:$T$1001,MATCH(ROWS($O$2:O465),$O$2:$O$1001,0),0)))</f>
        <v>0</v>
      </c>
      <c r="B465" s="3">
        <f>IF(OR(INDEX($P$2:$P$1001,MATCH(ROWS($O$2:O465),$O$2:$O$1001,0),1)&gt;=100000,INDEX($V$1005:$AE$1005,1,MATCH(COLUMNS($V$1006:V1006),$V$1006:$AE$1006,0))&gt;=100000), " ",IF(INDEX($V$2:$AE$1001,MATCH(ROWS($O$2:O465),$O$2:$O$1001,0),MATCH(COLUMNS($V$1006:V1006),$V$1006:$AE$1006,0)), HYPERLINK("#",""), HYPERLINK(CONCATENATE("#Metadata!", ADDRESS(INDEX($Q$2:$Q$1001,MATCH(ROWS($O$2:O465),$O$2:$O$1001,0),0), INDEX($V$1004:$AE$1004,1,MATCH(COLUMNS($V$1006:V1006),$V$1006:$AE$1006,0)))),"Fix")))</f>
        <v>0</v>
      </c>
      <c r="C465" s="3">
        <f>IF(OR(INDEX($P$2:$P$1001,MATCH(ROWS($O$2:O465),$O$2:$O$1001,0),1)&gt;=100000,INDEX($V$1005:$AE$1005,1,MATCH(COLUMNS($V$1006:W1006),$V$1006:$AE$1006,0))&gt;=100000), " ",IF(INDEX($V$2:$AE$1001,MATCH(ROWS($O$2:O465),$O$2:$O$1001,0),MATCH(COLUMNS($V$1006:W1006),$V$1006:$AE$1006,0)), HYPERLINK("#",""), HYPERLINK(CONCATENATE("#Metadata!", ADDRESS(INDEX($Q$2:$Q$1001,MATCH(ROWS($O$2:O465),$O$2:$O$1001,0),0), INDEX($V$1004:$AE$1004,1,MATCH(COLUMNS($V$1006:W1006),$V$1006:$AE$1006,0)))),"Fix")))</f>
        <v>0</v>
      </c>
      <c r="D465" s="3">
        <f>IF(OR(INDEX($P$2:$P$1001,MATCH(ROWS($O$2:O465),$O$2:$O$1001,0),1)&gt;=100000,INDEX($V$1005:$AE$1005,1,MATCH(COLUMNS($V$1006:X1006),$V$1006:$AE$1006,0))&gt;=100000), " ",IF(INDEX($V$2:$AE$1001,MATCH(ROWS($O$2:O465),$O$2:$O$1001,0),MATCH(COLUMNS($V$1006:X1006),$V$1006:$AE$1006,0)), HYPERLINK("#",""), HYPERLINK(CONCATENATE("#Metadata!", ADDRESS(INDEX($Q$2:$Q$1001,MATCH(ROWS($O$2:O465),$O$2:$O$1001,0),0), INDEX($V$1004:$AE$1004,1,MATCH(COLUMNS($V$1006:X1006),$V$1006:$AE$1006,0)))),"Fix")))</f>
        <v>0</v>
      </c>
      <c r="E465" s="3">
        <f>IF(OR(INDEX($P$2:$P$1001,MATCH(ROWS($O$2:O465),$O$2:$O$1001,0),1)&gt;=100000,INDEX($V$1005:$AE$1005,1,MATCH(COLUMNS($V$1006:Y1006),$V$1006:$AE$1006,0))&gt;=100000), " ",IF(INDEX($V$2:$AE$1001,MATCH(ROWS($O$2:O465),$O$2:$O$1001,0),MATCH(COLUMNS($V$1006:Y1006),$V$1006:$AE$1006,0)), HYPERLINK("#",""), HYPERLINK(CONCATENATE("#Metadata!", ADDRESS(INDEX($Q$2:$Q$1001,MATCH(ROWS($O$2:O465),$O$2:$O$1001,0),0), INDEX($V$1004:$AE$1004,1,MATCH(COLUMNS($V$1006:Y1006),$V$1006:$AE$1006,0)))),"Fix")))</f>
        <v>0</v>
      </c>
      <c r="F465" s="3">
        <f>IF(OR(INDEX($P$2:$P$1001,MATCH(ROWS($O$2:O465),$O$2:$O$1001,0),1)&gt;=100000,INDEX($V$1005:$AE$1005,1,MATCH(COLUMNS($V$1006:Z1006),$V$1006:$AE$1006,0))&gt;=100000), " ",IF(INDEX($V$2:$AE$1001,MATCH(ROWS($O$2:O465),$O$2:$O$1001,0),MATCH(COLUMNS($V$1006:Z1006),$V$1006:$AE$1006,0)), HYPERLINK("#",""), HYPERLINK(CONCATENATE("#Metadata!", ADDRESS(INDEX($Q$2:$Q$1001,MATCH(ROWS($O$2:O465),$O$2:$O$1001,0),0), INDEX($V$1004:$AE$1004,1,MATCH(COLUMNS($V$1006:Z1006),$V$1006:$AE$1006,0)))),"Fix")))</f>
        <v>0</v>
      </c>
      <c r="G465" s="3">
        <f>IF(OR(INDEX($P$2:$P$1001,MATCH(ROWS($O$2:O465),$O$2:$O$1001,0),1)&gt;=100000,INDEX($V$1005:$AE$1005,1,MATCH(COLUMNS($V$1006:AA1006),$V$1006:$AE$1006,0))&gt;=100000), " ",IF(INDEX($V$2:$AE$1001,MATCH(ROWS($O$2:O465),$O$2:$O$1001,0),MATCH(COLUMNS($V$1006:AA1006),$V$1006:$AE$1006,0)), HYPERLINK("#",""), HYPERLINK(CONCATENATE("#Metadata!", ADDRESS(INDEX($Q$2:$Q$1001,MATCH(ROWS($O$2:O465),$O$2:$O$1001,0),0), INDEX($V$1004:$AE$1004,1,MATCH(COLUMNS($V$1006:AA1006),$V$1006:$AE$1006,0)))),"Fix")))</f>
        <v>0</v>
      </c>
      <c r="H465" s="3">
        <f>IF(OR(INDEX($P$2:$P$1001,MATCH(ROWS($O$2:O465),$O$2:$O$1001,0),1)&gt;=100000,INDEX($V$1005:$AE$1005,1,MATCH(COLUMNS($V$1006:AB1006),$V$1006:$AE$1006,0))&gt;=100000), " ",IF(INDEX($V$2:$AE$1001,MATCH(ROWS($O$2:O465),$O$2:$O$1001,0),MATCH(COLUMNS($V$1006:AB1006),$V$1006:$AE$1006,0)), HYPERLINK("#",""), HYPERLINK(CONCATENATE("#Metadata!", ADDRESS(INDEX($Q$2:$Q$1001,MATCH(ROWS($O$2:O465),$O$2:$O$1001,0),0), INDEX($V$1004:$AE$1004,1,MATCH(COLUMNS($V$1006:AB1006),$V$1006:$AE$1006,0)))),"Fix")))</f>
        <v>0</v>
      </c>
      <c r="I465" s="3">
        <f>IF(OR(INDEX($P$2:$P$1001,MATCH(ROWS($O$2:O465),$O$2:$O$1001,0),1)&gt;=100000,INDEX($V$1005:$AE$1005,1,MATCH(COLUMNS($V$1006:AC1006),$V$1006:$AE$1006,0))&gt;=100000), " ",IF(INDEX($V$2:$AE$1001,MATCH(ROWS($O$2:O465),$O$2:$O$1001,0),MATCH(COLUMNS($V$1006:AC1006),$V$1006:$AE$1006,0)), HYPERLINK("#",""), HYPERLINK(CONCATENATE("#Metadata!", ADDRESS(INDEX($Q$2:$Q$1001,MATCH(ROWS($O$2:O465),$O$2:$O$1001,0),0), INDEX($V$1004:$AE$1004,1,MATCH(COLUMNS($V$1006:AC1006),$V$1006:$AE$1006,0)))),"Fix")))</f>
        <v>0</v>
      </c>
      <c r="J465" s="3">
        <f>IF(OR(INDEX($P$2:$P$1001,MATCH(ROWS($O$2:O465),$O$2:$O$1001,0),1)&gt;=100000,INDEX($V$1005:$AE$1005,1,MATCH(COLUMNS($V$1006:AD1006),$V$1006:$AE$1006,0))&gt;=100000), " ",IF(INDEX($V$2:$AE$1001,MATCH(ROWS($O$2:O465),$O$2:$O$1001,0),MATCH(COLUMNS($V$1006:AD1006),$V$1006:$AE$1006,0)), HYPERLINK("#",""), HYPERLINK(CONCATENATE("#Metadata!", ADDRESS(INDEX($Q$2:$Q$1001,MATCH(ROWS($O$2:O465),$O$2:$O$1001,0),0), INDEX($V$1004:$AE$1004,1,MATCH(COLUMNS($V$1006:AD1006),$V$1006:$AE$1006,0)))),"Fix")))</f>
        <v>0</v>
      </c>
      <c r="K465" s="3">
        <f>IF(OR(INDEX($P$2:$P$1001,MATCH(ROWS($O$2:O465),$O$2:$O$1001,0),1)&gt;=100000,INDEX($V$1005:$AE$1005,1,MATCH(COLUMNS($V$1006:AE1006),$V$1006:$AE$1006,0))&gt;=100000), " ",IF(INDEX($V$2:$AE$1001,MATCH(ROWS($O$2:O465),$O$2:$O$1001,0),MATCH(COLUMNS($V$1006:AE1006),$V$1006:$AE$1006,0)), HYPERLINK("#",""), HYPERLINK(CONCATENATE("#Metadata!", ADDRESS(INDEX($Q$2:$Q$1001,MATCH(ROWS($O$2:O465),$O$2:$O$1001,0),0), INDEX($V$1004:$AE$1004,1,MATCH(COLUMNS($V$1006:AE1006),$V$1006:$AE$1006,0)))),"Fix")))</f>
        <v>0</v>
      </c>
      <c r="O465">
        <v>0</v>
      </c>
      <c r="P465">
        <v>0</v>
      </c>
      <c r="Q465">
        <v>0</v>
      </c>
      <c r="R465">
        <f>IF(S465,TRUE,AND(V465:AE465))</f>
        <v>0</v>
      </c>
      <c r="S465">
        <f>COUNTBLANK(Metadata!B465:K465)=COLUMNS(Metadata!B465:K465)</f>
        <v>0</v>
      </c>
      <c r="T465">
        <v>0</v>
      </c>
      <c r="V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W465">
        <f>AND(IF(Metadata!C465="",FALSE,TRUE),exact(Metadata!C465,"animal secretion"))</f>
        <v>0</v>
      </c>
      <c r="X465">
        <f>AND(IF(Metadata!D465="",FALSE,TRUE),exact(Metadata!D465,"saliva"))</f>
        <v>0</v>
      </c>
      <c r="Y465">
        <f>AND(IF(Metadata!E465="",FALSE,TRUE),exact(Metadata!E465,"human-oral"))</f>
        <v>0</v>
      </c>
      <c r="Z465">
        <f>AND(IF(Metadata!F465="",FALSE,TRUE),exact(Metadata!F465,"UBERON:oral cavity"))</f>
        <v>0</v>
      </c>
      <c r="AA465">
        <f>AND(IF(Metadata!G465="",FALSE,TRUE),exact(Metadata!G465,"UBERON:saliva"))</f>
        <v>0</v>
      </c>
      <c r="AB465">
        <f>AND(IF(Metadata!H465="",FALSE,TRUE),exact(Metadata!H465,"UBERON:tongue"))</f>
        <v>0</v>
      </c>
      <c r="AC465">
        <f>AND(IF(Metadata!I465="",FALSE,TRUE),exact(Metadata!I465,"tongue"))</f>
        <v>0</v>
      </c>
      <c r="AD465">
        <f>AND(IF(Metadata!J465="",FALSE,TRUE),exact(Metadata!J465,"human oral metagenome"))</f>
        <v>0</v>
      </c>
      <c r="AE465">
        <f>AND(IF(Metadata!K465="",FALSE,TRUE),exact(Metadata!K465,"447426"))</f>
        <v>0</v>
      </c>
    </row>
    <row r="466" spans="1:31">
      <c r="A466" s="4">
        <f>IF(B466=" "," ",HYPERLINK(CONCATENATE("#metadata!",ADDRESS(INDEX($Q$2:$Q$1001,MATCH(ROWS($O$2:O466),$O$2:$O$1001,0),0),1)),INDEX($T$2:$T$1001,MATCH(ROWS($O$2:O466),$O$2:$O$1001,0),0)))</f>
        <v>0</v>
      </c>
      <c r="B466" s="3">
        <f>IF(OR(INDEX($P$2:$P$1001,MATCH(ROWS($O$2:O466),$O$2:$O$1001,0),1)&gt;=100000,INDEX($V$1005:$AE$1005,1,MATCH(COLUMNS($V$1006:V1006),$V$1006:$AE$1006,0))&gt;=100000), " ",IF(INDEX($V$2:$AE$1001,MATCH(ROWS($O$2:O466),$O$2:$O$1001,0),MATCH(COLUMNS($V$1006:V1006),$V$1006:$AE$1006,0)), HYPERLINK("#",""), HYPERLINK(CONCATENATE("#Metadata!", ADDRESS(INDEX($Q$2:$Q$1001,MATCH(ROWS($O$2:O466),$O$2:$O$1001,0),0), INDEX($V$1004:$AE$1004,1,MATCH(COLUMNS($V$1006:V1006),$V$1006:$AE$1006,0)))),"Fix")))</f>
        <v>0</v>
      </c>
      <c r="C466" s="3">
        <f>IF(OR(INDEX($P$2:$P$1001,MATCH(ROWS($O$2:O466),$O$2:$O$1001,0),1)&gt;=100000,INDEX($V$1005:$AE$1005,1,MATCH(COLUMNS($V$1006:W1006),$V$1006:$AE$1006,0))&gt;=100000), " ",IF(INDEX($V$2:$AE$1001,MATCH(ROWS($O$2:O466),$O$2:$O$1001,0),MATCH(COLUMNS($V$1006:W1006),$V$1006:$AE$1006,0)), HYPERLINK("#",""), HYPERLINK(CONCATENATE("#Metadata!", ADDRESS(INDEX($Q$2:$Q$1001,MATCH(ROWS($O$2:O466),$O$2:$O$1001,0),0), INDEX($V$1004:$AE$1004,1,MATCH(COLUMNS($V$1006:W1006),$V$1006:$AE$1006,0)))),"Fix")))</f>
        <v>0</v>
      </c>
      <c r="D466" s="3">
        <f>IF(OR(INDEX($P$2:$P$1001,MATCH(ROWS($O$2:O466),$O$2:$O$1001,0),1)&gt;=100000,INDEX($V$1005:$AE$1005,1,MATCH(COLUMNS($V$1006:X1006),$V$1006:$AE$1006,0))&gt;=100000), " ",IF(INDEX($V$2:$AE$1001,MATCH(ROWS($O$2:O466),$O$2:$O$1001,0),MATCH(COLUMNS($V$1006:X1006),$V$1006:$AE$1006,0)), HYPERLINK("#",""), HYPERLINK(CONCATENATE("#Metadata!", ADDRESS(INDEX($Q$2:$Q$1001,MATCH(ROWS($O$2:O466),$O$2:$O$1001,0),0), INDEX($V$1004:$AE$1004,1,MATCH(COLUMNS($V$1006:X1006),$V$1006:$AE$1006,0)))),"Fix")))</f>
        <v>0</v>
      </c>
      <c r="E466" s="3">
        <f>IF(OR(INDEX($P$2:$P$1001,MATCH(ROWS($O$2:O466),$O$2:$O$1001,0),1)&gt;=100000,INDEX($V$1005:$AE$1005,1,MATCH(COLUMNS($V$1006:Y1006),$V$1006:$AE$1006,0))&gt;=100000), " ",IF(INDEX($V$2:$AE$1001,MATCH(ROWS($O$2:O466),$O$2:$O$1001,0),MATCH(COLUMNS($V$1006:Y1006),$V$1006:$AE$1006,0)), HYPERLINK("#",""), HYPERLINK(CONCATENATE("#Metadata!", ADDRESS(INDEX($Q$2:$Q$1001,MATCH(ROWS($O$2:O466),$O$2:$O$1001,0),0), INDEX($V$1004:$AE$1004,1,MATCH(COLUMNS($V$1006:Y1006),$V$1006:$AE$1006,0)))),"Fix")))</f>
        <v>0</v>
      </c>
      <c r="F466" s="3">
        <f>IF(OR(INDEX($P$2:$P$1001,MATCH(ROWS($O$2:O466),$O$2:$O$1001,0),1)&gt;=100000,INDEX($V$1005:$AE$1005,1,MATCH(COLUMNS($V$1006:Z1006),$V$1006:$AE$1006,0))&gt;=100000), " ",IF(INDEX($V$2:$AE$1001,MATCH(ROWS($O$2:O466),$O$2:$O$1001,0),MATCH(COLUMNS($V$1006:Z1006),$V$1006:$AE$1006,0)), HYPERLINK("#",""), HYPERLINK(CONCATENATE("#Metadata!", ADDRESS(INDEX($Q$2:$Q$1001,MATCH(ROWS($O$2:O466),$O$2:$O$1001,0),0), INDEX($V$1004:$AE$1004,1,MATCH(COLUMNS($V$1006:Z1006),$V$1006:$AE$1006,0)))),"Fix")))</f>
        <v>0</v>
      </c>
      <c r="G466" s="3">
        <f>IF(OR(INDEX($P$2:$P$1001,MATCH(ROWS($O$2:O466),$O$2:$O$1001,0),1)&gt;=100000,INDEX($V$1005:$AE$1005,1,MATCH(COLUMNS($V$1006:AA1006),$V$1006:$AE$1006,0))&gt;=100000), " ",IF(INDEX($V$2:$AE$1001,MATCH(ROWS($O$2:O466),$O$2:$O$1001,0),MATCH(COLUMNS($V$1006:AA1006),$V$1006:$AE$1006,0)), HYPERLINK("#",""), HYPERLINK(CONCATENATE("#Metadata!", ADDRESS(INDEX($Q$2:$Q$1001,MATCH(ROWS($O$2:O466),$O$2:$O$1001,0),0), INDEX($V$1004:$AE$1004,1,MATCH(COLUMNS($V$1006:AA1006),$V$1006:$AE$1006,0)))),"Fix")))</f>
        <v>0</v>
      </c>
      <c r="H466" s="3">
        <f>IF(OR(INDEX($P$2:$P$1001,MATCH(ROWS($O$2:O466),$O$2:$O$1001,0),1)&gt;=100000,INDEX($V$1005:$AE$1005,1,MATCH(COLUMNS($V$1006:AB1006),$V$1006:$AE$1006,0))&gt;=100000), " ",IF(INDEX($V$2:$AE$1001,MATCH(ROWS($O$2:O466),$O$2:$O$1001,0),MATCH(COLUMNS($V$1006:AB1006),$V$1006:$AE$1006,0)), HYPERLINK("#",""), HYPERLINK(CONCATENATE("#Metadata!", ADDRESS(INDEX($Q$2:$Q$1001,MATCH(ROWS($O$2:O466),$O$2:$O$1001,0),0), INDEX($V$1004:$AE$1004,1,MATCH(COLUMNS($V$1006:AB1006),$V$1006:$AE$1006,0)))),"Fix")))</f>
        <v>0</v>
      </c>
      <c r="I466" s="3">
        <f>IF(OR(INDEX($P$2:$P$1001,MATCH(ROWS($O$2:O466),$O$2:$O$1001,0),1)&gt;=100000,INDEX($V$1005:$AE$1005,1,MATCH(COLUMNS($V$1006:AC1006),$V$1006:$AE$1006,0))&gt;=100000), " ",IF(INDEX($V$2:$AE$1001,MATCH(ROWS($O$2:O466),$O$2:$O$1001,0),MATCH(COLUMNS($V$1006:AC1006),$V$1006:$AE$1006,0)), HYPERLINK("#",""), HYPERLINK(CONCATENATE("#Metadata!", ADDRESS(INDEX($Q$2:$Q$1001,MATCH(ROWS($O$2:O466),$O$2:$O$1001,0),0), INDEX($V$1004:$AE$1004,1,MATCH(COLUMNS($V$1006:AC1006),$V$1006:$AE$1006,0)))),"Fix")))</f>
        <v>0</v>
      </c>
      <c r="J466" s="3">
        <f>IF(OR(INDEX($P$2:$P$1001,MATCH(ROWS($O$2:O466),$O$2:$O$1001,0),1)&gt;=100000,INDEX($V$1005:$AE$1005,1,MATCH(COLUMNS($V$1006:AD1006),$V$1006:$AE$1006,0))&gt;=100000), " ",IF(INDEX($V$2:$AE$1001,MATCH(ROWS($O$2:O466),$O$2:$O$1001,0),MATCH(COLUMNS($V$1006:AD1006),$V$1006:$AE$1006,0)), HYPERLINK("#",""), HYPERLINK(CONCATENATE("#Metadata!", ADDRESS(INDEX($Q$2:$Q$1001,MATCH(ROWS($O$2:O466),$O$2:$O$1001,0),0), INDEX($V$1004:$AE$1004,1,MATCH(COLUMNS($V$1006:AD1006),$V$1006:$AE$1006,0)))),"Fix")))</f>
        <v>0</v>
      </c>
      <c r="K466" s="3">
        <f>IF(OR(INDEX($P$2:$P$1001,MATCH(ROWS($O$2:O466),$O$2:$O$1001,0),1)&gt;=100000,INDEX($V$1005:$AE$1005,1,MATCH(COLUMNS($V$1006:AE1006),$V$1006:$AE$1006,0))&gt;=100000), " ",IF(INDEX($V$2:$AE$1001,MATCH(ROWS($O$2:O466),$O$2:$O$1001,0),MATCH(COLUMNS($V$1006:AE1006),$V$1006:$AE$1006,0)), HYPERLINK("#",""), HYPERLINK(CONCATENATE("#Metadata!", ADDRESS(INDEX($Q$2:$Q$1001,MATCH(ROWS($O$2:O466),$O$2:$O$1001,0),0), INDEX($V$1004:$AE$1004,1,MATCH(COLUMNS($V$1006:AE1006),$V$1006:$AE$1006,0)))),"Fix")))</f>
        <v>0</v>
      </c>
      <c r="O466">
        <v>0</v>
      </c>
      <c r="P466">
        <v>0</v>
      </c>
      <c r="Q466">
        <v>0</v>
      </c>
      <c r="R466">
        <f>IF(S466,TRUE,AND(V466:AE466))</f>
        <v>0</v>
      </c>
      <c r="S466">
        <f>COUNTBLANK(Metadata!B466:K466)=COLUMNS(Metadata!B466:K466)</f>
        <v>0</v>
      </c>
      <c r="T466">
        <v>0</v>
      </c>
      <c r="V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W466">
        <f>AND(IF(Metadata!C466="",FALSE,TRUE),exact(Metadata!C466,"animal secretion"))</f>
        <v>0</v>
      </c>
      <c r="X466">
        <f>AND(IF(Metadata!D466="",FALSE,TRUE),exact(Metadata!D466,"saliva"))</f>
        <v>0</v>
      </c>
      <c r="Y466">
        <f>AND(IF(Metadata!E466="",FALSE,TRUE),exact(Metadata!E466,"human-oral"))</f>
        <v>0</v>
      </c>
      <c r="Z466">
        <f>AND(IF(Metadata!F466="",FALSE,TRUE),exact(Metadata!F466,"UBERON:oral cavity"))</f>
        <v>0</v>
      </c>
      <c r="AA466">
        <f>AND(IF(Metadata!G466="",FALSE,TRUE),exact(Metadata!G466,"UBERON:saliva"))</f>
        <v>0</v>
      </c>
      <c r="AB466">
        <f>AND(IF(Metadata!H466="",FALSE,TRUE),exact(Metadata!H466,"UBERON:tongue"))</f>
        <v>0</v>
      </c>
      <c r="AC466">
        <f>AND(IF(Metadata!I466="",FALSE,TRUE),exact(Metadata!I466,"tongue"))</f>
        <v>0</v>
      </c>
      <c r="AD466">
        <f>AND(IF(Metadata!J466="",FALSE,TRUE),exact(Metadata!J466,"human oral metagenome"))</f>
        <v>0</v>
      </c>
      <c r="AE466">
        <f>AND(IF(Metadata!K466="",FALSE,TRUE),exact(Metadata!K466,"447426"))</f>
        <v>0</v>
      </c>
    </row>
    <row r="467" spans="1:31">
      <c r="A467" s="4">
        <f>IF(B467=" "," ",HYPERLINK(CONCATENATE("#metadata!",ADDRESS(INDEX($Q$2:$Q$1001,MATCH(ROWS($O$2:O467),$O$2:$O$1001,0),0),1)),INDEX($T$2:$T$1001,MATCH(ROWS($O$2:O467),$O$2:$O$1001,0),0)))</f>
        <v>0</v>
      </c>
      <c r="B467" s="3">
        <f>IF(OR(INDEX($P$2:$P$1001,MATCH(ROWS($O$2:O467),$O$2:$O$1001,0),1)&gt;=100000,INDEX($V$1005:$AE$1005,1,MATCH(COLUMNS($V$1006:V1006),$V$1006:$AE$1006,0))&gt;=100000), " ",IF(INDEX($V$2:$AE$1001,MATCH(ROWS($O$2:O467),$O$2:$O$1001,0),MATCH(COLUMNS($V$1006:V1006),$V$1006:$AE$1006,0)), HYPERLINK("#",""), HYPERLINK(CONCATENATE("#Metadata!", ADDRESS(INDEX($Q$2:$Q$1001,MATCH(ROWS($O$2:O467),$O$2:$O$1001,0),0), INDEX($V$1004:$AE$1004,1,MATCH(COLUMNS($V$1006:V1006),$V$1006:$AE$1006,0)))),"Fix")))</f>
        <v>0</v>
      </c>
      <c r="C467" s="3">
        <f>IF(OR(INDEX($P$2:$P$1001,MATCH(ROWS($O$2:O467),$O$2:$O$1001,0),1)&gt;=100000,INDEX($V$1005:$AE$1005,1,MATCH(COLUMNS($V$1006:W1006),$V$1006:$AE$1006,0))&gt;=100000), " ",IF(INDEX($V$2:$AE$1001,MATCH(ROWS($O$2:O467),$O$2:$O$1001,0),MATCH(COLUMNS($V$1006:W1006),$V$1006:$AE$1006,0)), HYPERLINK("#",""), HYPERLINK(CONCATENATE("#Metadata!", ADDRESS(INDEX($Q$2:$Q$1001,MATCH(ROWS($O$2:O467),$O$2:$O$1001,0),0), INDEX($V$1004:$AE$1004,1,MATCH(COLUMNS($V$1006:W1006),$V$1006:$AE$1006,0)))),"Fix")))</f>
        <v>0</v>
      </c>
      <c r="D467" s="3">
        <f>IF(OR(INDEX($P$2:$P$1001,MATCH(ROWS($O$2:O467),$O$2:$O$1001,0),1)&gt;=100000,INDEX($V$1005:$AE$1005,1,MATCH(COLUMNS($V$1006:X1006),$V$1006:$AE$1006,0))&gt;=100000), " ",IF(INDEX($V$2:$AE$1001,MATCH(ROWS($O$2:O467),$O$2:$O$1001,0),MATCH(COLUMNS($V$1006:X1006),$V$1006:$AE$1006,0)), HYPERLINK("#",""), HYPERLINK(CONCATENATE("#Metadata!", ADDRESS(INDEX($Q$2:$Q$1001,MATCH(ROWS($O$2:O467),$O$2:$O$1001,0),0), INDEX($V$1004:$AE$1004,1,MATCH(COLUMNS($V$1006:X1006),$V$1006:$AE$1006,0)))),"Fix")))</f>
        <v>0</v>
      </c>
      <c r="E467" s="3">
        <f>IF(OR(INDEX($P$2:$P$1001,MATCH(ROWS($O$2:O467),$O$2:$O$1001,0),1)&gt;=100000,INDEX($V$1005:$AE$1005,1,MATCH(COLUMNS($V$1006:Y1006),$V$1006:$AE$1006,0))&gt;=100000), " ",IF(INDEX($V$2:$AE$1001,MATCH(ROWS($O$2:O467),$O$2:$O$1001,0),MATCH(COLUMNS($V$1006:Y1006),$V$1006:$AE$1006,0)), HYPERLINK("#",""), HYPERLINK(CONCATENATE("#Metadata!", ADDRESS(INDEX($Q$2:$Q$1001,MATCH(ROWS($O$2:O467),$O$2:$O$1001,0),0), INDEX($V$1004:$AE$1004,1,MATCH(COLUMNS($V$1006:Y1006),$V$1006:$AE$1006,0)))),"Fix")))</f>
        <v>0</v>
      </c>
      <c r="F467" s="3">
        <f>IF(OR(INDEX($P$2:$P$1001,MATCH(ROWS($O$2:O467),$O$2:$O$1001,0),1)&gt;=100000,INDEX($V$1005:$AE$1005,1,MATCH(COLUMNS($V$1006:Z1006),$V$1006:$AE$1006,0))&gt;=100000), " ",IF(INDEX($V$2:$AE$1001,MATCH(ROWS($O$2:O467),$O$2:$O$1001,0),MATCH(COLUMNS($V$1006:Z1006),$V$1006:$AE$1006,0)), HYPERLINK("#",""), HYPERLINK(CONCATENATE("#Metadata!", ADDRESS(INDEX($Q$2:$Q$1001,MATCH(ROWS($O$2:O467),$O$2:$O$1001,0),0), INDEX($V$1004:$AE$1004,1,MATCH(COLUMNS($V$1006:Z1006),$V$1006:$AE$1006,0)))),"Fix")))</f>
        <v>0</v>
      </c>
      <c r="G467" s="3">
        <f>IF(OR(INDEX($P$2:$P$1001,MATCH(ROWS($O$2:O467),$O$2:$O$1001,0),1)&gt;=100000,INDEX($V$1005:$AE$1005,1,MATCH(COLUMNS($V$1006:AA1006),$V$1006:$AE$1006,0))&gt;=100000), " ",IF(INDEX($V$2:$AE$1001,MATCH(ROWS($O$2:O467),$O$2:$O$1001,0),MATCH(COLUMNS($V$1006:AA1006),$V$1006:$AE$1006,0)), HYPERLINK("#",""), HYPERLINK(CONCATENATE("#Metadata!", ADDRESS(INDEX($Q$2:$Q$1001,MATCH(ROWS($O$2:O467),$O$2:$O$1001,0),0), INDEX($V$1004:$AE$1004,1,MATCH(COLUMNS($V$1006:AA1006),$V$1006:$AE$1006,0)))),"Fix")))</f>
        <v>0</v>
      </c>
      <c r="H467" s="3">
        <f>IF(OR(INDEX($P$2:$P$1001,MATCH(ROWS($O$2:O467),$O$2:$O$1001,0),1)&gt;=100000,INDEX($V$1005:$AE$1005,1,MATCH(COLUMNS($V$1006:AB1006),$V$1006:$AE$1006,0))&gt;=100000), " ",IF(INDEX($V$2:$AE$1001,MATCH(ROWS($O$2:O467),$O$2:$O$1001,0),MATCH(COLUMNS($V$1006:AB1006),$V$1006:$AE$1006,0)), HYPERLINK("#",""), HYPERLINK(CONCATENATE("#Metadata!", ADDRESS(INDEX($Q$2:$Q$1001,MATCH(ROWS($O$2:O467),$O$2:$O$1001,0),0), INDEX($V$1004:$AE$1004,1,MATCH(COLUMNS($V$1006:AB1006),$V$1006:$AE$1006,0)))),"Fix")))</f>
        <v>0</v>
      </c>
      <c r="I467" s="3">
        <f>IF(OR(INDEX($P$2:$P$1001,MATCH(ROWS($O$2:O467),$O$2:$O$1001,0),1)&gt;=100000,INDEX($V$1005:$AE$1005,1,MATCH(COLUMNS($V$1006:AC1006),$V$1006:$AE$1006,0))&gt;=100000), " ",IF(INDEX($V$2:$AE$1001,MATCH(ROWS($O$2:O467),$O$2:$O$1001,0),MATCH(COLUMNS($V$1006:AC1006),$V$1006:$AE$1006,0)), HYPERLINK("#",""), HYPERLINK(CONCATENATE("#Metadata!", ADDRESS(INDEX($Q$2:$Q$1001,MATCH(ROWS($O$2:O467),$O$2:$O$1001,0),0), INDEX($V$1004:$AE$1004,1,MATCH(COLUMNS($V$1006:AC1006),$V$1006:$AE$1006,0)))),"Fix")))</f>
        <v>0</v>
      </c>
      <c r="J467" s="3">
        <f>IF(OR(INDEX($P$2:$P$1001,MATCH(ROWS($O$2:O467),$O$2:$O$1001,0),1)&gt;=100000,INDEX($V$1005:$AE$1005,1,MATCH(COLUMNS($V$1006:AD1006),$V$1006:$AE$1006,0))&gt;=100000), " ",IF(INDEX($V$2:$AE$1001,MATCH(ROWS($O$2:O467),$O$2:$O$1001,0),MATCH(COLUMNS($V$1006:AD1006),$V$1006:$AE$1006,0)), HYPERLINK("#",""), HYPERLINK(CONCATENATE("#Metadata!", ADDRESS(INDEX($Q$2:$Q$1001,MATCH(ROWS($O$2:O467),$O$2:$O$1001,0),0), INDEX($V$1004:$AE$1004,1,MATCH(COLUMNS($V$1006:AD1006),$V$1006:$AE$1006,0)))),"Fix")))</f>
        <v>0</v>
      </c>
      <c r="K467" s="3">
        <f>IF(OR(INDEX($P$2:$P$1001,MATCH(ROWS($O$2:O467),$O$2:$O$1001,0),1)&gt;=100000,INDEX($V$1005:$AE$1005,1,MATCH(COLUMNS($V$1006:AE1006),$V$1006:$AE$1006,0))&gt;=100000), " ",IF(INDEX($V$2:$AE$1001,MATCH(ROWS($O$2:O467),$O$2:$O$1001,0),MATCH(COLUMNS($V$1006:AE1006),$V$1006:$AE$1006,0)), HYPERLINK("#",""), HYPERLINK(CONCATENATE("#Metadata!", ADDRESS(INDEX($Q$2:$Q$1001,MATCH(ROWS($O$2:O467),$O$2:$O$1001,0),0), INDEX($V$1004:$AE$1004,1,MATCH(COLUMNS($V$1006:AE1006),$V$1006:$AE$1006,0)))),"Fix")))</f>
        <v>0</v>
      </c>
      <c r="O467">
        <v>0</v>
      </c>
      <c r="P467">
        <v>0</v>
      </c>
      <c r="Q467">
        <v>0</v>
      </c>
      <c r="R467">
        <f>IF(S467,TRUE,AND(V467:AE467))</f>
        <v>0</v>
      </c>
      <c r="S467">
        <f>COUNTBLANK(Metadata!B467:K467)=COLUMNS(Metadata!B467:K467)</f>
        <v>0</v>
      </c>
      <c r="T467">
        <v>0</v>
      </c>
      <c r="V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W467">
        <f>AND(IF(Metadata!C467="",FALSE,TRUE),exact(Metadata!C467,"animal secretion"))</f>
        <v>0</v>
      </c>
      <c r="X467">
        <f>AND(IF(Metadata!D467="",FALSE,TRUE),exact(Metadata!D467,"saliva"))</f>
        <v>0</v>
      </c>
      <c r="Y467">
        <f>AND(IF(Metadata!E467="",FALSE,TRUE),exact(Metadata!E467,"human-oral"))</f>
        <v>0</v>
      </c>
      <c r="Z467">
        <f>AND(IF(Metadata!F467="",FALSE,TRUE),exact(Metadata!F467,"UBERON:oral cavity"))</f>
        <v>0</v>
      </c>
      <c r="AA467">
        <f>AND(IF(Metadata!G467="",FALSE,TRUE),exact(Metadata!G467,"UBERON:saliva"))</f>
        <v>0</v>
      </c>
      <c r="AB467">
        <f>AND(IF(Metadata!H467="",FALSE,TRUE),exact(Metadata!H467,"UBERON:tongue"))</f>
        <v>0</v>
      </c>
      <c r="AC467">
        <f>AND(IF(Metadata!I467="",FALSE,TRUE),exact(Metadata!I467,"tongue"))</f>
        <v>0</v>
      </c>
      <c r="AD467">
        <f>AND(IF(Metadata!J467="",FALSE,TRUE),exact(Metadata!J467,"human oral metagenome"))</f>
        <v>0</v>
      </c>
      <c r="AE467">
        <f>AND(IF(Metadata!K467="",FALSE,TRUE),exact(Metadata!K467,"447426"))</f>
        <v>0</v>
      </c>
    </row>
    <row r="468" spans="1:31">
      <c r="A468" s="4">
        <f>IF(B468=" "," ",HYPERLINK(CONCATENATE("#metadata!",ADDRESS(INDEX($Q$2:$Q$1001,MATCH(ROWS($O$2:O468),$O$2:$O$1001,0),0),1)),INDEX($T$2:$T$1001,MATCH(ROWS($O$2:O468),$O$2:$O$1001,0),0)))</f>
        <v>0</v>
      </c>
      <c r="B468" s="3">
        <f>IF(OR(INDEX($P$2:$P$1001,MATCH(ROWS($O$2:O468),$O$2:$O$1001,0),1)&gt;=100000,INDEX($V$1005:$AE$1005,1,MATCH(COLUMNS($V$1006:V1006),$V$1006:$AE$1006,0))&gt;=100000), " ",IF(INDEX($V$2:$AE$1001,MATCH(ROWS($O$2:O468),$O$2:$O$1001,0),MATCH(COLUMNS($V$1006:V1006),$V$1006:$AE$1006,0)), HYPERLINK("#",""), HYPERLINK(CONCATENATE("#Metadata!", ADDRESS(INDEX($Q$2:$Q$1001,MATCH(ROWS($O$2:O468),$O$2:$O$1001,0),0), INDEX($V$1004:$AE$1004,1,MATCH(COLUMNS($V$1006:V1006),$V$1006:$AE$1006,0)))),"Fix")))</f>
        <v>0</v>
      </c>
      <c r="C468" s="3">
        <f>IF(OR(INDEX($P$2:$P$1001,MATCH(ROWS($O$2:O468),$O$2:$O$1001,0),1)&gt;=100000,INDEX($V$1005:$AE$1005,1,MATCH(COLUMNS($V$1006:W1006),$V$1006:$AE$1006,0))&gt;=100000), " ",IF(INDEX($V$2:$AE$1001,MATCH(ROWS($O$2:O468),$O$2:$O$1001,0),MATCH(COLUMNS($V$1006:W1006),$V$1006:$AE$1006,0)), HYPERLINK("#",""), HYPERLINK(CONCATENATE("#Metadata!", ADDRESS(INDEX($Q$2:$Q$1001,MATCH(ROWS($O$2:O468),$O$2:$O$1001,0),0), INDEX($V$1004:$AE$1004,1,MATCH(COLUMNS($V$1006:W1006),$V$1006:$AE$1006,0)))),"Fix")))</f>
        <v>0</v>
      </c>
      <c r="D468" s="3">
        <f>IF(OR(INDEX($P$2:$P$1001,MATCH(ROWS($O$2:O468),$O$2:$O$1001,0),1)&gt;=100000,INDEX($V$1005:$AE$1005,1,MATCH(COLUMNS($V$1006:X1006),$V$1006:$AE$1006,0))&gt;=100000), " ",IF(INDEX($V$2:$AE$1001,MATCH(ROWS($O$2:O468),$O$2:$O$1001,0),MATCH(COLUMNS($V$1006:X1006),$V$1006:$AE$1006,0)), HYPERLINK("#",""), HYPERLINK(CONCATENATE("#Metadata!", ADDRESS(INDEX($Q$2:$Q$1001,MATCH(ROWS($O$2:O468),$O$2:$O$1001,0),0), INDEX($V$1004:$AE$1004,1,MATCH(COLUMNS($V$1006:X1006),$V$1006:$AE$1006,0)))),"Fix")))</f>
        <v>0</v>
      </c>
      <c r="E468" s="3">
        <f>IF(OR(INDEX($P$2:$P$1001,MATCH(ROWS($O$2:O468),$O$2:$O$1001,0),1)&gt;=100000,INDEX($V$1005:$AE$1005,1,MATCH(COLUMNS($V$1006:Y1006),$V$1006:$AE$1006,0))&gt;=100000), " ",IF(INDEX($V$2:$AE$1001,MATCH(ROWS($O$2:O468),$O$2:$O$1001,0),MATCH(COLUMNS($V$1006:Y1006),$V$1006:$AE$1006,0)), HYPERLINK("#",""), HYPERLINK(CONCATENATE("#Metadata!", ADDRESS(INDEX($Q$2:$Q$1001,MATCH(ROWS($O$2:O468),$O$2:$O$1001,0),0), INDEX($V$1004:$AE$1004,1,MATCH(COLUMNS($V$1006:Y1006),$V$1006:$AE$1006,0)))),"Fix")))</f>
        <v>0</v>
      </c>
      <c r="F468" s="3">
        <f>IF(OR(INDEX($P$2:$P$1001,MATCH(ROWS($O$2:O468),$O$2:$O$1001,0),1)&gt;=100000,INDEX($V$1005:$AE$1005,1,MATCH(COLUMNS($V$1006:Z1006),$V$1006:$AE$1006,0))&gt;=100000), " ",IF(INDEX($V$2:$AE$1001,MATCH(ROWS($O$2:O468),$O$2:$O$1001,0),MATCH(COLUMNS($V$1006:Z1006),$V$1006:$AE$1006,0)), HYPERLINK("#",""), HYPERLINK(CONCATENATE("#Metadata!", ADDRESS(INDEX($Q$2:$Q$1001,MATCH(ROWS($O$2:O468),$O$2:$O$1001,0),0), INDEX($V$1004:$AE$1004,1,MATCH(COLUMNS($V$1006:Z1006),$V$1006:$AE$1006,0)))),"Fix")))</f>
        <v>0</v>
      </c>
      <c r="G468" s="3">
        <f>IF(OR(INDEX($P$2:$P$1001,MATCH(ROWS($O$2:O468),$O$2:$O$1001,0),1)&gt;=100000,INDEX($V$1005:$AE$1005,1,MATCH(COLUMNS($V$1006:AA1006),$V$1006:$AE$1006,0))&gt;=100000), " ",IF(INDEX($V$2:$AE$1001,MATCH(ROWS($O$2:O468),$O$2:$O$1001,0),MATCH(COLUMNS($V$1006:AA1006),$V$1006:$AE$1006,0)), HYPERLINK("#",""), HYPERLINK(CONCATENATE("#Metadata!", ADDRESS(INDEX($Q$2:$Q$1001,MATCH(ROWS($O$2:O468),$O$2:$O$1001,0),0), INDEX($V$1004:$AE$1004,1,MATCH(COLUMNS($V$1006:AA1006),$V$1006:$AE$1006,0)))),"Fix")))</f>
        <v>0</v>
      </c>
      <c r="H468" s="3">
        <f>IF(OR(INDEX($P$2:$P$1001,MATCH(ROWS($O$2:O468),$O$2:$O$1001,0),1)&gt;=100000,INDEX($V$1005:$AE$1005,1,MATCH(COLUMNS($V$1006:AB1006),$V$1006:$AE$1006,0))&gt;=100000), " ",IF(INDEX($V$2:$AE$1001,MATCH(ROWS($O$2:O468),$O$2:$O$1001,0),MATCH(COLUMNS($V$1006:AB1006),$V$1006:$AE$1006,0)), HYPERLINK("#",""), HYPERLINK(CONCATENATE("#Metadata!", ADDRESS(INDEX($Q$2:$Q$1001,MATCH(ROWS($O$2:O468),$O$2:$O$1001,0),0), INDEX($V$1004:$AE$1004,1,MATCH(COLUMNS($V$1006:AB1006),$V$1006:$AE$1006,0)))),"Fix")))</f>
        <v>0</v>
      </c>
      <c r="I468" s="3">
        <f>IF(OR(INDEX($P$2:$P$1001,MATCH(ROWS($O$2:O468),$O$2:$O$1001,0),1)&gt;=100000,INDEX($V$1005:$AE$1005,1,MATCH(COLUMNS($V$1006:AC1006),$V$1006:$AE$1006,0))&gt;=100000), " ",IF(INDEX($V$2:$AE$1001,MATCH(ROWS($O$2:O468),$O$2:$O$1001,0),MATCH(COLUMNS($V$1006:AC1006),$V$1006:$AE$1006,0)), HYPERLINK("#",""), HYPERLINK(CONCATENATE("#Metadata!", ADDRESS(INDEX($Q$2:$Q$1001,MATCH(ROWS($O$2:O468),$O$2:$O$1001,0),0), INDEX($V$1004:$AE$1004,1,MATCH(COLUMNS($V$1006:AC1006),$V$1006:$AE$1006,0)))),"Fix")))</f>
        <v>0</v>
      </c>
      <c r="J468" s="3">
        <f>IF(OR(INDEX($P$2:$P$1001,MATCH(ROWS($O$2:O468),$O$2:$O$1001,0),1)&gt;=100000,INDEX($V$1005:$AE$1005,1,MATCH(COLUMNS($V$1006:AD1006),$V$1006:$AE$1006,0))&gt;=100000), " ",IF(INDEX($V$2:$AE$1001,MATCH(ROWS($O$2:O468),$O$2:$O$1001,0),MATCH(COLUMNS($V$1006:AD1006),$V$1006:$AE$1006,0)), HYPERLINK("#",""), HYPERLINK(CONCATENATE("#Metadata!", ADDRESS(INDEX($Q$2:$Q$1001,MATCH(ROWS($O$2:O468),$O$2:$O$1001,0),0), INDEX($V$1004:$AE$1004,1,MATCH(COLUMNS($V$1006:AD1006),$V$1006:$AE$1006,0)))),"Fix")))</f>
        <v>0</v>
      </c>
      <c r="K468" s="3">
        <f>IF(OR(INDEX($P$2:$P$1001,MATCH(ROWS($O$2:O468),$O$2:$O$1001,0),1)&gt;=100000,INDEX($V$1005:$AE$1005,1,MATCH(COLUMNS($V$1006:AE1006),$V$1006:$AE$1006,0))&gt;=100000), " ",IF(INDEX($V$2:$AE$1001,MATCH(ROWS($O$2:O468),$O$2:$O$1001,0),MATCH(COLUMNS($V$1006:AE1006),$V$1006:$AE$1006,0)), HYPERLINK("#",""), HYPERLINK(CONCATENATE("#Metadata!", ADDRESS(INDEX($Q$2:$Q$1001,MATCH(ROWS($O$2:O468),$O$2:$O$1001,0),0), INDEX($V$1004:$AE$1004,1,MATCH(COLUMNS($V$1006:AE1006),$V$1006:$AE$1006,0)))),"Fix")))</f>
        <v>0</v>
      </c>
      <c r="O468">
        <v>0</v>
      </c>
      <c r="P468">
        <v>0</v>
      </c>
      <c r="Q468">
        <v>0</v>
      </c>
      <c r="R468">
        <f>IF(S468,TRUE,AND(V468:AE468))</f>
        <v>0</v>
      </c>
      <c r="S468">
        <f>COUNTBLANK(Metadata!B468:K468)=COLUMNS(Metadata!B468:K468)</f>
        <v>0</v>
      </c>
      <c r="T468">
        <v>0</v>
      </c>
      <c r="V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W468">
        <f>AND(IF(Metadata!C468="",FALSE,TRUE),exact(Metadata!C468,"animal secretion"))</f>
        <v>0</v>
      </c>
      <c r="X468">
        <f>AND(IF(Metadata!D468="",FALSE,TRUE),exact(Metadata!D468,"saliva"))</f>
        <v>0</v>
      </c>
      <c r="Y468">
        <f>AND(IF(Metadata!E468="",FALSE,TRUE),exact(Metadata!E468,"human-oral"))</f>
        <v>0</v>
      </c>
      <c r="Z468">
        <f>AND(IF(Metadata!F468="",FALSE,TRUE),exact(Metadata!F468,"UBERON:oral cavity"))</f>
        <v>0</v>
      </c>
      <c r="AA468">
        <f>AND(IF(Metadata!G468="",FALSE,TRUE),exact(Metadata!G468,"UBERON:saliva"))</f>
        <v>0</v>
      </c>
      <c r="AB468">
        <f>AND(IF(Metadata!H468="",FALSE,TRUE),exact(Metadata!H468,"UBERON:tongue"))</f>
        <v>0</v>
      </c>
      <c r="AC468">
        <f>AND(IF(Metadata!I468="",FALSE,TRUE),exact(Metadata!I468,"tongue"))</f>
        <v>0</v>
      </c>
      <c r="AD468">
        <f>AND(IF(Metadata!J468="",FALSE,TRUE),exact(Metadata!J468,"human oral metagenome"))</f>
        <v>0</v>
      </c>
      <c r="AE468">
        <f>AND(IF(Metadata!K468="",FALSE,TRUE),exact(Metadata!K468,"447426"))</f>
        <v>0</v>
      </c>
    </row>
    <row r="469" spans="1:31">
      <c r="A469" s="4">
        <f>IF(B469=" "," ",HYPERLINK(CONCATENATE("#metadata!",ADDRESS(INDEX($Q$2:$Q$1001,MATCH(ROWS($O$2:O469),$O$2:$O$1001,0),0),1)),INDEX($T$2:$T$1001,MATCH(ROWS($O$2:O469),$O$2:$O$1001,0),0)))</f>
        <v>0</v>
      </c>
      <c r="B469" s="3">
        <f>IF(OR(INDEX($P$2:$P$1001,MATCH(ROWS($O$2:O469),$O$2:$O$1001,0),1)&gt;=100000,INDEX($V$1005:$AE$1005,1,MATCH(COLUMNS($V$1006:V1006),$V$1006:$AE$1006,0))&gt;=100000), " ",IF(INDEX($V$2:$AE$1001,MATCH(ROWS($O$2:O469),$O$2:$O$1001,0),MATCH(COLUMNS($V$1006:V1006),$V$1006:$AE$1006,0)), HYPERLINK("#",""), HYPERLINK(CONCATENATE("#Metadata!", ADDRESS(INDEX($Q$2:$Q$1001,MATCH(ROWS($O$2:O469),$O$2:$O$1001,0),0), INDEX($V$1004:$AE$1004,1,MATCH(COLUMNS($V$1006:V1006),$V$1006:$AE$1006,0)))),"Fix")))</f>
        <v>0</v>
      </c>
      <c r="C469" s="3">
        <f>IF(OR(INDEX($P$2:$P$1001,MATCH(ROWS($O$2:O469),$O$2:$O$1001,0),1)&gt;=100000,INDEX($V$1005:$AE$1005,1,MATCH(COLUMNS($V$1006:W1006),$V$1006:$AE$1006,0))&gt;=100000), " ",IF(INDEX($V$2:$AE$1001,MATCH(ROWS($O$2:O469),$O$2:$O$1001,0),MATCH(COLUMNS($V$1006:W1006),$V$1006:$AE$1006,0)), HYPERLINK("#",""), HYPERLINK(CONCATENATE("#Metadata!", ADDRESS(INDEX($Q$2:$Q$1001,MATCH(ROWS($O$2:O469),$O$2:$O$1001,0),0), INDEX($V$1004:$AE$1004,1,MATCH(COLUMNS($V$1006:W1006),$V$1006:$AE$1006,0)))),"Fix")))</f>
        <v>0</v>
      </c>
      <c r="D469" s="3">
        <f>IF(OR(INDEX($P$2:$P$1001,MATCH(ROWS($O$2:O469),$O$2:$O$1001,0),1)&gt;=100000,INDEX($V$1005:$AE$1005,1,MATCH(COLUMNS($V$1006:X1006),$V$1006:$AE$1006,0))&gt;=100000), " ",IF(INDEX($V$2:$AE$1001,MATCH(ROWS($O$2:O469),$O$2:$O$1001,0),MATCH(COLUMNS($V$1006:X1006),$V$1006:$AE$1006,0)), HYPERLINK("#",""), HYPERLINK(CONCATENATE("#Metadata!", ADDRESS(INDEX($Q$2:$Q$1001,MATCH(ROWS($O$2:O469),$O$2:$O$1001,0),0), INDEX($V$1004:$AE$1004,1,MATCH(COLUMNS($V$1006:X1006),$V$1006:$AE$1006,0)))),"Fix")))</f>
        <v>0</v>
      </c>
      <c r="E469" s="3">
        <f>IF(OR(INDEX($P$2:$P$1001,MATCH(ROWS($O$2:O469),$O$2:$O$1001,0),1)&gt;=100000,INDEX($V$1005:$AE$1005,1,MATCH(COLUMNS($V$1006:Y1006),$V$1006:$AE$1006,0))&gt;=100000), " ",IF(INDEX($V$2:$AE$1001,MATCH(ROWS($O$2:O469),$O$2:$O$1001,0),MATCH(COLUMNS($V$1006:Y1006),$V$1006:$AE$1006,0)), HYPERLINK("#",""), HYPERLINK(CONCATENATE("#Metadata!", ADDRESS(INDEX($Q$2:$Q$1001,MATCH(ROWS($O$2:O469),$O$2:$O$1001,0),0), INDEX($V$1004:$AE$1004,1,MATCH(COLUMNS($V$1006:Y1006),$V$1006:$AE$1006,0)))),"Fix")))</f>
        <v>0</v>
      </c>
      <c r="F469" s="3">
        <f>IF(OR(INDEX($P$2:$P$1001,MATCH(ROWS($O$2:O469),$O$2:$O$1001,0),1)&gt;=100000,INDEX($V$1005:$AE$1005,1,MATCH(COLUMNS($V$1006:Z1006),$V$1006:$AE$1006,0))&gt;=100000), " ",IF(INDEX($V$2:$AE$1001,MATCH(ROWS($O$2:O469),$O$2:$O$1001,0),MATCH(COLUMNS($V$1006:Z1006),$V$1006:$AE$1006,0)), HYPERLINK("#",""), HYPERLINK(CONCATENATE("#Metadata!", ADDRESS(INDEX($Q$2:$Q$1001,MATCH(ROWS($O$2:O469),$O$2:$O$1001,0),0), INDEX($V$1004:$AE$1004,1,MATCH(COLUMNS($V$1006:Z1006),$V$1006:$AE$1006,0)))),"Fix")))</f>
        <v>0</v>
      </c>
      <c r="G469" s="3">
        <f>IF(OR(INDEX($P$2:$P$1001,MATCH(ROWS($O$2:O469),$O$2:$O$1001,0),1)&gt;=100000,INDEX($V$1005:$AE$1005,1,MATCH(COLUMNS($V$1006:AA1006),$V$1006:$AE$1006,0))&gt;=100000), " ",IF(INDEX($V$2:$AE$1001,MATCH(ROWS($O$2:O469),$O$2:$O$1001,0),MATCH(COLUMNS($V$1006:AA1006),$V$1006:$AE$1006,0)), HYPERLINK("#",""), HYPERLINK(CONCATENATE("#Metadata!", ADDRESS(INDEX($Q$2:$Q$1001,MATCH(ROWS($O$2:O469),$O$2:$O$1001,0),0), INDEX($V$1004:$AE$1004,1,MATCH(COLUMNS($V$1006:AA1006),$V$1006:$AE$1006,0)))),"Fix")))</f>
        <v>0</v>
      </c>
      <c r="H469" s="3">
        <f>IF(OR(INDEX($P$2:$P$1001,MATCH(ROWS($O$2:O469),$O$2:$O$1001,0),1)&gt;=100000,INDEX($V$1005:$AE$1005,1,MATCH(COLUMNS($V$1006:AB1006),$V$1006:$AE$1006,0))&gt;=100000), " ",IF(INDEX($V$2:$AE$1001,MATCH(ROWS($O$2:O469),$O$2:$O$1001,0),MATCH(COLUMNS($V$1006:AB1006),$V$1006:$AE$1006,0)), HYPERLINK("#",""), HYPERLINK(CONCATENATE("#Metadata!", ADDRESS(INDEX($Q$2:$Q$1001,MATCH(ROWS($O$2:O469),$O$2:$O$1001,0),0), INDEX($V$1004:$AE$1004,1,MATCH(COLUMNS($V$1006:AB1006),$V$1006:$AE$1006,0)))),"Fix")))</f>
        <v>0</v>
      </c>
      <c r="I469" s="3">
        <f>IF(OR(INDEX($P$2:$P$1001,MATCH(ROWS($O$2:O469),$O$2:$O$1001,0),1)&gt;=100000,INDEX($V$1005:$AE$1005,1,MATCH(COLUMNS($V$1006:AC1006),$V$1006:$AE$1006,0))&gt;=100000), " ",IF(INDEX($V$2:$AE$1001,MATCH(ROWS($O$2:O469),$O$2:$O$1001,0),MATCH(COLUMNS($V$1006:AC1006),$V$1006:$AE$1006,0)), HYPERLINK("#",""), HYPERLINK(CONCATENATE("#Metadata!", ADDRESS(INDEX($Q$2:$Q$1001,MATCH(ROWS($O$2:O469),$O$2:$O$1001,0),0), INDEX($V$1004:$AE$1004,1,MATCH(COLUMNS($V$1006:AC1006),$V$1006:$AE$1006,0)))),"Fix")))</f>
        <v>0</v>
      </c>
      <c r="J469" s="3">
        <f>IF(OR(INDEX($P$2:$P$1001,MATCH(ROWS($O$2:O469),$O$2:$O$1001,0),1)&gt;=100000,INDEX($V$1005:$AE$1005,1,MATCH(COLUMNS($V$1006:AD1006),$V$1006:$AE$1006,0))&gt;=100000), " ",IF(INDEX($V$2:$AE$1001,MATCH(ROWS($O$2:O469),$O$2:$O$1001,0),MATCH(COLUMNS($V$1006:AD1006),$V$1006:$AE$1006,0)), HYPERLINK("#",""), HYPERLINK(CONCATENATE("#Metadata!", ADDRESS(INDEX($Q$2:$Q$1001,MATCH(ROWS($O$2:O469),$O$2:$O$1001,0),0), INDEX($V$1004:$AE$1004,1,MATCH(COLUMNS($V$1006:AD1006),$V$1006:$AE$1006,0)))),"Fix")))</f>
        <v>0</v>
      </c>
      <c r="K469" s="3">
        <f>IF(OR(INDEX($P$2:$P$1001,MATCH(ROWS($O$2:O469),$O$2:$O$1001,0),1)&gt;=100000,INDEX($V$1005:$AE$1005,1,MATCH(COLUMNS($V$1006:AE1006),$V$1006:$AE$1006,0))&gt;=100000), " ",IF(INDEX($V$2:$AE$1001,MATCH(ROWS($O$2:O469),$O$2:$O$1001,0),MATCH(COLUMNS($V$1006:AE1006),$V$1006:$AE$1006,0)), HYPERLINK("#",""), HYPERLINK(CONCATENATE("#Metadata!", ADDRESS(INDEX($Q$2:$Q$1001,MATCH(ROWS($O$2:O469),$O$2:$O$1001,0),0), INDEX($V$1004:$AE$1004,1,MATCH(COLUMNS($V$1006:AE1006),$V$1006:$AE$1006,0)))),"Fix")))</f>
        <v>0</v>
      </c>
      <c r="O469">
        <v>0</v>
      </c>
      <c r="P469">
        <v>0</v>
      </c>
      <c r="Q469">
        <v>0</v>
      </c>
      <c r="R469">
        <f>IF(S469,TRUE,AND(V469:AE469))</f>
        <v>0</v>
      </c>
      <c r="S469">
        <f>COUNTBLANK(Metadata!B469:K469)=COLUMNS(Metadata!B469:K469)</f>
        <v>0</v>
      </c>
      <c r="T469">
        <v>0</v>
      </c>
      <c r="V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W469">
        <f>AND(IF(Metadata!C469="",FALSE,TRUE),exact(Metadata!C469,"animal secretion"))</f>
        <v>0</v>
      </c>
      <c r="X469">
        <f>AND(IF(Metadata!D469="",FALSE,TRUE),exact(Metadata!D469,"saliva"))</f>
        <v>0</v>
      </c>
      <c r="Y469">
        <f>AND(IF(Metadata!E469="",FALSE,TRUE),exact(Metadata!E469,"human-oral"))</f>
        <v>0</v>
      </c>
      <c r="Z469">
        <f>AND(IF(Metadata!F469="",FALSE,TRUE),exact(Metadata!F469,"UBERON:oral cavity"))</f>
        <v>0</v>
      </c>
      <c r="AA469">
        <f>AND(IF(Metadata!G469="",FALSE,TRUE),exact(Metadata!G469,"UBERON:saliva"))</f>
        <v>0</v>
      </c>
      <c r="AB469">
        <f>AND(IF(Metadata!H469="",FALSE,TRUE),exact(Metadata!H469,"UBERON:tongue"))</f>
        <v>0</v>
      </c>
      <c r="AC469">
        <f>AND(IF(Metadata!I469="",FALSE,TRUE),exact(Metadata!I469,"tongue"))</f>
        <v>0</v>
      </c>
      <c r="AD469">
        <f>AND(IF(Metadata!J469="",FALSE,TRUE),exact(Metadata!J469,"human oral metagenome"))</f>
        <v>0</v>
      </c>
      <c r="AE469">
        <f>AND(IF(Metadata!K469="",FALSE,TRUE),exact(Metadata!K469,"447426"))</f>
        <v>0</v>
      </c>
    </row>
    <row r="470" spans="1:31">
      <c r="A470" s="4">
        <f>IF(B470=" "," ",HYPERLINK(CONCATENATE("#metadata!",ADDRESS(INDEX($Q$2:$Q$1001,MATCH(ROWS($O$2:O470),$O$2:$O$1001,0),0),1)),INDEX($T$2:$T$1001,MATCH(ROWS($O$2:O470),$O$2:$O$1001,0),0)))</f>
        <v>0</v>
      </c>
      <c r="B470" s="3">
        <f>IF(OR(INDEX($P$2:$P$1001,MATCH(ROWS($O$2:O470),$O$2:$O$1001,0),1)&gt;=100000,INDEX($V$1005:$AE$1005,1,MATCH(COLUMNS($V$1006:V1006),$V$1006:$AE$1006,0))&gt;=100000), " ",IF(INDEX($V$2:$AE$1001,MATCH(ROWS($O$2:O470),$O$2:$O$1001,0),MATCH(COLUMNS($V$1006:V1006),$V$1006:$AE$1006,0)), HYPERLINK("#",""), HYPERLINK(CONCATENATE("#Metadata!", ADDRESS(INDEX($Q$2:$Q$1001,MATCH(ROWS($O$2:O470),$O$2:$O$1001,0),0), INDEX($V$1004:$AE$1004,1,MATCH(COLUMNS($V$1006:V1006),$V$1006:$AE$1006,0)))),"Fix")))</f>
        <v>0</v>
      </c>
      <c r="C470" s="3">
        <f>IF(OR(INDEX($P$2:$P$1001,MATCH(ROWS($O$2:O470),$O$2:$O$1001,0),1)&gt;=100000,INDEX($V$1005:$AE$1005,1,MATCH(COLUMNS($V$1006:W1006),$V$1006:$AE$1006,0))&gt;=100000), " ",IF(INDEX($V$2:$AE$1001,MATCH(ROWS($O$2:O470),$O$2:$O$1001,0),MATCH(COLUMNS($V$1006:W1006),$V$1006:$AE$1006,0)), HYPERLINK("#",""), HYPERLINK(CONCATENATE("#Metadata!", ADDRESS(INDEX($Q$2:$Q$1001,MATCH(ROWS($O$2:O470),$O$2:$O$1001,0),0), INDEX($V$1004:$AE$1004,1,MATCH(COLUMNS($V$1006:W1006),$V$1006:$AE$1006,0)))),"Fix")))</f>
        <v>0</v>
      </c>
      <c r="D470" s="3">
        <f>IF(OR(INDEX($P$2:$P$1001,MATCH(ROWS($O$2:O470),$O$2:$O$1001,0),1)&gt;=100000,INDEX($V$1005:$AE$1005,1,MATCH(COLUMNS($V$1006:X1006),$V$1006:$AE$1006,0))&gt;=100000), " ",IF(INDEX($V$2:$AE$1001,MATCH(ROWS($O$2:O470),$O$2:$O$1001,0),MATCH(COLUMNS($V$1006:X1006),$V$1006:$AE$1006,0)), HYPERLINK("#",""), HYPERLINK(CONCATENATE("#Metadata!", ADDRESS(INDEX($Q$2:$Q$1001,MATCH(ROWS($O$2:O470),$O$2:$O$1001,0),0), INDEX($V$1004:$AE$1004,1,MATCH(COLUMNS($V$1006:X1006),$V$1006:$AE$1006,0)))),"Fix")))</f>
        <v>0</v>
      </c>
      <c r="E470" s="3">
        <f>IF(OR(INDEX($P$2:$P$1001,MATCH(ROWS($O$2:O470),$O$2:$O$1001,0),1)&gt;=100000,INDEX($V$1005:$AE$1005,1,MATCH(COLUMNS($V$1006:Y1006),$V$1006:$AE$1006,0))&gt;=100000), " ",IF(INDEX($V$2:$AE$1001,MATCH(ROWS($O$2:O470),$O$2:$O$1001,0),MATCH(COLUMNS($V$1006:Y1006),$V$1006:$AE$1006,0)), HYPERLINK("#",""), HYPERLINK(CONCATENATE("#Metadata!", ADDRESS(INDEX($Q$2:$Q$1001,MATCH(ROWS($O$2:O470),$O$2:$O$1001,0),0), INDEX($V$1004:$AE$1004,1,MATCH(COLUMNS($V$1006:Y1006),$V$1006:$AE$1006,0)))),"Fix")))</f>
        <v>0</v>
      </c>
      <c r="F470" s="3">
        <f>IF(OR(INDEX($P$2:$P$1001,MATCH(ROWS($O$2:O470),$O$2:$O$1001,0),1)&gt;=100000,INDEX($V$1005:$AE$1005,1,MATCH(COLUMNS($V$1006:Z1006),$V$1006:$AE$1006,0))&gt;=100000), " ",IF(INDEX($V$2:$AE$1001,MATCH(ROWS($O$2:O470),$O$2:$O$1001,0),MATCH(COLUMNS($V$1006:Z1006),$V$1006:$AE$1006,0)), HYPERLINK("#",""), HYPERLINK(CONCATENATE("#Metadata!", ADDRESS(INDEX($Q$2:$Q$1001,MATCH(ROWS($O$2:O470),$O$2:$O$1001,0),0), INDEX($V$1004:$AE$1004,1,MATCH(COLUMNS($V$1006:Z1006),$V$1006:$AE$1006,0)))),"Fix")))</f>
        <v>0</v>
      </c>
      <c r="G470" s="3">
        <f>IF(OR(INDEX($P$2:$P$1001,MATCH(ROWS($O$2:O470),$O$2:$O$1001,0),1)&gt;=100000,INDEX($V$1005:$AE$1005,1,MATCH(COLUMNS($V$1006:AA1006),$V$1006:$AE$1006,0))&gt;=100000), " ",IF(INDEX($V$2:$AE$1001,MATCH(ROWS($O$2:O470),$O$2:$O$1001,0),MATCH(COLUMNS($V$1006:AA1006),$V$1006:$AE$1006,0)), HYPERLINK("#",""), HYPERLINK(CONCATENATE("#Metadata!", ADDRESS(INDEX($Q$2:$Q$1001,MATCH(ROWS($O$2:O470),$O$2:$O$1001,0),0), INDEX($V$1004:$AE$1004,1,MATCH(COLUMNS($V$1006:AA1006),$V$1006:$AE$1006,0)))),"Fix")))</f>
        <v>0</v>
      </c>
      <c r="H470" s="3">
        <f>IF(OR(INDEX($P$2:$P$1001,MATCH(ROWS($O$2:O470),$O$2:$O$1001,0),1)&gt;=100000,INDEX($V$1005:$AE$1005,1,MATCH(COLUMNS($V$1006:AB1006),$V$1006:$AE$1006,0))&gt;=100000), " ",IF(INDEX($V$2:$AE$1001,MATCH(ROWS($O$2:O470),$O$2:$O$1001,0),MATCH(COLUMNS($V$1006:AB1006),$V$1006:$AE$1006,0)), HYPERLINK("#",""), HYPERLINK(CONCATENATE("#Metadata!", ADDRESS(INDEX($Q$2:$Q$1001,MATCH(ROWS($O$2:O470),$O$2:$O$1001,0),0), INDEX($V$1004:$AE$1004,1,MATCH(COLUMNS($V$1006:AB1006),$V$1006:$AE$1006,0)))),"Fix")))</f>
        <v>0</v>
      </c>
      <c r="I470" s="3">
        <f>IF(OR(INDEX($P$2:$P$1001,MATCH(ROWS($O$2:O470),$O$2:$O$1001,0),1)&gt;=100000,INDEX($V$1005:$AE$1005,1,MATCH(COLUMNS($V$1006:AC1006),$V$1006:$AE$1006,0))&gt;=100000), " ",IF(INDEX($V$2:$AE$1001,MATCH(ROWS($O$2:O470),$O$2:$O$1001,0),MATCH(COLUMNS($V$1006:AC1006),$V$1006:$AE$1006,0)), HYPERLINK("#",""), HYPERLINK(CONCATENATE("#Metadata!", ADDRESS(INDEX($Q$2:$Q$1001,MATCH(ROWS($O$2:O470),$O$2:$O$1001,0),0), INDEX($V$1004:$AE$1004,1,MATCH(COLUMNS($V$1006:AC1006),$V$1006:$AE$1006,0)))),"Fix")))</f>
        <v>0</v>
      </c>
      <c r="J470" s="3">
        <f>IF(OR(INDEX($P$2:$P$1001,MATCH(ROWS($O$2:O470),$O$2:$O$1001,0),1)&gt;=100000,INDEX($V$1005:$AE$1005,1,MATCH(COLUMNS($V$1006:AD1006),$V$1006:$AE$1006,0))&gt;=100000), " ",IF(INDEX($V$2:$AE$1001,MATCH(ROWS($O$2:O470),$O$2:$O$1001,0),MATCH(COLUMNS($V$1006:AD1006),$V$1006:$AE$1006,0)), HYPERLINK("#",""), HYPERLINK(CONCATENATE("#Metadata!", ADDRESS(INDEX($Q$2:$Q$1001,MATCH(ROWS($O$2:O470),$O$2:$O$1001,0),0), INDEX($V$1004:$AE$1004,1,MATCH(COLUMNS($V$1006:AD1006),$V$1006:$AE$1006,0)))),"Fix")))</f>
        <v>0</v>
      </c>
      <c r="K470" s="3">
        <f>IF(OR(INDEX($P$2:$P$1001,MATCH(ROWS($O$2:O470),$O$2:$O$1001,0),1)&gt;=100000,INDEX($V$1005:$AE$1005,1,MATCH(COLUMNS($V$1006:AE1006),$V$1006:$AE$1006,0))&gt;=100000), " ",IF(INDEX($V$2:$AE$1001,MATCH(ROWS($O$2:O470),$O$2:$O$1001,0),MATCH(COLUMNS($V$1006:AE1006),$V$1006:$AE$1006,0)), HYPERLINK("#",""), HYPERLINK(CONCATENATE("#Metadata!", ADDRESS(INDEX($Q$2:$Q$1001,MATCH(ROWS($O$2:O470),$O$2:$O$1001,0),0), INDEX($V$1004:$AE$1004,1,MATCH(COLUMNS($V$1006:AE1006),$V$1006:$AE$1006,0)))),"Fix")))</f>
        <v>0</v>
      </c>
      <c r="O470">
        <v>0</v>
      </c>
      <c r="P470">
        <v>0</v>
      </c>
      <c r="Q470">
        <v>0</v>
      </c>
      <c r="R470">
        <f>IF(S470,TRUE,AND(V470:AE470))</f>
        <v>0</v>
      </c>
      <c r="S470">
        <f>COUNTBLANK(Metadata!B470:K470)=COLUMNS(Metadata!B470:K470)</f>
        <v>0</v>
      </c>
      <c r="T470">
        <v>0</v>
      </c>
      <c r="V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W470">
        <f>AND(IF(Metadata!C470="",FALSE,TRUE),exact(Metadata!C470,"animal secretion"))</f>
        <v>0</v>
      </c>
      <c r="X470">
        <f>AND(IF(Metadata!D470="",FALSE,TRUE),exact(Metadata!D470,"saliva"))</f>
        <v>0</v>
      </c>
      <c r="Y470">
        <f>AND(IF(Metadata!E470="",FALSE,TRUE),exact(Metadata!E470,"human-oral"))</f>
        <v>0</v>
      </c>
      <c r="Z470">
        <f>AND(IF(Metadata!F470="",FALSE,TRUE),exact(Metadata!F470,"UBERON:oral cavity"))</f>
        <v>0</v>
      </c>
      <c r="AA470">
        <f>AND(IF(Metadata!G470="",FALSE,TRUE),exact(Metadata!G470,"UBERON:saliva"))</f>
        <v>0</v>
      </c>
      <c r="AB470">
        <f>AND(IF(Metadata!H470="",FALSE,TRUE),exact(Metadata!H470,"UBERON:tongue"))</f>
        <v>0</v>
      </c>
      <c r="AC470">
        <f>AND(IF(Metadata!I470="",FALSE,TRUE),exact(Metadata!I470,"tongue"))</f>
        <v>0</v>
      </c>
      <c r="AD470">
        <f>AND(IF(Metadata!J470="",FALSE,TRUE),exact(Metadata!J470,"human oral metagenome"))</f>
        <v>0</v>
      </c>
      <c r="AE470">
        <f>AND(IF(Metadata!K470="",FALSE,TRUE),exact(Metadata!K470,"447426"))</f>
        <v>0</v>
      </c>
    </row>
    <row r="471" spans="1:31">
      <c r="A471" s="4">
        <f>IF(B471=" "," ",HYPERLINK(CONCATENATE("#metadata!",ADDRESS(INDEX($Q$2:$Q$1001,MATCH(ROWS($O$2:O471),$O$2:$O$1001,0),0),1)),INDEX($T$2:$T$1001,MATCH(ROWS($O$2:O471),$O$2:$O$1001,0),0)))</f>
        <v>0</v>
      </c>
      <c r="B471" s="3">
        <f>IF(OR(INDEX($P$2:$P$1001,MATCH(ROWS($O$2:O471),$O$2:$O$1001,0),1)&gt;=100000,INDEX($V$1005:$AE$1005,1,MATCH(COLUMNS($V$1006:V1006),$V$1006:$AE$1006,0))&gt;=100000), " ",IF(INDEX($V$2:$AE$1001,MATCH(ROWS($O$2:O471),$O$2:$O$1001,0),MATCH(COLUMNS($V$1006:V1006),$V$1006:$AE$1006,0)), HYPERLINK("#",""), HYPERLINK(CONCATENATE("#Metadata!", ADDRESS(INDEX($Q$2:$Q$1001,MATCH(ROWS($O$2:O471),$O$2:$O$1001,0),0), INDEX($V$1004:$AE$1004,1,MATCH(COLUMNS($V$1006:V1006),$V$1006:$AE$1006,0)))),"Fix")))</f>
        <v>0</v>
      </c>
      <c r="C471" s="3">
        <f>IF(OR(INDEX($P$2:$P$1001,MATCH(ROWS($O$2:O471),$O$2:$O$1001,0),1)&gt;=100000,INDEX($V$1005:$AE$1005,1,MATCH(COLUMNS($V$1006:W1006),$V$1006:$AE$1006,0))&gt;=100000), " ",IF(INDEX($V$2:$AE$1001,MATCH(ROWS($O$2:O471),$O$2:$O$1001,0),MATCH(COLUMNS($V$1006:W1006),$V$1006:$AE$1006,0)), HYPERLINK("#",""), HYPERLINK(CONCATENATE("#Metadata!", ADDRESS(INDEX($Q$2:$Q$1001,MATCH(ROWS($O$2:O471),$O$2:$O$1001,0),0), INDEX($V$1004:$AE$1004,1,MATCH(COLUMNS($V$1006:W1006),$V$1006:$AE$1006,0)))),"Fix")))</f>
        <v>0</v>
      </c>
      <c r="D471" s="3">
        <f>IF(OR(INDEX($P$2:$P$1001,MATCH(ROWS($O$2:O471),$O$2:$O$1001,0),1)&gt;=100000,INDEX($V$1005:$AE$1005,1,MATCH(COLUMNS($V$1006:X1006),$V$1006:$AE$1006,0))&gt;=100000), " ",IF(INDEX($V$2:$AE$1001,MATCH(ROWS($O$2:O471),$O$2:$O$1001,0),MATCH(COLUMNS($V$1006:X1006),$V$1006:$AE$1006,0)), HYPERLINK("#",""), HYPERLINK(CONCATENATE("#Metadata!", ADDRESS(INDEX($Q$2:$Q$1001,MATCH(ROWS($O$2:O471),$O$2:$O$1001,0),0), INDEX($V$1004:$AE$1004,1,MATCH(COLUMNS($V$1006:X1006),$V$1006:$AE$1006,0)))),"Fix")))</f>
        <v>0</v>
      </c>
      <c r="E471" s="3">
        <f>IF(OR(INDEX($P$2:$P$1001,MATCH(ROWS($O$2:O471),$O$2:$O$1001,0),1)&gt;=100000,INDEX($V$1005:$AE$1005,1,MATCH(COLUMNS($V$1006:Y1006),$V$1006:$AE$1006,0))&gt;=100000), " ",IF(INDEX($V$2:$AE$1001,MATCH(ROWS($O$2:O471),$O$2:$O$1001,0),MATCH(COLUMNS($V$1006:Y1006),$V$1006:$AE$1006,0)), HYPERLINK("#",""), HYPERLINK(CONCATENATE("#Metadata!", ADDRESS(INDEX($Q$2:$Q$1001,MATCH(ROWS($O$2:O471),$O$2:$O$1001,0),0), INDEX($V$1004:$AE$1004,1,MATCH(COLUMNS($V$1006:Y1006),$V$1006:$AE$1006,0)))),"Fix")))</f>
        <v>0</v>
      </c>
      <c r="F471" s="3">
        <f>IF(OR(INDEX($P$2:$P$1001,MATCH(ROWS($O$2:O471),$O$2:$O$1001,0),1)&gt;=100000,INDEX($V$1005:$AE$1005,1,MATCH(COLUMNS($V$1006:Z1006),$V$1006:$AE$1006,0))&gt;=100000), " ",IF(INDEX($V$2:$AE$1001,MATCH(ROWS($O$2:O471),$O$2:$O$1001,0),MATCH(COLUMNS($V$1006:Z1006),$V$1006:$AE$1006,0)), HYPERLINK("#",""), HYPERLINK(CONCATENATE("#Metadata!", ADDRESS(INDEX($Q$2:$Q$1001,MATCH(ROWS($O$2:O471),$O$2:$O$1001,0),0), INDEX($V$1004:$AE$1004,1,MATCH(COLUMNS($V$1006:Z1006),$V$1006:$AE$1006,0)))),"Fix")))</f>
        <v>0</v>
      </c>
      <c r="G471" s="3">
        <f>IF(OR(INDEX($P$2:$P$1001,MATCH(ROWS($O$2:O471),$O$2:$O$1001,0),1)&gt;=100000,INDEX($V$1005:$AE$1005,1,MATCH(COLUMNS($V$1006:AA1006),$V$1006:$AE$1006,0))&gt;=100000), " ",IF(INDEX($V$2:$AE$1001,MATCH(ROWS($O$2:O471),$O$2:$O$1001,0),MATCH(COLUMNS($V$1006:AA1006),$V$1006:$AE$1006,0)), HYPERLINK("#",""), HYPERLINK(CONCATENATE("#Metadata!", ADDRESS(INDEX($Q$2:$Q$1001,MATCH(ROWS($O$2:O471),$O$2:$O$1001,0),0), INDEX($V$1004:$AE$1004,1,MATCH(COLUMNS($V$1006:AA1006),$V$1006:$AE$1006,0)))),"Fix")))</f>
        <v>0</v>
      </c>
      <c r="H471" s="3">
        <f>IF(OR(INDEX($P$2:$P$1001,MATCH(ROWS($O$2:O471),$O$2:$O$1001,0),1)&gt;=100000,INDEX($V$1005:$AE$1005,1,MATCH(COLUMNS($V$1006:AB1006),$V$1006:$AE$1006,0))&gt;=100000), " ",IF(INDEX($V$2:$AE$1001,MATCH(ROWS($O$2:O471),$O$2:$O$1001,0),MATCH(COLUMNS($V$1006:AB1006),$V$1006:$AE$1006,0)), HYPERLINK("#",""), HYPERLINK(CONCATENATE("#Metadata!", ADDRESS(INDEX($Q$2:$Q$1001,MATCH(ROWS($O$2:O471),$O$2:$O$1001,0),0), INDEX($V$1004:$AE$1004,1,MATCH(COLUMNS($V$1006:AB1006),$V$1006:$AE$1006,0)))),"Fix")))</f>
        <v>0</v>
      </c>
      <c r="I471" s="3">
        <f>IF(OR(INDEX($P$2:$P$1001,MATCH(ROWS($O$2:O471),$O$2:$O$1001,0),1)&gt;=100000,INDEX($V$1005:$AE$1005,1,MATCH(COLUMNS($V$1006:AC1006),$V$1006:$AE$1006,0))&gt;=100000), " ",IF(INDEX($V$2:$AE$1001,MATCH(ROWS($O$2:O471),$O$2:$O$1001,0),MATCH(COLUMNS($V$1006:AC1006),$V$1006:$AE$1006,0)), HYPERLINK("#",""), HYPERLINK(CONCATENATE("#Metadata!", ADDRESS(INDEX($Q$2:$Q$1001,MATCH(ROWS($O$2:O471),$O$2:$O$1001,0),0), INDEX($V$1004:$AE$1004,1,MATCH(COLUMNS($V$1006:AC1006),$V$1006:$AE$1006,0)))),"Fix")))</f>
        <v>0</v>
      </c>
      <c r="J471" s="3">
        <f>IF(OR(INDEX($P$2:$P$1001,MATCH(ROWS($O$2:O471),$O$2:$O$1001,0),1)&gt;=100000,INDEX($V$1005:$AE$1005,1,MATCH(COLUMNS($V$1006:AD1006),$V$1006:$AE$1006,0))&gt;=100000), " ",IF(INDEX($V$2:$AE$1001,MATCH(ROWS($O$2:O471),$O$2:$O$1001,0),MATCH(COLUMNS($V$1006:AD1006),$V$1006:$AE$1006,0)), HYPERLINK("#",""), HYPERLINK(CONCATENATE("#Metadata!", ADDRESS(INDEX($Q$2:$Q$1001,MATCH(ROWS($O$2:O471),$O$2:$O$1001,0),0), INDEX($V$1004:$AE$1004,1,MATCH(COLUMNS($V$1006:AD1006),$V$1006:$AE$1006,0)))),"Fix")))</f>
        <v>0</v>
      </c>
      <c r="K471" s="3">
        <f>IF(OR(INDEX($P$2:$P$1001,MATCH(ROWS($O$2:O471),$O$2:$O$1001,0),1)&gt;=100000,INDEX($V$1005:$AE$1005,1,MATCH(COLUMNS($V$1006:AE1006),$V$1006:$AE$1006,0))&gt;=100000), " ",IF(INDEX($V$2:$AE$1001,MATCH(ROWS($O$2:O471),$O$2:$O$1001,0),MATCH(COLUMNS($V$1006:AE1006),$V$1006:$AE$1006,0)), HYPERLINK("#",""), HYPERLINK(CONCATENATE("#Metadata!", ADDRESS(INDEX($Q$2:$Q$1001,MATCH(ROWS($O$2:O471),$O$2:$O$1001,0),0), INDEX($V$1004:$AE$1004,1,MATCH(COLUMNS($V$1006:AE1006),$V$1006:$AE$1006,0)))),"Fix")))</f>
        <v>0</v>
      </c>
      <c r="O471">
        <v>0</v>
      </c>
      <c r="P471">
        <v>0</v>
      </c>
      <c r="Q471">
        <v>0</v>
      </c>
      <c r="R471">
        <f>IF(S471,TRUE,AND(V471:AE471))</f>
        <v>0</v>
      </c>
      <c r="S471">
        <f>COUNTBLANK(Metadata!B471:K471)=COLUMNS(Metadata!B471:K471)</f>
        <v>0</v>
      </c>
      <c r="T471">
        <v>0</v>
      </c>
      <c r="V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W471">
        <f>AND(IF(Metadata!C471="",FALSE,TRUE),exact(Metadata!C471,"animal secretion"))</f>
        <v>0</v>
      </c>
      <c r="X471">
        <f>AND(IF(Metadata!D471="",FALSE,TRUE),exact(Metadata!D471,"saliva"))</f>
        <v>0</v>
      </c>
      <c r="Y471">
        <f>AND(IF(Metadata!E471="",FALSE,TRUE),exact(Metadata!E471,"human-oral"))</f>
        <v>0</v>
      </c>
      <c r="Z471">
        <f>AND(IF(Metadata!F471="",FALSE,TRUE),exact(Metadata!F471,"UBERON:oral cavity"))</f>
        <v>0</v>
      </c>
      <c r="AA471">
        <f>AND(IF(Metadata!G471="",FALSE,TRUE),exact(Metadata!G471,"UBERON:saliva"))</f>
        <v>0</v>
      </c>
      <c r="AB471">
        <f>AND(IF(Metadata!H471="",FALSE,TRUE),exact(Metadata!H471,"UBERON:tongue"))</f>
        <v>0</v>
      </c>
      <c r="AC471">
        <f>AND(IF(Metadata!I471="",FALSE,TRUE),exact(Metadata!I471,"tongue"))</f>
        <v>0</v>
      </c>
      <c r="AD471">
        <f>AND(IF(Metadata!J471="",FALSE,TRUE),exact(Metadata!J471,"human oral metagenome"))</f>
        <v>0</v>
      </c>
      <c r="AE471">
        <f>AND(IF(Metadata!K471="",FALSE,TRUE),exact(Metadata!K471,"447426"))</f>
        <v>0</v>
      </c>
    </row>
    <row r="472" spans="1:31">
      <c r="A472" s="4">
        <f>IF(B472=" "," ",HYPERLINK(CONCATENATE("#metadata!",ADDRESS(INDEX($Q$2:$Q$1001,MATCH(ROWS($O$2:O472),$O$2:$O$1001,0),0),1)),INDEX($T$2:$T$1001,MATCH(ROWS($O$2:O472),$O$2:$O$1001,0),0)))</f>
        <v>0</v>
      </c>
      <c r="B472" s="3">
        <f>IF(OR(INDEX($P$2:$P$1001,MATCH(ROWS($O$2:O472),$O$2:$O$1001,0),1)&gt;=100000,INDEX($V$1005:$AE$1005,1,MATCH(COLUMNS($V$1006:V1006),$V$1006:$AE$1006,0))&gt;=100000), " ",IF(INDEX($V$2:$AE$1001,MATCH(ROWS($O$2:O472),$O$2:$O$1001,0),MATCH(COLUMNS($V$1006:V1006),$V$1006:$AE$1006,0)), HYPERLINK("#",""), HYPERLINK(CONCATENATE("#Metadata!", ADDRESS(INDEX($Q$2:$Q$1001,MATCH(ROWS($O$2:O472),$O$2:$O$1001,0),0), INDEX($V$1004:$AE$1004,1,MATCH(COLUMNS($V$1006:V1006),$V$1006:$AE$1006,0)))),"Fix")))</f>
        <v>0</v>
      </c>
      <c r="C472" s="3">
        <f>IF(OR(INDEX($P$2:$P$1001,MATCH(ROWS($O$2:O472),$O$2:$O$1001,0),1)&gt;=100000,INDEX($V$1005:$AE$1005,1,MATCH(COLUMNS($V$1006:W1006),$V$1006:$AE$1006,0))&gt;=100000), " ",IF(INDEX($V$2:$AE$1001,MATCH(ROWS($O$2:O472),$O$2:$O$1001,0),MATCH(COLUMNS($V$1006:W1006),$V$1006:$AE$1006,0)), HYPERLINK("#",""), HYPERLINK(CONCATENATE("#Metadata!", ADDRESS(INDEX($Q$2:$Q$1001,MATCH(ROWS($O$2:O472),$O$2:$O$1001,0),0), INDEX($V$1004:$AE$1004,1,MATCH(COLUMNS($V$1006:W1006),$V$1006:$AE$1006,0)))),"Fix")))</f>
        <v>0</v>
      </c>
      <c r="D472" s="3">
        <f>IF(OR(INDEX($P$2:$P$1001,MATCH(ROWS($O$2:O472),$O$2:$O$1001,0),1)&gt;=100000,INDEX($V$1005:$AE$1005,1,MATCH(COLUMNS($V$1006:X1006),$V$1006:$AE$1006,0))&gt;=100000), " ",IF(INDEX($V$2:$AE$1001,MATCH(ROWS($O$2:O472),$O$2:$O$1001,0),MATCH(COLUMNS($V$1006:X1006),$V$1006:$AE$1006,0)), HYPERLINK("#",""), HYPERLINK(CONCATENATE("#Metadata!", ADDRESS(INDEX($Q$2:$Q$1001,MATCH(ROWS($O$2:O472),$O$2:$O$1001,0),0), INDEX($V$1004:$AE$1004,1,MATCH(COLUMNS($V$1006:X1006),$V$1006:$AE$1006,0)))),"Fix")))</f>
        <v>0</v>
      </c>
      <c r="E472" s="3">
        <f>IF(OR(INDEX($P$2:$P$1001,MATCH(ROWS($O$2:O472),$O$2:$O$1001,0),1)&gt;=100000,INDEX($V$1005:$AE$1005,1,MATCH(COLUMNS($V$1006:Y1006),$V$1006:$AE$1006,0))&gt;=100000), " ",IF(INDEX($V$2:$AE$1001,MATCH(ROWS($O$2:O472),$O$2:$O$1001,0),MATCH(COLUMNS($V$1006:Y1006),$V$1006:$AE$1006,0)), HYPERLINK("#",""), HYPERLINK(CONCATENATE("#Metadata!", ADDRESS(INDEX($Q$2:$Q$1001,MATCH(ROWS($O$2:O472),$O$2:$O$1001,0),0), INDEX($V$1004:$AE$1004,1,MATCH(COLUMNS($V$1006:Y1006),$V$1006:$AE$1006,0)))),"Fix")))</f>
        <v>0</v>
      </c>
      <c r="F472" s="3">
        <f>IF(OR(INDEX($P$2:$P$1001,MATCH(ROWS($O$2:O472),$O$2:$O$1001,0),1)&gt;=100000,INDEX($V$1005:$AE$1005,1,MATCH(COLUMNS($V$1006:Z1006),$V$1006:$AE$1006,0))&gt;=100000), " ",IF(INDEX($V$2:$AE$1001,MATCH(ROWS($O$2:O472),$O$2:$O$1001,0),MATCH(COLUMNS($V$1006:Z1006),$V$1006:$AE$1006,0)), HYPERLINK("#",""), HYPERLINK(CONCATENATE("#Metadata!", ADDRESS(INDEX($Q$2:$Q$1001,MATCH(ROWS($O$2:O472),$O$2:$O$1001,0),0), INDEX($V$1004:$AE$1004,1,MATCH(COLUMNS($V$1006:Z1006),$V$1006:$AE$1006,0)))),"Fix")))</f>
        <v>0</v>
      </c>
      <c r="G472" s="3">
        <f>IF(OR(INDEX($P$2:$P$1001,MATCH(ROWS($O$2:O472),$O$2:$O$1001,0),1)&gt;=100000,INDEX($V$1005:$AE$1005,1,MATCH(COLUMNS($V$1006:AA1006),$V$1006:$AE$1006,0))&gt;=100000), " ",IF(INDEX($V$2:$AE$1001,MATCH(ROWS($O$2:O472),$O$2:$O$1001,0),MATCH(COLUMNS($V$1006:AA1006),$V$1006:$AE$1006,0)), HYPERLINK("#",""), HYPERLINK(CONCATENATE("#Metadata!", ADDRESS(INDEX($Q$2:$Q$1001,MATCH(ROWS($O$2:O472),$O$2:$O$1001,0),0), INDEX($V$1004:$AE$1004,1,MATCH(COLUMNS($V$1006:AA1006),$V$1006:$AE$1006,0)))),"Fix")))</f>
        <v>0</v>
      </c>
      <c r="H472" s="3">
        <f>IF(OR(INDEX($P$2:$P$1001,MATCH(ROWS($O$2:O472),$O$2:$O$1001,0),1)&gt;=100000,INDEX($V$1005:$AE$1005,1,MATCH(COLUMNS($V$1006:AB1006),$V$1006:$AE$1006,0))&gt;=100000), " ",IF(INDEX($V$2:$AE$1001,MATCH(ROWS($O$2:O472),$O$2:$O$1001,0),MATCH(COLUMNS($V$1006:AB1006),$V$1006:$AE$1006,0)), HYPERLINK("#",""), HYPERLINK(CONCATENATE("#Metadata!", ADDRESS(INDEX($Q$2:$Q$1001,MATCH(ROWS($O$2:O472),$O$2:$O$1001,0),0), INDEX($V$1004:$AE$1004,1,MATCH(COLUMNS($V$1006:AB1006),$V$1006:$AE$1006,0)))),"Fix")))</f>
        <v>0</v>
      </c>
      <c r="I472" s="3">
        <f>IF(OR(INDEX($P$2:$P$1001,MATCH(ROWS($O$2:O472),$O$2:$O$1001,0),1)&gt;=100000,INDEX($V$1005:$AE$1005,1,MATCH(COLUMNS($V$1006:AC1006),$V$1006:$AE$1006,0))&gt;=100000), " ",IF(INDEX($V$2:$AE$1001,MATCH(ROWS($O$2:O472),$O$2:$O$1001,0),MATCH(COLUMNS($V$1006:AC1006),$V$1006:$AE$1006,0)), HYPERLINK("#",""), HYPERLINK(CONCATENATE("#Metadata!", ADDRESS(INDEX($Q$2:$Q$1001,MATCH(ROWS($O$2:O472),$O$2:$O$1001,0),0), INDEX($V$1004:$AE$1004,1,MATCH(COLUMNS($V$1006:AC1006),$V$1006:$AE$1006,0)))),"Fix")))</f>
        <v>0</v>
      </c>
      <c r="J472" s="3">
        <f>IF(OR(INDEX($P$2:$P$1001,MATCH(ROWS($O$2:O472),$O$2:$O$1001,0),1)&gt;=100000,INDEX($V$1005:$AE$1005,1,MATCH(COLUMNS($V$1006:AD1006),$V$1006:$AE$1006,0))&gt;=100000), " ",IF(INDEX($V$2:$AE$1001,MATCH(ROWS($O$2:O472),$O$2:$O$1001,0),MATCH(COLUMNS($V$1006:AD1006),$V$1006:$AE$1006,0)), HYPERLINK("#",""), HYPERLINK(CONCATENATE("#Metadata!", ADDRESS(INDEX($Q$2:$Q$1001,MATCH(ROWS($O$2:O472),$O$2:$O$1001,0),0), INDEX($V$1004:$AE$1004,1,MATCH(COLUMNS($V$1006:AD1006),$V$1006:$AE$1006,0)))),"Fix")))</f>
        <v>0</v>
      </c>
      <c r="K472" s="3">
        <f>IF(OR(INDEX($P$2:$P$1001,MATCH(ROWS($O$2:O472),$O$2:$O$1001,0),1)&gt;=100000,INDEX($V$1005:$AE$1005,1,MATCH(COLUMNS($V$1006:AE1006),$V$1006:$AE$1006,0))&gt;=100000), " ",IF(INDEX($V$2:$AE$1001,MATCH(ROWS($O$2:O472),$O$2:$O$1001,0),MATCH(COLUMNS($V$1006:AE1006),$V$1006:$AE$1006,0)), HYPERLINK("#",""), HYPERLINK(CONCATENATE("#Metadata!", ADDRESS(INDEX($Q$2:$Q$1001,MATCH(ROWS($O$2:O472),$O$2:$O$1001,0),0), INDEX($V$1004:$AE$1004,1,MATCH(COLUMNS($V$1006:AE1006),$V$1006:$AE$1006,0)))),"Fix")))</f>
        <v>0</v>
      </c>
      <c r="O472">
        <v>0</v>
      </c>
      <c r="P472">
        <v>0</v>
      </c>
      <c r="Q472">
        <v>0</v>
      </c>
      <c r="R472">
        <f>IF(S472,TRUE,AND(V472:AE472))</f>
        <v>0</v>
      </c>
      <c r="S472">
        <f>COUNTBLANK(Metadata!B472:K472)=COLUMNS(Metadata!B472:K472)</f>
        <v>0</v>
      </c>
      <c r="T472">
        <v>0</v>
      </c>
      <c r="V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W472">
        <f>AND(IF(Metadata!C472="",FALSE,TRUE),exact(Metadata!C472,"animal secretion"))</f>
        <v>0</v>
      </c>
      <c r="X472">
        <f>AND(IF(Metadata!D472="",FALSE,TRUE),exact(Metadata!D472,"saliva"))</f>
        <v>0</v>
      </c>
      <c r="Y472">
        <f>AND(IF(Metadata!E472="",FALSE,TRUE),exact(Metadata!E472,"human-oral"))</f>
        <v>0</v>
      </c>
      <c r="Z472">
        <f>AND(IF(Metadata!F472="",FALSE,TRUE),exact(Metadata!F472,"UBERON:oral cavity"))</f>
        <v>0</v>
      </c>
      <c r="AA472">
        <f>AND(IF(Metadata!G472="",FALSE,TRUE),exact(Metadata!G472,"UBERON:saliva"))</f>
        <v>0</v>
      </c>
      <c r="AB472">
        <f>AND(IF(Metadata!H472="",FALSE,TRUE),exact(Metadata!H472,"UBERON:tongue"))</f>
        <v>0</v>
      </c>
      <c r="AC472">
        <f>AND(IF(Metadata!I472="",FALSE,TRUE),exact(Metadata!I472,"tongue"))</f>
        <v>0</v>
      </c>
      <c r="AD472">
        <f>AND(IF(Metadata!J472="",FALSE,TRUE),exact(Metadata!J472,"human oral metagenome"))</f>
        <v>0</v>
      </c>
      <c r="AE472">
        <f>AND(IF(Metadata!K472="",FALSE,TRUE),exact(Metadata!K472,"447426"))</f>
        <v>0</v>
      </c>
    </row>
    <row r="473" spans="1:31">
      <c r="A473" s="4">
        <f>IF(B473=" "," ",HYPERLINK(CONCATENATE("#metadata!",ADDRESS(INDEX($Q$2:$Q$1001,MATCH(ROWS($O$2:O473),$O$2:$O$1001,0),0),1)),INDEX($T$2:$T$1001,MATCH(ROWS($O$2:O473),$O$2:$O$1001,0),0)))</f>
        <v>0</v>
      </c>
      <c r="B473" s="3">
        <f>IF(OR(INDEX($P$2:$P$1001,MATCH(ROWS($O$2:O473),$O$2:$O$1001,0),1)&gt;=100000,INDEX($V$1005:$AE$1005,1,MATCH(COLUMNS($V$1006:V1006),$V$1006:$AE$1006,0))&gt;=100000), " ",IF(INDEX($V$2:$AE$1001,MATCH(ROWS($O$2:O473),$O$2:$O$1001,0),MATCH(COLUMNS($V$1006:V1006),$V$1006:$AE$1006,0)), HYPERLINK("#",""), HYPERLINK(CONCATENATE("#Metadata!", ADDRESS(INDEX($Q$2:$Q$1001,MATCH(ROWS($O$2:O473),$O$2:$O$1001,0),0), INDEX($V$1004:$AE$1004,1,MATCH(COLUMNS($V$1006:V1006),$V$1006:$AE$1006,0)))),"Fix")))</f>
        <v>0</v>
      </c>
      <c r="C473" s="3">
        <f>IF(OR(INDEX($P$2:$P$1001,MATCH(ROWS($O$2:O473),$O$2:$O$1001,0),1)&gt;=100000,INDEX($V$1005:$AE$1005,1,MATCH(COLUMNS($V$1006:W1006),$V$1006:$AE$1006,0))&gt;=100000), " ",IF(INDEX($V$2:$AE$1001,MATCH(ROWS($O$2:O473),$O$2:$O$1001,0),MATCH(COLUMNS($V$1006:W1006),$V$1006:$AE$1006,0)), HYPERLINK("#",""), HYPERLINK(CONCATENATE("#Metadata!", ADDRESS(INDEX($Q$2:$Q$1001,MATCH(ROWS($O$2:O473),$O$2:$O$1001,0),0), INDEX($V$1004:$AE$1004,1,MATCH(COLUMNS($V$1006:W1006),$V$1006:$AE$1006,0)))),"Fix")))</f>
        <v>0</v>
      </c>
      <c r="D473" s="3">
        <f>IF(OR(INDEX($P$2:$P$1001,MATCH(ROWS($O$2:O473),$O$2:$O$1001,0),1)&gt;=100000,INDEX($V$1005:$AE$1005,1,MATCH(COLUMNS($V$1006:X1006),$V$1006:$AE$1006,0))&gt;=100000), " ",IF(INDEX($V$2:$AE$1001,MATCH(ROWS($O$2:O473),$O$2:$O$1001,0),MATCH(COLUMNS($V$1006:X1006),$V$1006:$AE$1006,0)), HYPERLINK("#",""), HYPERLINK(CONCATENATE("#Metadata!", ADDRESS(INDEX($Q$2:$Q$1001,MATCH(ROWS($O$2:O473),$O$2:$O$1001,0),0), INDEX($V$1004:$AE$1004,1,MATCH(COLUMNS($V$1006:X1006),$V$1006:$AE$1006,0)))),"Fix")))</f>
        <v>0</v>
      </c>
      <c r="E473" s="3">
        <f>IF(OR(INDEX($P$2:$P$1001,MATCH(ROWS($O$2:O473),$O$2:$O$1001,0),1)&gt;=100000,INDEX($V$1005:$AE$1005,1,MATCH(COLUMNS($V$1006:Y1006),$V$1006:$AE$1006,0))&gt;=100000), " ",IF(INDEX($V$2:$AE$1001,MATCH(ROWS($O$2:O473),$O$2:$O$1001,0),MATCH(COLUMNS($V$1006:Y1006),$V$1006:$AE$1006,0)), HYPERLINK("#",""), HYPERLINK(CONCATENATE("#Metadata!", ADDRESS(INDEX($Q$2:$Q$1001,MATCH(ROWS($O$2:O473),$O$2:$O$1001,0),0), INDEX($V$1004:$AE$1004,1,MATCH(COLUMNS($V$1006:Y1006),$V$1006:$AE$1006,0)))),"Fix")))</f>
        <v>0</v>
      </c>
      <c r="F473" s="3">
        <f>IF(OR(INDEX($P$2:$P$1001,MATCH(ROWS($O$2:O473),$O$2:$O$1001,0),1)&gt;=100000,INDEX($V$1005:$AE$1005,1,MATCH(COLUMNS($V$1006:Z1006),$V$1006:$AE$1006,0))&gt;=100000), " ",IF(INDEX($V$2:$AE$1001,MATCH(ROWS($O$2:O473),$O$2:$O$1001,0),MATCH(COLUMNS($V$1006:Z1006),$V$1006:$AE$1006,0)), HYPERLINK("#",""), HYPERLINK(CONCATENATE("#Metadata!", ADDRESS(INDEX($Q$2:$Q$1001,MATCH(ROWS($O$2:O473),$O$2:$O$1001,0),0), INDEX($V$1004:$AE$1004,1,MATCH(COLUMNS($V$1006:Z1006),$V$1006:$AE$1006,0)))),"Fix")))</f>
        <v>0</v>
      </c>
      <c r="G473" s="3">
        <f>IF(OR(INDEX($P$2:$P$1001,MATCH(ROWS($O$2:O473),$O$2:$O$1001,0),1)&gt;=100000,INDEX($V$1005:$AE$1005,1,MATCH(COLUMNS($V$1006:AA1006),$V$1006:$AE$1006,0))&gt;=100000), " ",IF(INDEX($V$2:$AE$1001,MATCH(ROWS($O$2:O473),$O$2:$O$1001,0),MATCH(COLUMNS($V$1006:AA1006),$V$1006:$AE$1006,0)), HYPERLINK("#",""), HYPERLINK(CONCATENATE("#Metadata!", ADDRESS(INDEX($Q$2:$Q$1001,MATCH(ROWS($O$2:O473),$O$2:$O$1001,0),0), INDEX($V$1004:$AE$1004,1,MATCH(COLUMNS($V$1006:AA1006),$V$1006:$AE$1006,0)))),"Fix")))</f>
        <v>0</v>
      </c>
      <c r="H473" s="3">
        <f>IF(OR(INDEX($P$2:$P$1001,MATCH(ROWS($O$2:O473),$O$2:$O$1001,0),1)&gt;=100000,INDEX($V$1005:$AE$1005,1,MATCH(COLUMNS($V$1006:AB1006),$V$1006:$AE$1006,0))&gt;=100000), " ",IF(INDEX($V$2:$AE$1001,MATCH(ROWS($O$2:O473),$O$2:$O$1001,0),MATCH(COLUMNS($V$1006:AB1006),$V$1006:$AE$1006,0)), HYPERLINK("#",""), HYPERLINK(CONCATENATE("#Metadata!", ADDRESS(INDEX($Q$2:$Q$1001,MATCH(ROWS($O$2:O473),$O$2:$O$1001,0),0), INDEX($V$1004:$AE$1004,1,MATCH(COLUMNS($V$1006:AB1006),$V$1006:$AE$1006,0)))),"Fix")))</f>
        <v>0</v>
      </c>
      <c r="I473" s="3">
        <f>IF(OR(INDEX($P$2:$P$1001,MATCH(ROWS($O$2:O473),$O$2:$O$1001,0),1)&gt;=100000,INDEX($V$1005:$AE$1005,1,MATCH(COLUMNS($V$1006:AC1006),$V$1006:$AE$1006,0))&gt;=100000), " ",IF(INDEX($V$2:$AE$1001,MATCH(ROWS($O$2:O473),$O$2:$O$1001,0),MATCH(COLUMNS($V$1006:AC1006),$V$1006:$AE$1006,0)), HYPERLINK("#",""), HYPERLINK(CONCATENATE("#Metadata!", ADDRESS(INDEX($Q$2:$Q$1001,MATCH(ROWS($O$2:O473),$O$2:$O$1001,0),0), INDEX($V$1004:$AE$1004,1,MATCH(COLUMNS($V$1006:AC1006),$V$1006:$AE$1006,0)))),"Fix")))</f>
        <v>0</v>
      </c>
      <c r="J473" s="3">
        <f>IF(OR(INDEX($P$2:$P$1001,MATCH(ROWS($O$2:O473),$O$2:$O$1001,0),1)&gt;=100000,INDEX($V$1005:$AE$1005,1,MATCH(COLUMNS($V$1006:AD1006),$V$1006:$AE$1006,0))&gt;=100000), " ",IF(INDEX($V$2:$AE$1001,MATCH(ROWS($O$2:O473),$O$2:$O$1001,0),MATCH(COLUMNS($V$1006:AD1006),$V$1006:$AE$1006,0)), HYPERLINK("#",""), HYPERLINK(CONCATENATE("#Metadata!", ADDRESS(INDEX($Q$2:$Q$1001,MATCH(ROWS($O$2:O473),$O$2:$O$1001,0),0), INDEX($V$1004:$AE$1004,1,MATCH(COLUMNS($V$1006:AD1006),$V$1006:$AE$1006,0)))),"Fix")))</f>
        <v>0</v>
      </c>
      <c r="K473" s="3">
        <f>IF(OR(INDEX($P$2:$P$1001,MATCH(ROWS($O$2:O473),$O$2:$O$1001,0),1)&gt;=100000,INDEX($V$1005:$AE$1005,1,MATCH(COLUMNS($V$1006:AE1006),$V$1006:$AE$1006,0))&gt;=100000), " ",IF(INDEX($V$2:$AE$1001,MATCH(ROWS($O$2:O473),$O$2:$O$1001,0),MATCH(COLUMNS($V$1006:AE1006),$V$1006:$AE$1006,0)), HYPERLINK("#",""), HYPERLINK(CONCATENATE("#Metadata!", ADDRESS(INDEX($Q$2:$Q$1001,MATCH(ROWS($O$2:O473),$O$2:$O$1001,0),0), INDEX($V$1004:$AE$1004,1,MATCH(COLUMNS($V$1006:AE1006),$V$1006:$AE$1006,0)))),"Fix")))</f>
        <v>0</v>
      </c>
      <c r="O473">
        <v>0</v>
      </c>
      <c r="P473">
        <v>0</v>
      </c>
      <c r="Q473">
        <v>0</v>
      </c>
      <c r="R473">
        <f>IF(S473,TRUE,AND(V473:AE473))</f>
        <v>0</v>
      </c>
      <c r="S473">
        <f>COUNTBLANK(Metadata!B473:K473)=COLUMNS(Metadata!B473:K473)</f>
        <v>0</v>
      </c>
      <c r="T473">
        <v>0</v>
      </c>
      <c r="V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W473">
        <f>AND(IF(Metadata!C473="",FALSE,TRUE),exact(Metadata!C473,"animal secretion"))</f>
        <v>0</v>
      </c>
      <c r="X473">
        <f>AND(IF(Metadata!D473="",FALSE,TRUE),exact(Metadata!D473,"saliva"))</f>
        <v>0</v>
      </c>
      <c r="Y473">
        <f>AND(IF(Metadata!E473="",FALSE,TRUE),exact(Metadata!E473,"human-oral"))</f>
        <v>0</v>
      </c>
      <c r="Z473">
        <f>AND(IF(Metadata!F473="",FALSE,TRUE),exact(Metadata!F473,"UBERON:oral cavity"))</f>
        <v>0</v>
      </c>
      <c r="AA473">
        <f>AND(IF(Metadata!G473="",FALSE,TRUE),exact(Metadata!G473,"UBERON:saliva"))</f>
        <v>0</v>
      </c>
      <c r="AB473">
        <f>AND(IF(Metadata!H473="",FALSE,TRUE),exact(Metadata!H473,"UBERON:tongue"))</f>
        <v>0</v>
      </c>
      <c r="AC473">
        <f>AND(IF(Metadata!I473="",FALSE,TRUE),exact(Metadata!I473,"tongue"))</f>
        <v>0</v>
      </c>
      <c r="AD473">
        <f>AND(IF(Metadata!J473="",FALSE,TRUE),exact(Metadata!J473,"human oral metagenome"))</f>
        <v>0</v>
      </c>
      <c r="AE473">
        <f>AND(IF(Metadata!K473="",FALSE,TRUE),exact(Metadata!K473,"447426"))</f>
        <v>0</v>
      </c>
    </row>
    <row r="474" spans="1:31">
      <c r="A474" s="4">
        <f>IF(B474=" "," ",HYPERLINK(CONCATENATE("#metadata!",ADDRESS(INDEX($Q$2:$Q$1001,MATCH(ROWS($O$2:O474),$O$2:$O$1001,0),0),1)),INDEX($T$2:$T$1001,MATCH(ROWS($O$2:O474),$O$2:$O$1001,0),0)))</f>
        <v>0</v>
      </c>
      <c r="B474" s="3">
        <f>IF(OR(INDEX($P$2:$P$1001,MATCH(ROWS($O$2:O474),$O$2:$O$1001,0),1)&gt;=100000,INDEX($V$1005:$AE$1005,1,MATCH(COLUMNS($V$1006:V1006),$V$1006:$AE$1006,0))&gt;=100000), " ",IF(INDEX($V$2:$AE$1001,MATCH(ROWS($O$2:O474),$O$2:$O$1001,0),MATCH(COLUMNS($V$1006:V1006),$V$1006:$AE$1006,0)), HYPERLINK("#",""), HYPERLINK(CONCATENATE("#Metadata!", ADDRESS(INDEX($Q$2:$Q$1001,MATCH(ROWS($O$2:O474),$O$2:$O$1001,0),0), INDEX($V$1004:$AE$1004,1,MATCH(COLUMNS($V$1006:V1006),$V$1006:$AE$1006,0)))),"Fix")))</f>
        <v>0</v>
      </c>
      <c r="C474" s="3">
        <f>IF(OR(INDEX($P$2:$P$1001,MATCH(ROWS($O$2:O474),$O$2:$O$1001,0),1)&gt;=100000,INDEX($V$1005:$AE$1005,1,MATCH(COLUMNS($V$1006:W1006),$V$1006:$AE$1006,0))&gt;=100000), " ",IF(INDEX($V$2:$AE$1001,MATCH(ROWS($O$2:O474),$O$2:$O$1001,0),MATCH(COLUMNS($V$1006:W1006),$V$1006:$AE$1006,0)), HYPERLINK("#",""), HYPERLINK(CONCATENATE("#Metadata!", ADDRESS(INDEX($Q$2:$Q$1001,MATCH(ROWS($O$2:O474),$O$2:$O$1001,0),0), INDEX($V$1004:$AE$1004,1,MATCH(COLUMNS($V$1006:W1006),$V$1006:$AE$1006,0)))),"Fix")))</f>
        <v>0</v>
      </c>
      <c r="D474" s="3">
        <f>IF(OR(INDEX($P$2:$P$1001,MATCH(ROWS($O$2:O474),$O$2:$O$1001,0),1)&gt;=100000,INDEX($V$1005:$AE$1005,1,MATCH(COLUMNS($V$1006:X1006),$V$1006:$AE$1006,0))&gt;=100000), " ",IF(INDEX($V$2:$AE$1001,MATCH(ROWS($O$2:O474),$O$2:$O$1001,0),MATCH(COLUMNS($V$1006:X1006),$V$1006:$AE$1006,0)), HYPERLINK("#",""), HYPERLINK(CONCATENATE("#Metadata!", ADDRESS(INDEX($Q$2:$Q$1001,MATCH(ROWS($O$2:O474),$O$2:$O$1001,0),0), INDEX($V$1004:$AE$1004,1,MATCH(COLUMNS($V$1006:X1006),$V$1006:$AE$1006,0)))),"Fix")))</f>
        <v>0</v>
      </c>
      <c r="E474" s="3">
        <f>IF(OR(INDEX($P$2:$P$1001,MATCH(ROWS($O$2:O474),$O$2:$O$1001,0),1)&gt;=100000,INDEX($V$1005:$AE$1005,1,MATCH(COLUMNS($V$1006:Y1006),$V$1006:$AE$1006,0))&gt;=100000), " ",IF(INDEX($V$2:$AE$1001,MATCH(ROWS($O$2:O474),$O$2:$O$1001,0),MATCH(COLUMNS($V$1006:Y1006),$V$1006:$AE$1006,0)), HYPERLINK("#",""), HYPERLINK(CONCATENATE("#Metadata!", ADDRESS(INDEX($Q$2:$Q$1001,MATCH(ROWS($O$2:O474),$O$2:$O$1001,0),0), INDEX($V$1004:$AE$1004,1,MATCH(COLUMNS($V$1006:Y1006),$V$1006:$AE$1006,0)))),"Fix")))</f>
        <v>0</v>
      </c>
      <c r="F474" s="3">
        <f>IF(OR(INDEX($P$2:$P$1001,MATCH(ROWS($O$2:O474),$O$2:$O$1001,0),1)&gt;=100000,INDEX($V$1005:$AE$1005,1,MATCH(COLUMNS($V$1006:Z1006),$V$1006:$AE$1006,0))&gt;=100000), " ",IF(INDEX($V$2:$AE$1001,MATCH(ROWS($O$2:O474),$O$2:$O$1001,0),MATCH(COLUMNS($V$1006:Z1006),$V$1006:$AE$1006,0)), HYPERLINK("#",""), HYPERLINK(CONCATENATE("#Metadata!", ADDRESS(INDEX($Q$2:$Q$1001,MATCH(ROWS($O$2:O474),$O$2:$O$1001,0),0), INDEX($V$1004:$AE$1004,1,MATCH(COLUMNS($V$1006:Z1006),$V$1006:$AE$1006,0)))),"Fix")))</f>
        <v>0</v>
      </c>
      <c r="G474" s="3">
        <f>IF(OR(INDEX($P$2:$P$1001,MATCH(ROWS($O$2:O474),$O$2:$O$1001,0),1)&gt;=100000,INDEX($V$1005:$AE$1005,1,MATCH(COLUMNS($V$1006:AA1006),$V$1006:$AE$1006,0))&gt;=100000), " ",IF(INDEX($V$2:$AE$1001,MATCH(ROWS($O$2:O474),$O$2:$O$1001,0),MATCH(COLUMNS($V$1006:AA1006),$V$1006:$AE$1006,0)), HYPERLINK("#",""), HYPERLINK(CONCATENATE("#Metadata!", ADDRESS(INDEX($Q$2:$Q$1001,MATCH(ROWS($O$2:O474),$O$2:$O$1001,0),0), INDEX($V$1004:$AE$1004,1,MATCH(COLUMNS($V$1006:AA1006),$V$1006:$AE$1006,0)))),"Fix")))</f>
        <v>0</v>
      </c>
      <c r="H474" s="3">
        <f>IF(OR(INDEX($P$2:$P$1001,MATCH(ROWS($O$2:O474),$O$2:$O$1001,0),1)&gt;=100000,INDEX($V$1005:$AE$1005,1,MATCH(COLUMNS($V$1006:AB1006),$V$1006:$AE$1006,0))&gt;=100000), " ",IF(INDEX($V$2:$AE$1001,MATCH(ROWS($O$2:O474),$O$2:$O$1001,0),MATCH(COLUMNS($V$1006:AB1006),$V$1006:$AE$1006,0)), HYPERLINK("#",""), HYPERLINK(CONCATENATE("#Metadata!", ADDRESS(INDEX($Q$2:$Q$1001,MATCH(ROWS($O$2:O474),$O$2:$O$1001,0),0), INDEX($V$1004:$AE$1004,1,MATCH(COLUMNS($V$1006:AB1006),$V$1006:$AE$1006,0)))),"Fix")))</f>
        <v>0</v>
      </c>
      <c r="I474" s="3">
        <f>IF(OR(INDEX($P$2:$P$1001,MATCH(ROWS($O$2:O474),$O$2:$O$1001,0),1)&gt;=100000,INDEX($V$1005:$AE$1005,1,MATCH(COLUMNS($V$1006:AC1006),$V$1006:$AE$1006,0))&gt;=100000), " ",IF(INDEX($V$2:$AE$1001,MATCH(ROWS($O$2:O474),$O$2:$O$1001,0),MATCH(COLUMNS($V$1006:AC1006),$V$1006:$AE$1006,0)), HYPERLINK("#",""), HYPERLINK(CONCATENATE("#Metadata!", ADDRESS(INDEX($Q$2:$Q$1001,MATCH(ROWS($O$2:O474),$O$2:$O$1001,0),0), INDEX($V$1004:$AE$1004,1,MATCH(COLUMNS($V$1006:AC1006),$V$1006:$AE$1006,0)))),"Fix")))</f>
        <v>0</v>
      </c>
      <c r="J474" s="3">
        <f>IF(OR(INDEX($P$2:$P$1001,MATCH(ROWS($O$2:O474),$O$2:$O$1001,0),1)&gt;=100000,INDEX($V$1005:$AE$1005,1,MATCH(COLUMNS($V$1006:AD1006),$V$1006:$AE$1006,0))&gt;=100000), " ",IF(INDEX($V$2:$AE$1001,MATCH(ROWS($O$2:O474),$O$2:$O$1001,0),MATCH(COLUMNS($V$1006:AD1006),$V$1006:$AE$1006,0)), HYPERLINK("#",""), HYPERLINK(CONCATENATE("#Metadata!", ADDRESS(INDEX($Q$2:$Q$1001,MATCH(ROWS($O$2:O474),$O$2:$O$1001,0),0), INDEX($V$1004:$AE$1004,1,MATCH(COLUMNS($V$1006:AD1006),$V$1006:$AE$1006,0)))),"Fix")))</f>
        <v>0</v>
      </c>
      <c r="K474" s="3">
        <f>IF(OR(INDEX($P$2:$P$1001,MATCH(ROWS($O$2:O474),$O$2:$O$1001,0),1)&gt;=100000,INDEX($V$1005:$AE$1005,1,MATCH(COLUMNS($V$1006:AE1006),$V$1006:$AE$1006,0))&gt;=100000), " ",IF(INDEX($V$2:$AE$1001,MATCH(ROWS($O$2:O474),$O$2:$O$1001,0),MATCH(COLUMNS($V$1006:AE1006),$V$1006:$AE$1006,0)), HYPERLINK("#",""), HYPERLINK(CONCATENATE("#Metadata!", ADDRESS(INDEX($Q$2:$Q$1001,MATCH(ROWS($O$2:O474),$O$2:$O$1001,0),0), INDEX($V$1004:$AE$1004,1,MATCH(COLUMNS($V$1006:AE1006),$V$1006:$AE$1006,0)))),"Fix")))</f>
        <v>0</v>
      </c>
      <c r="O474">
        <v>0</v>
      </c>
      <c r="P474">
        <v>0</v>
      </c>
      <c r="Q474">
        <v>0</v>
      </c>
      <c r="R474">
        <f>IF(S474,TRUE,AND(V474:AE474))</f>
        <v>0</v>
      </c>
      <c r="S474">
        <f>COUNTBLANK(Metadata!B474:K474)=COLUMNS(Metadata!B474:K474)</f>
        <v>0</v>
      </c>
      <c r="T474">
        <v>0</v>
      </c>
      <c r="V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W474">
        <f>AND(IF(Metadata!C474="",FALSE,TRUE),exact(Metadata!C474,"animal secretion"))</f>
        <v>0</v>
      </c>
      <c r="X474">
        <f>AND(IF(Metadata!D474="",FALSE,TRUE),exact(Metadata!D474,"saliva"))</f>
        <v>0</v>
      </c>
      <c r="Y474">
        <f>AND(IF(Metadata!E474="",FALSE,TRUE),exact(Metadata!E474,"human-oral"))</f>
        <v>0</v>
      </c>
      <c r="Z474">
        <f>AND(IF(Metadata!F474="",FALSE,TRUE),exact(Metadata!F474,"UBERON:oral cavity"))</f>
        <v>0</v>
      </c>
      <c r="AA474">
        <f>AND(IF(Metadata!G474="",FALSE,TRUE),exact(Metadata!G474,"UBERON:saliva"))</f>
        <v>0</v>
      </c>
      <c r="AB474">
        <f>AND(IF(Metadata!H474="",FALSE,TRUE),exact(Metadata!H474,"UBERON:tongue"))</f>
        <v>0</v>
      </c>
      <c r="AC474">
        <f>AND(IF(Metadata!I474="",FALSE,TRUE),exact(Metadata!I474,"tongue"))</f>
        <v>0</v>
      </c>
      <c r="AD474">
        <f>AND(IF(Metadata!J474="",FALSE,TRUE),exact(Metadata!J474,"human oral metagenome"))</f>
        <v>0</v>
      </c>
      <c r="AE474">
        <f>AND(IF(Metadata!K474="",FALSE,TRUE),exact(Metadata!K474,"447426"))</f>
        <v>0</v>
      </c>
    </row>
    <row r="475" spans="1:31">
      <c r="A475" s="4">
        <f>IF(B475=" "," ",HYPERLINK(CONCATENATE("#metadata!",ADDRESS(INDEX($Q$2:$Q$1001,MATCH(ROWS($O$2:O475),$O$2:$O$1001,0),0),1)),INDEX($T$2:$T$1001,MATCH(ROWS($O$2:O475),$O$2:$O$1001,0),0)))</f>
        <v>0</v>
      </c>
      <c r="B475" s="3">
        <f>IF(OR(INDEX($P$2:$P$1001,MATCH(ROWS($O$2:O475),$O$2:$O$1001,0),1)&gt;=100000,INDEX($V$1005:$AE$1005,1,MATCH(COLUMNS($V$1006:V1006),$V$1006:$AE$1006,0))&gt;=100000), " ",IF(INDEX($V$2:$AE$1001,MATCH(ROWS($O$2:O475),$O$2:$O$1001,0),MATCH(COLUMNS($V$1006:V1006),$V$1006:$AE$1006,0)), HYPERLINK("#",""), HYPERLINK(CONCATENATE("#Metadata!", ADDRESS(INDEX($Q$2:$Q$1001,MATCH(ROWS($O$2:O475),$O$2:$O$1001,0),0), INDEX($V$1004:$AE$1004,1,MATCH(COLUMNS($V$1006:V1006),$V$1006:$AE$1006,0)))),"Fix")))</f>
        <v>0</v>
      </c>
      <c r="C475" s="3">
        <f>IF(OR(INDEX($P$2:$P$1001,MATCH(ROWS($O$2:O475),$O$2:$O$1001,0),1)&gt;=100000,INDEX($V$1005:$AE$1005,1,MATCH(COLUMNS($V$1006:W1006),$V$1006:$AE$1006,0))&gt;=100000), " ",IF(INDEX($V$2:$AE$1001,MATCH(ROWS($O$2:O475),$O$2:$O$1001,0),MATCH(COLUMNS($V$1006:W1006),$V$1006:$AE$1006,0)), HYPERLINK("#",""), HYPERLINK(CONCATENATE("#Metadata!", ADDRESS(INDEX($Q$2:$Q$1001,MATCH(ROWS($O$2:O475),$O$2:$O$1001,0),0), INDEX($V$1004:$AE$1004,1,MATCH(COLUMNS($V$1006:W1006),$V$1006:$AE$1006,0)))),"Fix")))</f>
        <v>0</v>
      </c>
      <c r="D475" s="3">
        <f>IF(OR(INDEX($P$2:$P$1001,MATCH(ROWS($O$2:O475),$O$2:$O$1001,0),1)&gt;=100000,INDEX($V$1005:$AE$1005,1,MATCH(COLUMNS($V$1006:X1006),$V$1006:$AE$1006,0))&gt;=100000), " ",IF(INDEX($V$2:$AE$1001,MATCH(ROWS($O$2:O475),$O$2:$O$1001,0),MATCH(COLUMNS($V$1006:X1006),$V$1006:$AE$1006,0)), HYPERLINK("#",""), HYPERLINK(CONCATENATE("#Metadata!", ADDRESS(INDEX($Q$2:$Q$1001,MATCH(ROWS($O$2:O475),$O$2:$O$1001,0),0), INDEX($V$1004:$AE$1004,1,MATCH(COLUMNS($V$1006:X1006),$V$1006:$AE$1006,0)))),"Fix")))</f>
        <v>0</v>
      </c>
      <c r="E475" s="3">
        <f>IF(OR(INDEX($P$2:$P$1001,MATCH(ROWS($O$2:O475),$O$2:$O$1001,0),1)&gt;=100000,INDEX($V$1005:$AE$1005,1,MATCH(COLUMNS($V$1006:Y1006),$V$1006:$AE$1006,0))&gt;=100000), " ",IF(INDEX($V$2:$AE$1001,MATCH(ROWS($O$2:O475),$O$2:$O$1001,0),MATCH(COLUMNS($V$1006:Y1006),$V$1006:$AE$1006,0)), HYPERLINK("#",""), HYPERLINK(CONCATENATE("#Metadata!", ADDRESS(INDEX($Q$2:$Q$1001,MATCH(ROWS($O$2:O475),$O$2:$O$1001,0),0), INDEX($V$1004:$AE$1004,1,MATCH(COLUMNS($V$1006:Y1006),$V$1006:$AE$1006,0)))),"Fix")))</f>
        <v>0</v>
      </c>
      <c r="F475" s="3">
        <f>IF(OR(INDEX($P$2:$P$1001,MATCH(ROWS($O$2:O475),$O$2:$O$1001,0),1)&gt;=100000,INDEX($V$1005:$AE$1005,1,MATCH(COLUMNS($V$1006:Z1006),$V$1006:$AE$1006,0))&gt;=100000), " ",IF(INDEX($V$2:$AE$1001,MATCH(ROWS($O$2:O475),$O$2:$O$1001,0),MATCH(COLUMNS($V$1006:Z1006),$V$1006:$AE$1006,0)), HYPERLINK("#",""), HYPERLINK(CONCATENATE("#Metadata!", ADDRESS(INDEX($Q$2:$Q$1001,MATCH(ROWS($O$2:O475),$O$2:$O$1001,0),0), INDEX($V$1004:$AE$1004,1,MATCH(COLUMNS($V$1006:Z1006),$V$1006:$AE$1006,0)))),"Fix")))</f>
        <v>0</v>
      </c>
      <c r="G475" s="3">
        <f>IF(OR(INDEX($P$2:$P$1001,MATCH(ROWS($O$2:O475),$O$2:$O$1001,0),1)&gt;=100000,INDEX($V$1005:$AE$1005,1,MATCH(COLUMNS($V$1006:AA1006),$V$1006:$AE$1006,0))&gt;=100000), " ",IF(INDEX($V$2:$AE$1001,MATCH(ROWS($O$2:O475),$O$2:$O$1001,0),MATCH(COLUMNS($V$1006:AA1006),$V$1006:$AE$1006,0)), HYPERLINK("#",""), HYPERLINK(CONCATENATE("#Metadata!", ADDRESS(INDEX($Q$2:$Q$1001,MATCH(ROWS($O$2:O475),$O$2:$O$1001,0),0), INDEX($V$1004:$AE$1004,1,MATCH(COLUMNS($V$1006:AA1006),$V$1006:$AE$1006,0)))),"Fix")))</f>
        <v>0</v>
      </c>
      <c r="H475" s="3">
        <f>IF(OR(INDEX($P$2:$P$1001,MATCH(ROWS($O$2:O475),$O$2:$O$1001,0),1)&gt;=100000,INDEX($V$1005:$AE$1005,1,MATCH(COLUMNS($V$1006:AB1006),$V$1006:$AE$1006,0))&gt;=100000), " ",IF(INDEX($V$2:$AE$1001,MATCH(ROWS($O$2:O475),$O$2:$O$1001,0),MATCH(COLUMNS($V$1006:AB1006),$V$1006:$AE$1006,0)), HYPERLINK("#",""), HYPERLINK(CONCATENATE("#Metadata!", ADDRESS(INDEX($Q$2:$Q$1001,MATCH(ROWS($O$2:O475),$O$2:$O$1001,0),0), INDEX($V$1004:$AE$1004,1,MATCH(COLUMNS($V$1006:AB1006),$V$1006:$AE$1006,0)))),"Fix")))</f>
        <v>0</v>
      </c>
      <c r="I475" s="3">
        <f>IF(OR(INDEX($P$2:$P$1001,MATCH(ROWS($O$2:O475),$O$2:$O$1001,0),1)&gt;=100000,INDEX($V$1005:$AE$1005,1,MATCH(COLUMNS($V$1006:AC1006),$V$1006:$AE$1006,0))&gt;=100000), " ",IF(INDEX($V$2:$AE$1001,MATCH(ROWS($O$2:O475),$O$2:$O$1001,0),MATCH(COLUMNS($V$1006:AC1006),$V$1006:$AE$1006,0)), HYPERLINK("#",""), HYPERLINK(CONCATENATE("#Metadata!", ADDRESS(INDEX($Q$2:$Q$1001,MATCH(ROWS($O$2:O475),$O$2:$O$1001,0),0), INDEX($V$1004:$AE$1004,1,MATCH(COLUMNS($V$1006:AC1006),$V$1006:$AE$1006,0)))),"Fix")))</f>
        <v>0</v>
      </c>
      <c r="J475" s="3">
        <f>IF(OR(INDEX($P$2:$P$1001,MATCH(ROWS($O$2:O475),$O$2:$O$1001,0),1)&gt;=100000,INDEX($V$1005:$AE$1005,1,MATCH(COLUMNS($V$1006:AD1006),$V$1006:$AE$1006,0))&gt;=100000), " ",IF(INDEX($V$2:$AE$1001,MATCH(ROWS($O$2:O475),$O$2:$O$1001,0),MATCH(COLUMNS($V$1006:AD1006),$V$1006:$AE$1006,0)), HYPERLINK("#",""), HYPERLINK(CONCATENATE("#Metadata!", ADDRESS(INDEX($Q$2:$Q$1001,MATCH(ROWS($O$2:O475),$O$2:$O$1001,0),0), INDEX($V$1004:$AE$1004,1,MATCH(COLUMNS($V$1006:AD1006),$V$1006:$AE$1006,0)))),"Fix")))</f>
        <v>0</v>
      </c>
      <c r="K475" s="3">
        <f>IF(OR(INDEX($P$2:$P$1001,MATCH(ROWS($O$2:O475),$O$2:$O$1001,0),1)&gt;=100000,INDEX($V$1005:$AE$1005,1,MATCH(COLUMNS($V$1006:AE1006),$V$1006:$AE$1006,0))&gt;=100000), " ",IF(INDEX($V$2:$AE$1001,MATCH(ROWS($O$2:O475),$O$2:$O$1001,0),MATCH(COLUMNS($V$1006:AE1006),$V$1006:$AE$1006,0)), HYPERLINK("#",""), HYPERLINK(CONCATENATE("#Metadata!", ADDRESS(INDEX($Q$2:$Q$1001,MATCH(ROWS($O$2:O475),$O$2:$O$1001,0),0), INDEX($V$1004:$AE$1004,1,MATCH(COLUMNS($V$1006:AE1006),$V$1006:$AE$1006,0)))),"Fix")))</f>
        <v>0</v>
      </c>
      <c r="O475">
        <v>0</v>
      </c>
      <c r="P475">
        <v>0</v>
      </c>
      <c r="Q475">
        <v>0</v>
      </c>
      <c r="R475">
        <f>IF(S475,TRUE,AND(V475:AE475))</f>
        <v>0</v>
      </c>
      <c r="S475">
        <f>COUNTBLANK(Metadata!B475:K475)=COLUMNS(Metadata!B475:K475)</f>
        <v>0</v>
      </c>
      <c r="T475">
        <v>0</v>
      </c>
      <c r="V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W475">
        <f>AND(IF(Metadata!C475="",FALSE,TRUE),exact(Metadata!C475,"animal secretion"))</f>
        <v>0</v>
      </c>
      <c r="X475">
        <f>AND(IF(Metadata!D475="",FALSE,TRUE),exact(Metadata!D475,"saliva"))</f>
        <v>0</v>
      </c>
      <c r="Y475">
        <f>AND(IF(Metadata!E475="",FALSE,TRUE),exact(Metadata!E475,"human-oral"))</f>
        <v>0</v>
      </c>
      <c r="Z475">
        <f>AND(IF(Metadata!F475="",FALSE,TRUE),exact(Metadata!F475,"UBERON:oral cavity"))</f>
        <v>0</v>
      </c>
      <c r="AA475">
        <f>AND(IF(Metadata!G475="",FALSE,TRUE),exact(Metadata!G475,"UBERON:saliva"))</f>
        <v>0</v>
      </c>
      <c r="AB475">
        <f>AND(IF(Metadata!H475="",FALSE,TRUE),exact(Metadata!H475,"UBERON:tongue"))</f>
        <v>0</v>
      </c>
      <c r="AC475">
        <f>AND(IF(Metadata!I475="",FALSE,TRUE),exact(Metadata!I475,"tongue"))</f>
        <v>0</v>
      </c>
      <c r="AD475">
        <f>AND(IF(Metadata!J475="",FALSE,TRUE),exact(Metadata!J475,"human oral metagenome"))</f>
        <v>0</v>
      </c>
      <c r="AE475">
        <f>AND(IF(Metadata!K475="",FALSE,TRUE),exact(Metadata!K475,"447426"))</f>
        <v>0</v>
      </c>
    </row>
    <row r="476" spans="1:31">
      <c r="A476" s="4">
        <f>IF(B476=" "," ",HYPERLINK(CONCATENATE("#metadata!",ADDRESS(INDEX($Q$2:$Q$1001,MATCH(ROWS($O$2:O476),$O$2:$O$1001,0),0),1)),INDEX($T$2:$T$1001,MATCH(ROWS($O$2:O476),$O$2:$O$1001,0),0)))</f>
        <v>0</v>
      </c>
      <c r="B476" s="3">
        <f>IF(OR(INDEX($P$2:$P$1001,MATCH(ROWS($O$2:O476),$O$2:$O$1001,0),1)&gt;=100000,INDEX($V$1005:$AE$1005,1,MATCH(COLUMNS($V$1006:V1006),$V$1006:$AE$1006,0))&gt;=100000), " ",IF(INDEX($V$2:$AE$1001,MATCH(ROWS($O$2:O476),$O$2:$O$1001,0),MATCH(COLUMNS($V$1006:V1006),$V$1006:$AE$1006,0)), HYPERLINK("#",""), HYPERLINK(CONCATENATE("#Metadata!", ADDRESS(INDEX($Q$2:$Q$1001,MATCH(ROWS($O$2:O476),$O$2:$O$1001,0),0), INDEX($V$1004:$AE$1004,1,MATCH(COLUMNS($V$1006:V1006),$V$1006:$AE$1006,0)))),"Fix")))</f>
        <v>0</v>
      </c>
      <c r="C476" s="3">
        <f>IF(OR(INDEX($P$2:$P$1001,MATCH(ROWS($O$2:O476),$O$2:$O$1001,0),1)&gt;=100000,INDEX($V$1005:$AE$1005,1,MATCH(COLUMNS($V$1006:W1006),$V$1006:$AE$1006,0))&gt;=100000), " ",IF(INDEX($V$2:$AE$1001,MATCH(ROWS($O$2:O476),$O$2:$O$1001,0),MATCH(COLUMNS($V$1006:W1006),$V$1006:$AE$1006,0)), HYPERLINK("#",""), HYPERLINK(CONCATENATE("#Metadata!", ADDRESS(INDEX($Q$2:$Q$1001,MATCH(ROWS($O$2:O476),$O$2:$O$1001,0),0), INDEX($V$1004:$AE$1004,1,MATCH(COLUMNS($V$1006:W1006),$V$1006:$AE$1006,0)))),"Fix")))</f>
        <v>0</v>
      </c>
      <c r="D476" s="3">
        <f>IF(OR(INDEX($P$2:$P$1001,MATCH(ROWS($O$2:O476),$O$2:$O$1001,0),1)&gt;=100000,INDEX($V$1005:$AE$1005,1,MATCH(COLUMNS($V$1006:X1006),$V$1006:$AE$1006,0))&gt;=100000), " ",IF(INDEX($V$2:$AE$1001,MATCH(ROWS($O$2:O476),$O$2:$O$1001,0),MATCH(COLUMNS($V$1006:X1006),$V$1006:$AE$1006,0)), HYPERLINK("#",""), HYPERLINK(CONCATENATE("#Metadata!", ADDRESS(INDEX($Q$2:$Q$1001,MATCH(ROWS($O$2:O476),$O$2:$O$1001,0),0), INDEX($V$1004:$AE$1004,1,MATCH(COLUMNS($V$1006:X1006),$V$1006:$AE$1006,0)))),"Fix")))</f>
        <v>0</v>
      </c>
      <c r="E476" s="3">
        <f>IF(OR(INDEX($P$2:$P$1001,MATCH(ROWS($O$2:O476),$O$2:$O$1001,0),1)&gt;=100000,INDEX($V$1005:$AE$1005,1,MATCH(COLUMNS($V$1006:Y1006),$V$1006:$AE$1006,0))&gt;=100000), " ",IF(INDEX($V$2:$AE$1001,MATCH(ROWS($O$2:O476),$O$2:$O$1001,0),MATCH(COLUMNS($V$1006:Y1006),$V$1006:$AE$1006,0)), HYPERLINK("#",""), HYPERLINK(CONCATENATE("#Metadata!", ADDRESS(INDEX($Q$2:$Q$1001,MATCH(ROWS($O$2:O476),$O$2:$O$1001,0),0), INDEX($V$1004:$AE$1004,1,MATCH(COLUMNS($V$1006:Y1006),$V$1006:$AE$1006,0)))),"Fix")))</f>
        <v>0</v>
      </c>
      <c r="F476" s="3">
        <f>IF(OR(INDEX($P$2:$P$1001,MATCH(ROWS($O$2:O476),$O$2:$O$1001,0),1)&gt;=100000,INDEX($V$1005:$AE$1005,1,MATCH(COLUMNS($V$1006:Z1006),$V$1006:$AE$1006,0))&gt;=100000), " ",IF(INDEX($V$2:$AE$1001,MATCH(ROWS($O$2:O476),$O$2:$O$1001,0),MATCH(COLUMNS($V$1006:Z1006),$V$1006:$AE$1006,0)), HYPERLINK("#",""), HYPERLINK(CONCATENATE("#Metadata!", ADDRESS(INDEX($Q$2:$Q$1001,MATCH(ROWS($O$2:O476),$O$2:$O$1001,0),0), INDEX($V$1004:$AE$1004,1,MATCH(COLUMNS($V$1006:Z1006),$V$1006:$AE$1006,0)))),"Fix")))</f>
        <v>0</v>
      </c>
      <c r="G476" s="3">
        <f>IF(OR(INDEX($P$2:$P$1001,MATCH(ROWS($O$2:O476),$O$2:$O$1001,0),1)&gt;=100000,INDEX($V$1005:$AE$1005,1,MATCH(COLUMNS($V$1006:AA1006),$V$1006:$AE$1006,0))&gt;=100000), " ",IF(INDEX($V$2:$AE$1001,MATCH(ROWS($O$2:O476),$O$2:$O$1001,0),MATCH(COLUMNS($V$1006:AA1006),$V$1006:$AE$1006,0)), HYPERLINK("#",""), HYPERLINK(CONCATENATE("#Metadata!", ADDRESS(INDEX($Q$2:$Q$1001,MATCH(ROWS($O$2:O476),$O$2:$O$1001,0),0), INDEX($V$1004:$AE$1004,1,MATCH(COLUMNS($V$1006:AA1006),$V$1006:$AE$1006,0)))),"Fix")))</f>
        <v>0</v>
      </c>
      <c r="H476" s="3">
        <f>IF(OR(INDEX($P$2:$P$1001,MATCH(ROWS($O$2:O476),$O$2:$O$1001,0),1)&gt;=100000,INDEX($V$1005:$AE$1005,1,MATCH(COLUMNS($V$1006:AB1006),$V$1006:$AE$1006,0))&gt;=100000), " ",IF(INDEX($V$2:$AE$1001,MATCH(ROWS($O$2:O476),$O$2:$O$1001,0),MATCH(COLUMNS($V$1006:AB1006),$V$1006:$AE$1006,0)), HYPERLINK("#",""), HYPERLINK(CONCATENATE("#Metadata!", ADDRESS(INDEX($Q$2:$Q$1001,MATCH(ROWS($O$2:O476),$O$2:$O$1001,0),0), INDEX($V$1004:$AE$1004,1,MATCH(COLUMNS($V$1006:AB1006),$V$1006:$AE$1006,0)))),"Fix")))</f>
        <v>0</v>
      </c>
      <c r="I476" s="3">
        <f>IF(OR(INDEX($P$2:$P$1001,MATCH(ROWS($O$2:O476),$O$2:$O$1001,0),1)&gt;=100000,INDEX($V$1005:$AE$1005,1,MATCH(COLUMNS($V$1006:AC1006),$V$1006:$AE$1006,0))&gt;=100000), " ",IF(INDEX($V$2:$AE$1001,MATCH(ROWS($O$2:O476),$O$2:$O$1001,0),MATCH(COLUMNS($V$1006:AC1006),$V$1006:$AE$1006,0)), HYPERLINK("#",""), HYPERLINK(CONCATENATE("#Metadata!", ADDRESS(INDEX($Q$2:$Q$1001,MATCH(ROWS($O$2:O476),$O$2:$O$1001,0),0), INDEX($V$1004:$AE$1004,1,MATCH(COLUMNS($V$1006:AC1006),$V$1006:$AE$1006,0)))),"Fix")))</f>
        <v>0</v>
      </c>
      <c r="J476" s="3">
        <f>IF(OR(INDEX($P$2:$P$1001,MATCH(ROWS($O$2:O476),$O$2:$O$1001,0),1)&gt;=100000,INDEX($V$1005:$AE$1005,1,MATCH(COLUMNS($V$1006:AD1006),$V$1006:$AE$1006,0))&gt;=100000), " ",IF(INDEX($V$2:$AE$1001,MATCH(ROWS($O$2:O476),$O$2:$O$1001,0),MATCH(COLUMNS($V$1006:AD1006),$V$1006:$AE$1006,0)), HYPERLINK("#",""), HYPERLINK(CONCATENATE("#Metadata!", ADDRESS(INDEX($Q$2:$Q$1001,MATCH(ROWS($O$2:O476),$O$2:$O$1001,0),0), INDEX($V$1004:$AE$1004,1,MATCH(COLUMNS($V$1006:AD1006),$V$1006:$AE$1006,0)))),"Fix")))</f>
        <v>0</v>
      </c>
      <c r="K476" s="3">
        <f>IF(OR(INDEX($P$2:$P$1001,MATCH(ROWS($O$2:O476),$O$2:$O$1001,0),1)&gt;=100000,INDEX($V$1005:$AE$1005,1,MATCH(COLUMNS($V$1006:AE1006),$V$1006:$AE$1006,0))&gt;=100000), " ",IF(INDEX($V$2:$AE$1001,MATCH(ROWS($O$2:O476),$O$2:$O$1001,0),MATCH(COLUMNS($V$1006:AE1006),$V$1006:$AE$1006,0)), HYPERLINK("#",""), HYPERLINK(CONCATENATE("#Metadata!", ADDRESS(INDEX($Q$2:$Q$1001,MATCH(ROWS($O$2:O476),$O$2:$O$1001,0),0), INDEX($V$1004:$AE$1004,1,MATCH(COLUMNS($V$1006:AE1006),$V$1006:$AE$1006,0)))),"Fix")))</f>
        <v>0</v>
      </c>
      <c r="O476">
        <v>0</v>
      </c>
      <c r="P476">
        <v>0</v>
      </c>
      <c r="Q476">
        <v>0</v>
      </c>
      <c r="R476">
        <f>IF(S476,TRUE,AND(V476:AE476))</f>
        <v>0</v>
      </c>
      <c r="S476">
        <f>COUNTBLANK(Metadata!B476:K476)=COLUMNS(Metadata!B476:K476)</f>
        <v>0</v>
      </c>
      <c r="T476">
        <v>0</v>
      </c>
      <c r="V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W476">
        <f>AND(IF(Metadata!C476="",FALSE,TRUE),exact(Metadata!C476,"animal secretion"))</f>
        <v>0</v>
      </c>
      <c r="X476">
        <f>AND(IF(Metadata!D476="",FALSE,TRUE),exact(Metadata!D476,"saliva"))</f>
        <v>0</v>
      </c>
      <c r="Y476">
        <f>AND(IF(Metadata!E476="",FALSE,TRUE),exact(Metadata!E476,"human-oral"))</f>
        <v>0</v>
      </c>
      <c r="Z476">
        <f>AND(IF(Metadata!F476="",FALSE,TRUE),exact(Metadata!F476,"UBERON:oral cavity"))</f>
        <v>0</v>
      </c>
      <c r="AA476">
        <f>AND(IF(Metadata!G476="",FALSE,TRUE),exact(Metadata!G476,"UBERON:saliva"))</f>
        <v>0</v>
      </c>
      <c r="AB476">
        <f>AND(IF(Metadata!H476="",FALSE,TRUE),exact(Metadata!H476,"UBERON:tongue"))</f>
        <v>0</v>
      </c>
      <c r="AC476">
        <f>AND(IF(Metadata!I476="",FALSE,TRUE),exact(Metadata!I476,"tongue"))</f>
        <v>0</v>
      </c>
      <c r="AD476">
        <f>AND(IF(Metadata!J476="",FALSE,TRUE),exact(Metadata!J476,"human oral metagenome"))</f>
        <v>0</v>
      </c>
      <c r="AE476">
        <f>AND(IF(Metadata!K476="",FALSE,TRUE),exact(Metadata!K476,"447426"))</f>
        <v>0</v>
      </c>
    </row>
    <row r="477" spans="1:31">
      <c r="A477" s="4">
        <f>IF(B477=" "," ",HYPERLINK(CONCATENATE("#metadata!",ADDRESS(INDEX($Q$2:$Q$1001,MATCH(ROWS($O$2:O477),$O$2:$O$1001,0),0),1)),INDEX($T$2:$T$1001,MATCH(ROWS($O$2:O477),$O$2:$O$1001,0),0)))</f>
        <v>0</v>
      </c>
      <c r="B477" s="3">
        <f>IF(OR(INDEX($P$2:$P$1001,MATCH(ROWS($O$2:O477),$O$2:$O$1001,0),1)&gt;=100000,INDEX($V$1005:$AE$1005,1,MATCH(COLUMNS($V$1006:V1006),$V$1006:$AE$1006,0))&gt;=100000), " ",IF(INDEX($V$2:$AE$1001,MATCH(ROWS($O$2:O477),$O$2:$O$1001,0),MATCH(COLUMNS($V$1006:V1006),$V$1006:$AE$1006,0)), HYPERLINK("#",""), HYPERLINK(CONCATENATE("#Metadata!", ADDRESS(INDEX($Q$2:$Q$1001,MATCH(ROWS($O$2:O477),$O$2:$O$1001,0),0), INDEX($V$1004:$AE$1004,1,MATCH(COLUMNS($V$1006:V1006),$V$1006:$AE$1006,0)))),"Fix")))</f>
        <v>0</v>
      </c>
      <c r="C477" s="3">
        <f>IF(OR(INDEX($P$2:$P$1001,MATCH(ROWS($O$2:O477),$O$2:$O$1001,0),1)&gt;=100000,INDEX($V$1005:$AE$1005,1,MATCH(COLUMNS($V$1006:W1006),$V$1006:$AE$1006,0))&gt;=100000), " ",IF(INDEX($V$2:$AE$1001,MATCH(ROWS($O$2:O477),$O$2:$O$1001,0),MATCH(COLUMNS($V$1006:W1006),$V$1006:$AE$1006,0)), HYPERLINK("#",""), HYPERLINK(CONCATENATE("#Metadata!", ADDRESS(INDEX($Q$2:$Q$1001,MATCH(ROWS($O$2:O477),$O$2:$O$1001,0),0), INDEX($V$1004:$AE$1004,1,MATCH(COLUMNS($V$1006:W1006),$V$1006:$AE$1006,0)))),"Fix")))</f>
        <v>0</v>
      </c>
      <c r="D477" s="3">
        <f>IF(OR(INDEX($P$2:$P$1001,MATCH(ROWS($O$2:O477),$O$2:$O$1001,0),1)&gt;=100000,INDEX($V$1005:$AE$1005,1,MATCH(COLUMNS($V$1006:X1006),$V$1006:$AE$1006,0))&gt;=100000), " ",IF(INDEX($V$2:$AE$1001,MATCH(ROWS($O$2:O477),$O$2:$O$1001,0),MATCH(COLUMNS($V$1006:X1006),$V$1006:$AE$1006,0)), HYPERLINK("#",""), HYPERLINK(CONCATENATE("#Metadata!", ADDRESS(INDEX($Q$2:$Q$1001,MATCH(ROWS($O$2:O477),$O$2:$O$1001,0),0), INDEX($V$1004:$AE$1004,1,MATCH(COLUMNS($V$1006:X1006),$V$1006:$AE$1006,0)))),"Fix")))</f>
        <v>0</v>
      </c>
      <c r="E477" s="3">
        <f>IF(OR(INDEX($P$2:$P$1001,MATCH(ROWS($O$2:O477),$O$2:$O$1001,0),1)&gt;=100000,INDEX($V$1005:$AE$1005,1,MATCH(COLUMNS($V$1006:Y1006),$V$1006:$AE$1006,0))&gt;=100000), " ",IF(INDEX($V$2:$AE$1001,MATCH(ROWS($O$2:O477),$O$2:$O$1001,0),MATCH(COLUMNS($V$1006:Y1006),$V$1006:$AE$1006,0)), HYPERLINK("#",""), HYPERLINK(CONCATENATE("#Metadata!", ADDRESS(INDEX($Q$2:$Q$1001,MATCH(ROWS($O$2:O477),$O$2:$O$1001,0),0), INDEX($V$1004:$AE$1004,1,MATCH(COLUMNS($V$1006:Y1006),$V$1006:$AE$1006,0)))),"Fix")))</f>
        <v>0</v>
      </c>
      <c r="F477" s="3">
        <f>IF(OR(INDEX($P$2:$P$1001,MATCH(ROWS($O$2:O477),$O$2:$O$1001,0),1)&gt;=100000,INDEX($V$1005:$AE$1005,1,MATCH(COLUMNS($V$1006:Z1006),$V$1006:$AE$1006,0))&gt;=100000), " ",IF(INDEX($V$2:$AE$1001,MATCH(ROWS($O$2:O477),$O$2:$O$1001,0),MATCH(COLUMNS($V$1006:Z1006),$V$1006:$AE$1006,0)), HYPERLINK("#",""), HYPERLINK(CONCATENATE("#Metadata!", ADDRESS(INDEX($Q$2:$Q$1001,MATCH(ROWS($O$2:O477),$O$2:$O$1001,0),0), INDEX($V$1004:$AE$1004,1,MATCH(COLUMNS($V$1006:Z1006),$V$1006:$AE$1006,0)))),"Fix")))</f>
        <v>0</v>
      </c>
      <c r="G477" s="3">
        <f>IF(OR(INDEX($P$2:$P$1001,MATCH(ROWS($O$2:O477),$O$2:$O$1001,0),1)&gt;=100000,INDEX($V$1005:$AE$1005,1,MATCH(COLUMNS($V$1006:AA1006),$V$1006:$AE$1006,0))&gt;=100000), " ",IF(INDEX($V$2:$AE$1001,MATCH(ROWS($O$2:O477),$O$2:$O$1001,0),MATCH(COLUMNS($V$1006:AA1006),$V$1006:$AE$1006,0)), HYPERLINK("#",""), HYPERLINK(CONCATENATE("#Metadata!", ADDRESS(INDEX($Q$2:$Q$1001,MATCH(ROWS($O$2:O477),$O$2:$O$1001,0),0), INDEX($V$1004:$AE$1004,1,MATCH(COLUMNS($V$1006:AA1006),$V$1006:$AE$1006,0)))),"Fix")))</f>
        <v>0</v>
      </c>
      <c r="H477" s="3">
        <f>IF(OR(INDEX($P$2:$P$1001,MATCH(ROWS($O$2:O477),$O$2:$O$1001,0),1)&gt;=100000,INDEX($V$1005:$AE$1005,1,MATCH(COLUMNS($V$1006:AB1006),$V$1006:$AE$1006,0))&gt;=100000), " ",IF(INDEX($V$2:$AE$1001,MATCH(ROWS($O$2:O477),$O$2:$O$1001,0),MATCH(COLUMNS($V$1006:AB1006),$V$1006:$AE$1006,0)), HYPERLINK("#",""), HYPERLINK(CONCATENATE("#Metadata!", ADDRESS(INDEX($Q$2:$Q$1001,MATCH(ROWS($O$2:O477),$O$2:$O$1001,0),0), INDEX($V$1004:$AE$1004,1,MATCH(COLUMNS($V$1006:AB1006),$V$1006:$AE$1006,0)))),"Fix")))</f>
        <v>0</v>
      </c>
      <c r="I477" s="3">
        <f>IF(OR(INDEX($P$2:$P$1001,MATCH(ROWS($O$2:O477),$O$2:$O$1001,0),1)&gt;=100000,INDEX($V$1005:$AE$1005,1,MATCH(COLUMNS($V$1006:AC1006),$V$1006:$AE$1006,0))&gt;=100000), " ",IF(INDEX($V$2:$AE$1001,MATCH(ROWS($O$2:O477),$O$2:$O$1001,0),MATCH(COLUMNS($V$1006:AC1006),$V$1006:$AE$1006,0)), HYPERLINK("#",""), HYPERLINK(CONCATENATE("#Metadata!", ADDRESS(INDEX($Q$2:$Q$1001,MATCH(ROWS($O$2:O477),$O$2:$O$1001,0),0), INDEX($V$1004:$AE$1004,1,MATCH(COLUMNS($V$1006:AC1006),$V$1006:$AE$1006,0)))),"Fix")))</f>
        <v>0</v>
      </c>
      <c r="J477" s="3">
        <f>IF(OR(INDEX($P$2:$P$1001,MATCH(ROWS($O$2:O477),$O$2:$O$1001,0),1)&gt;=100000,INDEX($V$1005:$AE$1005,1,MATCH(COLUMNS($V$1006:AD1006),$V$1006:$AE$1006,0))&gt;=100000), " ",IF(INDEX($V$2:$AE$1001,MATCH(ROWS($O$2:O477),$O$2:$O$1001,0),MATCH(COLUMNS($V$1006:AD1006),$V$1006:$AE$1006,0)), HYPERLINK("#",""), HYPERLINK(CONCATENATE("#Metadata!", ADDRESS(INDEX($Q$2:$Q$1001,MATCH(ROWS($O$2:O477),$O$2:$O$1001,0),0), INDEX($V$1004:$AE$1004,1,MATCH(COLUMNS($V$1006:AD1006),$V$1006:$AE$1006,0)))),"Fix")))</f>
        <v>0</v>
      </c>
      <c r="K477" s="3">
        <f>IF(OR(INDEX($P$2:$P$1001,MATCH(ROWS($O$2:O477),$O$2:$O$1001,0),1)&gt;=100000,INDEX($V$1005:$AE$1005,1,MATCH(COLUMNS($V$1006:AE1006),$V$1006:$AE$1006,0))&gt;=100000), " ",IF(INDEX($V$2:$AE$1001,MATCH(ROWS($O$2:O477),$O$2:$O$1001,0),MATCH(COLUMNS($V$1006:AE1006),$V$1006:$AE$1006,0)), HYPERLINK("#",""), HYPERLINK(CONCATENATE("#Metadata!", ADDRESS(INDEX($Q$2:$Q$1001,MATCH(ROWS($O$2:O477),$O$2:$O$1001,0),0), INDEX($V$1004:$AE$1004,1,MATCH(COLUMNS($V$1006:AE1006),$V$1006:$AE$1006,0)))),"Fix")))</f>
        <v>0</v>
      </c>
      <c r="O477">
        <v>0</v>
      </c>
      <c r="P477">
        <v>0</v>
      </c>
      <c r="Q477">
        <v>0</v>
      </c>
      <c r="R477">
        <f>IF(S477,TRUE,AND(V477:AE477))</f>
        <v>0</v>
      </c>
      <c r="S477">
        <f>COUNTBLANK(Metadata!B477:K477)=COLUMNS(Metadata!B477:K477)</f>
        <v>0</v>
      </c>
      <c r="T477">
        <v>0</v>
      </c>
      <c r="V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W477">
        <f>AND(IF(Metadata!C477="",FALSE,TRUE),exact(Metadata!C477,"animal secretion"))</f>
        <v>0</v>
      </c>
      <c r="X477">
        <f>AND(IF(Metadata!D477="",FALSE,TRUE),exact(Metadata!D477,"saliva"))</f>
        <v>0</v>
      </c>
      <c r="Y477">
        <f>AND(IF(Metadata!E477="",FALSE,TRUE),exact(Metadata!E477,"human-oral"))</f>
        <v>0</v>
      </c>
      <c r="Z477">
        <f>AND(IF(Metadata!F477="",FALSE,TRUE),exact(Metadata!F477,"UBERON:oral cavity"))</f>
        <v>0</v>
      </c>
      <c r="AA477">
        <f>AND(IF(Metadata!G477="",FALSE,TRUE),exact(Metadata!G477,"UBERON:saliva"))</f>
        <v>0</v>
      </c>
      <c r="AB477">
        <f>AND(IF(Metadata!H477="",FALSE,TRUE),exact(Metadata!H477,"UBERON:tongue"))</f>
        <v>0</v>
      </c>
      <c r="AC477">
        <f>AND(IF(Metadata!I477="",FALSE,TRUE),exact(Metadata!I477,"tongue"))</f>
        <v>0</v>
      </c>
      <c r="AD477">
        <f>AND(IF(Metadata!J477="",FALSE,TRUE),exact(Metadata!J477,"human oral metagenome"))</f>
        <v>0</v>
      </c>
      <c r="AE477">
        <f>AND(IF(Metadata!K477="",FALSE,TRUE),exact(Metadata!K477,"447426"))</f>
        <v>0</v>
      </c>
    </row>
    <row r="478" spans="1:31">
      <c r="A478" s="4">
        <f>IF(B478=" "," ",HYPERLINK(CONCATENATE("#metadata!",ADDRESS(INDEX($Q$2:$Q$1001,MATCH(ROWS($O$2:O478),$O$2:$O$1001,0),0),1)),INDEX($T$2:$T$1001,MATCH(ROWS($O$2:O478),$O$2:$O$1001,0),0)))</f>
        <v>0</v>
      </c>
      <c r="B478" s="3">
        <f>IF(OR(INDEX($P$2:$P$1001,MATCH(ROWS($O$2:O478),$O$2:$O$1001,0),1)&gt;=100000,INDEX($V$1005:$AE$1005,1,MATCH(COLUMNS($V$1006:V1006),$V$1006:$AE$1006,0))&gt;=100000), " ",IF(INDEX($V$2:$AE$1001,MATCH(ROWS($O$2:O478),$O$2:$O$1001,0),MATCH(COLUMNS($V$1006:V1006),$V$1006:$AE$1006,0)), HYPERLINK("#",""), HYPERLINK(CONCATENATE("#Metadata!", ADDRESS(INDEX($Q$2:$Q$1001,MATCH(ROWS($O$2:O478),$O$2:$O$1001,0),0), INDEX($V$1004:$AE$1004,1,MATCH(COLUMNS($V$1006:V1006),$V$1006:$AE$1006,0)))),"Fix")))</f>
        <v>0</v>
      </c>
      <c r="C478" s="3">
        <f>IF(OR(INDEX($P$2:$P$1001,MATCH(ROWS($O$2:O478),$O$2:$O$1001,0),1)&gt;=100000,INDEX($V$1005:$AE$1005,1,MATCH(COLUMNS($V$1006:W1006),$V$1006:$AE$1006,0))&gt;=100000), " ",IF(INDEX($V$2:$AE$1001,MATCH(ROWS($O$2:O478),$O$2:$O$1001,0),MATCH(COLUMNS($V$1006:W1006),$V$1006:$AE$1006,0)), HYPERLINK("#",""), HYPERLINK(CONCATENATE("#Metadata!", ADDRESS(INDEX($Q$2:$Q$1001,MATCH(ROWS($O$2:O478),$O$2:$O$1001,0),0), INDEX($V$1004:$AE$1004,1,MATCH(COLUMNS($V$1006:W1006),$V$1006:$AE$1006,0)))),"Fix")))</f>
        <v>0</v>
      </c>
      <c r="D478" s="3">
        <f>IF(OR(INDEX($P$2:$P$1001,MATCH(ROWS($O$2:O478),$O$2:$O$1001,0),1)&gt;=100000,INDEX($V$1005:$AE$1005,1,MATCH(COLUMNS($V$1006:X1006),$V$1006:$AE$1006,0))&gt;=100000), " ",IF(INDEX($V$2:$AE$1001,MATCH(ROWS($O$2:O478),$O$2:$O$1001,0),MATCH(COLUMNS($V$1006:X1006),$V$1006:$AE$1006,0)), HYPERLINK("#",""), HYPERLINK(CONCATENATE("#Metadata!", ADDRESS(INDEX($Q$2:$Q$1001,MATCH(ROWS($O$2:O478),$O$2:$O$1001,0),0), INDEX($V$1004:$AE$1004,1,MATCH(COLUMNS($V$1006:X1006),$V$1006:$AE$1006,0)))),"Fix")))</f>
        <v>0</v>
      </c>
      <c r="E478" s="3">
        <f>IF(OR(INDEX($P$2:$P$1001,MATCH(ROWS($O$2:O478),$O$2:$O$1001,0),1)&gt;=100000,INDEX($V$1005:$AE$1005,1,MATCH(COLUMNS($V$1006:Y1006),$V$1006:$AE$1006,0))&gt;=100000), " ",IF(INDEX($V$2:$AE$1001,MATCH(ROWS($O$2:O478),$O$2:$O$1001,0),MATCH(COLUMNS($V$1006:Y1006),$V$1006:$AE$1006,0)), HYPERLINK("#",""), HYPERLINK(CONCATENATE("#Metadata!", ADDRESS(INDEX($Q$2:$Q$1001,MATCH(ROWS($O$2:O478),$O$2:$O$1001,0),0), INDEX($V$1004:$AE$1004,1,MATCH(COLUMNS($V$1006:Y1006),$V$1006:$AE$1006,0)))),"Fix")))</f>
        <v>0</v>
      </c>
      <c r="F478" s="3">
        <f>IF(OR(INDEX($P$2:$P$1001,MATCH(ROWS($O$2:O478),$O$2:$O$1001,0),1)&gt;=100000,INDEX($V$1005:$AE$1005,1,MATCH(COLUMNS($V$1006:Z1006),$V$1006:$AE$1006,0))&gt;=100000), " ",IF(INDEX($V$2:$AE$1001,MATCH(ROWS($O$2:O478),$O$2:$O$1001,0),MATCH(COLUMNS($V$1006:Z1006),$V$1006:$AE$1006,0)), HYPERLINK("#",""), HYPERLINK(CONCATENATE("#Metadata!", ADDRESS(INDEX($Q$2:$Q$1001,MATCH(ROWS($O$2:O478),$O$2:$O$1001,0),0), INDEX($V$1004:$AE$1004,1,MATCH(COLUMNS($V$1006:Z1006),$V$1006:$AE$1006,0)))),"Fix")))</f>
        <v>0</v>
      </c>
      <c r="G478" s="3">
        <f>IF(OR(INDEX($P$2:$P$1001,MATCH(ROWS($O$2:O478),$O$2:$O$1001,0),1)&gt;=100000,INDEX($V$1005:$AE$1005,1,MATCH(COLUMNS($V$1006:AA1006),$V$1006:$AE$1006,0))&gt;=100000), " ",IF(INDEX($V$2:$AE$1001,MATCH(ROWS($O$2:O478),$O$2:$O$1001,0),MATCH(COLUMNS($V$1006:AA1006),$V$1006:$AE$1006,0)), HYPERLINK("#",""), HYPERLINK(CONCATENATE("#Metadata!", ADDRESS(INDEX($Q$2:$Q$1001,MATCH(ROWS($O$2:O478),$O$2:$O$1001,0),0), INDEX($V$1004:$AE$1004,1,MATCH(COLUMNS($V$1006:AA1006),$V$1006:$AE$1006,0)))),"Fix")))</f>
        <v>0</v>
      </c>
      <c r="H478" s="3">
        <f>IF(OR(INDEX($P$2:$P$1001,MATCH(ROWS($O$2:O478),$O$2:$O$1001,0),1)&gt;=100000,INDEX($V$1005:$AE$1005,1,MATCH(COLUMNS($V$1006:AB1006),$V$1006:$AE$1006,0))&gt;=100000), " ",IF(INDEX($V$2:$AE$1001,MATCH(ROWS($O$2:O478),$O$2:$O$1001,0),MATCH(COLUMNS($V$1006:AB1006),$V$1006:$AE$1006,0)), HYPERLINK("#",""), HYPERLINK(CONCATENATE("#Metadata!", ADDRESS(INDEX($Q$2:$Q$1001,MATCH(ROWS($O$2:O478),$O$2:$O$1001,0),0), INDEX($V$1004:$AE$1004,1,MATCH(COLUMNS($V$1006:AB1006),$V$1006:$AE$1006,0)))),"Fix")))</f>
        <v>0</v>
      </c>
      <c r="I478" s="3">
        <f>IF(OR(INDEX($P$2:$P$1001,MATCH(ROWS($O$2:O478),$O$2:$O$1001,0),1)&gt;=100000,INDEX($V$1005:$AE$1005,1,MATCH(COLUMNS($V$1006:AC1006),$V$1006:$AE$1006,0))&gt;=100000), " ",IF(INDEX($V$2:$AE$1001,MATCH(ROWS($O$2:O478),$O$2:$O$1001,0),MATCH(COLUMNS($V$1006:AC1006),$V$1006:$AE$1006,0)), HYPERLINK("#",""), HYPERLINK(CONCATENATE("#Metadata!", ADDRESS(INDEX($Q$2:$Q$1001,MATCH(ROWS($O$2:O478),$O$2:$O$1001,0),0), INDEX($V$1004:$AE$1004,1,MATCH(COLUMNS($V$1006:AC1006),$V$1006:$AE$1006,0)))),"Fix")))</f>
        <v>0</v>
      </c>
      <c r="J478" s="3">
        <f>IF(OR(INDEX($P$2:$P$1001,MATCH(ROWS($O$2:O478),$O$2:$O$1001,0),1)&gt;=100000,INDEX($V$1005:$AE$1005,1,MATCH(COLUMNS($V$1006:AD1006),$V$1006:$AE$1006,0))&gt;=100000), " ",IF(INDEX($V$2:$AE$1001,MATCH(ROWS($O$2:O478),$O$2:$O$1001,0),MATCH(COLUMNS($V$1006:AD1006),$V$1006:$AE$1006,0)), HYPERLINK("#",""), HYPERLINK(CONCATENATE("#Metadata!", ADDRESS(INDEX($Q$2:$Q$1001,MATCH(ROWS($O$2:O478),$O$2:$O$1001,0),0), INDEX($V$1004:$AE$1004,1,MATCH(COLUMNS($V$1006:AD1006),$V$1006:$AE$1006,0)))),"Fix")))</f>
        <v>0</v>
      </c>
      <c r="K478" s="3">
        <f>IF(OR(INDEX($P$2:$P$1001,MATCH(ROWS($O$2:O478),$O$2:$O$1001,0),1)&gt;=100000,INDEX($V$1005:$AE$1005,1,MATCH(COLUMNS($V$1006:AE1006),$V$1006:$AE$1006,0))&gt;=100000), " ",IF(INDEX($V$2:$AE$1001,MATCH(ROWS($O$2:O478),$O$2:$O$1001,0),MATCH(COLUMNS($V$1006:AE1006),$V$1006:$AE$1006,0)), HYPERLINK("#",""), HYPERLINK(CONCATENATE("#Metadata!", ADDRESS(INDEX($Q$2:$Q$1001,MATCH(ROWS($O$2:O478),$O$2:$O$1001,0),0), INDEX($V$1004:$AE$1004,1,MATCH(COLUMNS($V$1006:AE1006),$V$1006:$AE$1006,0)))),"Fix")))</f>
        <v>0</v>
      </c>
      <c r="O478">
        <v>0</v>
      </c>
      <c r="P478">
        <v>0</v>
      </c>
      <c r="Q478">
        <v>0</v>
      </c>
      <c r="R478">
        <f>IF(S478,TRUE,AND(V478:AE478))</f>
        <v>0</v>
      </c>
      <c r="S478">
        <f>COUNTBLANK(Metadata!B478:K478)=COLUMNS(Metadata!B478:K478)</f>
        <v>0</v>
      </c>
      <c r="T478">
        <v>0</v>
      </c>
      <c r="V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W478">
        <f>AND(IF(Metadata!C478="",FALSE,TRUE),exact(Metadata!C478,"animal secretion"))</f>
        <v>0</v>
      </c>
      <c r="X478">
        <f>AND(IF(Metadata!D478="",FALSE,TRUE),exact(Metadata!D478,"saliva"))</f>
        <v>0</v>
      </c>
      <c r="Y478">
        <f>AND(IF(Metadata!E478="",FALSE,TRUE),exact(Metadata!E478,"human-oral"))</f>
        <v>0</v>
      </c>
      <c r="Z478">
        <f>AND(IF(Metadata!F478="",FALSE,TRUE),exact(Metadata!F478,"UBERON:oral cavity"))</f>
        <v>0</v>
      </c>
      <c r="AA478">
        <f>AND(IF(Metadata!G478="",FALSE,TRUE),exact(Metadata!G478,"UBERON:saliva"))</f>
        <v>0</v>
      </c>
      <c r="AB478">
        <f>AND(IF(Metadata!H478="",FALSE,TRUE),exact(Metadata!H478,"UBERON:tongue"))</f>
        <v>0</v>
      </c>
      <c r="AC478">
        <f>AND(IF(Metadata!I478="",FALSE,TRUE),exact(Metadata!I478,"tongue"))</f>
        <v>0</v>
      </c>
      <c r="AD478">
        <f>AND(IF(Metadata!J478="",FALSE,TRUE),exact(Metadata!J478,"human oral metagenome"))</f>
        <v>0</v>
      </c>
      <c r="AE478">
        <f>AND(IF(Metadata!K478="",FALSE,TRUE),exact(Metadata!K478,"447426"))</f>
        <v>0</v>
      </c>
    </row>
    <row r="479" spans="1:31">
      <c r="A479" s="4">
        <f>IF(B479=" "," ",HYPERLINK(CONCATENATE("#metadata!",ADDRESS(INDEX($Q$2:$Q$1001,MATCH(ROWS($O$2:O479),$O$2:$O$1001,0),0),1)),INDEX($T$2:$T$1001,MATCH(ROWS($O$2:O479),$O$2:$O$1001,0),0)))</f>
        <v>0</v>
      </c>
      <c r="B479" s="3">
        <f>IF(OR(INDEX($P$2:$P$1001,MATCH(ROWS($O$2:O479),$O$2:$O$1001,0),1)&gt;=100000,INDEX($V$1005:$AE$1005,1,MATCH(COLUMNS($V$1006:V1006),$V$1006:$AE$1006,0))&gt;=100000), " ",IF(INDEX($V$2:$AE$1001,MATCH(ROWS($O$2:O479),$O$2:$O$1001,0),MATCH(COLUMNS($V$1006:V1006),$V$1006:$AE$1006,0)), HYPERLINK("#",""), HYPERLINK(CONCATENATE("#Metadata!", ADDRESS(INDEX($Q$2:$Q$1001,MATCH(ROWS($O$2:O479),$O$2:$O$1001,0),0), INDEX($V$1004:$AE$1004,1,MATCH(COLUMNS($V$1006:V1006),$V$1006:$AE$1006,0)))),"Fix")))</f>
        <v>0</v>
      </c>
      <c r="C479" s="3">
        <f>IF(OR(INDEX($P$2:$P$1001,MATCH(ROWS($O$2:O479),$O$2:$O$1001,0),1)&gt;=100000,INDEX($V$1005:$AE$1005,1,MATCH(COLUMNS($V$1006:W1006),$V$1006:$AE$1006,0))&gt;=100000), " ",IF(INDEX($V$2:$AE$1001,MATCH(ROWS($O$2:O479),$O$2:$O$1001,0),MATCH(COLUMNS($V$1006:W1006),$V$1006:$AE$1006,0)), HYPERLINK("#",""), HYPERLINK(CONCATENATE("#Metadata!", ADDRESS(INDEX($Q$2:$Q$1001,MATCH(ROWS($O$2:O479),$O$2:$O$1001,0),0), INDEX($V$1004:$AE$1004,1,MATCH(COLUMNS($V$1006:W1006),$V$1006:$AE$1006,0)))),"Fix")))</f>
        <v>0</v>
      </c>
      <c r="D479" s="3">
        <f>IF(OR(INDEX($P$2:$P$1001,MATCH(ROWS($O$2:O479),$O$2:$O$1001,0),1)&gt;=100000,INDEX($V$1005:$AE$1005,1,MATCH(COLUMNS($V$1006:X1006),$V$1006:$AE$1006,0))&gt;=100000), " ",IF(INDEX($V$2:$AE$1001,MATCH(ROWS($O$2:O479),$O$2:$O$1001,0),MATCH(COLUMNS($V$1006:X1006),$V$1006:$AE$1006,0)), HYPERLINK("#",""), HYPERLINK(CONCATENATE("#Metadata!", ADDRESS(INDEX($Q$2:$Q$1001,MATCH(ROWS($O$2:O479),$O$2:$O$1001,0),0), INDEX($V$1004:$AE$1004,1,MATCH(COLUMNS($V$1006:X1006),$V$1006:$AE$1006,0)))),"Fix")))</f>
        <v>0</v>
      </c>
      <c r="E479" s="3">
        <f>IF(OR(INDEX($P$2:$P$1001,MATCH(ROWS($O$2:O479),$O$2:$O$1001,0),1)&gt;=100000,INDEX($V$1005:$AE$1005,1,MATCH(COLUMNS($V$1006:Y1006),$V$1006:$AE$1006,0))&gt;=100000), " ",IF(INDEX($V$2:$AE$1001,MATCH(ROWS($O$2:O479),$O$2:$O$1001,0),MATCH(COLUMNS($V$1006:Y1006),$V$1006:$AE$1006,0)), HYPERLINK("#",""), HYPERLINK(CONCATENATE("#Metadata!", ADDRESS(INDEX($Q$2:$Q$1001,MATCH(ROWS($O$2:O479),$O$2:$O$1001,0),0), INDEX($V$1004:$AE$1004,1,MATCH(COLUMNS($V$1006:Y1006),$V$1006:$AE$1006,0)))),"Fix")))</f>
        <v>0</v>
      </c>
      <c r="F479" s="3">
        <f>IF(OR(INDEX($P$2:$P$1001,MATCH(ROWS($O$2:O479),$O$2:$O$1001,0),1)&gt;=100000,INDEX($V$1005:$AE$1005,1,MATCH(COLUMNS($V$1006:Z1006),$V$1006:$AE$1006,0))&gt;=100000), " ",IF(INDEX($V$2:$AE$1001,MATCH(ROWS($O$2:O479),$O$2:$O$1001,0),MATCH(COLUMNS($V$1006:Z1006),$V$1006:$AE$1006,0)), HYPERLINK("#",""), HYPERLINK(CONCATENATE("#Metadata!", ADDRESS(INDEX($Q$2:$Q$1001,MATCH(ROWS($O$2:O479),$O$2:$O$1001,0),0), INDEX($V$1004:$AE$1004,1,MATCH(COLUMNS($V$1006:Z1006),$V$1006:$AE$1006,0)))),"Fix")))</f>
        <v>0</v>
      </c>
      <c r="G479" s="3">
        <f>IF(OR(INDEX($P$2:$P$1001,MATCH(ROWS($O$2:O479),$O$2:$O$1001,0),1)&gt;=100000,INDEX($V$1005:$AE$1005,1,MATCH(COLUMNS($V$1006:AA1006),$V$1006:$AE$1006,0))&gt;=100000), " ",IF(INDEX($V$2:$AE$1001,MATCH(ROWS($O$2:O479),$O$2:$O$1001,0),MATCH(COLUMNS($V$1006:AA1006),$V$1006:$AE$1006,0)), HYPERLINK("#",""), HYPERLINK(CONCATENATE("#Metadata!", ADDRESS(INDEX($Q$2:$Q$1001,MATCH(ROWS($O$2:O479),$O$2:$O$1001,0),0), INDEX($V$1004:$AE$1004,1,MATCH(COLUMNS($V$1006:AA1006),$V$1006:$AE$1006,0)))),"Fix")))</f>
        <v>0</v>
      </c>
      <c r="H479" s="3">
        <f>IF(OR(INDEX($P$2:$P$1001,MATCH(ROWS($O$2:O479),$O$2:$O$1001,0),1)&gt;=100000,INDEX($V$1005:$AE$1005,1,MATCH(COLUMNS($V$1006:AB1006),$V$1006:$AE$1006,0))&gt;=100000), " ",IF(INDEX($V$2:$AE$1001,MATCH(ROWS($O$2:O479),$O$2:$O$1001,0),MATCH(COLUMNS($V$1006:AB1006),$V$1006:$AE$1006,0)), HYPERLINK("#",""), HYPERLINK(CONCATENATE("#Metadata!", ADDRESS(INDEX($Q$2:$Q$1001,MATCH(ROWS($O$2:O479),$O$2:$O$1001,0),0), INDEX($V$1004:$AE$1004,1,MATCH(COLUMNS($V$1006:AB1006),$V$1006:$AE$1006,0)))),"Fix")))</f>
        <v>0</v>
      </c>
      <c r="I479" s="3">
        <f>IF(OR(INDEX($P$2:$P$1001,MATCH(ROWS($O$2:O479),$O$2:$O$1001,0),1)&gt;=100000,INDEX($V$1005:$AE$1005,1,MATCH(COLUMNS($V$1006:AC1006),$V$1006:$AE$1006,0))&gt;=100000), " ",IF(INDEX($V$2:$AE$1001,MATCH(ROWS($O$2:O479),$O$2:$O$1001,0),MATCH(COLUMNS($V$1006:AC1006),$V$1006:$AE$1006,0)), HYPERLINK("#",""), HYPERLINK(CONCATENATE("#Metadata!", ADDRESS(INDEX($Q$2:$Q$1001,MATCH(ROWS($O$2:O479),$O$2:$O$1001,0),0), INDEX($V$1004:$AE$1004,1,MATCH(COLUMNS($V$1006:AC1006),$V$1006:$AE$1006,0)))),"Fix")))</f>
        <v>0</v>
      </c>
      <c r="J479" s="3">
        <f>IF(OR(INDEX($P$2:$P$1001,MATCH(ROWS($O$2:O479),$O$2:$O$1001,0),1)&gt;=100000,INDEX($V$1005:$AE$1005,1,MATCH(COLUMNS($V$1006:AD1006),$V$1006:$AE$1006,0))&gt;=100000), " ",IF(INDEX($V$2:$AE$1001,MATCH(ROWS($O$2:O479),$O$2:$O$1001,0),MATCH(COLUMNS($V$1006:AD1006),$V$1006:$AE$1006,0)), HYPERLINK("#",""), HYPERLINK(CONCATENATE("#Metadata!", ADDRESS(INDEX($Q$2:$Q$1001,MATCH(ROWS($O$2:O479),$O$2:$O$1001,0),0), INDEX($V$1004:$AE$1004,1,MATCH(COLUMNS($V$1006:AD1006),$V$1006:$AE$1006,0)))),"Fix")))</f>
        <v>0</v>
      </c>
      <c r="K479" s="3">
        <f>IF(OR(INDEX($P$2:$P$1001,MATCH(ROWS($O$2:O479),$O$2:$O$1001,0),1)&gt;=100000,INDEX($V$1005:$AE$1005,1,MATCH(COLUMNS($V$1006:AE1006),$V$1006:$AE$1006,0))&gt;=100000), " ",IF(INDEX($V$2:$AE$1001,MATCH(ROWS($O$2:O479),$O$2:$O$1001,0),MATCH(COLUMNS($V$1006:AE1006),$V$1006:$AE$1006,0)), HYPERLINK("#",""), HYPERLINK(CONCATENATE("#Metadata!", ADDRESS(INDEX($Q$2:$Q$1001,MATCH(ROWS($O$2:O479),$O$2:$O$1001,0),0), INDEX($V$1004:$AE$1004,1,MATCH(COLUMNS($V$1006:AE1006),$V$1006:$AE$1006,0)))),"Fix")))</f>
        <v>0</v>
      </c>
      <c r="O479">
        <v>0</v>
      </c>
      <c r="P479">
        <v>0</v>
      </c>
      <c r="Q479">
        <v>0</v>
      </c>
      <c r="R479">
        <f>IF(S479,TRUE,AND(V479:AE479))</f>
        <v>0</v>
      </c>
      <c r="S479">
        <f>COUNTBLANK(Metadata!B479:K479)=COLUMNS(Metadata!B479:K479)</f>
        <v>0</v>
      </c>
      <c r="T479">
        <v>0</v>
      </c>
      <c r="V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W479">
        <f>AND(IF(Metadata!C479="",FALSE,TRUE),exact(Metadata!C479,"animal secretion"))</f>
        <v>0</v>
      </c>
      <c r="X479">
        <f>AND(IF(Metadata!D479="",FALSE,TRUE),exact(Metadata!D479,"saliva"))</f>
        <v>0</v>
      </c>
      <c r="Y479">
        <f>AND(IF(Metadata!E479="",FALSE,TRUE),exact(Metadata!E479,"human-oral"))</f>
        <v>0</v>
      </c>
      <c r="Z479">
        <f>AND(IF(Metadata!F479="",FALSE,TRUE),exact(Metadata!F479,"UBERON:oral cavity"))</f>
        <v>0</v>
      </c>
      <c r="AA479">
        <f>AND(IF(Metadata!G479="",FALSE,TRUE),exact(Metadata!G479,"UBERON:saliva"))</f>
        <v>0</v>
      </c>
      <c r="AB479">
        <f>AND(IF(Metadata!H479="",FALSE,TRUE),exact(Metadata!H479,"UBERON:tongue"))</f>
        <v>0</v>
      </c>
      <c r="AC479">
        <f>AND(IF(Metadata!I479="",FALSE,TRUE),exact(Metadata!I479,"tongue"))</f>
        <v>0</v>
      </c>
      <c r="AD479">
        <f>AND(IF(Metadata!J479="",FALSE,TRUE),exact(Metadata!J479,"human oral metagenome"))</f>
        <v>0</v>
      </c>
      <c r="AE479">
        <f>AND(IF(Metadata!K479="",FALSE,TRUE),exact(Metadata!K479,"447426"))</f>
        <v>0</v>
      </c>
    </row>
    <row r="480" spans="1:31">
      <c r="A480" s="4">
        <f>IF(B480=" "," ",HYPERLINK(CONCATENATE("#metadata!",ADDRESS(INDEX($Q$2:$Q$1001,MATCH(ROWS($O$2:O480),$O$2:$O$1001,0),0),1)),INDEX($T$2:$T$1001,MATCH(ROWS($O$2:O480),$O$2:$O$1001,0),0)))</f>
        <v>0</v>
      </c>
      <c r="B480" s="3">
        <f>IF(OR(INDEX($P$2:$P$1001,MATCH(ROWS($O$2:O480),$O$2:$O$1001,0),1)&gt;=100000,INDEX($V$1005:$AE$1005,1,MATCH(COLUMNS($V$1006:V1006),$V$1006:$AE$1006,0))&gt;=100000), " ",IF(INDEX($V$2:$AE$1001,MATCH(ROWS($O$2:O480),$O$2:$O$1001,0),MATCH(COLUMNS($V$1006:V1006),$V$1006:$AE$1006,0)), HYPERLINK("#",""), HYPERLINK(CONCATENATE("#Metadata!", ADDRESS(INDEX($Q$2:$Q$1001,MATCH(ROWS($O$2:O480),$O$2:$O$1001,0),0), INDEX($V$1004:$AE$1004,1,MATCH(COLUMNS($V$1006:V1006),$V$1006:$AE$1006,0)))),"Fix")))</f>
        <v>0</v>
      </c>
      <c r="C480" s="3">
        <f>IF(OR(INDEX($P$2:$P$1001,MATCH(ROWS($O$2:O480),$O$2:$O$1001,0),1)&gt;=100000,INDEX($V$1005:$AE$1005,1,MATCH(COLUMNS($V$1006:W1006),$V$1006:$AE$1006,0))&gt;=100000), " ",IF(INDEX($V$2:$AE$1001,MATCH(ROWS($O$2:O480),$O$2:$O$1001,0),MATCH(COLUMNS($V$1006:W1006),$V$1006:$AE$1006,0)), HYPERLINK("#",""), HYPERLINK(CONCATENATE("#Metadata!", ADDRESS(INDEX($Q$2:$Q$1001,MATCH(ROWS($O$2:O480),$O$2:$O$1001,0),0), INDEX($V$1004:$AE$1004,1,MATCH(COLUMNS($V$1006:W1006),$V$1006:$AE$1006,0)))),"Fix")))</f>
        <v>0</v>
      </c>
      <c r="D480" s="3">
        <f>IF(OR(INDEX($P$2:$P$1001,MATCH(ROWS($O$2:O480),$O$2:$O$1001,0),1)&gt;=100000,INDEX($V$1005:$AE$1005,1,MATCH(COLUMNS($V$1006:X1006),$V$1006:$AE$1006,0))&gt;=100000), " ",IF(INDEX($V$2:$AE$1001,MATCH(ROWS($O$2:O480),$O$2:$O$1001,0),MATCH(COLUMNS($V$1006:X1006),$V$1006:$AE$1006,0)), HYPERLINK("#",""), HYPERLINK(CONCATENATE("#Metadata!", ADDRESS(INDEX($Q$2:$Q$1001,MATCH(ROWS($O$2:O480),$O$2:$O$1001,0),0), INDEX($V$1004:$AE$1004,1,MATCH(COLUMNS($V$1006:X1006),$V$1006:$AE$1006,0)))),"Fix")))</f>
        <v>0</v>
      </c>
      <c r="E480" s="3">
        <f>IF(OR(INDEX($P$2:$P$1001,MATCH(ROWS($O$2:O480),$O$2:$O$1001,0),1)&gt;=100000,INDEX($V$1005:$AE$1005,1,MATCH(COLUMNS($V$1006:Y1006),$V$1006:$AE$1006,0))&gt;=100000), " ",IF(INDEX($V$2:$AE$1001,MATCH(ROWS($O$2:O480),$O$2:$O$1001,0),MATCH(COLUMNS($V$1006:Y1006),$V$1006:$AE$1006,0)), HYPERLINK("#",""), HYPERLINK(CONCATENATE("#Metadata!", ADDRESS(INDEX($Q$2:$Q$1001,MATCH(ROWS($O$2:O480),$O$2:$O$1001,0),0), INDEX($V$1004:$AE$1004,1,MATCH(COLUMNS($V$1006:Y1006),$V$1006:$AE$1006,0)))),"Fix")))</f>
        <v>0</v>
      </c>
      <c r="F480" s="3">
        <f>IF(OR(INDEX($P$2:$P$1001,MATCH(ROWS($O$2:O480),$O$2:$O$1001,0),1)&gt;=100000,INDEX($V$1005:$AE$1005,1,MATCH(COLUMNS($V$1006:Z1006),$V$1006:$AE$1006,0))&gt;=100000), " ",IF(INDEX($V$2:$AE$1001,MATCH(ROWS($O$2:O480),$O$2:$O$1001,0),MATCH(COLUMNS($V$1006:Z1006),$V$1006:$AE$1006,0)), HYPERLINK("#",""), HYPERLINK(CONCATENATE("#Metadata!", ADDRESS(INDEX($Q$2:$Q$1001,MATCH(ROWS($O$2:O480),$O$2:$O$1001,0),0), INDEX($V$1004:$AE$1004,1,MATCH(COLUMNS($V$1006:Z1006),$V$1006:$AE$1006,0)))),"Fix")))</f>
        <v>0</v>
      </c>
      <c r="G480" s="3">
        <f>IF(OR(INDEX($P$2:$P$1001,MATCH(ROWS($O$2:O480),$O$2:$O$1001,0),1)&gt;=100000,INDEX($V$1005:$AE$1005,1,MATCH(COLUMNS($V$1006:AA1006),$V$1006:$AE$1006,0))&gt;=100000), " ",IF(INDEX($V$2:$AE$1001,MATCH(ROWS($O$2:O480),$O$2:$O$1001,0),MATCH(COLUMNS($V$1006:AA1006),$V$1006:$AE$1006,0)), HYPERLINK("#",""), HYPERLINK(CONCATENATE("#Metadata!", ADDRESS(INDEX($Q$2:$Q$1001,MATCH(ROWS($O$2:O480),$O$2:$O$1001,0),0), INDEX($V$1004:$AE$1004,1,MATCH(COLUMNS($V$1006:AA1006),$V$1006:$AE$1006,0)))),"Fix")))</f>
        <v>0</v>
      </c>
      <c r="H480" s="3">
        <f>IF(OR(INDEX($P$2:$P$1001,MATCH(ROWS($O$2:O480),$O$2:$O$1001,0),1)&gt;=100000,INDEX($V$1005:$AE$1005,1,MATCH(COLUMNS($V$1006:AB1006),$V$1006:$AE$1006,0))&gt;=100000), " ",IF(INDEX($V$2:$AE$1001,MATCH(ROWS($O$2:O480),$O$2:$O$1001,0),MATCH(COLUMNS($V$1006:AB1006),$V$1006:$AE$1006,0)), HYPERLINK("#",""), HYPERLINK(CONCATENATE("#Metadata!", ADDRESS(INDEX($Q$2:$Q$1001,MATCH(ROWS($O$2:O480),$O$2:$O$1001,0),0), INDEX($V$1004:$AE$1004,1,MATCH(COLUMNS($V$1006:AB1006),$V$1006:$AE$1006,0)))),"Fix")))</f>
        <v>0</v>
      </c>
      <c r="I480" s="3">
        <f>IF(OR(INDEX($P$2:$P$1001,MATCH(ROWS($O$2:O480),$O$2:$O$1001,0),1)&gt;=100000,INDEX($V$1005:$AE$1005,1,MATCH(COLUMNS($V$1006:AC1006),$V$1006:$AE$1006,0))&gt;=100000), " ",IF(INDEX($V$2:$AE$1001,MATCH(ROWS($O$2:O480),$O$2:$O$1001,0),MATCH(COLUMNS($V$1006:AC1006),$V$1006:$AE$1006,0)), HYPERLINK("#",""), HYPERLINK(CONCATENATE("#Metadata!", ADDRESS(INDEX($Q$2:$Q$1001,MATCH(ROWS($O$2:O480),$O$2:$O$1001,0),0), INDEX($V$1004:$AE$1004,1,MATCH(COLUMNS($V$1006:AC1006),$V$1006:$AE$1006,0)))),"Fix")))</f>
        <v>0</v>
      </c>
      <c r="J480" s="3">
        <f>IF(OR(INDEX($P$2:$P$1001,MATCH(ROWS($O$2:O480),$O$2:$O$1001,0),1)&gt;=100000,INDEX($V$1005:$AE$1005,1,MATCH(COLUMNS($V$1006:AD1006),$V$1006:$AE$1006,0))&gt;=100000), " ",IF(INDEX($V$2:$AE$1001,MATCH(ROWS($O$2:O480),$O$2:$O$1001,0),MATCH(COLUMNS($V$1006:AD1006),$V$1006:$AE$1006,0)), HYPERLINK("#",""), HYPERLINK(CONCATENATE("#Metadata!", ADDRESS(INDEX($Q$2:$Q$1001,MATCH(ROWS($O$2:O480),$O$2:$O$1001,0),0), INDEX($V$1004:$AE$1004,1,MATCH(COLUMNS($V$1006:AD1006),$V$1006:$AE$1006,0)))),"Fix")))</f>
        <v>0</v>
      </c>
      <c r="K480" s="3">
        <f>IF(OR(INDEX($P$2:$P$1001,MATCH(ROWS($O$2:O480),$O$2:$O$1001,0),1)&gt;=100000,INDEX($V$1005:$AE$1005,1,MATCH(COLUMNS($V$1006:AE1006),$V$1006:$AE$1006,0))&gt;=100000), " ",IF(INDEX($V$2:$AE$1001,MATCH(ROWS($O$2:O480),$O$2:$O$1001,0),MATCH(COLUMNS($V$1006:AE1006),$V$1006:$AE$1006,0)), HYPERLINK("#",""), HYPERLINK(CONCATENATE("#Metadata!", ADDRESS(INDEX($Q$2:$Q$1001,MATCH(ROWS($O$2:O480),$O$2:$O$1001,0),0), INDEX($V$1004:$AE$1004,1,MATCH(COLUMNS($V$1006:AE1006),$V$1006:$AE$1006,0)))),"Fix")))</f>
        <v>0</v>
      </c>
      <c r="O480">
        <v>0</v>
      </c>
      <c r="P480">
        <v>0</v>
      </c>
      <c r="Q480">
        <v>0</v>
      </c>
      <c r="R480">
        <f>IF(S480,TRUE,AND(V480:AE480))</f>
        <v>0</v>
      </c>
      <c r="S480">
        <f>COUNTBLANK(Metadata!B480:K480)=COLUMNS(Metadata!B480:K480)</f>
        <v>0</v>
      </c>
      <c r="T480">
        <v>0</v>
      </c>
      <c r="V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W480">
        <f>AND(IF(Metadata!C480="",FALSE,TRUE),exact(Metadata!C480,"animal secretion"))</f>
        <v>0</v>
      </c>
      <c r="X480">
        <f>AND(IF(Metadata!D480="",FALSE,TRUE),exact(Metadata!D480,"saliva"))</f>
        <v>0</v>
      </c>
      <c r="Y480">
        <f>AND(IF(Metadata!E480="",FALSE,TRUE),exact(Metadata!E480,"human-oral"))</f>
        <v>0</v>
      </c>
      <c r="Z480">
        <f>AND(IF(Metadata!F480="",FALSE,TRUE),exact(Metadata!F480,"UBERON:oral cavity"))</f>
        <v>0</v>
      </c>
      <c r="AA480">
        <f>AND(IF(Metadata!G480="",FALSE,TRUE),exact(Metadata!G480,"UBERON:saliva"))</f>
        <v>0</v>
      </c>
      <c r="AB480">
        <f>AND(IF(Metadata!H480="",FALSE,TRUE),exact(Metadata!H480,"UBERON:tongue"))</f>
        <v>0</v>
      </c>
      <c r="AC480">
        <f>AND(IF(Metadata!I480="",FALSE,TRUE),exact(Metadata!I480,"tongue"))</f>
        <v>0</v>
      </c>
      <c r="AD480">
        <f>AND(IF(Metadata!J480="",FALSE,TRUE),exact(Metadata!J480,"human oral metagenome"))</f>
        <v>0</v>
      </c>
      <c r="AE480">
        <f>AND(IF(Metadata!K480="",FALSE,TRUE),exact(Metadata!K480,"447426"))</f>
        <v>0</v>
      </c>
    </row>
    <row r="481" spans="1:31">
      <c r="A481" s="4">
        <f>IF(B481=" "," ",HYPERLINK(CONCATENATE("#metadata!",ADDRESS(INDEX($Q$2:$Q$1001,MATCH(ROWS($O$2:O481),$O$2:$O$1001,0),0),1)),INDEX($T$2:$T$1001,MATCH(ROWS($O$2:O481),$O$2:$O$1001,0),0)))</f>
        <v>0</v>
      </c>
      <c r="B481" s="3">
        <f>IF(OR(INDEX($P$2:$P$1001,MATCH(ROWS($O$2:O481),$O$2:$O$1001,0),1)&gt;=100000,INDEX($V$1005:$AE$1005,1,MATCH(COLUMNS($V$1006:V1006),$V$1006:$AE$1006,0))&gt;=100000), " ",IF(INDEX($V$2:$AE$1001,MATCH(ROWS($O$2:O481),$O$2:$O$1001,0),MATCH(COLUMNS($V$1006:V1006),$V$1006:$AE$1006,0)), HYPERLINK("#",""), HYPERLINK(CONCATENATE("#Metadata!", ADDRESS(INDEX($Q$2:$Q$1001,MATCH(ROWS($O$2:O481),$O$2:$O$1001,0),0), INDEX($V$1004:$AE$1004,1,MATCH(COLUMNS($V$1006:V1006),$V$1006:$AE$1006,0)))),"Fix")))</f>
        <v>0</v>
      </c>
      <c r="C481" s="3">
        <f>IF(OR(INDEX($P$2:$P$1001,MATCH(ROWS($O$2:O481),$O$2:$O$1001,0),1)&gt;=100000,INDEX($V$1005:$AE$1005,1,MATCH(COLUMNS($V$1006:W1006),$V$1006:$AE$1006,0))&gt;=100000), " ",IF(INDEX($V$2:$AE$1001,MATCH(ROWS($O$2:O481),$O$2:$O$1001,0),MATCH(COLUMNS($V$1006:W1006),$V$1006:$AE$1006,0)), HYPERLINK("#",""), HYPERLINK(CONCATENATE("#Metadata!", ADDRESS(INDEX($Q$2:$Q$1001,MATCH(ROWS($O$2:O481),$O$2:$O$1001,0),0), INDEX($V$1004:$AE$1004,1,MATCH(COLUMNS($V$1006:W1006),$V$1006:$AE$1006,0)))),"Fix")))</f>
        <v>0</v>
      </c>
      <c r="D481" s="3">
        <f>IF(OR(INDEX($P$2:$P$1001,MATCH(ROWS($O$2:O481),$O$2:$O$1001,0),1)&gt;=100000,INDEX($V$1005:$AE$1005,1,MATCH(COLUMNS($V$1006:X1006),$V$1006:$AE$1006,0))&gt;=100000), " ",IF(INDEX($V$2:$AE$1001,MATCH(ROWS($O$2:O481),$O$2:$O$1001,0),MATCH(COLUMNS($V$1006:X1006),$V$1006:$AE$1006,0)), HYPERLINK("#",""), HYPERLINK(CONCATENATE("#Metadata!", ADDRESS(INDEX($Q$2:$Q$1001,MATCH(ROWS($O$2:O481),$O$2:$O$1001,0),0), INDEX($V$1004:$AE$1004,1,MATCH(COLUMNS($V$1006:X1006),$V$1006:$AE$1006,0)))),"Fix")))</f>
        <v>0</v>
      </c>
      <c r="E481" s="3">
        <f>IF(OR(INDEX($P$2:$P$1001,MATCH(ROWS($O$2:O481),$O$2:$O$1001,0),1)&gt;=100000,INDEX($V$1005:$AE$1005,1,MATCH(COLUMNS($V$1006:Y1006),$V$1006:$AE$1006,0))&gt;=100000), " ",IF(INDEX($V$2:$AE$1001,MATCH(ROWS($O$2:O481),$O$2:$O$1001,0),MATCH(COLUMNS($V$1006:Y1006),$V$1006:$AE$1006,0)), HYPERLINK("#",""), HYPERLINK(CONCATENATE("#Metadata!", ADDRESS(INDEX($Q$2:$Q$1001,MATCH(ROWS($O$2:O481),$O$2:$O$1001,0),0), INDEX($V$1004:$AE$1004,1,MATCH(COLUMNS($V$1006:Y1006),$V$1006:$AE$1006,0)))),"Fix")))</f>
        <v>0</v>
      </c>
      <c r="F481" s="3">
        <f>IF(OR(INDEX($P$2:$P$1001,MATCH(ROWS($O$2:O481),$O$2:$O$1001,0),1)&gt;=100000,INDEX($V$1005:$AE$1005,1,MATCH(COLUMNS($V$1006:Z1006),$V$1006:$AE$1006,0))&gt;=100000), " ",IF(INDEX($V$2:$AE$1001,MATCH(ROWS($O$2:O481),$O$2:$O$1001,0),MATCH(COLUMNS($V$1006:Z1006),$V$1006:$AE$1006,0)), HYPERLINK("#",""), HYPERLINK(CONCATENATE("#Metadata!", ADDRESS(INDEX($Q$2:$Q$1001,MATCH(ROWS($O$2:O481),$O$2:$O$1001,0),0), INDEX($V$1004:$AE$1004,1,MATCH(COLUMNS($V$1006:Z1006),$V$1006:$AE$1006,0)))),"Fix")))</f>
        <v>0</v>
      </c>
      <c r="G481" s="3">
        <f>IF(OR(INDEX($P$2:$P$1001,MATCH(ROWS($O$2:O481),$O$2:$O$1001,0),1)&gt;=100000,INDEX($V$1005:$AE$1005,1,MATCH(COLUMNS($V$1006:AA1006),$V$1006:$AE$1006,0))&gt;=100000), " ",IF(INDEX($V$2:$AE$1001,MATCH(ROWS($O$2:O481),$O$2:$O$1001,0),MATCH(COLUMNS($V$1006:AA1006),$V$1006:$AE$1006,0)), HYPERLINK("#",""), HYPERLINK(CONCATENATE("#Metadata!", ADDRESS(INDEX($Q$2:$Q$1001,MATCH(ROWS($O$2:O481),$O$2:$O$1001,0),0), INDEX($V$1004:$AE$1004,1,MATCH(COLUMNS($V$1006:AA1006),$V$1006:$AE$1006,0)))),"Fix")))</f>
        <v>0</v>
      </c>
      <c r="H481" s="3">
        <f>IF(OR(INDEX($P$2:$P$1001,MATCH(ROWS($O$2:O481),$O$2:$O$1001,0),1)&gt;=100000,INDEX($V$1005:$AE$1005,1,MATCH(COLUMNS($V$1006:AB1006),$V$1006:$AE$1006,0))&gt;=100000), " ",IF(INDEX($V$2:$AE$1001,MATCH(ROWS($O$2:O481),$O$2:$O$1001,0),MATCH(COLUMNS($V$1006:AB1006),$V$1006:$AE$1006,0)), HYPERLINK("#",""), HYPERLINK(CONCATENATE("#Metadata!", ADDRESS(INDEX($Q$2:$Q$1001,MATCH(ROWS($O$2:O481),$O$2:$O$1001,0),0), INDEX($V$1004:$AE$1004,1,MATCH(COLUMNS($V$1006:AB1006),$V$1006:$AE$1006,0)))),"Fix")))</f>
        <v>0</v>
      </c>
      <c r="I481" s="3">
        <f>IF(OR(INDEX($P$2:$P$1001,MATCH(ROWS($O$2:O481),$O$2:$O$1001,0),1)&gt;=100000,INDEX($V$1005:$AE$1005,1,MATCH(COLUMNS($V$1006:AC1006),$V$1006:$AE$1006,0))&gt;=100000), " ",IF(INDEX($V$2:$AE$1001,MATCH(ROWS($O$2:O481),$O$2:$O$1001,0),MATCH(COLUMNS($V$1006:AC1006),$V$1006:$AE$1006,0)), HYPERLINK("#",""), HYPERLINK(CONCATENATE("#Metadata!", ADDRESS(INDEX($Q$2:$Q$1001,MATCH(ROWS($O$2:O481),$O$2:$O$1001,0),0), INDEX($V$1004:$AE$1004,1,MATCH(COLUMNS($V$1006:AC1006),$V$1006:$AE$1006,0)))),"Fix")))</f>
        <v>0</v>
      </c>
      <c r="J481" s="3">
        <f>IF(OR(INDEX($P$2:$P$1001,MATCH(ROWS($O$2:O481),$O$2:$O$1001,0),1)&gt;=100000,INDEX($V$1005:$AE$1005,1,MATCH(COLUMNS($V$1006:AD1006),$V$1006:$AE$1006,0))&gt;=100000), " ",IF(INDEX($V$2:$AE$1001,MATCH(ROWS($O$2:O481),$O$2:$O$1001,0),MATCH(COLUMNS($V$1006:AD1006),$V$1006:$AE$1006,0)), HYPERLINK("#",""), HYPERLINK(CONCATENATE("#Metadata!", ADDRESS(INDEX($Q$2:$Q$1001,MATCH(ROWS($O$2:O481),$O$2:$O$1001,0),0), INDEX($V$1004:$AE$1004,1,MATCH(COLUMNS($V$1006:AD1006),$V$1006:$AE$1006,0)))),"Fix")))</f>
        <v>0</v>
      </c>
      <c r="K481" s="3">
        <f>IF(OR(INDEX($P$2:$P$1001,MATCH(ROWS($O$2:O481),$O$2:$O$1001,0),1)&gt;=100000,INDEX($V$1005:$AE$1005,1,MATCH(COLUMNS($V$1006:AE1006),$V$1006:$AE$1006,0))&gt;=100000), " ",IF(INDEX($V$2:$AE$1001,MATCH(ROWS($O$2:O481),$O$2:$O$1001,0),MATCH(COLUMNS($V$1006:AE1006),$V$1006:$AE$1006,0)), HYPERLINK("#",""), HYPERLINK(CONCATENATE("#Metadata!", ADDRESS(INDEX($Q$2:$Q$1001,MATCH(ROWS($O$2:O481),$O$2:$O$1001,0),0), INDEX($V$1004:$AE$1004,1,MATCH(COLUMNS($V$1006:AE1006),$V$1006:$AE$1006,0)))),"Fix")))</f>
        <v>0</v>
      </c>
      <c r="O481">
        <v>0</v>
      </c>
      <c r="P481">
        <v>0</v>
      </c>
      <c r="Q481">
        <v>0</v>
      </c>
      <c r="R481">
        <f>IF(S481,TRUE,AND(V481:AE481))</f>
        <v>0</v>
      </c>
      <c r="S481">
        <f>COUNTBLANK(Metadata!B481:K481)=COLUMNS(Metadata!B481:K481)</f>
        <v>0</v>
      </c>
      <c r="T481">
        <v>0</v>
      </c>
      <c r="V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W481">
        <f>AND(IF(Metadata!C481="",FALSE,TRUE),exact(Metadata!C481,"animal secretion"))</f>
        <v>0</v>
      </c>
      <c r="X481">
        <f>AND(IF(Metadata!D481="",FALSE,TRUE),exact(Metadata!D481,"saliva"))</f>
        <v>0</v>
      </c>
      <c r="Y481">
        <f>AND(IF(Metadata!E481="",FALSE,TRUE),exact(Metadata!E481,"human-oral"))</f>
        <v>0</v>
      </c>
      <c r="Z481">
        <f>AND(IF(Metadata!F481="",FALSE,TRUE),exact(Metadata!F481,"UBERON:oral cavity"))</f>
        <v>0</v>
      </c>
      <c r="AA481">
        <f>AND(IF(Metadata!G481="",FALSE,TRUE),exact(Metadata!G481,"UBERON:saliva"))</f>
        <v>0</v>
      </c>
      <c r="AB481">
        <f>AND(IF(Metadata!H481="",FALSE,TRUE),exact(Metadata!H481,"UBERON:tongue"))</f>
        <v>0</v>
      </c>
      <c r="AC481">
        <f>AND(IF(Metadata!I481="",FALSE,TRUE),exact(Metadata!I481,"tongue"))</f>
        <v>0</v>
      </c>
      <c r="AD481">
        <f>AND(IF(Metadata!J481="",FALSE,TRUE),exact(Metadata!J481,"human oral metagenome"))</f>
        <v>0</v>
      </c>
      <c r="AE481">
        <f>AND(IF(Metadata!K481="",FALSE,TRUE),exact(Metadata!K481,"447426"))</f>
        <v>0</v>
      </c>
    </row>
    <row r="482" spans="1:31">
      <c r="A482" s="4">
        <f>IF(B482=" "," ",HYPERLINK(CONCATENATE("#metadata!",ADDRESS(INDEX($Q$2:$Q$1001,MATCH(ROWS($O$2:O482),$O$2:$O$1001,0),0),1)),INDEX($T$2:$T$1001,MATCH(ROWS($O$2:O482),$O$2:$O$1001,0),0)))</f>
        <v>0</v>
      </c>
      <c r="B482" s="3">
        <f>IF(OR(INDEX($P$2:$P$1001,MATCH(ROWS($O$2:O482),$O$2:$O$1001,0),1)&gt;=100000,INDEX($V$1005:$AE$1005,1,MATCH(COLUMNS($V$1006:V1006),$V$1006:$AE$1006,0))&gt;=100000), " ",IF(INDEX($V$2:$AE$1001,MATCH(ROWS($O$2:O482),$O$2:$O$1001,0),MATCH(COLUMNS($V$1006:V1006),$V$1006:$AE$1006,0)), HYPERLINK("#",""), HYPERLINK(CONCATENATE("#Metadata!", ADDRESS(INDEX($Q$2:$Q$1001,MATCH(ROWS($O$2:O482),$O$2:$O$1001,0),0), INDEX($V$1004:$AE$1004,1,MATCH(COLUMNS($V$1006:V1006),$V$1006:$AE$1006,0)))),"Fix")))</f>
        <v>0</v>
      </c>
      <c r="C482" s="3">
        <f>IF(OR(INDEX($P$2:$P$1001,MATCH(ROWS($O$2:O482),$O$2:$O$1001,0),1)&gt;=100000,INDEX($V$1005:$AE$1005,1,MATCH(COLUMNS($V$1006:W1006),$V$1006:$AE$1006,0))&gt;=100000), " ",IF(INDEX($V$2:$AE$1001,MATCH(ROWS($O$2:O482),$O$2:$O$1001,0),MATCH(COLUMNS($V$1006:W1006),$V$1006:$AE$1006,0)), HYPERLINK("#",""), HYPERLINK(CONCATENATE("#Metadata!", ADDRESS(INDEX($Q$2:$Q$1001,MATCH(ROWS($O$2:O482),$O$2:$O$1001,0),0), INDEX($V$1004:$AE$1004,1,MATCH(COLUMNS($V$1006:W1006),$V$1006:$AE$1006,0)))),"Fix")))</f>
        <v>0</v>
      </c>
      <c r="D482" s="3">
        <f>IF(OR(INDEX($P$2:$P$1001,MATCH(ROWS($O$2:O482),$O$2:$O$1001,0),1)&gt;=100000,INDEX($V$1005:$AE$1005,1,MATCH(COLUMNS($V$1006:X1006),$V$1006:$AE$1006,0))&gt;=100000), " ",IF(INDEX($V$2:$AE$1001,MATCH(ROWS($O$2:O482),$O$2:$O$1001,0),MATCH(COLUMNS($V$1006:X1006),$V$1006:$AE$1006,0)), HYPERLINK("#",""), HYPERLINK(CONCATENATE("#Metadata!", ADDRESS(INDEX($Q$2:$Q$1001,MATCH(ROWS($O$2:O482),$O$2:$O$1001,0),0), INDEX($V$1004:$AE$1004,1,MATCH(COLUMNS($V$1006:X1006),$V$1006:$AE$1006,0)))),"Fix")))</f>
        <v>0</v>
      </c>
      <c r="E482" s="3">
        <f>IF(OR(INDEX($P$2:$P$1001,MATCH(ROWS($O$2:O482),$O$2:$O$1001,0),1)&gt;=100000,INDEX($V$1005:$AE$1005,1,MATCH(COLUMNS($V$1006:Y1006),$V$1006:$AE$1006,0))&gt;=100000), " ",IF(INDEX($V$2:$AE$1001,MATCH(ROWS($O$2:O482),$O$2:$O$1001,0),MATCH(COLUMNS($V$1006:Y1006),$V$1006:$AE$1006,0)), HYPERLINK("#",""), HYPERLINK(CONCATENATE("#Metadata!", ADDRESS(INDEX($Q$2:$Q$1001,MATCH(ROWS($O$2:O482),$O$2:$O$1001,0),0), INDEX($V$1004:$AE$1004,1,MATCH(COLUMNS($V$1006:Y1006),$V$1006:$AE$1006,0)))),"Fix")))</f>
        <v>0</v>
      </c>
      <c r="F482" s="3">
        <f>IF(OR(INDEX($P$2:$P$1001,MATCH(ROWS($O$2:O482),$O$2:$O$1001,0),1)&gt;=100000,INDEX($V$1005:$AE$1005,1,MATCH(COLUMNS($V$1006:Z1006),$V$1006:$AE$1006,0))&gt;=100000), " ",IF(INDEX($V$2:$AE$1001,MATCH(ROWS($O$2:O482),$O$2:$O$1001,0),MATCH(COLUMNS($V$1006:Z1006),$V$1006:$AE$1006,0)), HYPERLINK("#",""), HYPERLINK(CONCATENATE("#Metadata!", ADDRESS(INDEX($Q$2:$Q$1001,MATCH(ROWS($O$2:O482),$O$2:$O$1001,0),0), INDEX($V$1004:$AE$1004,1,MATCH(COLUMNS($V$1006:Z1006),$V$1006:$AE$1006,0)))),"Fix")))</f>
        <v>0</v>
      </c>
      <c r="G482" s="3">
        <f>IF(OR(INDEX($P$2:$P$1001,MATCH(ROWS($O$2:O482),$O$2:$O$1001,0),1)&gt;=100000,INDEX($V$1005:$AE$1005,1,MATCH(COLUMNS($V$1006:AA1006),$V$1006:$AE$1006,0))&gt;=100000), " ",IF(INDEX($V$2:$AE$1001,MATCH(ROWS($O$2:O482),$O$2:$O$1001,0),MATCH(COLUMNS($V$1006:AA1006),$V$1006:$AE$1006,0)), HYPERLINK("#",""), HYPERLINK(CONCATENATE("#Metadata!", ADDRESS(INDEX($Q$2:$Q$1001,MATCH(ROWS($O$2:O482),$O$2:$O$1001,0),0), INDEX($V$1004:$AE$1004,1,MATCH(COLUMNS($V$1006:AA1006),$V$1006:$AE$1006,0)))),"Fix")))</f>
        <v>0</v>
      </c>
      <c r="H482" s="3">
        <f>IF(OR(INDEX($P$2:$P$1001,MATCH(ROWS($O$2:O482),$O$2:$O$1001,0),1)&gt;=100000,INDEX($V$1005:$AE$1005,1,MATCH(COLUMNS($V$1006:AB1006),$V$1006:$AE$1006,0))&gt;=100000), " ",IF(INDEX($V$2:$AE$1001,MATCH(ROWS($O$2:O482),$O$2:$O$1001,0),MATCH(COLUMNS($V$1006:AB1006),$V$1006:$AE$1006,0)), HYPERLINK("#",""), HYPERLINK(CONCATENATE("#Metadata!", ADDRESS(INDEX($Q$2:$Q$1001,MATCH(ROWS($O$2:O482),$O$2:$O$1001,0),0), INDEX($V$1004:$AE$1004,1,MATCH(COLUMNS($V$1006:AB1006),$V$1006:$AE$1006,0)))),"Fix")))</f>
        <v>0</v>
      </c>
      <c r="I482" s="3">
        <f>IF(OR(INDEX($P$2:$P$1001,MATCH(ROWS($O$2:O482),$O$2:$O$1001,0),1)&gt;=100000,INDEX($V$1005:$AE$1005,1,MATCH(COLUMNS($V$1006:AC1006),$V$1006:$AE$1006,0))&gt;=100000), " ",IF(INDEX($V$2:$AE$1001,MATCH(ROWS($O$2:O482),$O$2:$O$1001,0),MATCH(COLUMNS($V$1006:AC1006),$V$1006:$AE$1006,0)), HYPERLINK("#",""), HYPERLINK(CONCATENATE("#Metadata!", ADDRESS(INDEX($Q$2:$Q$1001,MATCH(ROWS($O$2:O482),$O$2:$O$1001,0),0), INDEX($V$1004:$AE$1004,1,MATCH(COLUMNS($V$1006:AC1006),$V$1006:$AE$1006,0)))),"Fix")))</f>
        <v>0</v>
      </c>
      <c r="J482" s="3">
        <f>IF(OR(INDEX($P$2:$P$1001,MATCH(ROWS($O$2:O482),$O$2:$O$1001,0),1)&gt;=100000,INDEX($V$1005:$AE$1005,1,MATCH(COLUMNS($V$1006:AD1006),$V$1006:$AE$1006,0))&gt;=100000), " ",IF(INDEX($V$2:$AE$1001,MATCH(ROWS($O$2:O482),$O$2:$O$1001,0),MATCH(COLUMNS($V$1006:AD1006),$V$1006:$AE$1006,0)), HYPERLINK("#",""), HYPERLINK(CONCATENATE("#Metadata!", ADDRESS(INDEX($Q$2:$Q$1001,MATCH(ROWS($O$2:O482),$O$2:$O$1001,0),0), INDEX($V$1004:$AE$1004,1,MATCH(COLUMNS($V$1006:AD1006),$V$1006:$AE$1006,0)))),"Fix")))</f>
        <v>0</v>
      </c>
      <c r="K482" s="3">
        <f>IF(OR(INDEX($P$2:$P$1001,MATCH(ROWS($O$2:O482),$O$2:$O$1001,0),1)&gt;=100000,INDEX($V$1005:$AE$1005,1,MATCH(COLUMNS($V$1006:AE1006),$V$1006:$AE$1006,0))&gt;=100000), " ",IF(INDEX($V$2:$AE$1001,MATCH(ROWS($O$2:O482),$O$2:$O$1001,0),MATCH(COLUMNS($V$1006:AE1006),$V$1006:$AE$1006,0)), HYPERLINK("#",""), HYPERLINK(CONCATENATE("#Metadata!", ADDRESS(INDEX($Q$2:$Q$1001,MATCH(ROWS($O$2:O482),$O$2:$O$1001,0),0), INDEX($V$1004:$AE$1004,1,MATCH(COLUMNS($V$1006:AE1006),$V$1006:$AE$1006,0)))),"Fix")))</f>
        <v>0</v>
      </c>
      <c r="O482">
        <v>0</v>
      </c>
      <c r="P482">
        <v>0</v>
      </c>
      <c r="Q482">
        <v>0</v>
      </c>
      <c r="R482">
        <f>IF(S482,TRUE,AND(V482:AE482))</f>
        <v>0</v>
      </c>
      <c r="S482">
        <f>COUNTBLANK(Metadata!B482:K482)=COLUMNS(Metadata!B482:K482)</f>
        <v>0</v>
      </c>
      <c r="T482">
        <v>0</v>
      </c>
      <c r="V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W482">
        <f>AND(IF(Metadata!C482="",FALSE,TRUE),exact(Metadata!C482,"animal secretion"))</f>
        <v>0</v>
      </c>
      <c r="X482">
        <f>AND(IF(Metadata!D482="",FALSE,TRUE),exact(Metadata!D482,"saliva"))</f>
        <v>0</v>
      </c>
      <c r="Y482">
        <f>AND(IF(Metadata!E482="",FALSE,TRUE),exact(Metadata!E482,"human-oral"))</f>
        <v>0</v>
      </c>
      <c r="Z482">
        <f>AND(IF(Metadata!F482="",FALSE,TRUE),exact(Metadata!F482,"UBERON:oral cavity"))</f>
        <v>0</v>
      </c>
      <c r="AA482">
        <f>AND(IF(Metadata!G482="",FALSE,TRUE),exact(Metadata!G482,"UBERON:saliva"))</f>
        <v>0</v>
      </c>
      <c r="AB482">
        <f>AND(IF(Metadata!H482="",FALSE,TRUE),exact(Metadata!H482,"UBERON:tongue"))</f>
        <v>0</v>
      </c>
      <c r="AC482">
        <f>AND(IF(Metadata!I482="",FALSE,TRUE),exact(Metadata!I482,"tongue"))</f>
        <v>0</v>
      </c>
      <c r="AD482">
        <f>AND(IF(Metadata!J482="",FALSE,TRUE),exact(Metadata!J482,"human oral metagenome"))</f>
        <v>0</v>
      </c>
      <c r="AE482">
        <f>AND(IF(Metadata!K482="",FALSE,TRUE),exact(Metadata!K482,"447426"))</f>
        <v>0</v>
      </c>
    </row>
    <row r="483" spans="1:31">
      <c r="A483" s="4">
        <f>IF(B483=" "," ",HYPERLINK(CONCATENATE("#metadata!",ADDRESS(INDEX($Q$2:$Q$1001,MATCH(ROWS($O$2:O483),$O$2:$O$1001,0),0),1)),INDEX($T$2:$T$1001,MATCH(ROWS($O$2:O483),$O$2:$O$1001,0),0)))</f>
        <v>0</v>
      </c>
      <c r="B483" s="3">
        <f>IF(OR(INDEX($P$2:$P$1001,MATCH(ROWS($O$2:O483),$O$2:$O$1001,0),1)&gt;=100000,INDEX($V$1005:$AE$1005,1,MATCH(COLUMNS($V$1006:V1006),$V$1006:$AE$1006,0))&gt;=100000), " ",IF(INDEX($V$2:$AE$1001,MATCH(ROWS($O$2:O483),$O$2:$O$1001,0),MATCH(COLUMNS($V$1006:V1006),$V$1006:$AE$1006,0)), HYPERLINK("#",""), HYPERLINK(CONCATENATE("#Metadata!", ADDRESS(INDEX($Q$2:$Q$1001,MATCH(ROWS($O$2:O483),$O$2:$O$1001,0),0), INDEX($V$1004:$AE$1004,1,MATCH(COLUMNS($V$1006:V1006),$V$1006:$AE$1006,0)))),"Fix")))</f>
        <v>0</v>
      </c>
      <c r="C483" s="3">
        <f>IF(OR(INDEX($P$2:$P$1001,MATCH(ROWS($O$2:O483),$O$2:$O$1001,0),1)&gt;=100000,INDEX($V$1005:$AE$1005,1,MATCH(COLUMNS($V$1006:W1006),$V$1006:$AE$1006,0))&gt;=100000), " ",IF(INDEX($V$2:$AE$1001,MATCH(ROWS($O$2:O483),$O$2:$O$1001,0),MATCH(COLUMNS($V$1006:W1006),$V$1006:$AE$1006,0)), HYPERLINK("#",""), HYPERLINK(CONCATENATE("#Metadata!", ADDRESS(INDEX($Q$2:$Q$1001,MATCH(ROWS($O$2:O483),$O$2:$O$1001,0),0), INDEX($V$1004:$AE$1004,1,MATCH(COLUMNS($V$1006:W1006),$V$1006:$AE$1006,0)))),"Fix")))</f>
        <v>0</v>
      </c>
      <c r="D483" s="3">
        <f>IF(OR(INDEX($P$2:$P$1001,MATCH(ROWS($O$2:O483),$O$2:$O$1001,0),1)&gt;=100000,INDEX($V$1005:$AE$1005,1,MATCH(COLUMNS($V$1006:X1006),$V$1006:$AE$1006,0))&gt;=100000), " ",IF(INDEX($V$2:$AE$1001,MATCH(ROWS($O$2:O483),$O$2:$O$1001,0),MATCH(COLUMNS($V$1006:X1006),$V$1006:$AE$1006,0)), HYPERLINK("#",""), HYPERLINK(CONCATENATE("#Metadata!", ADDRESS(INDEX($Q$2:$Q$1001,MATCH(ROWS($O$2:O483),$O$2:$O$1001,0),0), INDEX($V$1004:$AE$1004,1,MATCH(COLUMNS($V$1006:X1006),$V$1006:$AE$1006,0)))),"Fix")))</f>
        <v>0</v>
      </c>
      <c r="E483" s="3">
        <f>IF(OR(INDEX($P$2:$P$1001,MATCH(ROWS($O$2:O483),$O$2:$O$1001,0),1)&gt;=100000,INDEX($V$1005:$AE$1005,1,MATCH(COLUMNS($V$1006:Y1006),$V$1006:$AE$1006,0))&gt;=100000), " ",IF(INDEX($V$2:$AE$1001,MATCH(ROWS($O$2:O483),$O$2:$O$1001,0),MATCH(COLUMNS($V$1006:Y1006),$V$1006:$AE$1006,0)), HYPERLINK("#",""), HYPERLINK(CONCATENATE("#Metadata!", ADDRESS(INDEX($Q$2:$Q$1001,MATCH(ROWS($O$2:O483),$O$2:$O$1001,0),0), INDEX($V$1004:$AE$1004,1,MATCH(COLUMNS($V$1006:Y1006),$V$1006:$AE$1006,0)))),"Fix")))</f>
        <v>0</v>
      </c>
      <c r="F483" s="3">
        <f>IF(OR(INDEX($P$2:$P$1001,MATCH(ROWS($O$2:O483),$O$2:$O$1001,0),1)&gt;=100000,INDEX($V$1005:$AE$1005,1,MATCH(COLUMNS($V$1006:Z1006),$V$1006:$AE$1006,0))&gt;=100000), " ",IF(INDEX($V$2:$AE$1001,MATCH(ROWS($O$2:O483),$O$2:$O$1001,0),MATCH(COLUMNS($V$1006:Z1006),$V$1006:$AE$1006,0)), HYPERLINK("#",""), HYPERLINK(CONCATENATE("#Metadata!", ADDRESS(INDEX($Q$2:$Q$1001,MATCH(ROWS($O$2:O483),$O$2:$O$1001,0),0), INDEX($V$1004:$AE$1004,1,MATCH(COLUMNS($V$1006:Z1006),$V$1006:$AE$1006,0)))),"Fix")))</f>
        <v>0</v>
      </c>
      <c r="G483" s="3">
        <f>IF(OR(INDEX($P$2:$P$1001,MATCH(ROWS($O$2:O483),$O$2:$O$1001,0),1)&gt;=100000,INDEX($V$1005:$AE$1005,1,MATCH(COLUMNS($V$1006:AA1006),$V$1006:$AE$1006,0))&gt;=100000), " ",IF(INDEX($V$2:$AE$1001,MATCH(ROWS($O$2:O483),$O$2:$O$1001,0),MATCH(COLUMNS($V$1006:AA1006),$V$1006:$AE$1006,0)), HYPERLINK("#",""), HYPERLINK(CONCATENATE("#Metadata!", ADDRESS(INDEX($Q$2:$Q$1001,MATCH(ROWS($O$2:O483),$O$2:$O$1001,0),0), INDEX($V$1004:$AE$1004,1,MATCH(COLUMNS($V$1006:AA1006),$V$1006:$AE$1006,0)))),"Fix")))</f>
        <v>0</v>
      </c>
      <c r="H483" s="3">
        <f>IF(OR(INDEX($P$2:$P$1001,MATCH(ROWS($O$2:O483),$O$2:$O$1001,0),1)&gt;=100000,INDEX($V$1005:$AE$1005,1,MATCH(COLUMNS($V$1006:AB1006),$V$1006:$AE$1006,0))&gt;=100000), " ",IF(INDEX($V$2:$AE$1001,MATCH(ROWS($O$2:O483),$O$2:$O$1001,0),MATCH(COLUMNS($V$1006:AB1006),$V$1006:$AE$1006,0)), HYPERLINK("#",""), HYPERLINK(CONCATENATE("#Metadata!", ADDRESS(INDEX($Q$2:$Q$1001,MATCH(ROWS($O$2:O483),$O$2:$O$1001,0),0), INDEX($V$1004:$AE$1004,1,MATCH(COLUMNS($V$1006:AB1006),$V$1006:$AE$1006,0)))),"Fix")))</f>
        <v>0</v>
      </c>
      <c r="I483" s="3">
        <f>IF(OR(INDEX($P$2:$P$1001,MATCH(ROWS($O$2:O483),$O$2:$O$1001,0),1)&gt;=100000,INDEX($V$1005:$AE$1005,1,MATCH(COLUMNS($V$1006:AC1006),$V$1006:$AE$1006,0))&gt;=100000), " ",IF(INDEX($V$2:$AE$1001,MATCH(ROWS($O$2:O483),$O$2:$O$1001,0),MATCH(COLUMNS($V$1006:AC1006),$V$1006:$AE$1006,0)), HYPERLINK("#",""), HYPERLINK(CONCATENATE("#Metadata!", ADDRESS(INDEX($Q$2:$Q$1001,MATCH(ROWS($O$2:O483),$O$2:$O$1001,0),0), INDEX($V$1004:$AE$1004,1,MATCH(COLUMNS($V$1006:AC1006),$V$1006:$AE$1006,0)))),"Fix")))</f>
        <v>0</v>
      </c>
      <c r="J483" s="3">
        <f>IF(OR(INDEX($P$2:$P$1001,MATCH(ROWS($O$2:O483),$O$2:$O$1001,0),1)&gt;=100000,INDEX($V$1005:$AE$1005,1,MATCH(COLUMNS($V$1006:AD1006),$V$1006:$AE$1006,0))&gt;=100000), " ",IF(INDEX($V$2:$AE$1001,MATCH(ROWS($O$2:O483),$O$2:$O$1001,0),MATCH(COLUMNS($V$1006:AD1006),$V$1006:$AE$1006,0)), HYPERLINK("#",""), HYPERLINK(CONCATENATE("#Metadata!", ADDRESS(INDEX($Q$2:$Q$1001,MATCH(ROWS($O$2:O483),$O$2:$O$1001,0),0), INDEX($V$1004:$AE$1004,1,MATCH(COLUMNS($V$1006:AD1006),$V$1006:$AE$1006,0)))),"Fix")))</f>
        <v>0</v>
      </c>
      <c r="K483" s="3">
        <f>IF(OR(INDEX($P$2:$P$1001,MATCH(ROWS($O$2:O483),$O$2:$O$1001,0),1)&gt;=100000,INDEX($V$1005:$AE$1005,1,MATCH(COLUMNS($V$1006:AE1006),$V$1006:$AE$1006,0))&gt;=100000), " ",IF(INDEX($V$2:$AE$1001,MATCH(ROWS($O$2:O483),$O$2:$O$1001,0),MATCH(COLUMNS($V$1006:AE1006),$V$1006:$AE$1006,0)), HYPERLINK("#",""), HYPERLINK(CONCATENATE("#Metadata!", ADDRESS(INDEX($Q$2:$Q$1001,MATCH(ROWS($O$2:O483),$O$2:$O$1001,0),0), INDEX($V$1004:$AE$1004,1,MATCH(COLUMNS($V$1006:AE1006),$V$1006:$AE$1006,0)))),"Fix")))</f>
        <v>0</v>
      </c>
      <c r="O483">
        <v>0</v>
      </c>
      <c r="P483">
        <v>0</v>
      </c>
      <c r="Q483">
        <v>0</v>
      </c>
      <c r="R483">
        <f>IF(S483,TRUE,AND(V483:AE483))</f>
        <v>0</v>
      </c>
      <c r="S483">
        <f>COUNTBLANK(Metadata!B483:K483)=COLUMNS(Metadata!B483:K483)</f>
        <v>0</v>
      </c>
      <c r="T483">
        <v>0</v>
      </c>
      <c r="V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W483">
        <f>AND(IF(Metadata!C483="",FALSE,TRUE),exact(Metadata!C483,"animal secretion"))</f>
        <v>0</v>
      </c>
      <c r="X483">
        <f>AND(IF(Metadata!D483="",FALSE,TRUE),exact(Metadata!D483,"saliva"))</f>
        <v>0</v>
      </c>
      <c r="Y483">
        <f>AND(IF(Metadata!E483="",FALSE,TRUE),exact(Metadata!E483,"human-oral"))</f>
        <v>0</v>
      </c>
      <c r="Z483">
        <f>AND(IF(Metadata!F483="",FALSE,TRUE),exact(Metadata!F483,"UBERON:oral cavity"))</f>
        <v>0</v>
      </c>
      <c r="AA483">
        <f>AND(IF(Metadata!G483="",FALSE,TRUE),exact(Metadata!G483,"UBERON:saliva"))</f>
        <v>0</v>
      </c>
      <c r="AB483">
        <f>AND(IF(Metadata!H483="",FALSE,TRUE),exact(Metadata!H483,"UBERON:tongue"))</f>
        <v>0</v>
      </c>
      <c r="AC483">
        <f>AND(IF(Metadata!I483="",FALSE,TRUE),exact(Metadata!I483,"tongue"))</f>
        <v>0</v>
      </c>
      <c r="AD483">
        <f>AND(IF(Metadata!J483="",FALSE,TRUE),exact(Metadata!J483,"human oral metagenome"))</f>
        <v>0</v>
      </c>
      <c r="AE483">
        <f>AND(IF(Metadata!K483="",FALSE,TRUE),exact(Metadata!K483,"447426"))</f>
        <v>0</v>
      </c>
    </row>
    <row r="484" spans="1:31">
      <c r="A484" s="4">
        <f>IF(B484=" "," ",HYPERLINK(CONCATENATE("#metadata!",ADDRESS(INDEX($Q$2:$Q$1001,MATCH(ROWS($O$2:O484),$O$2:$O$1001,0),0),1)),INDEX($T$2:$T$1001,MATCH(ROWS($O$2:O484),$O$2:$O$1001,0),0)))</f>
        <v>0</v>
      </c>
      <c r="B484" s="3">
        <f>IF(OR(INDEX($P$2:$P$1001,MATCH(ROWS($O$2:O484),$O$2:$O$1001,0),1)&gt;=100000,INDEX($V$1005:$AE$1005,1,MATCH(COLUMNS($V$1006:V1006),$V$1006:$AE$1006,0))&gt;=100000), " ",IF(INDEX($V$2:$AE$1001,MATCH(ROWS($O$2:O484),$O$2:$O$1001,0),MATCH(COLUMNS($V$1006:V1006),$V$1006:$AE$1006,0)), HYPERLINK("#",""), HYPERLINK(CONCATENATE("#Metadata!", ADDRESS(INDEX($Q$2:$Q$1001,MATCH(ROWS($O$2:O484),$O$2:$O$1001,0),0), INDEX($V$1004:$AE$1004,1,MATCH(COLUMNS($V$1006:V1006),$V$1006:$AE$1006,0)))),"Fix")))</f>
        <v>0</v>
      </c>
      <c r="C484" s="3">
        <f>IF(OR(INDEX($P$2:$P$1001,MATCH(ROWS($O$2:O484),$O$2:$O$1001,0),1)&gt;=100000,INDEX($V$1005:$AE$1005,1,MATCH(COLUMNS($V$1006:W1006),$V$1006:$AE$1006,0))&gt;=100000), " ",IF(INDEX($V$2:$AE$1001,MATCH(ROWS($O$2:O484),$O$2:$O$1001,0),MATCH(COLUMNS($V$1006:W1006),$V$1006:$AE$1006,0)), HYPERLINK("#",""), HYPERLINK(CONCATENATE("#Metadata!", ADDRESS(INDEX($Q$2:$Q$1001,MATCH(ROWS($O$2:O484),$O$2:$O$1001,0),0), INDEX($V$1004:$AE$1004,1,MATCH(COLUMNS($V$1006:W1006),$V$1006:$AE$1006,0)))),"Fix")))</f>
        <v>0</v>
      </c>
      <c r="D484" s="3">
        <f>IF(OR(INDEX($P$2:$P$1001,MATCH(ROWS($O$2:O484),$O$2:$O$1001,0),1)&gt;=100000,INDEX($V$1005:$AE$1005,1,MATCH(COLUMNS($V$1006:X1006),$V$1006:$AE$1006,0))&gt;=100000), " ",IF(INDEX($V$2:$AE$1001,MATCH(ROWS($O$2:O484),$O$2:$O$1001,0),MATCH(COLUMNS($V$1006:X1006),$V$1006:$AE$1006,0)), HYPERLINK("#",""), HYPERLINK(CONCATENATE("#Metadata!", ADDRESS(INDEX($Q$2:$Q$1001,MATCH(ROWS($O$2:O484),$O$2:$O$1001,0),0), INDEX($V$1004:$AE$1004,1,MATCH(COLUMNS($V$1006:X1006),$V$1006:$AE$1006,0)))),"Fix")))</f>
        <v>0</v>
      </c>
      <c r="E484" s="3">
        <f>IF(OR(INDEX($P$2:$P$1001,MATCH(ROWS($O$2:O484),$O$2:$O$1001,0),1)&gt;=100000,INDEX($V$1005:$AE$1005,1,MATCH(COLUMNS($V$1006:Y1006),$V$1006:$AE$1006,0))&gt;=100000), " ",IF(INDEX($V$2:$AE$1001,MATCH(ROWS($O$2:O484),$O$2:$O$1001,0),MATCH(COLUMNS($V$1006:Y1006),$V$1006:$AE$1006,0)), HYPERLINK("#",""), HYPERLINK(CONCATENATE("#Metadata!", ADDRESS(INDEX($Q$2:$Q$1001,MATCH(ROWS($O$2:O484),$O$2:$O$1001,0),0), INDEX($V$1004:$AE$1004,1,MATCH(COLUMNS($V$1006:Y1006),$V$1006:$AE$1006,0)))),"Fix")))</f>
        <v>0</v>
      </c>
      <c r="F484" s="3">
        <f>IF(OR(INDEX($P$2:$P$1001,MATCH(ROWS($O$2:O484),$O$2:$O$1001,0),1)&gt;=100000,INDEX($V$1005:$AE$1005,1,MATCH(COLUMNS($V$1006:Z1006),$V$1006:$AE$1006,0))&gt;=100000), " ",IF(INDEX($V$2:$AE$1001,MATCH(ROWS($O$2:O484),$O$2:$O$1001,0),MATCH(COLUMNS($V$1006:Z1006),$V$1006:$AE$1006,0)), HYPERLINK("#",""), HYPERLINK(CONCATENATE("#Metadata!", ADDRESS(INDEX($Q$2:$Q$1001,MATCH(ROWS($O$2:O484),$O$2:$O$1001,0),0), INDEX($V$1004:$AE$1004,1,MATCH(COLUMNS($V$1006:Z1006),$V$1006:$AE$1006,0)))),"Fix")))</f>
        <v>0</v>
      </c>
      <c r="G484" s="3">
        <f>IF(OR(INDEX($P$2:$P$1001,MATCH(ROWS($O$2:O484),$O$2:$O$1001,0),1)&gt;=100000,INDEX($V$1005:$AE$1005,1,MATCH(COLUMNS($V$1006:AA1006),$V$1006:$AE$1006,0))&gt;=100000), " ",IF(INDEX($V$2:$AE$1001,MATCH(ROWS($O$2:O484),$O$2:$O$1001,0),MATCH(COLUMNS($V$1006:AA1006),$V$1006:$AE$1006,0)), HYPERLINK("#",""), HYPERLINK(CONCATENATE("#Metadata!", ADDRESS(INDEX($Q$2:$Q$1001,MATCH(ROWS($O$2:O484),$O$2:$O$1001,0),0), INDEX($V$1004:$AE$1004,1,MATCH(COLUMNS($V$1006:AA1006),$V$1006:$AE$1006,0)))),"Fix")))</f>
        <v>0</v>
      </c>
      <c r="H484" s="3">
        <f>IF(OR(INDEX($P$2:$P$1001,MATCH(ROWS($O$2:O484),$O$2:$O$1001,0),1)&gt;=100000,INDEX($V$1005:$AE$1005,1,MATCH(COLUMNS($V$1006:AB1006),$V$1006:$AE$1006,0))&gt;=100000), " ",IF(INDEX($V$2:$AE$1001,MATCH(ROWS($O$2:O484),$O$2:$O$1001,0),MATCH(COLUMNS($V$1006:AB1006),$V$1006:$AE$1006,0)), HYPERLINK("#",""), HYPERLINK(CONCATENATE("#Metadata!", ADDRESS(INDEX($Q$2:$Q$1001,MATCH(ROWS($O$2:O484),$O$2:$O$1001,0),0), INDEX($V$1004:$AE$1004,1,MATCH(COLUMNS($V$1006:AB1006),$V$1006:$AE$1006,0)))),"Fix")))</f>
        <v>0</v>
      </c>
      <c r="I484" s="3">
        <f>IF(OR(INDEX($P$2:$P$1001,MATCH(ROWS($O$2:O484),$O$2:$O$1001,0),1)&gt;=100000,INDEX($V$1005:$AE$1005,1,MATCH(COLUMNS($V$1006:AC1006),$V$1006:$AE$1006,0))&gt;=100000), " ",IF(INDEX($V$2:$AE$1001,MATCH(ROWS($O$2:O484),$O$2:$O$1001,0),MATCH(COLUMNS($V$1006:AC1006),$V$1006:$AE$1006,0)), HYPERLINK("#",""), HYPERLINK(CONCATENATE("#Metadata!", ADDRESS(INDEX($Q$2:$Q$1001,MATCH(ROWS($O$2:O484),$O$2:$O$1001,0),0), INDEX($V$1004:$AE$1004,1,MATCH(COLUMNS($V$1006:AC1006),$V$1006:$AE$1006,0)))),"Fix")))</f>
        <v>0</v>
      </c>
      <c r="J484" s="3">
        <f>IF(OR(INDEX($P$2:$P$1001,MATCH(ROWS($O$2:O484),$O$2:$O$1001,0),1)&gt;=100000,INDEX($V$1005:$AE$1005,1,MATCH(COLUMNS($V$1006:AD1006),$V$1006:$AE$1006,0))&gt;=100000), " ",IF(INDEX($V$2:$AE$1001,MATCH(ROWS($O$2:O484),$O$2:$O$1001,0),MATCH(COLUMNS($V$1006:AD1006),$V$1006:$AE$1006,0)), HYPERLINK("#",""), HYPERLINK(CONCATENATE("#Metadata!", ADDRESS(INDEX($Q$2:$Q$1001,MATCH(ROWS($O$2:O484),$O$2:$O$1001,0),0), INDEX($V$1004:$AE$1004,1,MATCH(COLUMNS($V$1006:AD1006),$V$1006:$AE$1006,0)))),"Fix")))</f>
        <v>0</v>
      </c>
      <c r="K484" s="3">
        <f>IF(OR(INDEX($P$2:$P$1001,MATCH(ROWS($O$2:O484),$O$2:$O$1001,0),1)&gt;=100000,INDEX($V$1005:$AE$1005,1,MATCH(COLUMNS($V$1006:AE1006),$V$1006:$AE$1006,0))&gt;=100000), " ",IF(INDEX($V$2:$AE$1001,MATCH(ROWS($O$2:O484),$O$2:$O$1001,0),MATCH(COLUMNS($V$1006:AE1006),$V$1006:$AE$1006,0)), HYPERLINK("#",""), HYPERLINK(CONCATENATE("#Metadata!", ADDRESS(INDEX($Q$2:$Q$1001,MATCH(ROWS($O$2:O484),$O$2:$O$1001,0),0), INDEX($V$1004:$AE$1004,1,MATCH(COLUMNS($V$1006:AE1006),$V$1006:$AE$1006,0)))),"Fix")))</f>
        <v>0</v>
      </c>
      <c r="O484">
        <v>0</v>
      </c>
      <c r="P484">
        <v>0</v>
      </c>
      <c r="Q484">
        <v>0</v>
      </c>
      <c r="R484">
        <f>IF(S484,TRUE,AND(V484:AE484))</f>
        <v>0</v>
      </c>
      <c r="S484">
        <f>COUNTBLANK(Metadata!B484:K484)=COLUMNS(Metadata!B484:K484)</f>
        <v>0</v>
      </c>
      <c r="T484">
        <v>0</v>
      </c>
      <c r="V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W484">
        <f>AND(IF(Metadata!C484="",FALSE,TRUE),exact(Metadata!C484,"animal secretion"))</f>
        <v>0</v>
      </c>
      <c r="X484">
        <f>AND(IF(Metadata!D484="",FALSE,TRUE),exact(Metadata!D484,"saliva"))</f>
        <v>0</v>
      </c>
      <c r="Y484">
        <f>AND(IF(Metadata!E484="",FALSE,TRUE),exact(Metadata!E484,"human-oral"))</f>
        <v>0</v>
      </c>
      <c r="Z484">
        <f>AND(IF(Metadata!F484="",FALSE,TRUE),exact(Metadata!F484,"UBERON:oral cavity"))</f>
        <v>0</v>
      </c>
      <c r="AA484">
        <f>AND(IF(Metadata!G484="",FALSE,TRUE),exact(Metadata!G484,"UBERON:saliva"))</f>
        <v>0</v>
      </c>
      <c r="AB484">
        <f>AND(IF(Metadata!H484="",FALSE,TRUE),exact(Metadata!H484,"UBERON:tongue"))</f>
        <v>0</v>
      </c>
      <c r="AC484">
        <f>AND(IF(Metadata!I484="",FALSE,TRUE),exact(Metadata!I484,"tongue"))</f>
        <v>0</v>
      </c>
      <c r="AD484">
        <f>AND(IF(Metadata!J484="",FALSE,TRUE),exact(Metadata!J484,"human oral metagenome"))</f>
        <v>0</v>
      </c>
      <c r="AE484">
        <f>AND(IF(Metadata!K484="",FALSE,TRUE),exact(Metadata!K484,"447426"))</f>
        <v>0</v>
      </c>
    </row>
    <row r="485" spans="1:31">
      <c r="A485" s="4">
        <f>IF(B485=" "," ",HYPERLINK(CONCATENATE("#metadata!",ADDRESS(INDEX($Q$2:$Q$1001,MATCH(ROWS($O$2:O485),$O$2:$O$1001,0),0),1)),INDEX($T$2:$T$1001,MATCH(ROWS($O$2:O485),$O$2:$O$1001,0),0)))</f>
        <v>0</v>
      </c>
      <c r="B485" s="3">
        <f>IF(OR(INDEX($P$2:$P$1001,MATCH(ROWS($O$2:O485),$O$2:$O$1001,0),1)&gt;=100000,INDEX($V$1005:$AE$1005,1,MATCH(COLUMNS($V$1006:V1006),$V$1006:$AE$1006,0))&gt;=100000), " ",IF(INDEX($V$2:$AE$1001,MATCH(ROWS($O$2:O485),$O$2:$O$1001,0),MATCH(COLUMNS($V$1006:V1006),$V$1006:$AE$1006,0)), HYPERLINK("#",""), HYPERLINK(CONCATENATE("#Metadata!", ADDRESS(INDEX($Q$2:$Q$1001,MATCH(ROWS($O$2:O485),$O$2:$O$1001,0),0), INDEX($V$1004:$AE$1004,1,MATCH(COLUMNS($V$1006:V1006),$V$1006:$AE$1006,0)))),"Fix")))</f>
        <v>0</v>
      </c>
      <c r="C485" s="3">
        <f>IF(OR(INDEX($P$2:$P$1001,MATCH(ROWS($O$2:O485),$O$2:$O$1001,0),1)&gt;=100000,INDEX($V$1005:$AE$1005,1,MATCH(COLUMNS($V$1006:W1006),$V$1006:$AE$1006,0))&gt;=100000), " ",IF(INDEX($V$2:$AE$1001,MATCH(ROWS($O$2:O485),$O$2:$O$1001,0),MATCH(COLUMNS($V$1006:W1006),$V$1006:$AE$1006,0)), HYPERLINK("#",""), HYPERLINK(CONCATENATE("#Metadata!", ADDRESS(INDEX($Q$2:$Q$1001,MATCH(ROWS($O$2:O485),$O$2:$O$1001,0),0), INDEX($V$1004:$AE$1004,1,MATCH(COLUMNS($V$1006:W1006),$V$1006:$AE$1006,0)))),"Fix")))</f>
        <v>0</v>
      </c>
      <c r="D485" s="3">
        <f>IF(OR(INDEX($P$2:$P$1001,MATCH(ROWS($O$2:O485),$O$2:$O$1001,0),1)&gt;=100000,INDEX($V$1005:$AE$1005,1,MATCH(COLUMNS($V$1006:X1006),$V$1006:$AE$1006,0))&gt;=100000), " ",IF(INDEX($V$2:$AE$1001,MATCH(ROWS($O$2:O485),$O$2:$O$1001,0),MATCH(COLUMNS($V$1006:X1006),$V$1006:$AE$1006,0)), HYPERLINK("#",""), HYPERLINK(CONCATENATE("#Metadata!", ADDRESS(INDEX($Q$2:$Q$1001,MATCH(ROWS($O$2:O485),$O$2:$O$1001,0),0), INDEX($V$1004:$AE$1004,1,MATCH(COLUMNS($V$1006:X1006),$V$1006:$AE$1006,0)))),"Fix")))</f>
        <v>0</v>
      </c>
      <c r="E485" s="3">
        <f>IF(OR(INDEX($P$2:$P$1001,MATCH(ROWS($O$2:O485),$O$2:$O$1001,0),1)&gt;=100000,INDEX($V$1005:$AE$1005,1,MATCH(COLUMNS($V$1006:Y1006),$V$1006:$AE$1006,0))&gt;=100000), " ",IF(INDEX($V$2:$AE$1001,MATCH(ROWS($O$2:O485),$O$2:$O$1001,0),MATCH(COLUMNS($V$1006:Y1006),$V$1006:$AE$1006,0)), HYPERLINK("#",""), HYPERLINK(CONCATENATE("#Metadata!", ADDRESS(INDEX($Q$2:$Q$1001,MATCH(ROWS($O$2:O485),$O$2:$O$1001,0),0), INDEX($V$1004:$AE$1004,1,MATCH(COLUMNS($V$1006:Y1006),$V$1006:$AE$1006,0)))),"Fix")))</f>
        <v>0</v>
      </c>
      <c r="F485" s="3">
        <f>IF(OR(INDEX($P$2:$P$1001,MATCH(ROWS($O$2:O485),$O$2:$O$1001,0),1)&gt;=100000,INDEX($V$1005:$AE$1005,1,MATCH(COLUMNS($V$1006:Z1006),$V$1006:$AE$1006,0))&gt;=100000), " ",IF(INDEX($V$2:$AE$1001,MATCH(ROWS($O$2:O485),$O$2:$O$1001,0),MATCH(COLUMNS($V$1006:Z1006),$V$1006:$AE$1006,0)), HYPERLINK("#",""), HYPERLINK(CONCATENATE("#Metadata!", ADDRESS(INDEX($Q$2:$Q$1001,MATCH(ROWS($O$2:O485),$O$2:$O$1001,0),0), INDEX($V$1004:$AE$1004,1,MATCH(COLUMNS($V$1006:Z1006),$V$1006:$AE$1006,0)))),"Fix")))</f>
        <v>0</v>
      </c>
      <c r="G485" s="3">
        <f>IF(OR(INDEX($P$2:$P$1001,MATCH(ROWS($O$2:O485),$O$2:$O$1001,0),1)&gt;=100000,INDEX($V$1005:$AE$1005,1,MATCH(COLUMNS($V$1006:AA1006),$V$1006:$AE$1006,0))&gt;=100000), " ",IF(INDEX($V$2:$AE$1001,MATCH(ROWS($O$2:O485),$O$2:$O$1001,0),MATCH(COLUMNS($V$1006:AA1006),$V$1006:$AE$1006,0)), HYPERLINK("#",""), HYPERLINK(CONCATENATE("#Metadata!", ADDRESS(INDEX($Q$2:$Q$1001,MATCH(ROWS($O$2:O485),$O$2:$O$1001,0),0), INDEX($V$1004:$AE$1004,1,MATCH(COLUMNS($V$1006:AA1006),$V$1006:$AE$1006,0)))),"Fix")))</f>
        <v>0</v>
      </c>
      <c r="H485" s="3">
        <f>IF(OR(INDEX($P$2:$P$1001,MATCH(ROWS($O$2:O485),$O$2:$O$1001,0),1)&gt;=100000,INDEX($V$1005:$AE$1005,1,MATCH(COLUMNS($V$1006:AB1006),$V$1006:$AE$1006,0))&gt;=100000), " ",IF(INDEX($V$2:$AE$1001,MATCH(ROWS($O$2:O485),$O$2:$O$1001,0),MATCH(COLUMNS($V$1006:AB1006),$V$1006:$AE$1006,0)), HYPERLINK("#",""), HYPERLINK(CONCATENATE("#Metadata!", ADDRESS(INDEX($Q$2:$Q$1001,MATCH(ROWS($O$2:O485),$O$2:$O$1001,0),0), INDEX($V$1004:$AE$1004,1,MATCH(COLUMNS($V$1006:AB1006),$V$1006:$AE$1006,0)))),"Fix")))</f>
        <v>0</v>
      </c>
      <c r="I485" s="3">
        <f>IF(OR(INDEX($P$2:$P$1001,MATCH(ROWS($O$2:O485),$O$2:$O$1001,0),1)&gt;=100000,INDEX($V$1005:$AE$1005,1,MATCH(COLUMNS($V$1006:AC1006),$V$1006:$AE$1006,0))&gt;=100000), " ",IF(INDEX($V$2:$AE$1001,MATCH(ROWS($O$2:O485),$O$2:$O$1001,0),MATCH(COLUMNS($V$1006:AC1006),$V$1006:$AE$1006,0)), HYPERLINK("#",""), HYPERLINK(CONCATENATE("#Metadata!", ADDRESS(INDEX($Q$2:$Q$1001,MATCH(ROWS($O$2:O485),$O$2:$O$1001,0),0), INDEX($V$1004:$AE$1004,1,MATCH(COLUMNS($V$1006:AC1006),$V$1006:$AE$1006,0)))),"Fix")))</f>
        <v>0</v>
      </c>
      <c r="J485" s="3">
        <f>IF(OR(INDEX($P$2:$P$1001,MATCH(ROWS($O$2:O485),$O$2:$O$1001,0),1)&gt;=100000,INDEX($V$1005:$AE$1005,1,MATCH(COLUMNS($V$1006:AD1006),$V$1006:$AE$1006,0))&gt;=100000), " ",IF(INDEX($V$2:$AE$1001,MATCH(ROWS($O$2:O485),$O$2:$O$1001,0),MATCH(COLUMNS($V$1006:AD1006),$V$1006:$AE$1006,0)), HYPERLINK("#",""), HYPERLINK(CONCATENATE("#Metadata!", ADDRESS(INDEX($Q$2:$Q$1001,MATCH(ROWS($O$2:O485),$O$2:$O$1001,0),0), INDEX($V$1004:$AE$1004,1,MATCH(COLUMNS($V$1006:AD1006),$V$1006:$AE$1006,0)))),"Fix")))</f>
        <v>0</v>
      </c>
      <c r="K485" s="3">
        <f>IF(OR(INDEX($P$2:$P$1001,MATCH(ROWS($O$2:O485),$O$2:$O$1001,0),1)&gt;=100000,INDEX($V$1005:$AE$1005,1,MATCH(COLUMNS($V$1006:AE1006),$V$1006:$AE$1006,0))&gt;=100000), " ",IF(INDEX($V$2:$AE$1001,MATCH(ROWS($O$2:O485),$O$2:$O$1001,0),MATCH(COLUMNS($V$1006:AE1006),$V$1006:$AE$1006,0)), HYPERLINK("#",""), HYPERLINK(CONCATENATE("#Metadata!", ADDRESS(INDEX($Q$2:$Q$1001,MATCH(ROWS($O$2:O485),$O$2:$O$1001,0),0), INDEX($V$1004:$AE$1004,1,MATCH(COLUMNS($V$1006:AE1006),$V$1006:$AE$1006,0)))),"Fix")))</f>
        <v>0</v>
      </c>
      <c r="O485">
        <v>0</v>
      </c>
      <c r="P485">
        <v>0</v>
      </c>
      <c r="Q485">
        <v>0</v>
      </c>
      <c r="R485">
        <f>IF(S485,TRUE,AND(V485:AE485))</f>
        <v>0</v>
      </c>
      <c r="S485">
        <f>COUNTBLANK(Metadata!B485:K485)=COLUMNS(Metadata!B485:K485)</f>
        <v>0</v>
      </c>
      <c r="T485">
        <v>0</v>
      </c>
      <c r="V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W485">
        <f>AND(IF(Metadata!C485="",FALSE,TRUE),exact(Metadata!C485,"animal secretion"))</f>
        <v>0</v>
      </c>
      <c r="X485">
        <f>AND(IF(Metadata!D485="",FALSE,TRUE),exact(Metadata!D485,"saliva"))</f>
        <v>0</v>
      </c>
      <c r="Y485">
        <f>AND(IF(Metadata!E485="",FALSE,TRUE),exact(Metadata!E485,"human-oral"))</f>
        <v>0</v>
      </c>
      <c r="Z485">
        <f>AND(IF(Metadata!F485="",FALSE,TRUE),exact(Metadata!F485,"UBERON:oral cavity"))</f>
        <v>0</v>
      </c>
      <c r="AA485">
        <f>AND(IF(Metadata!G485="",FALSE,TRUE),exact(Metadata!G485,"UBERON:saliva"))</f>
        <v>0</v>
      </c>
      <c r="AB485">
        <f>AND(IF(Metadata!H485="",FALSE,TRUE),exact(Metadata!H485,"UBERON:tongue"))</f>
        <v>0</v>
      </c>
      <c r="AC485">
        <f>AND(IF(Metadata!I485="",FALSE,TRUE),exact(Metadata!I485,"tongue"))</f>
        <v>0</v>
      </c>
      <c r="AD485">
        <f>AND(IF(Metadata!J485="",FALSE,TRUE),exact(Metadata!J485,"human oral metagenome"))</f>
        <v>0</v>
      </c>
      <c r="AE485">
        <f>AND(IF(Metadata!K485="",FALSE,TRUE),exact(Metadata!K485,"447426"))</f>
        <v>0</v>
      </c>
    </row>
    <row r="486" spans="1:31">
      <c r="A486" s="4">
        <f>IF(B486=" "," ",HYPERLINK(CONCATENATE("#metadata!",ADDRESS(INDEX($Q$2:$Q$1001,MATCH(ROWS($O$2:O486),$O$2:$O$1001,0),0),1)),INDEX($T$2:$T$1001,MATCH(ROWS($O$2:O486),$O$2:$O$1001,0),0)))</f>
        <v>0</v>
      </c>
      <c r="B486" s="3">
        <f>IF(OR(INDEX($P$2:$P$1001,MATCH(ROWS($O$2:O486),$O$2:$O$1001,0),1)&gt;=100000,INDEX($V$1005:$AE$1005,1,MATCH(COLUMNS($V$1006:V1006),$V$1006:$AE$1006,0))&gt;=100000), " ",IF(INDEX($V$2:$AE$1001,MATCH(ROWS($O$2:O486),$O$2:$O$1001,0),MATCH(COLUMNS($V$1006:V1006),$V$1006:$AE$1006,0)), HYPERLINK("#",""), HYPERLINK(CONCATENATE("#Metadata!", ADDRESS(INDEX($Q$2:$Q$1001,MATCH(ROWS($O$2:O486),$O$2:$O$1001,0),0), INDEX($V$1004:$AE$1004,1,MATCH(COLUMNS($V$1006:V1006),$V$1006:$AE$1006,0)))),"Fix")))</f>
        <v>0</v>
      </c>
      <c r="C486" s="3">
        <f>IF(OR(INDEX($P$2:$P$1001,MATCH(ROWS($O$2:O486),$O$2:$O$1001,0),1)&gt;=100000,INDEX($V$1005:$AE$1005,1,MATCH(COLUMNS($V$1006:W1006),$V$1006:$AE$1006,0))&gt;=100000), " ",IF(INDEX($V$2:$AE$1001,MATCH(ROWS($O$2:O486),$O$2:$O$1001,0),MATCH(COLUMNS($V$1006:W1006),$V$1006:$AE$1006,0)), HYPERLINK("#",""), HYPERLINK(CONCATENATE("#Metadata!", ADDRESS(INDEX($Q$2:$Q$1001,MATCH(ROWS($O$2:O486),$O$2:$O$1001,0),0), INDEX($V$1004:$AE$1004,1,MATCH(COLUMNS($V$1006:W1006),$V$1006:$AE$1006,0)))),"Fix")))</f>
        <v>0</v>
      </c>
      <c r="D486" s="3">
        <f>IF(OR(INDEX($P$2:$P$1001,MATCH(ROWS($O$2:O486),$O$2:$O$1001,0),1)&gt;=100000,INDEX($V$1005:$AE$1005,1,MATCH(COLUMNS($V$1006:X1006),$V$1006:$AE$1006,0))&gt;=100000), " ",IF(INDEX($V$2:$AE$1001,MATCH(ROWS($O$2:O486),$O$2:$O$1001,0),MATCH(COLUMNS($V$1006:X1006),$V$1006:$AE$1006,0)), HYPERLINK("#",""), HYPERLINK(CONCATENATE("#Metadata!", ADDRESS(INDEX($Q$2:$Q$1001,MATCH(ROWS($O$2:O486),$O$2:$O$1001,0),0), INDEX($V$1004:$AE$1004,1,MATCH(COLUMNS($V$1006:X1006),$V$1006:$AE$1006,0)))),"Fix")))</f>
        <v>0</v>
      </c>
      <c r="E486" s="3">
        <f>IF(OR(INDEX($P$2:$P$1001,MATCH(ROWS($O$2:O486),$O$2:$O$1001,0),1)&gt;=100000,INDEX($V$1005:$AE$1005,1,MATCH(COLUMNS($V$1006:Y1006),$V$1006:$AE$1006,0))&gt;=100000), " ",IF(INDEX($V$2:$AE$1001,MATCH(ROWS($O$2:O486),$O$2:$O$1001,0),MATCH(COLUMNS($V$1006:Y1006),$V$1006:$AE$1006,0)), HYPERLINK("#",""), HYPERLINK(CONCATENATE("#Metadata!", ADDRESS(INDEX($Q$2:$Q$1001,MATCH(ROWS($O$2:O486),$O$2:$O$1001,0),0), INDEX($V$1004:$AE$1004,1,MATCH(COLUMNS($V$1006:Y1006),$V$1006:$AE$1006,0)))),"Fix")))</f>
        <v>0</v>
      </c>
      <c r="F486" s="3">
        <f>IF(OR(INDEX($P$2:$P$1001,MATCH(ROWS($O$2:O486),$O$2:$O$1001,0),1)&gt;=100000,INDEX($V$1005:$AE$1005,1,MATCH(COLUMNS($V$1006:Z1006),$V$1006:$AE$1006,0))&gt;=100000), " ",IF(INDEX($V$2:$AE$1001,MATCH(ROWS($O$2:O486),$O$2:$O$1001,0),MATCH(COLUMNS($V$1006:Z1006),$V$1006:$AE$1006,0)), HYPERLINK("#",""), HYPERLINK(CONCATENATE("#Metadata!", ADDRESS(INDEX($Q$2:$Q$1001,MATCH(ROWS($O$2:O486),$O$2:$O$1001,0),0), INDEX($V$1004:$AE$1004,1,MATCH(COLUMNS($V$1006:Z1006),$V$1006:$AE$1006,0)))),"Fix")))</f>
        <v>0</v>
      </c>
      <c r="G486" s="3">
        <f>IF(OR(INDEX($P$2:$P$1001,MATCH(ROWS($O$2:O486),$O$2:$O$1001,0),1)&gt;=100000,INDEX($V$1005:$AE$1005,1,MATCH(COLUMNS($V$1006:AA1006),$V$1006:$AE$1006,0))&gt;=100000), " ",IF(INDEX($V$2:$AE$1001,MATCH(ROWS($O$2:O486),$O$2:$O$1001,0),MATCH(COLUMNS($V$1006:AA1006),$V$1006:$AE$1006,0)), HYPERLINK("#",""), HYPERLINK(CONCATENATE("#Metadata!", ADDRESS(INDEX($Q$2:$Q$1001,MATCH(ROWS($O$2:O486),$O$2:$O$1001,0),0), INDEX($V$1004:$AE$1004,1,MATCH(COLUMNS($V$1006:AA1006),$V$1006:$AE$1006,0)))),"Fix")))</f>
        <v>0</v>
      </c>
      <c r="H486" s="3">
        <f>IF(OR(INDEX($P$2:$P$1001,MATCH(ROWS($O$2:O486),$O$2:$O$1001,0),1)&gt;=100000,INDEX($V$1005:$AE$1005,1,MATCH(COLUMNS($V$1006:AB1006),$V$1006:$AE$1006,0))&gt;=100000), " ",IF(INDEX($V$2:$AE$1001,MATCH(ROWS($O$2:O486),$O$2:$O$1001,0),MATCH(COLUMNS($V$1006:AB1006),$V$1006:$AE$1006,0)), HYPERLINK("#",""), HYPERLINK(CONCATENATE("#Metadata!", ADDRESS(INDEX($Q$2:$Q$1001,MATCH(ROWS($O$2:O486),$O$2:$O$1001,0),0), INDEX($V$1004:$AE$1004,1,MATCH(COLUMNS($V$1006:AB1006),$V$1006:$AE$1006,0)))),"Fix")))</f>
        <v>0</v>
      </c>
      <c r="I486" s="3">
        <f>IF(OR(INDEX($P$2:$P$1001,MATCH(ROWS($O$2:O486),$O$2:$O$1001,0),1)&gt;=100000,INDEX($V$1005:$AE$1005,1,MATCH(COLUMNS($V$1006:AC1006),$V$1006:$AE$1006,0))&gt;=100000), " ",IF(INDEX($V$2:$AE$1001,MATCH(ROWS($O$2:O486),$O$2:$O$1001,0),MATCH(COLUMNS($V$1006:AC1006),$V$1006:$AE$1006,0)), HYPERLINK("#",""), HYPERLINK(CONCATENATE("#Metadata!", ADDRESS(INDEX($Q$2:$Q$1001,MATCH(ROWS($O$2:O486),$O$2:$O$1001,0),0), INDEX($V$1004:$AE$1004,1,MATCH(COLUMNS($V$1006:AC1006),$V$1006:$AE$1006,0)))),"Fix")))</f>
        <v>0</v>
      </c>
      <c r="J486" s="3">
        <f>IF(OR(INDEX($P$2:$P$1001,MATCH(ROWS($O$2:O486),$O$2:$O$1001,0),1)&gt;=100000,INDEX($V$1005:$AE$1005,1,MATCH(COLUMNS($V$1006:AD1006),$V$1006:$AE$1006,0))&gt;=100000), " ",IF(INDEX($V$2:$AE$1001,MATCH(ROWS($O$2:O486),$O$2:$O$1001,0),MATCH(COLUMNS($V$1006:AD1006),$V$1006:$AE$1006,0)), HYPERLINK("#",""), HYPERLINK(CONCATENATE("#Metadata!", ADDRESS(INDEX($Q$2:$Q$1001,MATCH(ROWS($O$2:O486),$O$2:$O$1001,0),0), INDEX($V$1004:$AE$1004,1,MATCH(COLUMNS($V$1006:AD1006),$V$1006:$AE$1006,0)))),"Fix")))</f>
        <v>0</v>
      </c>
      <c r="K486" s="3">
        <f>IF(OR(INDEX($P$2:$P$1001,MATCH(ROWS($O$2:O486),$O$2:$O$1001,0),1)&gt;=100000,INDEX($V$1005:$AE$1005,1,MATCH(COLUMNS($V$1006:AE1006),$V$1006:$AE$1006,0))&gt;=100000), " ",IF(INDEX($V$2:$AE$1001,MATCH(ROWS($O$2:O486),$O$2:$O$1001,0),MATCH(COLUMNS($V$1006:AE1006),$V$1006:$AE$1006,0)), HYPERLINK("#",""), HYPERLINK(CONCATENATE("#Metadata!", ADDRESS(INDEX($Q$2:$Q$1001,MATCH(ROWS($O$2:O486),$O$2:$O$1001,0),0), INDEX($V$1004:$AE$1004,1,MATCH(COLUMNS($V$1006:AE1006),$V$1006:$AE$1006,0)))),"Fix")))</f>
        <v>0</v>
      </c>
      <c r="O486">
        <v>0</v>
      </c>
      <c r="P486">
        <v>0</v>
      </c>
      <c r="Q486">
        <v>0</v>
      </c>
      <c r="R486">
        <f>IF(S486,TRUE,AND(V486:AE486))</f>
        <v>0</v>
      </c>
      <c r="S486">
        <f>COUNTBLANK(Metadata!B486:K486)=COLUMNS(Metadata!B486:K486)</f>
        <v>0</v>
      </c>
      <c r="T486">
        <v>0</v>
      </c>
      <c r="V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W486">
        <f>AND(IF(Metadata!C486="",FALSE,TRUE),exact(Metadata!C486,"animal secretion"))</f>
        <v>0</v>
      </c>
      <c r="X486">
        <f>AND(IF(Metadata!D486="",FALSE,TRUE),exact(Metadata!D486,"saliva"))</f>
        <v>0</v>
      </c>
      <c r="Y486">
        <f>AND(IF(Metadata!E486="",FALSE,TRUE),exact(Metadata!E486,"human-oral"))</f>
        <v>0</v>
      </c>
      <c r="Z486">
        <f>AND(IF(Metadata!F486="",FALSE,TRUE),exact(Metadata!F486,"UBERON:oral cavity"))</f>
        <v>0</v>
      </c>
      <c r="AA486">
        <f>AND(IF(Metadata!G486="",FALSE,TRUE),exact(Metadata!G486,"UBERON:saliva"))</f>
        <v>0</v>
      </c>
      <c r="AB486">
        <f>AND(IF(Metadata!H486="",FALSE,TRUE),exact(Metadata!H486,"UBERON:tongue"))</f>
        <v>0</v>
      </c>
      <c r="AC486">
        <f>AND(IF(Metadata!I486="",FALSE,TRUE),exact(Metadata!I486,"tongue"))</f>
        <v>0</v>
      </c>
      <c r="AD486">
        <f>AND(IF(Metadata!J486="",FALSE,TRUE),exact(Metadata!J486,"human oral metagenome"))</f>
        <v>0</v>
      </c>
      <c r="AE486">
        <f>AND(IF(Metadata!K486="",FALSE,TRUE),exact(Metadata!K486,"447426"))</f>
        <v>0</v>
      </c>
    </row>
    <row r="487" spans="1:31">
      <c r="A487" s="4">
        <f>IF(B487=" "," ",HYPERLINK(CONCATENATE("#metadata!",ADDRESS(INDEX($Q$2:$Q$1001,MATCH(ROWS($O$2:O487),$O$2:$O$1001,0),0),1)),INDEX($T$2:$T$1001,MATCH(ROWS($O$2:O487),$O$2:$O$1001,0),0)))</f>
        <v>0</v>
      </c>
      <c r="B487" s="3">
        <f>IF(OR(INDEX($P$2:$P$1001,MATCH(ROWS($O$2:O487),$O$2:$O$1001,0),1)&gt;=100000,INDEX($V$1005:$AE$1005,1,MATCH(COLUMNS($V$1006:V1006),$V$1006:$AE$1006,0))&gt;=100000), " ",IF(INDEX($V$2:$AE$1001,MATCH(ROWS($O$2:O487),$O$2:$O$1001,0),MATCH(COLUMNS($V$1006:V1006),$V$1006:$AE$1006,0)), HYPERLINK("#",""), HYPERLINK(CONCATENATE("#Metadata!", ADDRESS(INDEX($Q$2:$Q$1001,MATCH(ROWS($O$2:O487),$O$2:$O$1001,0),0), INDEX($V$1004:$AE$1004,1,MATCH(COLUMNS($V$1006:V1006),$V$1006:$AE$1006,0)))),"Fix")))</f>
        <v>0</v>
      </c>
      <c r="C487" s="3">
        <f>IF(OR(INDEX($P$2:$P$1001,MATCH(ROWS($O$2:O487),$O$2:$O$1001,0),1)&gt;=100000,INDEX($V$1005:$AE$1005,1,MATCH(COLUMNS($V$1006:W1006),$V$1006:$AE$1006,0))&gt;=100000), " ",IF(INDEX($V$2:$AE$1001,MATCH(ROWS($O$2:O487),$O$2:$O$1001,0),MATCH(COLUMNS($V$1006:W1006),$V$1006:$AE$1006,0)), HYPERLINK("#",""), HYPERLINK(CONCATENATE("#Metadata!", ADDRESS(INDEX($Q$2:$Q$1001,MATCH(ROWS($O$2:O487),$O$2:$O$1001,0),0), INDEX($V$1004:$AE$1004,1,MATCH(COLUMNS($V$1006:W1006),$V$1006:$AE$1006,0)))),"Fix")))</f>
        <v>0</v>
      </c>
      <c r="D487" s="3">
        <f>IF(OR(INDEX($P$2:$P$1001,MATCH(ROWS($O$2:O487),$O$2:$O$1001,0),1)&gt;=100000,INDEX($V$1005:$AE$1005,1,MATCH(COLUMNS($V$1006:X1006),$V$1006:$AE$1006,0))&gt;=100000), " ",IF(INDEX($V$2:$AE$1001,MATCH(ROWS($O$2:O487),$O$2:$O$1001,0),MATCH(COLUMNS($V$1006:X1006),$V$1006:$AE$1006,0)), HYPERLINK("#",""), HYPERLINK(CONCATENATE("#Metadata!", ADDRESS(INDEX($Q$2:$Q$1001,MATCH(ROWS($O$2:O487),$O$2:$O$1001,0),0), INDEX($V$1004:$AE$1004,1,MATCH(COLUMNS($V$1006:X1006),$V$1006:$AE$1006,0)))),"Fix")))</f>
        <v>0</v>
      </c>
      <c r="E487" s="3">
        <f>IF(OR(INDEX($P$2:$P$1001,MATCH(ROWS($O$2:O487),$O$2:$O$1001,0),1)&gt;=100000,INDEX($V$1005:$AE$1005,1,MATCH(COLUMNS($V$1006:Y1006),$V$1006:$AE$1006,0))&gt;=100000), " ",IF(INDEX($V$2:$AE$1001,MATCH(ROWS($O$2:O487),$O$2:$O$1001,0),MATCH(COLUMNS($V$1006:Y1006),$V$1006:$AE$1006,0)), HYPERLINK("#",""), HYPERLINK(CONCATENATE("#Metadata!", ADDRESS(INDEX($Q$2:$Q$1001,MATCH(ROWS($O$2:O487),$O$2:$O$1001,0),0), INDEX($V$1004:$AE$1004,1,MATCH(COLUMNS($V$1006:Y1006),$V$1006:$AE$1006,0)))),"Fix")))</f>
        <v>0</v>
      </c>
      <c r="F487" s="3">
        <f>IF(OR(INDEX($P$2:$P$1001,MATCH(ROWS($O$2:O487),$O$2:$O$1001,0),1)&gt;=100000,INDEX($V$1005:$AE$1005,1,MATCH(COLUMNS($V$1006:Z1006),$V$1006:$AE$1006,0))&gt;=100000), " ",IF(INDEX($V$2:$AE$1001,MATCH(ROWS($O$2:O487),$O$2:$O$1001,0),MATCH(COLUMNS($V$1006:Z1006),$V$1006:$AE$1006,0)), HYPERLINK("#",""), HYPERLINK(CONCATENATE("#Metadata!", ADDRESS(INDEX($Q$2:$Q$1001,MATCH(ROWS($O$2:O487),$O$2:$O$1001,0),0), INDEX($V$1004:$AE$1004,1,MATCH(COLUMNS($V$1006:Z1006),$V$1006:$AE$1006,0)))),"Fix")))</f>
        <v>0</v>
      </c>
      <c r="G487" s="3">
        <f>IF(OR(INDEX($P$2:$P$1001,MATCH(ROWS($O$2:O487),$O$2:$O$1001,0),1)&gt;=100000,INDEX($V$1005:$AE$1005,1,MATCH(COLUMNS($V$1006:AA1006),$V$1006:$AE$1006,0))&gt;=100000), " ",IF(INDEX($V$2:$AE$1001,MATCH(ROWS($O$2:O487),$O$2:$O$1001,0),MATCH(COLUMNS($V$1006:AA1006),$V$1006:$AE$1006,0)), HYPERLINK("#",""), HYPERLINK(CONCATENATE("#Metadata!", ADDRESS(INDEX($Q$2:$Q$1001,MATCH(ROWS($O$2:O487),$O$2:$O$1001,0),0), INDEX($V$1004:$AE$1004,1,MATCH(COLUMNS($V$1006:AA1006),$V$1006:$AE$1006,0)))),"Fix")))</f>
        <v>0</v>
      </c>
      <c r="H487" s="3">
        <f>IF(OR(INDEX($P$2:$P$1001,MATCH(ROWS($O$2:O487),$O$2:$O$1001,0),1)&gt;=100000,INDEX($V$1005:$AE$1005,1,MATCH(COLUMNS($V$1006:AB1006),$V$1006:$AE$1006,0))&gt;=100000), " ",IF(INDEX($V$2:$AE$1001,MATCH(ROWS($O$2:O487),$O$2:$O$1001,0),MATCH(COLUMNS($V$1006:AB1006),$V$1006:$AE$1006,0)), HYPERLINK("#",""), HYPERLINK(CONCATENATE("#Metadata!", ADDRESS(INDEX($Q$2:$Q$1001,MATCH(ROWS($O$2:O487),$O$2:$O$1001,0),0), INDEX($V$1004:$AE$1004,1,MATCH(COLUMNS($V$1006:AB1006),$V$1006:$AE$1006,0)))),"Fix")))</f>
        <v>0</v>
      </c>
      <c r="I487" s="3">
        <f>IF(OR(INDEX($P$2:$P$1001,MATCH(ROWS($O$2:O487),$O$2:$O$1001,0),1)&gt;=100000,INDEX($V$1005:$AE$1005,1,MATCH(COLUMNS($V$1006:AC1006),$V$1006:$AE$1006,0))&gt;=100000), " ",IF(INDEX($V$2:$AE$1001,MATCH(ROWS($O$2:O487),$O$2:$O$1001,0),MATCH(COLUMNS($V$1006:AC1006),$V$1006:$AE$1006,0)), HYPERLINK("#",""), HYPERLINK(CONCATENATE("#Metadata!", ADDRESS(INDEX($Q$2:$Q$1001,MATCH(ROWS($O$2:O487),$O$2:$O$1001,0),0), INDEX($V$1004:$AE$1004,1,MATCH(COLUMNS($V$1006:AC1006),$V$1006:$AE$1006,0)))),"Fix")))</f>
        <v>0</v>
      </c>
      <c r="J487" s="3">
        <f>IF(OR(INDEX($P$2:$P$1001,MATCH(ROWS($O$2:O487),$O$2:$O$1001,0),1)&gt;=100000,INDEX($V$1005:$AE$1005,1,MATCH(COLUMNS($V$1006:AD1006),$V$1006:$AE$1006,0))&gt;=100000), " ",IF(INDEX($V$2:$AE$1001,MATCH(ROWS($O$2:O487),$O$2:$O$1001,0),MATCH(COLUMNS($V$1006:AD1006),$V$1006:$AE$1006,0)), HYPERLINK("#",""), HYPERLINK(CONCATENATE("#Metadata!", ADDRESS(INDEX($Q$2:$Q$1001,MATCH(ROWS($O$2:O487),$O$2:$O$1001,0),0), INDEX($V$1004:$AE$1004,1,MATCH(COLUMNS($V$1006:AD1006),$V$1006:$AE$1006,0)))),"Fix")))</f>
        <v>0</v>
      </c>
      <c r="K487" s="3">
        <f>IF(OR(INDEX($P$2:$P$1001,MATCH(ROWS($O$2:O487),$O$2:$O$1001,0),1)&gt;=100000,INDEX($V$1005:$AE$1005,1,MATCH(COLUMNS($V$1006:AE1006),$V$1006:$AE$1006,0))&gt;=100000), " ",IF(INDEX($V$2:$AE$1001,MATCH(ROWS($O$2:O487),$O$2:$O$1001,0),MATCH(COLUMNS($V$1006:AE1006),$V$1006:$AE$1006,0)), HYPERLINK("#",""), HYPERLINK(CONCATENATE("#Metadata!", ADDRESS(INDEX($Q$2:$Q$1001,MATCH(ROWS($O$2:O487),$O$2:$O$1001,0),0), INDEX($V$1004:$AE$1004,1,MATCH(COLUMNS($V$1006:AE1006),$V$1006:$AE$1006,0)))),"Fix")))</f>
        <v>0</v>
      </c>
      <c r="O487">
        <v>0</v>
      </c>
      <c r="P487">
        <v>0</v>
      </c>
      <c r="Q487">
        <v>0</v>
      </c>
      <c r="R487">
        <f>IF(S487,TRUE,AND(V487:AE487))</f>
        <v>0</v>
      </c>
      <c r="S487">
        <f>COUNTBLANK(Metadata!B487:K487)=COLUMNS(Metadata!B487:K487)</f>
        <v>0</v>
      </c>
      <c r="T487">
        <v>0</v>
      </c>
      <c r="V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W487">
        <f>AND(IF(Metadata!C487="",FALSE,TRUE),exact(Metadata!C487,"animal secretion"))</f>
        <v>0</v>
      </c>
      <c r="X487">
        <f>AND(IF(Metadata!D487="",FALSE,TRUE),exact(Metadata!D487,"saliva"))</f>
        <v>0</v>
      </c>
      <c r="Y487">
        <f>AND(IF(Metadata!E487="",FALSE,TRUE),exact(Metadata!E487,"human-oral"))</f>
        <v>0</v>
      </c>
      <c r="Z487">
        <f>AND(IF(Metadata!F487="",FALSE,TRUE),exact(Metadata!F487,"UBERON:oral cavity"))</f>
        <v>0</v>
      </c>
      <c r="AA487">
        <f>AND(IF(Metadata!G487="",FALSE,TRUE),exact(Metadata!G487,"UBERON:saliva"))</f>
        <v>0</v>
      </c>
      <c r="AB487">
        <f>AND(IF(Metadata!H487="",FALSE,TRUE),exact(Metadata!H487,"UBERON:tongue"))</f>
        <v>0</v>
      </c>
      <c r="AC487">
        <f>AND(IF(Metadata!I487="",FALSE,TRUE),exact(Metadata!I487,"tongue"))</f>
        <v>0</v>
      </c>
      <c r="AD487">
        <f>AND(IF(Metadata!J487="",FALSE,TRUE),exact(Metadata!J487,"human oral metagenome"))</f>
        <v>0</v>
      </c>
      <c r="AE487">
        <f>AND(IF(Metadata!K487="",FALSE,TRUE),exact(Metadata!K487,"447426"))</f>
        <v>0</v>
      </c>
    </row>
    <row r="488" spans="1:31">
      <c r="A488" s="4">
        <f>IF(B488=" "," ",HYPERLINK(CONCATENATE("#metadata!",ADDRESS(INDEX($Q$2:$Q$1001,MATCH(ROWS($O$2:O488),$O$2:$O$1001,0),0),1)),INDEX($T$2:$T$1001,MATCH(ROWS($O$2:O488),$O$2:$O$1001,0),0)))</f>
        <v>0</v>
      </c>
      <c r="B488" s="3">
        <f>IF(OR(INDEX($P$2:$P$1001,MATCH(ROWS($O$2:O488),$O$2:$O$1001,0),1)&gt;=100000,INDEX($V$1005:$AE$1005,1,MATCH(COLUMNS($V$1006:V1006),$V$1006:$AE$1006,0))&gt;=100000), " ",IF(INDEX($V$2:$AE$1001,MATCH(ROWS($O$2:O488),$O$2:$O$1001,0),MATCH(COLUMNS($V$1006:V1006),$V$1006:$AE$1006,0)), HYPERLINK("#",""), HYPERLINK(CONCATENATE("#Metadata!", ADDRESS(INDEX($Q$2:$Q$1001,MATCH(ROWS($O$2:O488),$O$2:$O$1001,0),0), INDEX($V$1004:$AE$1004,1,MATCH(COLUMNS($V$1006:V1006),$V$1006:$AE$1006,0)))),"Fix")))</f>
        <v>0</v>
      </c>
      <c r="C488" s="3">
        <f>IF(OR(INDEX($P$2:$P$1001,MATCH(ROWS($O$2:O488),$O$2:$O$1001,0),1)&gt;=100000,INDEX($V$1005:$AE$1005,1,MATCH(COLUMNS($V$1006:W1006),$V$1006:$AE$1006,0))&gt;=100000), " ",IF(INDEX($V$2:$AE$1001,MATCH(ROWS($O$2:O488),$O$2:$O$1001,0),MATCH(COLUMNS($V$1006:W1006),$V$1006:$AE$1006,0)), HYPERLINK("#",""), HYPERLINK(CONCATENATE("#Metadata!", ADDRESS(INDEX($Q$2:$Q$1001,MATCH(ROWS($O$2:O488),$O$2:$O$1001,0),0), INDEX($V$1004:$AE$1004,1,MATCH(COLUMNS($V$1006:W1006),$V$1006:$AE$1006,0)))),"Fix")))</f>
        <v>0</v>
      </c>
      <c r="D488" s="3">
        <f>IF(OR(INDEX($P$2:$P$1001,MATCH(ROWS($O$2:O488),$O$2:$O$1001,0),1)&gt;=100000,INDEX($V$1005:$AE$1005,1,MATCH(COLUMNS($V$1006:X1006),$V$1006:$AE$1006,0))&gt;=100000), " ",IF(INDEX($V$2:$AE$1001,MATCH(ROWS($O$2:O488),$O$2:$O$1001,0),MATCH(COLUMNS($V$1006:X1006),$V$1006:$AE$1006,0)), HYPERLINK("#",""), HYPERLINK(CONCATENATE("#Metadata!", ADDRESS(INDEX($Q$2:$Q$1001,MATCH(ROWS($O$2:O488),$O$2:$O$1001,0),0), INDEX($V$1004:$AE$1004,1,MATCH(COLUMNS($V$1006:X1006),$V$1006:$AE$1006,0)))),"Fix")))</f>
        <v>0</v>
      </c>
      <c r="E488" s="3">
        <f>IF(OR(INDEX($P$2:$P$1001,MATCH(ROWS($O$2:O488),$O$2:$O$1001,0),1)&gt;=100000,INDEX($V$1005:$AE$1005,1,MATCH(COLUMNS($V$1006:Y1006),$V$1006:$AE$1006,0))&gt;=100000), " ",IF(INDEX($V$2:$AE$1001,MATCH(ROWS($O$2:O488),$O$2:$O$1001,0),MATCH(COLUMNS($V$1006:Y1006),$V$1006:$AE$1006,0)), HYPERLINK("#",""), HYPERLINK(CONCATENATE("#Metadata!", ADDRESS(INDEX($Q$2:$Q$1001,MATCH(ROWS($O$2:O488),$O$2:$O$1001,0),0), INDEX($V$1004:$AE$1004,1,MATCH(COLUMNS($V$1006:Y1006),$V$1006:$AE$1006,0)))),"Fix")))</f>
        <v>0</v>
      </c>
      <c r="F488" s="3">
        <f>IF(OR(INDEX($P$2:$P$1001,MATCH(ROWS($O$2:O488),$O$2:$O$1001,0),1)&gt;=100000,INDEX($V$1005:$AE$1005,1,MATCH(COLUMNS($V$1006:Z1006),$V$1006:$AE$1006,0))&gt;=100000), " ",IF(INDEX($V$2:$AE$1001,MATCH(ROWS($O$2:O488),$O$2:$O$1001,0),MATCH(COLUMNS($V$1006:Z1006),$V$1006:$AE$1006,0)), HYPERLINK("#",""), HYPERLINK(CONCATENATE("#Metadata!", ADDRESS(INDEX($Q$2:$Q$1001,MATCH(ROWS($O$2:O488),$O$2:$O$1001,0),0), INDEX($V$1004:$AE$1004,1,MATCH(COLUMNS($V$1006:Z1006),$V$1006:$AE$1006,0)))),"Fix")))</f>
        <v>0</v>
      </c>
      <c r="G488" s="3">
        <f>IF(OR(INDEX($P$2:$P$1001,MATCH(ROWS($O$2:O488),$O$2:$O$1001,0),1)&gt;=100000,INDEX($V$1005:$AE$1005,1,MATCH(COLUMNS($V$1006:AA1006),$V$1006:$AE$1006,0))&gt;=100000), " ",IF(INDEX($V$2:$AE$1001,MATCH(ROWS($O$2:O488),$O$2:$O$1001,0),MATCH(COLUMNS($V$1006:AA1006),$V$1006:$AE$1006,0)), HYPERLINK("#",""), HYPERLINK(CONCATENATE("#Metadata!", ADDRESS(INDEX($Q$2:$Q$1001,MATCH(ROWS($O$2:O488),$O$2:$O$1001,0),0), INDEX($V$1004:$AE$1004,1,MATCH(COLUMNS($V$1006:AA1006),$V$1006:$AE$1006,0)))),"Fix")))</f>
        <v>0</v>
      </c>
      <c r="H488" s="3">
        <f>IF(OR(INDEX($P$2:$P$1001,MATCH(ROWS($O$2:O488),$O$2:$O$1001,0),1)&gt;=100000,INDEX($V$1005:$AE$1005,1,MATCH(COLUMNS($V$1006:AB1006),$V$1006:$AE$1006,0))&gt;=100000), " ",IF(INDEX($V$2:$AE$1001,MATCH(ROWS($O$2:O488),$O$2:$O$1001,0),MATCH(COLUMNS($V$1006:AB1006),$V$1006:$AE$1006,0)), HYPERLINK("#",""), HYPERLINK(CONCATENATE("#Metadata!", ADDRESS(INDEX($Q$2:$Q$1001,MATCH(ROWS($O$2:O488),$O$2:$O$1001,0),0), INDEX($V$1004:$AE$1004,1,MATCH(COLUMNS($V$1006:AB1006),$V$1006:$AE$1006,0)))),"Fix")))</f>
        <v>0</v>
      </c>
      <c r="I488" s="3">
        <f>IF(OR(INDEX($P$2:$P$1001,MATCH(ROWS($O$2:O488),$O$2:$O$1001,0),1)&gt;=100000,INDEX($V$1005:$AE$1005,1,MATCH(COLUMNS($V$1006:AC1006),$V$1006:$AE$1006,0))&gt;=100000), " ",IF(INDEX($V$2:$AE$1001,MATCH(ROWS($O$2:O488),$O$2:$O$1001,0),MATCH(COLUMNS($V$1006:AC1006),$V$1006:$AE$1006,0)), HYPERLINK("#",""), HYPERLINK(CONCATENATE("#Metadata!", ADDRESS(INDEX($Q$2:$Q$1001,MATCH(ROWS($O$2:O488),$O$2:$O$1001,0),0), INDEX($V$1004:$AE$1004,1,MATCH(COLUMNS($V$1006:AC1006),$V$1006:$AE$1006,0)))),"Fix")))</f>
        <v>0</v>
      </c>
      <c r="J488" s="3">
        <f>IF(OR(INDEX($P$2:$P$1001,MATCH(ROWS($O$2:O488),$O$2:$O$1001,0),1)&gt;=100000,INDEX($V$1005:$AE$1005,1,MATCH(COLUMNS($V$1006:AD1006),$V$1006:$AE$1006,0))&gt;=100000), " ",IF(INDEX($V$2:$AE$1001,MATCH(ROWS($O$2:O488),$O$2:$O$1001,0),MATCH(COLUMNS($V$1006:AD1006),$V$1006:$AE$1006,0)), HYPERLINK("#",""), HYPERLINK(CONCATENATE("#Metadata!", ADDRESS(INDEX($Q$2:$Q$1001,MATCH(ROWS($O$2:O488),$O$2:$O$1001,0),0), INDEX($V$1004:$AE$1004,1,MATCH(COLUMNS($V$1006:AD1006),$V$1006:$AE$1006,0)))),"Fix")))</f>
        <v>0</v>
      </c>
      <c r="K488" s="3">
        <f>IF(OR(INDEX($P$2:$P$1001,MATCH(ROWS($O$2:O488),$O$2:$O$1001,0),1)&gt;=100000,INDEX($V$1005:$AE$1005,1,MATCH(COLUMNS($V$1006:AE1006),$V$1006:$AE$1006,0))&gt;=100000), " ",IF(INDEX($V$2:$AE$1001,MATCH(ROWS($O$2:O488),$O$2:$O$1001,0),MATCH(COLUMNS($V$1006:AE1006),$V$1006:$AE$1006,0)), HYPERLINK("#",""), HYPERLINK(CONCATENATE("#Metadata!", ADDRESS(INDEX($Q$2:$Q$1001,MATCH(ROWS($O$2:O488),$O$2:$O$1001,0),0), INDEX($V$1004:$AE$1004,1,MATCH(COLUMNS($V$1006:AE1006),$V$1006:$AE$1006,0)))),"Fix")))</f>
        <v>0</v>
      </c>
      <c r="O488">
        <v>0</v>
      </c>
      <c r="P488">
        <v>0</v>
      </c>
      <c r="Q488">
        <v>0</v>
      </c>
      <c r="R488">
        <f>IF(S488,TRUE,AND(V488:AE488))</f>
        <v>0</v>
      </c>
      <c r="S488">
        <f>COUNTBLANK(Metadata!B488:K488)=COLUMNS(Metadata!B488:K488)</f>
        <v>0</v>
      </c>
      <c r="T488">
        <v>0</v>
      </c>
      <c r="V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W488">
        <f>AND(IF(Metadata!C488="",FALSE,TRUE),exact(Metadata!C488,"animal secretion"))</f>
        <v>0</v>
      </c>
      <c r="X488">
        <f>AND(IF(Metadata!D488="",FALSE,TRUE),exact(Metadata!D488,"saliva"))</f>
        <v>0</v>
      </c>
      <c r="Y488">
        <f>AND(IF(Metadata!E488="",FALSE,TRUE),exact(Metadata!E488,"human-oral"))</f>
        <v>0</v>
      </c>
      <c r="Z488">
        <f>AND(IF(Metadata!F488="",FALSE,TRUE),exact(Metadata!F488,"UBERON:oral cavity"))</f>
        <v>0</v>
      </c>
      <c r="AA488">
        <f>AND(IF(Metadata!G488="",FALSE,TRUE),exact(Metadata!G488,"UBERON:saliva"))</f>
        <v>0</v>
      </c>
      <c r="AB488">
        <f>AND(IF(Metadata!H488="",FALSE,TRUE),exact(Metadata!H488,"UBERON:tongue"))</f>
        <v>0</v>
      </c>
      <c r="AC488">
        <f>AND(IF(Metadata!I488="",FALSE,TRUE),exact(Metadata!I488,"tongue"))</f>
        <v>0</v>
      </c>
      <c r="AD488">
        <f>AND(IF(Metadata!J488="",FALSE,TRUE),exact(Metadata!J488,"human oral metagenome"))</f>
        <v>0</v>
      </c>
      <c r="AE488">
        <f>AND(IF(Metadata!K488="",FALSE,TRUE),exact(Metadata!K488,"447426"))</f>
        <v>0</v>
      </c>
    </row>
    <row r="489" spans="1:31">
      <c r="A489" s="4">
        <f>IF(B489=" "," ",HYPERLINK(CONCATENATE("#metadata!",ADDRESS(INDEX($Q$2:$Q$1001,MATCH(ROWS($O$2:O489),$O$2:$O$1001,0),0),1)),INDEX($T$2:$T$1001,MATCH(ROWS($O$2:O489),$O$2:$O$1001,0),0)))</f>
        <v>0</v>
      </c>
      <c r="B489" s="3">
        <f>IF(OR(INDEX($P$2:$P$1001,MATCH(ROWS($O$2:O489),$O$2:$O$1001,0),1)&gt;=100000,INDEX($V$1005:$AE$1005,1,MATCH(COLUMNS($V$1006:V1006),$V$1006:$AE$1006,0))&gt;=100000), " ",IF(INDEX($V$2:$AE$1001,MATCH(ROWS($O$2:O489),$O$2:$O$1001,0),MATCH(COLUMNS($V$1006:V1006),$V$1006:$AE$1006,0)), HYPERLINK("#",""), HYPERLINK(CONCATENATE("#Metadata!", ADDRESS(INDEX($Q$2:$Q$1001,MATCH(ROWS($O$2:O489),$O$2:$O$1001,0),0), INDEX($V$1004:$AE$1004,1,MATCH(COLUMNS($V$1006:V1006),$V$1006:$AE$1006,0)))),"Fix")))</f>
        <v>0</v>
      </c>
      <c r="C489" s="3">
        <f>IF(OR(INDEX($P$2:$P$1001,MATCH(ROWS($O$2:O489),$O$2:$O$1001,0),1)&gt;=100000,INDEX($V$1005:$AE$1005,1,MATCH(COLUMNS($V$1006:W1006),$V$1006:$AE$1006,0))&gt;=100000), " ",IF(INDEX($V$2:$AE$1001,MATCH(ROWS($O$2:O489),$O$2:$O$1001,0),MATCH(COLUMNS($V$1006:W1006),$V$1006:$AE$1006,0)), HYPERLINK("#",""), HYPERLINK(CONCATENATE("#Metadata!", ADDRESS(INDEX($Q$2:$Q$1001,MATCH(ROWS($O$2:O489),$O$2:$O$1001,0),0), INDEX($V$1004:$AE$1004,1,MATCH(COLUMNS($V$1006:W1006),$V$1006:$AE$1006,0)))),"Fix")))</f>
        <v>0</v>
      </c>
      <c r="D489" s="3">
        <f>IF(OR(INDEX($P$2:$P$1001,MATCH(ROWS($O$2:O489),$O$2:$O$1001,0),1)&gt;=100000,INDEX($V$1005:$AE$1005,1,MATCH(COLUMNS($V$1006:X1006),$V$1006:$AE$1006,0))&gt;=100000), " ",IF(INDEX($V$2:$AE$1001,MATCH(ROWS($O$2:O489),$O$2:$O$1001,0),MATCH(COLUMNS($V$1006:X1006),$V$1006:$AE$1006,0)), HYPERLINK("#",""), HYPERLINK(CONCATENATE("#Metadata!", ADDRESS(INDEX($Q$2:$Q$1001,MATCH(ROWS($O$2:O489),$O$2:$O$1001,0),0), INDEX($V$1004:$AE$1004,1,MATCH(COLUMNS($V$1006:X1006),$V$1006:$AE$1006,0)))),"Fix")))</f>
        <v>0</v>
      </c>
      <c r="E489" s="3">
        <f>IF(OR(INDEX($P$2:$P$1001,MATCH(ROWS($O$2:O489),$O$2:$O$1001,0),1)&gt;=100000,INDEX($V$1005:$AE$1005,1,MATCH(COLUMNS($V$1006:Y1006),$V$1006:$AE$1006,0))&gt;=100000), " ",IF(INDEX($V$2:$AE$1001,MATCH(ROWS($O$2:O489),$O$2:$O$1001,0),MATCH(COLUMNS($V$1006:Y1006),$V$1006:$AE$1006,0)), HYPERLINK("#",""), HYPERLINK(CONCATENATE("#Metadata!", ADDRESS(INDEX($Q$2:$Q$1001,MATCH(ROWS($O$2:O489),$O$2:$O$1001,0),0), INDEX($V$1004:$AE$1004,1,MATCH(COLUMNS($V$1006:Y1006),$V$1006:$AE$1006,0)))),"Fix")))</f>
        <v>0</v>
      </c>
      <c r="F489" s="3">
        <f>IF(OR(INDEX($P$2:$P$1001,MATCH(ROWS($O$2:O489),$O$2:$O$1001,0),1)&gt;=100000,INDEX($V$1005:$AE$1005,1,MATCH(COLUMNS($V$1006:Z1006),$V$1006:$AE$1006,0))&gt;=100000), " ",IF(INDEX($V$2:$AE$1001,MATCH(ROWS($O$2:O489),$O$2:$O$1001,0),MATCH(COLUMNS($V$1006:Z1006),$V$1006:$AE$1006,0)), HYPERLINK("#",""), HYPERLINK(CONCATENATE("#Metadata!", ADDRESS(INDEX($Q$2:$Q$1001,MATCH(ROWS($O$2:O489),$O$2:$O$1001,0),0), INDEX($V$1004:$AE$1004,1,MATCH(COLUMNS($V$1006:Z1006),$V$1006:$AE$1006,0)))),"Fix")))</f>
        <v>0</v>
      </c>
      <c r="G489" s="3">
        <f>IF(OR(INDEX($P$2:$P$1001,MATCH(ROWS($O$2:O489),$O$2:$O$1001,0),1)&gt;=100000,INDEX($V$1005:$AE$1005,1,MATCH(COLUMNS($V$1006:AA1006),$V$1006:$AE$1006,0))&gt;=100000), " ",IF(INDEX($V$2:$AE$1001,MATCH(ROWS($O$2:O489),$O$2:$O$1001,0),MATCH(COLUMNS($V$1006:AA1006),$V$1006:$AE$1006,0)), HYPERLINK("#",""), HYPERLINK(CONCATENATE("#Metadata!", ADDRESS(INDEX($Q$2:$Q$1001,MATCH(ROWS($O$2:O489),$O$2:$O$1001,0),0), INDEX($V$1004:$AE$1004,1,MATCH(COLUMNS($V$1006:AA1006),$V$1006:$AE$1006,0)))),"Fix")))</f>
        <v>0</v>
      </c>
      <c r="H489" s="3">
        <f>IF(OR(INDEX($P$2:$P$1001,MATCH(ROWS($O$2:O489),$O$2:$O$1001,0),1)&gt;=100000,INDEX($V$1005:$AE$1005,1,MATCH(COLUMNS($V$1006:AB1006),$V$1006:$AE$1006,0))&gt;=100000), " ",IF(INDEX($V$2:$AE$1001,MATCH(ROWS($O$2:O489),$O$2:$O$1001,0),MATCH(COLUMNS($V$1006:AB1006),$V$1006:$AE$1006,0)), HYPERLINK("#",""), HYPERLINK(CONCATENATE("#Metadata!", ADDRESS(INDEX($Q$2:$Q$1001,MATCH(ROWS($O$2:O489),$O$2:$O$1001,0),0), INDEX($V$1004:$AE$1004,1,MATCH(COLUMNS($V$1006:AB1006),$V$1006:$AE$1006,0)))),"Fix")))</f>
        <v>0</v>
      </c>
      <c r="I489" s="3">
        <f>IF(OR(INDEX($P$2:$P$1001,MATCH(ROWS($O$2:O489),$O$2:$O$1001,0),1)&gt;=100000,INDEX($V$1005:$AE$1005,1,MATCH(COLUMNS($V$1006:AC1006),$V$1006:$AE$1006,0))&gt;=100000), " ",IF(INDEX($V$2:$AE$1001,MATCH(ROWS($O$2:O489),$O$2:$O$1001,0),MATCH(COLUMNS($V$1006:AC1006),$V$1006:$AE$1006,0)), HYPERLINK("#",""), HYPERLINK(CONCATENATE("#Metadata!", ADDRESS(INDEX($Q$2:$Q$1001,MATCH(ROWS($O$2:O489),$O$2:$O$1001,0),0), INDEX($V$1004:$AE$1004,1,MATCH(COLUMNS($V$1006:AC1006),$V$1006:$AE$1006,0)))),"Fix")))</f>
        <v>0</v>
      </c>
      <c r="J489" s="3">
        <f>IF(OR(INDEX($P$2:$P$1001,MATCH(ROWS($O$2:O489),$O$2:$O$1001,0),1)&gt;=100000,INDEX($V$1005:$AE$1005,1,MATCH(COLUMNS($V$1006:AD1006),$V$1006:$AE$1006,0))&gt;=100000), " ",IF(INDEX($V$2:$AE$1001,MATCH(ROWS($O$2:O489),$O$2:$O$1001,0),MATCH(COLUMNS($V$1006:AD1006),$V$1006:$AE$1006,0)), HYPERLINK("#",""), HYPERLINK(CONCATENATE("#Metadata!", ADDRESS(INDEX($Q$2:$Q$1001,MATCH(ROWS($O$2:O489),$O$2:$O$1001,0),0), INDEX($V$1004:$AE$1004,1,MATCH(COLUMNS($V$1006:AD1006),$V$1006:$AE$1006,0)))),"Fix")))</f>
        <v>0</v>
      </c>
      <c r="K489" s="3">
        <f>IF(OR(INDEX($P$2:$P$1001,MATCH(ROWS($O$2:O489),$O$2:$O$1001,0),1)&gt;=100000,INDEX($V$1005:$AE$1005,1,MATCH(COLUMNS($V$1006:AE1006),$V$1006:$AE$1006,0))&gt;=100000), " ",IF(INDEX($V$2:$AE$1001,MATCH(ROWS($O$2:O489),$O$2:$O$1001,0),MATCH(COLUMNS($V$1006:AE1006),$V$1006:$AE$1006,0)), HYPERLINK("#",""), HYPERLINK(CONCATENATE("#Metadata!", ADDRESS(INDEX($Q$2:$Q$1001,MATCH(ROWS($O$2:O489),$O$2:$O$1001,0),0), INDEX($V$1004:$AE$1004,1,MATCH(COLUMNS($V$1006:AE1006),$V$1006:$AE$1006,0)))),"Fix")))</f>
        <v>0</v>
      </c>
      <c r="O489">
        <v>0</v>
      </c>
      <c r="P489">
        <v>0</v>
      </c>
      <c r="Q489">
        <v>0</v>
      </c>
      <c r="R489">
        <f>IF(S489,TRUE,AND(V489:AE489))</f>
        <v>0</v>
      </c>
      <c r="S489">
        <f>COUNTBLANK(Metadata!B489:K489)=COLUMNS(Metadata!B489:K489)</f>
        <v>0</v>
      </c>
      <c r="T489">
        <v>0</v>
      </c>
      <c r="V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W489">
        <f>AND(IF(Metadata!C489="",FALSE,TRUE),exact(Metadata!C489,"animal secretion"))</f>
        <v>0</v>
      </c>
      <c r="X489">
        <f>AND(IF(Metadata!D489="",FALSE,TRUE),exact(Metadata!D489,"saliva"))</f>
        <v>0</v>
      </c>
      <c r="Y489">
        <f>AND(IF(Metadata!E489="",FALSE,TRUE),exact(Metadata!E489,"human-oral"))</f>
        <v>0</v>
      </c>
      <c r="Z489">
        <f>AND(IF(Metadata!F489="",FALSE,TRUE),exact(Metadata!F489,"UBERON:oral cavity"))</f>
        <v>0</v>
      </c>
      <c r="AA489">
        <f>AND(IF(Metadata!G489="",FALSE,TRUE),exact(Metadata!G489,"UBERON:saliva"))</f>
        <v>0</v>
      </c>
      <c r="AB489">
        <f>AND(IF(Metadata!H489="",FALSE,TRUE),exact(Metadata!H489,"UBERON:tongue"))</f>
        <v>0</v>
      </c>
      <c r="AC489">
        <f>AND(IF(Metadata!I489="",FALSE,TRUE),exact(Metadata!I489,"tongue"))</f>
        <v>0</v>
      </c>
      <c r="AD489">
        <f>AND(IF(Metadata!J489="",FALSE,TRUE),exact(Metadata!J489,"human oral metagenome"))</f>
        <v>0</v>
      </c>
      <c r="AE489">
        <f>AND(IF(Metadata!K489="",FALSE,TRUE),exact(Metadata!K489,"447426"))</f>
        <v>0</v>
      </c>
    </row>
    <row r="490" spans="1:31">
      <c r="A490" s="4">
        <f>IF(B490=" "," ",HYPERLINK(CONCATENATE("#metadata!",ADDRESS(INDEX($Q$2:$Q$1001,MATCH(ROWS($O$2:O490),$O$2:$O$1001,0),0),1)),INDEX($T$2:$T$1001,MATCH(ROWS($O$2:O490),$O$2:$O$1001,0),0)))</f>
        <v>0</v>
      </c>
      <c r="B490" s="3">
        <f>IF(OR(INDEX($P$2:$P$1001,MATCH(ROWS($O$2:O490),$O$2:$O$1001,0),1)&gt;=100000,INDEX($V$1005:$AE$1005,1,MATCH(COLUMNS($V$1006:V1006),$V$1006:$AE$1006,0))&gt;=100000), " ",IF(INDEX($V$2:$AE$1001,MATCH(ROWS($O$2:O490),$O$2:$O$1001,0),MATCH(COLUMNS($V$1006:V1006),$V$1006:$AE$1006,0)), HYPERLINK("#",""), HYPERLINK(CONCATENATE("#Metadata!", ADDRESS(INDEX($Q$2:$Q$1001,MATCH(ROWS($O$2:O490),$O$2:$O$1001,0),0), INDEX($V$1004:$AE$1004,1,MATCH(COLUMNS($V$1006:V1006),$V$1006:$AE$1006,0)))),"Fix")))</f>
        <v>0</v>
      </c>
      <c r="C490" s="3">
        <f>IF(OR(INDEX($P$2:$P$1001,MATCH(ROWS($O$2:O490),$O$2:$O$1001,0),1)&gt;=100000,INDEX($V$1005:$AE$1005,1,MATCH(COLUMNS($V$1006:W1006),$V$1006:$AE$1006,0))&gt;=100000), " ",IF(INDEX($V$2:$AE$1001,MATCH(ROWS($O$2:O490),$O$2:$O$1001,0),MATCH(COLUMNS($V$1006:W1006),$V$1006:$AE$1006,0)), HYPERLINK("#",""), HYPERLINK(CONCATENATE("#Metadata!", ADDRESS(INDEX($Q$2:$Q$1001,MATCH(ROWS($O$2:O490),$O$2:$O$1001,0),0), INDEX($V$1004:$AE$1004,1,MATCH(COLUMNS($V$1006:W1006),$V$1006:$AE$1006,0)))),"Fix")))</f>
        <v>0</v>
      </c>
      <c r="D490" s="3">
        <f>IF(OR(INDEX($P$2:$P$1001,MATCH(ROWS($O$2:O490),$O$2:$O$1001,0),1)&gt;=100000,INDEX($V$1005:$AE$1005,1,MATCH(COLUMNS($V$1006:X1006),$V$1006:$AE$1006,0))&gt;=100000), " ",IF(INDEX($V$2:$AE$1001,MATCH(ROWS($O$2:O490),$O$2:$O$1001,0),MATCH(COLUMNS($V$1006:X1006),$V$1006:$AE$1006,0)), HYPERLINK("#",""), HYPERLINK(CONCATENATE("#Metadata!", ADDRESS(INDEX($Q$2:$Q$1001,MATCH(ROWS($O$2:O490),$O$2:$O$1001,0),0), INDEX($V$1004:$AE$1004,1,MATCH(COLUMNS($V$1006:X1006),$V$1006:$AE$1006,0)))),"Fix")))</f>
        <v>0</v>
      </c>
      <c r="E490" s="3">
        <f>IF(OR(INDEX($P$2:$P$1001,MATCH(ROWS($O$2:O490),$O$2:$O$1001,0),1)&gt;=100000,INDEX($V$1005:$AE$1005,1,MATCH(COLUMNS($V$1006:Y1006),$V$1006:$AE$1006,0))&gt;=100000), " ",IF(INDEX($V$2:$AE$1001,MATCH(ROWS($O$2:O490),$O$2:$O$1001,0),MATCH(COLUMNS($V$1006:Y1006),$V$1006:$AE$1006,0)), HYPERLINK("#",""), HYPERLINK(CONCATENATE("#Metadata!", ADDRESS(INDEX($Q$2:$Q$1001,MATCH(ROWS($O$2:O490),$O$2:$O$1001,0),0), INDEX($V$1004:$AE$1004,1,MATCH(COLUMNS($V$1006:Y1006),$V$1006:$AE$1006,0)))),"Fix")))</f>
        <v>0</v>
      </c>
      <c r="F490" s="3">
        <f>IF(OR(INDEX($P$2:$P$1001,MATCH(ROWS($O$2:O490),$O$2:$O$1001,0),1)&gt;=100000,INDEX($V$1005:$AE$1005,1,MATCH(COLUMNS($V$1006:Z1006),$V$1006:$AE$1006,0))&gt;=100000), " ",IF(INDEX($V$2:$AE$1001,MATCH(ROWS($O$2:O490),$O$2:$O$1001,0),MATCH(COLUMNS($V$1006:Z1006),$V$1006:$AE$1006,0)), HYPERLINK("#",""), HYPERLINK(CONCATENATE("#Metadata!", ADDRESS(INDEX($Q$2:$Q$1001,MATCH(ROWS($O$2:O490),$O$2:$O$1001,0),0), INDEX($V$1004:$AE$1004,1,MATCH(COLUMNS($V$1006:Z1006),$V$1006:$AE$1006,0)))),"Fix")))</f>
        <v>0</v>
      </c>
      <c r="G490" s="3">
        <f>IF(OR(INDEX($P$2:$P$1001,MATCH(ROWS($O$2:O490),$O$2:$O$1001,0),1)&gt;=100000,INDEX($V$1005:$AE$1005,1,MATCH(COLUMNS($V$1006:AA1006),$V$1006:$AE$1006,0))&gt;=100000), " ",IF(INDEX($V$2:$AE$1001,MATCH(ROWS($O$2:O490),$O$2:$O$1001,0),MATCH(COLUMNS($V$1006:AA1006),$V$1006:$AE$1006,0)), HYPERLINK("#",""), HYPERLINK(CONCATENATE("#Metadata!", ADDRESS(INDEX($Q$2:$Q$1001,MATCH(ROWS($O$2:O490),$O$2:$O$1001,0),0), INDEX($V$1004:$AE$1004,1,MATCH(COLUMNS($V$1006:AA1006),$V$1006:$AE$1006,0)))),"Fix")))</f>
        <v>0</v>
      </c>
      <c r="H490" s="3">
        <f>IF(OR(INDEX($P$2:$P$1001,MATCH(ROWS($O$2:O490),$O$2:$O$1001,0),1)&gt;=100000,INDEX($V$1005:$AE$1005,1,MATCH(COLUMNS($V$1006:AB1006),$V$1006:$AE$1006,0))&gt;=100000), " ",IF(INDEX($V$2:$AE$1001,MATCH(ROWS($O$2:O490),$O$2:$O$1001,0),MATCH(COLUMNS($V$1006:AB1006),$V$1006:$AE$1006,0)), HYPERLINK("#",""), HYPERLINK(CONCATENATE("#Metadata!", ADDRESS(INDEX($Q$2:$Q$1001,MATCH(ROWS($O$2:O490),$O$2:$O$1001,0),0), INDEX($V$1004:$AE$1004,1,MATCH(COLUMNS($V$1006:AB1006),$V$1006:$AE$1006,0)))),"Fix")))</f>
        <v>0</v>
      </c>
      <c r="I490" s="3">
        <f>IF(OR(INDEX($P$2:$P$1001,MATCH(ROWS($O$2:O490),$O$2:$O$1001,0),1)&gt;=100000,INDEX($V$1005:$AE$1005,1,MATCH(COLUMNS($V$1006:AC1006),$V$1006:$AE$1006,0))&gt;=100000), " ",IF(INDEX($V$2:$AE$1001,MATCH(ROWS($O$2:O490),$O$2:$O$1001,0),MATCH(COLUMNS($V$1006:AC1006),$V$1006:$AE$1006,0)), HYPERLINK("#",""), HYPERLINK(CONCATENATE("#Metadata!", ADDRESS(INDEX($Q$2:$Q$1001,MATCH(ROWS($O$2:O490),$O$2:$O$1001,0),0), INDEX($V$1004:$AE$1004,1,MATCH(COLUMNS($V$1006:AC1006),$V$1006:$AE$1006,0)))),"Fix")))</f>
        <v>0</v>
      </c>
      <c r="J490" s="3">
        <f>IF(OR(INDEX($P$2:$P$1001,MATCH(ROWS($O$2:O490),$O$2:$O$1001,0),1)&gt;=100000,INDEX($V$1005:$AE$1005,1,MATCH(COLUMNS($V$1006:AD1006),$V$1006:$AE$1006,0))&gt;=100000), " ",IF(INDEX($V$2:$AE$1001,MATCH(ROWS($O$2:O490),$O$2:$O$1001,0),MATCH(COLUMNS($V$1006:AD1006),$V$1006:$AE$1006,0)), HYPERLINK("#",""), HYPERLINK(CONCATENATE("#Metadata!", ADDRESS(INDEX($Q$2:$Q$1001,MATCH(ROWS($O$2:O490),$O$2:$O$1001,0),0), INDEX($V$1004:$AE$1004,1,MATCH(COLUMNS($V$1006:AD1006),$V$1006:$AE$1006,0)))),"Fix")))</f>
        <v>0</v>
      </c>
      <c r="K490" s="3">
        <f>IF(OR(INDEX($P$2:$P$1001,MATCH(ROWS($O$2:O490),$O$2:$O$1001,0),1)&gt;=100000,INDEX($V$1005:$AE$1005,1,MATCH(COLUMNS($V$1006:AE1006),$V$1006:$AE$1006,0))&gt;=100000), " ",IF(INDEX($V$2:$AE$1001,MATCH(ROWS($O$2:O490),$O$2:$O$1001,0),MATCH(COLUMNS($V$1006:AE1006),$V$1006:$AE$1006,0)), HYPERLINK("#",""), HYPERLINK(CONCATENATE("#Metadata!", ADDRESS(INDEX($Q$2:$Q$1001,MATCH(ROWS($O$2:O490),$O$2:$O$1001,0),0), INDEX($V$1004:$AE$1004,1,MATCH(COLUMNS($V$1006:AE1006),$V$1006:$AE$1006,0)))),"Fix")))</f>
        <v>0</v>
      </c>
      <c r="O490">
        <v>0</v>
      </c>
      <c r="P490">
        <v>0</v>
      </c>
      <c r="Q490">
        <v>0</v>
      </c>
      <c r="R490">
        <f>IF(S490,TRUE,AND(V490:AE490))</f>
        <v>0</v>
      </c>
      <c r="S490">
        <f>COUNTBLANK(Metadata!B490:K490)=COLUMNS(Metadata!B490:K490)</f>
        <v>0</v>
      </c>
      <c r="T490">
        <v>0</v>
      </c>
      <c r="V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W490">
        <f>AND(IF(Metadata!C490="",FALSE,TRUE),exact(Metadata!C490,"animal secretion"))</f>
        <v>0</v>
      </c>
      <c r="X490">
        <f>AND(IF(Metadata!D490="",FALSE,TRUE),exact(Metadata!D490,"saliva"))</f>
        <v>0</v>
      </c>
      <c r="Y490">
        <f>AND(IF(Metadata!E490="",FALSE,TRUE),exact(Metadata!E490,"human-oral"))</f>
        <v>0</v>
      </c>
      <c r="Z490">
        <f>AND(IF(Metadata!F490="",FALSE,TRUE),exact(Metadata!F490,"UBERON:oral cavity"))</f>
        <v>0</v>
      </c>
      <c r="AA490">
        <f>AND(IF(Metadata!G490="",FALSE,TRUE),exact(Metadata!G490,"UBERON:saliva"))</f>
        <v>0</v>
      </c>
      <c r="AB490">
        <f>AND(IF(Metadata!H490="",FALSE,TRUE),exact(Metadata!H490,"UBERON:tongue"))</f>
        <v>0</v>
      </c>
      <c r="AC490">
        <f>AND(IF(Metadata!I490="",FALSE,TRUE),exact(Metadata!I490,"tongue"))</f>
        <v>0</v>
      </c>
      <c r="AD490">
        <f>AND(IF(Metadata!J490="",FALSE,TRUE),exact(Metadata!J490,"human oral metagenome"))</f>
        <v>0</v>
      </c>
      <c r="AE490">
        <f>AND(IF(Metadata!K490="",FALSE,TRUE),exact(Metadata!K490,"447426"))</f>
        <v>0</v>
      </c>
    </row>
    <row r="491" spans="1:31">
      <c r="A491" s="4">
        <f>IF(B491=" "," ",HYPERLINK(CONCATENATE("#metadata!",ADDRESS(INDEX($Q$2:$Q$1001,MATCH(ROWS($O$2:O491),$O$2:$O$1001,0),0),1)),INDEX($T$2:$T$1001,MATCH(ROWS($O$2:O491),$O$2:$O$1001,0),0)))</f>
        <v>0</v>
      </c>
      <c r="B491" s="3">
        <f>IF(OR(INDEX($P$2:$P$1001,MATCH(ROWS($O$2:O491),$O$2:$O$1001,0),1)&gt;=100000,INDEX($V$1005:$AE$1005,1,MATCH(COLUMNS($V$1006:V1006),$V$1006:$AE$1006,0))&gt;=100000), " ",IF(INDEX($V$2:$AE$1001,MATCH(ROWS($O$2:O491),$O$2:$O$1001,0),MATCH(COLUMNS($V$1006:V1006),$V$1006:$AE$1006,0)), HYPERLINK("#",""), HYPERLINK(CONCATENATE("#Metadata!", ADDRESS(INDEX($Q$2:$Q$1001,MATCH(ROWS($O$2:O491),$O$2:$O$1001,0),0), INDEX($V$1004:$AE$1004,1,MATCH(COLUMNS($V$1006:V1006),$V$1006:$AE$1006,0)))),"Fix")))</f>
        <v>0</v>
      </c>
      <c r="C491" s="3">
        <f>IF(OR(INDEX($P$2:$P$1001,MATCH(ROWS($O$2:O491),$O$2:$O$1001,0),1)&gt;=100000,INDEX($V$1005:$AE$1005,1,MATCH(COLUMNS($V$1006:W1006),$V$1006:$AE$1006,0))&gt;=100000), " ",IF(INDEX($V$2:$AE$1001,MATCH(ROWS($O$2:O491),$O$2:$O$1001,0),MATCH(COLUMNS($V$1006:W1006),$V$1006:$AE$1006,0)), HYPERLINK("#",""), HYPERLINK(CONCATENATE("#Metadata!", ADDRESS(INDEX($Q$2:$Q$1001,MATCH(ROWS($O$2:O491),$O$2:$O$1001,0),0), INDEX($V$1004:$AE$1004,1,MATCH(COLUMNS($V$1006:W1006),$V$1006:$AE$1006,0)))),"Fix")))</f>
        <v>0</v>
      </c>
      <c r="D491" s="3">
        <f>IF(OR(INDEX($P$2:$P$1001,MATCH(ROWS($O$2:O491),$O$2:$O$1001,0),1)&gt;=100000,INDEX($V$1005:$AE$1005,1,MATCH(COLUMNS($V$1006:X1006),$V$1006:$AE$1006,0))&gt;=100000), " ",IF(INDEX($V$2:$AE$1001,MATCH(ROWS($O$2:O491),$O$2:$O$1001,0),MATCH(COLUMNS($V$1006:X1006),$V$1006:$AE$1006,0)), HYPERLINK("#",""), HYPERLINK(CONCATENATE("#Metadata!", ADDRESS(INDEX($Q$2:$Q$1001,MATCH(ROWS($O$2:O491),$O$2:$O$1001,0),0), INDEX($V$1004:$AE$1004,1,MATCH(COLUMNS($V$1006:X1006),$V$1006:$AE$1006,0)))),"Fix")))</f>
        <v>0</v>
      </c>
      <c r="E491" s="3">
        <f>IF(OR(INDEX($P$2:$P$1001,MATCH(ROWS($O$2:O491),$O$2:$O$1001,0),1)&gt;=100000,INDEX($V$1005:$AE$1005,1,MATCH(COLUMNS($V$1006:Y1006),$V$1006:$AE$1006,0))&gt;=100000), " ",IF(INDEX($V$2:$AE$1001,MATCH(ROWS($O$2:O491),$O$2:$O$1001,0),MATCH(COLUMNS($V$1006:Y1006),$V$1006:$AE$1006,0)), HYPERLINK("#",""), HYPERLINK(CONCATENATE("#Metadata!", ADDRESS(INDEX($Q$2:$Q$1001,MATCH(ROWS($O$2:O491),$O$2:$O$1001,0),0), INDEX($V$1004:$AE$1004,1,MATCH(COLUMNS($V$1006:Y1006),$V$1006:$AE$1006,0)))),"Fix")))</f>
        <v>0</v>
      </c>
      <c r="F491" s="3">
        <f>IF(OR(INDEX($P$2:$P$1001,MATCH(ROWS($O$2:O491),$O$2:$O$1001,0),1)&gt;=100000,INDEX($V$1005:$AE$1005,1,MATCH(COLUMNS($V$1006:Z1006),$V$1006:$AE$1006,0))&gt;=100000), " ",IF(INDEX($V$2:$AE$1001,MATCH(ROWS($O$2:O491),$O$2:$O$1001,0),MATCH(COLUMNS($V$1006:Z1006),$V$1006:$AE$1006,0)), HYPERLINK("#",""), HYPERLINK(CONCATENATE("#Metadata!", ADDRESS(INDEX($Q$2:$Q$1001,MATCH(ROWS($O$2:O491),$O$2:$O$1001,0),0), INDEX($V$1004:$AE$1004,1,MATCH(COLUMNS($V$1006:Z1006),$V$1006:$AE$1006,0)))),"Fix")))</f>
        <v>0</v>
      </c>
      <c r="G491" s="3">
        <f>IF(OR(INDEX($P$2:$P$1001,MATCH(ROWS($O$2:O491),$O$2:$O$1001,0),1)&gt;=100000,INDEX($V$1005:$AE$1005,1,MATCH(COLUMNS($V$1006:AA1006),$V$1006:$AE$1006,0))&gt;=100000), " ",IF(INDEX($V$2:$AE$1001,MATCH(ROWS($O$2:O491),$O$2:$O$1001,0),MATCH(COLUMNS($V$1006:AA1006),$V$1006:$AE$1006,0)), HYPERLINK("#",""), HYPERLINK(CONCATENATE("#Metadata!", ADDRESS(INDEX($Q$2:$Q$1001,MATCH(ROWS($O$2:O491),$O$2:$O$1001,0),0), INDEX($V$1004:$AE$1004,1,MATCH(COLUMNS($V$1006:AA1006),$V$1006:$AE$1006,0)))),"Fix")))</f>
        <v>0</v>
      </c>
      <c r="H491" s="3">
        <f>IF(OR(INDEX($P$2:$P$1001,MATCH(ROWS($O$2:O491),$O$2:$O$1001,0),1)&gt;=100000,INDEX($V$1005:$AE$1005,1,MATCH(COLUMNS($V$1006:AB1006),$V$1006:$AE$1006,0))&gt;=100000), " ",IF(INDEX($V$2:$AE$1001,MATCH(ROWS($O$2:O491),$O$2:$O$1001,0),MATCH(COLUMNS($V$1006:AB1006),$V$1006:$AE$1006,0)), HYPERLINK("#",""), HYPERLINK(CONCATENATE("#Metadata!", ADDRESS(INDEX($Q$2:$Q$1001,MATCH(ROWS($O$2:O491),$O$2:$O$1001,0),0), INDEX($V$1004:$AE$1004,1,MATCH(COLUMNS($V$1006:AB1006),$V$1006:$AE$1006,0)))),"Fix")))</f>
        <v>0</v>
      </c>
      <c r="I491" s="3">
        <f>IF(OR(INDEX($P$2:$P$1001,MATCH(ROWS($O$2:O491),$O$2:$O$1001,0),1)&gt;=100000,INDEX($V$1005:$AE$1005,1,MATCH(COLUMNS($V$1006:AC1006),$V$1006:$AE$1006,0))&gt;=100000), " ",IF(INDEX($V$2:$AE$1001,MATCH(ROWS($O$2:O491),$O$2:$O$1001,0),MATCH(COLUMNS($V$1006:AC1006),$V$1006:$AE$1006,0)), HYPERLINK("#",""), HYPERLINK(CONCATENATE("#Metadata!", ADDRESS(INDEX($Q$2:$Q$1001,MATCH(ROWS($O$2:O491),$O$2:$O$1001,0),0), INDEX($V$1004:$AE$1004,1,MATCH(COLUMNS($V$1006:AC1006),$V$1006:$AE$1006,0)))),"Fix")))</f>
        <v>0</v>
      </c>
      <c r="J491" s="3">
        <f>IF(OR(INDEX($P$2:$P$1001,MATCH(ROWS($O$2:O491),$O$2:$O$1001,0),1)&gt;=100000,INDEX($V$1005:$AE$1005,1,MATCH(COLUMNS($V$1006:AD1006),$V$1006:$AE$1006,0))&gt;=100000), " ",IF(INDEX($V$2:$AE$1001,MATCH(ROWS($O$2:O491),$O$2:$O$1001,0),MATCH(COLUMNS($V$1006:AD1006),$V$1006:$AE$1006,0)), HYPERLINK("#",""), HYPERLINK(CONCATENATE("#Metadata!", ADDRESS(INDEX($Q$2:$Q$1001,MATCH(ROWS($O$2:O491),$O$2:$O$1001,0),0), INDEX($V$1004:$AE$1004,1,MATCH(COLUMNS($V$1006:AD1006),$V$1006:$AE$1006,0)))),"Fix")))</f>
        <v>0</v>
      </c>
      <c r="K491" s="3">
        <f>IF(OR(INDEX($P$2:$P$1001,MATCH(ROWS($O$2:O491),$O$2:$O$1001,0),1)&gt;=100000,INDEX($V$1005:$AE$1005,1,MATCH(COLUMNS($V$1006:AE1006),$V$1006:$AE$1006,0))&gt;=100000), " ",IF(INDEX($V$2:$AE$1001,MATCH(ROWS($O$2:O491),$O$2:$O$1001,0),MATCH(COLUMNS($V$1006:AE1006),$V$1006:$AE$1006,0)), HYPERLINK("#",""), HYPERLINK(CONCATENATE("#Metadata!", ADDRESS(INDEX($Q$2:$Q$1001,MATCH(ROWS($O$2:O491),$O$2:$O$1001,0),0), INDEX($V$1004:$AE$1004,1,MATCH(COLUMNS($V$1006:AE1006),$V$1006:$AE$1006,0)))),"Fix")))</f>
        <v>0</v>
      </c>
      <c r="O491">
        <v>0</v>
      </c>
      <c r="P491">
        <v>0</v>
      </c>
      <c r="Q491">
        <v>0</v>
      </c>
      <c r="R491">
        <f>IF(S491,TRUE,AND(V491:AE491))</f>
        <v>0</v>
      </c>
      <c r="S491">
        <f>COUNTBLANK(Metadata!B491:K491)=COLUMNS(Metadata!B491:K491)</f>
        <v>0</v>
      </c>
      <c r="T491">
        <v>0</v>
      </c>
      <c r="V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W491">
        <f>AND(IF(Metadata!C491="",FALSE,TRUE),exact(Metadata!C491,"animal secretion"))</f>
        <v>0</v>
      </c>
      <c r="X491">
        <f>AND(IF(Metadata!D491="",FALSE,TRUE),exact(Metadata!D491,"saliva"))</f>
        <v>0</v>
      </c>
      <c r="Y491">
        <f>AND(IF(Metadata!E491="",FALSE,TRUE),exact(Metadata!E491,"human-oral"))</f>
        <v>0</v>
      </c>
      <c r="Z491">
        <f>AND(IF(Metadata!F491="",FALSE,TRUE),exact(Metadata!F491,"UBERON:oral cavity"))</f>
        <v>0</v>
      </c>
      <c r="AA491">
        <f>AND(IF(Metadata!G491="",FALSE,TRUE),exact(Metadata!G491,"UBERON:saliva"))</f>
        <v>0</v>
      </c>
      <c r="AB491">
        <f>AND(IF(Metadata!H491="",FALSE,TRUE),exact(Metadata!H491,"UBERON:tongue"))</f>
        <v>0</v>
      </c>
      <c r="AC491">
        <f>AND(IF(Metadata!I491="",FALSE,TRUE),exact(Metadata!I491,"tongue"))</f>
        <v>0</v>
      </c>
      <c r="AD491">
        <f>AND(IF(Metadata!J491="",FALSE,TRUE),exact(Metadata!J491,"human oral metagenome"))</f>
        <v>0</v>
      </c>
      <c r="AE491">
        <f>AND(IF(Metadata!K491="",FALSE,TRUE),exact(Metadata!K491,"447426"))</f>
        <v>0</v>
      </c>
    </row>
    <row r="492" spans="1:31">
      <c r="A492" s="4">
        <f>IF(B492=" "," ",HYPERLINK(CONCATENATE("#metadata!",ADDRESS(INDEX($Q$2:$Q$1001,MATCH(ROWS($O$2:O492),$O$2:$O$1001,0),0),1)),INDEX($T$2:$T$1001,MATCH(ROWS($O$2:O492),$O$2:$O$1001,0),0)))</f>
        <v>0</v>
      </c>
      <c r="B492" s="3">
        <f>IF(OR(INDEX($P$2:$P$1001,MATCH(ROWS($O$2:O492),$O$2:$O$1001,0),1)&gt;=100000,INDEX($V$1005:$AE$1005,1,MATCH(COLUMNS($V$1006:V1006),$V$1006:$AE$1006,0))&gt;=100000), " ",IF(INDEX($V$2:$AE$1001,MATCH(ROWS($O$2:O492),$O$2:$O$1001,0),MATCH(COLUMNS($V$1006:V1006),$V$1006:$AE$1006,0)), HYPERLINK("#",""), HYPERLINK(CONCATENATE("#Metadata!", ADDRESS(INDEX($Q$2:$Q$1001,MATCH(ROWS($O$2:O492),$O$2:$O$1001,0),0), INDEX($V$1004:$AE$1004,1,MATCH(COLUMNS($V$1006:V1006),$V$1006:$AE$1006,0)))),"Fix")))</f>
        <v>0</v>
      </c>
      <c r="C492" s="3">
        <f>IF(OR(INDEX($P$2:$P$1001,MATCH(ROWS($O$2:O492),$O$2:$O$1001,0),1)&gt;=100000,INDEX($V$1005:$AE$1005,1,MATCH(COLUMNS($V$1006:W1006),$V$1006:$AE$1006,0))&gt;=100000), " ",IF(INDEX($V$2:$AE$1001,MATCH(ROWS($O$2:O492),$O$2:$O$1001,0),MATCH(COLUMNS($V$1006:W1006),$V$1006:$AE$1006,0)), HYPERLINK("#",""), HYPERLINK(CONCATENATE("#Metadata!", ADDRESS(INDEX($Q$2:$Q$1001,MATCH(ROWS($O$2:O492),$O$2:$O$1001,0),0), INDEX($V$1004:$AE$1004,1,MATCH(COLUMNS($V$1006:W1006),$V$1006:$AE$1006,0)))),"Fix")))</f>
        <v>0</v>
      </c>
      <c r="D492" s="3">
        <f>IF(OR(INDEX($P$2:$P$1001,MATCH(ROWS($O$2:O492),$O$2:$O$1001,0),1)&gt;=100000,INDEX($V$1005:$AE$1005,1,MATCH(COLUMNS($V$1006:X1006),$V$1006:$AE$1006,0))&gt;=100000), " ",IF(INDEX($V$2:$AE$1001,MATCH(ROWS($O$2:O492),$O$2:$O$1001,0),MATCH(COLUMNS($V$1006:X1006),$V$1006:$AE$1006,0)), HYPERLINK("#",""), HYPERLINK(CONCATENATE("#Metadata!", ADDRESS(INDEX($Q$2:$Q$1001,MATCH(ROWS($O$2:O492),$O$2:$O$1001,0),0), INDEX($V$1004:$AE$1004,1,MATCH(COLUMNS($V$1006:X1006),$V$1006:$AE$1006,0)))),"Fix")))</f>
        <v>0</v>
      </c>
      <c r="E492" s="3">
        <f>IF(OR(INDEX($P$2:$P$1001,MATCH(ROWS($O$2:O492),$O$2:$O$1001,0),1)&gt;=100000,INDEX($V$1005:$AE$1005,1,MATCH(COLUMNS($V$1006:Y1006),$V$1006:$AE$1006,0))&gt;=100000), " ",IF(INDEX($V$2:$AE$1001,MATCH(ROWS($O$2:O492),$O$2:$O$1001,0),MATCH(COLUMNS($V$1006:Y1006),$V$1006:$AE$1006,0)), HYPERLINK("#",""), HYPERLINK(CONCATENATE("#Metadata!", ADDRESS(INDEX($Q$2:$Q$1001,MATCH(ROWS($O$2:O492),$O$2:$O$1001,0),0), INDEX($V$1004:$AE$1004,1,MATCH(COLUMNS($V$1006:Y1006),$V$1006:$AE$1006,0)))),"Fix")))</f>
        <v>0</v>
      </c>
      <c r="F492" s="3">
        <f>IF(OR(INDEX($P$2:$P$1001,MATCH(ROWS($O$2:O492),$O$2:$O$1001,0),1)&gt;=100000,INDEX($V$1005:$AE$1005,1,MATCH(COLUMNS($V$1006:Z1006),$V$1006:$AE$1006,0))&gt;=100000), " ",IF(INDEX($V$2:$AE$1001,MATCH(ROWS($O$2:O492),$O$2:$O$1001,0),MATCH(COLUMNS($V$1006:Z1006),$V$1006:$AE$1006,0)), HYPERLINK("#",""), HYPERLINK(CONCATENATE("#Metadata!", ADDRESS(INDEX($Q$2:$Q$1001,MATCH(ROWS($O$2:O492),$O$2:$O$1001,0),0), INDEX($V$1004:$AE$1004,1,MATCH(COLUMNS($V$1006:Z1006),$V$1006:$AE$1006,0)))),"Fix")))</f>
        <v>0</v>
      </c>
      <c r="G492" s="3">
        <f>IF(OR(INDEX($P$2:$P$1001,MATCH(ROWS($O$2:O492),$O$2:$O$1001,0),1)&gt;=100000,INDEX($V$1005:$AE$1005,1,MATCH(COLUMNS($V$1006:AA1006),$V$1006:$AE$1006,0))&gt;=100000), " ",IF(INDEX($V$2:$AE$1001,MATCH(ROWS($O$2:O492),$O$2:$O$1001,0),MATCH(COLUMNS($V$1006:AA1006),$V$1006:$AE$1006,0)), HYPERLINK("#",""), HYPERLINK(CONCATENATE("#Metadata!", ADDRESS(INDEX($Q$2:$Q$1001,MATCH(ROWS($O$2:O492),$O$2:$O$1001,0),0), INDEX($V$1004:$AE$1004,1,MATCH(COLUMNS($V$1006:AA1006),$V$1006:$AE$1006,0)))),"Fix")))</f>
        <v>0</v>
      </c>
      <c r="H492" s="3">
        <f>IF(OR(INDEX($P$2:$P$1001,MATCH(ROWS($O$2:O492),$O$2:$O$1001,0),1)&gt;=100000,INDEX($V$1005:$AE$1005,1,MATCH(COLUMNS($V$1006:AB1006),$V$1006:$AE$1006,0))&gt;=100000), " ",IF(INDEX($V$2:$AE$1001,MATCH(ROWS($O$2:O492),$O$2:$O$1001,0),MATCH(COLUMNS($V$1006:AB1006),$V$1006:$AE$1006,0)), HYPERLINK("#",""), HYPERLINK(CONCATENATE("#Metadata!", ADDRESS(INDEX($Q$2:$Q$1001,MATCH(ROWS($O$2:O492),$O$2:$O$1001,0),0), INDEX($V$1004:$AE$1004,1,MATCH(COLUMNS($V$1006:AB1006),$V$1006:$AE$1006,0)))),"Fix")))</f>
        <v>0</v>
      </c>
      <c r="I492" s="3">
        <f>IF(OR(INDEX($P$2:$P$1001,MATCH(ROWS($O$2:O492),$O$2:$O$1001,0),1)&gt;=100000,INDEX($V$1005:$AE$1005,1,MATCH(COLUMNS($V$1006:AC1006),$V$1006:$AE$1006,0))&gt;=100000), " ",IF(INDEX($V$2:$AE$1001,MATCH(ROWS($O$2:O492),$O$2:$O$1001,0),MATCH(COLUMNS($V$1006:AC1006),$V$1006:$AE$1006,0)), HYPERLINK("#",""), HYPERLINK(CONCATENATE("#Metadata!", ADDRESS(INDEX($Q$2:$Q$1001,MATCH(ROWS($O$2:O492),$O$2:$O$1001,0),0), INDEX($V$1004:$AE$1004,1,MATCH(COLUMNS($V$1006:AC1006),$V$1006:$AE$1006,0)))),"Fix")))</f>
        <v>0</v>
      </c>
      <c r="J492" s="3">
        <f>IF(OR(INDEX($P$2:$P$1001,MATCH(ROWS($O$2:O492),$O$2:$O$1001,0),1)&gt;=100000,INDEX($V$1005:$AE$1005,1,MATCH(COLUMNS($V$1006:AD1006),$V$1006:$AE$1006,0))&gt;=100000), " ",IF(INDEX($V$2:$AE$1001,MATCH(ROWS($O$2:O492),$O$2:$O$1001,0),MATCH(COLUMNS($V$1006:AD1006),$V$1006:$AE$1006,0)), HYPERLINK("#",""), HYPERLINK(CONCATENATE("#Metadata!", ADDRESS(INDEX($Q$2:$Q$1001,MATCH(ROWS($O$2:O492),$O$2:$O$1001,0),0), INDEX($V$1004:$AE$1004,1,MATCH(COLUMNS($V$1006:AD1006),$V$1006:$AE$1006,0)))),"Fix")))</f>
        <v>0</v>
      </c>
      <c r="K492" s="3">
        <f>IF(OR(INDEX($P$2:$P$1001,MATCH(ROWS($O$2:O492),$O$2:$O$1001,0),1)&gt;=100000,INDEX($V$1005:$AE$1005,1,MATCH(COLUMNS($V$1006:AE1006),$V$1006:$AE$1006,0))&gt;=100000), " ",IF(INDEX($V$2:$AE$1001,MATCH(ROWS($O$2:O492),$O$2:$O$1001,0),MATCH(COLUMNS($V$1006:AE1006),$V$1006:$AE$1006,0)), HYPERLINK("#",""), HYPERLINK(CONCATENATE("#Metadata!", ADDRESS(INDEX($Q$2:$Q$1001,MATCH(ROWS($O$2:O492),$O$2:$O$1001,0),0), INDEX($V$1004:$AE$1004,1,MATCH(COLUMNS($V$1006:AE1006),$V$1006:$AE$1006,0)))),"Fix")))</f>
        <v>0</v>
      </c>
      <c r="O492">
        <v>0</v>
      </c>
      <c r="P492">
        <v>0</v>
      </c>
      <c r="Q492">
        <v>0</v>
      </c>
      <c r="R492">
        <f>IF(S492,TRUE,AND(V492:AE492))</f>
        <v>0</v>
      </c>
      <c r="S492">
        <f>COUNTBLANK(Metadata!B492:K492)=COLUMNS(Metadata!B492:K492)</f>
        <v>0</v>
      </c>
      <c r="T492">
        <v>0</v>
      </c>
      <c r="V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W492">
        <f>AND(IF(Metadata!C492="",FALSE,TRUE),exact(Metadata!C492,"animal secretion"))</f>
        <v>0</v>
      </c>
      <c r="X492">
        <f>AND(IF(Metadata!D492="",FALSE,TRUE),exact(Metadata!D492,"saliva"))</f>
        <v>0</v>
      </c>
      <c r="Y492">
        <f>AND(IF(Metadata!E492="",FALSE,TRUE),exact(Metadata!E492,"human-oral"))</f>
        <v>0</v>
      </c>
      <c r="Z492">
        <f>AND(IF(Metadata!F492="",FALSE,TRUE),exact(Metadata!F492,"UBERON:oral cavity"))</f>
        <v>0</v>
      </c>
      <c r="AA492">
        <f>AND(IF(Metadata!G492="",FALSE,TRUE),exact(Metadata!G492,"UBERON:saliva"))</f>
        <v>0</v>
      </c>
      <c r="AB492">
        <f>AND(IF(Metadata!H492="",FALSE,TRUE),exact(Metadata!H492,"UBERON:tongue"))</f>
        <v>0</v>
      </c>
      <c r="AC492">
        <f>AND(IF(Metadata!I492="",FALSE,TRUE),exact(Metadata!I492,"tongue"))</f>
        <v>0</v>
      </c>
      <c r="AD492">
        <f>AND(IF(Metadata!J492="",FALSE,TRUE),exact(Metadata!J492,"human oral metagenome"))</f>
        <v>0</v>
      </c>
      <c r="AE492">
        <f>AND(IF(Metadata!K492="",FALSE,TRUE),exact(Metadata!K492,"447426"))</f>
        <v>0</v>
      </c>
    </row>
    <row r="493" spans="1:31">
      <c r="A493" s="4">
        <f>IF(B493=" "," ",HYPERLINK(CONCATENATE("#metadata!",ADDRESS(INDEX($Q$2:$Q$1001,MATCH(ROWS($O$2:O493),$O$2:$O$1001,0),0),1)),INDEX($T$2:$T$1001,MATCH(ROWS($O$2:O493),$O$2:$O$1001,0),0)))</f>
        <v>0</v>
      </c>
      <c r="B493" s="3">
        <f>IF(OR(INDEX($P$2:$P$1001,MATCH(ROWS($O$2:O493),$O$2:$O$1001,0),1)&gt;=100000,INDEX($V$1005:$AE$1005,1,MATCH(COLUMNS($V$1006:V1006),$V$1006:$AE$1006,0))&gt;=100000), " ",IF(INDEX($V$2:$AE$1001,MATCH(ROWS($O$2:O493),$O$2:$O$1001,0),MATCH(COLUMNS($V$1006:V1006),$V$1006:$AE$1006,0)), HYPERLINK("#",""), HYPERLINK(CONCATENATE("#Metadata!", ADDRESS(INDEX($Q$2:$Q$1001,MATCH(ROWS($O$2:O493),$O$2:$O$1001,0),0), INDEX($V$1004:$AE$1004,1,MATCH(COLUMNS($V$1006:V1006),$V$1006:$AE$1006,0)))),"Fix")))</f>
        <v>0</v>
      </c>
      <c r="C493" s="3">
        <f>IF(OR(INDEX($P$2:$P$1001,MATCH(ROWS($O$2:O493),$O$2:$O$1001,0),1)&gt;=100000,INDEX($V$1005:$AE$1005,1,MATCH(COLUMNS($V$1006:W1006),$V$1006:$AE$1006,0))&gt;=100000), " ",IF(INDEX($V$2:$AE$1001,MATCH(ROWS($O$2:O493),$O$2:$O$1001,0),MATCH(COLUMNS($V$1006:W1006),$V$1006:$AE$1006,0)), HYPERLINK("#",""), HYPERLINK(CONCATENATE("#Metadata!", ADDRESS(INDEX($Q$2:$Q$1001,MATCH(ROWS($O$2:O493),$O$2:$O$1001,0),0), INDEX($V$1004:$AE$1004,1,MATCH(COLUMNS($V$1006:W1006),$V$1006:$AE$1006,0)))),"Fix")))</f>
        <v>0</v>
      </c>
      <c r="D493" s="3">
        <f>IF(OR(INDEX($P$2:$P$1001,MATCH(ROWS($O$2:O493),$O$2:$O$1001,0),1)&gt;=100000,INDEX($V$1005:$AE$1005,1,MATCH(COLUMNS($V$1006:X1006),$V$1006:$AE$1006,0))&gt;=100000), " ",IF(INDEX($V$2:$AE$1001,MATCH(ROWS($O$2:O493),$O$2:$O$1001,0),MATCH(COLUMNS($V$1006:X1006),$V$1006:$AE$1006,0)), HYPERLINK("#",""), HYPERLINK(CONCATENATE("#Metadata!", ADDRESS(INDEX($Q$2:$Q$1001,MATCH(ROWS($O$2:O493),$O$2:$O$1001,0),0), INDEX($V$1004:$AE$1004,1,MATCH(COLUMNS($V$1006:X1006),$V$1006:$AE$1006,0)))),"Fix")))</f>
        <v>0</v>
      </c>
      <c r="E493" s="3">
        <f>IF(OR(INDEX($P$2:$P$1001,MATCH(ROWS($O$2:O493),$O$2:$O$1001,0),1)&gt;=100000,INDEX($V$1005:$AE$1005,1,MATCH(COLUMNS($V$1006:Y1006),$V$1006:$AE$1006,0))&gt;=100000), " ",IF(INDEX($V$2:$AE$1001,MATCH(ROWS($O$2:O493),$O$2:$O$1001,0),MATCH(COLUMNS($V$1006:Y1006),$V$1006:$AE$1006,0)), HYPERLINK("#",""), HYPERLINK(CONCATENATE("#Metadata!", ADDRESS(INDEX($Q$2:$Q$1001,MATCH(ROWS($O$2:O493),$O$2:$O$1001,0),0), INDEX($V$1004:$AE$1004,1,MATCH(COLUMNS($V$1006:Y1006),$V$1006:$AE$1006,0)))),"Fix")))</f>
        <v>0</v>
      </c>
      <c r="F493" s="3">
        <f>IF(OR(INDEX($P$2:$P$1001,MATCH(ROWS($O$2:O493),$O$2:$O$1001,0),1)&gt;=100000,INDEX($V$1005:$AE$1005,1,MATCH(COLUMNS($V$1006:Z1006),$V$1006:$AE$1006,0))&gt;=100000), " ",IF(INDEX($V$2:$AE$1001,MATCH(ROWS($O$2:O493),$O$2:$O$1001,0),MATCH(COLUMNS($V$1006:Z1006),$V$1006:$AE$1006,0)), HYPERLINK("#",""), HYPERLINK(CONCATENATE("#Metadata!", ADDRESS(INDEX($Q$2:$Q$1001,MATCH(ROWS($O$2:O493),$O$2:$O$1001,0),0), INDEX($V$1004:$AE$1004,1,MATCH(COLUMNS($V$1006:Z1006),$V$1006:$AE$1006,0)))),"Fix")))</f>
        <v>0</v>
      </c>
      <c r="G493" s="3">
        <f>IF(OR(INDEX($P$2:$P$1001,MATCH(ROWS($O$2:O493),$O$2:$O$1001,0),1)&gt;=100000,INDEX($V$1005:$AE$1005,1,MATCH(COLUMNS($V$1006:AA1006),$V$1006:$AE$1006,0))&gt;=100000), " ",IF(INDEX($V$2:$AE$1001,MATCH(ROWS($O$2:O493),$O$2:$O$1001,0),MATCH(COLUMNS($V$1006:AA1006),$V$1006:$AE$1006,0)), HYPERLINK("#",""), HYPERLINK(CONCATENATE("#Metadata!", ADDRESS(INDEX($Q$2:$Q$1001,MATCH(ROWS($O$2:O493),$O$2:$O$1001,0),0), INDEX($V$1004:$AE$1004,1,MATCH(COLUMNS($V$1006:AA1006),$V$1006:$AE$1006,0)))),"Fix")))</f>
        <v>0</v>
      </c>
      <c r="H493" s="3">
        <f>IF(OR(INDEX($P$2:$P$1001,MATCH(ROWS($O$2:O493),$O$2:$O$1001,0),1)&gt;=100000,INDEX($V$1005:$AE$1005,1,MATCH(COLUMNS($V$1006:AB1006),$V$1006:$AE$1006,0))&gt;=100000), " ",IF(INDEX($V$2:$AE$1001,MATCH(ROWS($O$2:O493),$O$2:$O$1001,0),MATCH(COLUMNS($V$1006:AB1006),$V$1006:$AE$1006,0)), HYPERLINK("#",""), HYPERLINK(CONCATENATE("#Metadata!", ADDRESS(INDEX($Q$2:$Q$1001,MATCH(ROWS($O$2:O493),$O$2:$O$1001,0),0), INDEX($V$1004:$AE$1004,1,MATCH(COLUMNS($V$1006:AB1006),$V$1006:$AE$1006,0)))),"Fix")))</f>
        <v>0</v>
      </c>
      <c r="I493" s="3">
        <f>IF(OR(INDEX($P$2:$P$1001,MATCH(ROWS($O$2:O493),$O$2:$O$1001,0),1)&gt;=100000,INDEX($V$1005:$AE$1005,1,MATCH(COLUMNS($V$1006:AC1006),$V$1006:$AE$1006,0))&gt;=100000), " ",IF(INDEX($V$2:$AE$1001,MATCH(ROWS($O$2:O493),$O$2:$O$1001,0),MATCH(COLUMNS($V$1006:AC1006),$V$1006:$AE$1006,0)), HYPERLINK("#",""), HYPERLINK(CONCATENATE("#Metadata!", ADDRESS(INDEX($Q$2:$Q$1001,MATCH(ROWS($O$2:O493),$O$2:$O$1001,0),0), INDEX($V$1004:$AE$1004,1,MATCH(COLUMNS($V$1006:AC1006),$V$1006:$AE$1006,0)))),"Fix")))</f>
        <v>0</v>
      </c>
      <c r="J493" s="3">
        <f>IF(OR(INDEX($P$2:$P$1001,MATCH(ROWS($O$2:O493),$O$2:$O$1001,0),1)&gt;=100000,INDEX($V$1005:$AE$1005,1,MATCH(COLUMNS($V$1006:AD1006),$V$1006:$AE$1006,0))&gt;=100000), " ",IF(INDEX($V$2:$AE$1001,MATCH(ROWS($O$2:O493),$O$2:$O$1001,0),MATCH(COLUMNS($V$1006:AD1006),$V$1006:$AE$1006,0)), HYPERLINK("#",""), HYPERLINK(CONCATENATE("#Metadata!", ADDRESS(INDEX($Q$2:$Q$1001,MATCH(ROWS($O$2:O493),$O$2:$O$1001,0),0), INDEX($V$1004:$AE$1004,1,MATCH(COLUMNS($V$1006:AD1006),$V$1006:$AE$1006,0)))),"Fix")))</f>
        <v>0</v>
      </c>
      <c r="K493" s="3">
        <f>IF(OR(INDEX($P$2:$P$1001,MATCH(ROWS($O$2:O493),$O$2:$O$1001,0),1)&gt;=100000,INDEX($V$1005:$AE$1005,1,MATCH(COLUMNS($V$1006:AE1006),$V$1006:$AE$1006,0))&gt;=100000), " ",IF(INDEX($V$2:$AE$1001,MATCH(ROWS($O$2:O493),$O$2:$O$1001,0),MATCH(COLUMNS($V$1006:AE1006),$V$1006:$AE$1006,0)), HYPERLINK("#",""), HYPERLINK(CONCATENATE("#Metadata!", ADDRESS(INDEX($Q$2:$Q$1001,MATCH(ROWS($O$2:O493),$O$2:$O$1001,0),0), INDEX($V$1004:$AE$1004,1,MATCH(COLUMNS($V$1006:AE1006),$V$1006:$AE$1006,0)))),"Fix")))</f>
        <v>0</v>
      </c>
      <c r="O493">
        <v>0</v>
      </c>
      <c r="P493">
        <v>0</v>
      </c>
      <c r="Q493">
        <v>0</v>
      </c>
      <c r="R493">
        <f>IF(S493,TRUE,AND(V493:AE493))</f>
        <v>0</v>
      </c>
      <c r="S493">
        <f>COUNTBLANK(Metadata!B493:K493)=COLUMNS(Metadata!B493:K493)</f>
        <v>0</v>
      </c>
      <c r="T493">
        <v>0</v>
      </c>
      <c r="V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W493">
        <f>AND(IF(Metadata!C493="",FALSE,TRUE),exact(Metadata!C493,"animal secretion"))</f>
        <v>0</v>
      </c>
      <c r="X493">
        <f>AND(IF(Metadata!D493="",FALSE,TRUE),exact(Metadata!D493,"saliva"))</f>
        <v>0</v>
      </c>
      <c r="Y493">
        <f>AND(IF(Metadata!E493="",FALSE,TRUE),exact(Metadata!E493,"human-oral"))</f>
        <v>0</v>
      </c>
      <c r="Z493">
        <f>AND(IF(Metadata!F493="",FALSE,TRUE),exact(Metadata!F493,"UBERON:oral cavity"))</f>
        <v>0</v>
      </c>
      <c r="AA493">
        <f>AND(IF(Metadata!G493="",FALSE,TRUE),exact(Metadata!G493,"UBERON:saliva"))</f>
        <v>0</v>
      </c>
      <c r="AB493">
        <f>AND(IF(Metadata!H493="",FALSE,TRUE),exact(Metadata!H493,"UBERON:tongue"))</f>
        <v>0</v>
      </c>
      <c r="AC493">
        <f>AND(IF(Metadata!I493="",FALSE,TRUE),exact(Metadata!I493,"tongue"))</f>
        <v>0</v>
      </c>
      <c r="AD493">
        <f>AND(IF(Metadata!J493="",FALSE,TRUE),exact(Metadata!J493,"human oral metagenome"))</f>
        <v>0</v>
      </c>
      <c r="AE493">
        <f>AND(IF(Metadata!K493="",FALSE,TRUE),exact(Metadata!K493,"447426"))</f>
        <v>0</v>
      </c>
    </row>
    <row r="494" spans="1:31">
      <c r="A494" s="4">
        <f>IF(B494=" "," ",HYPERLINK(CONCATENATE("#metadata!",ADDRESS(INDEX($Q$2:$Q$1001,MATCH(ROWS($O$2:O494),$O$2:$O$1001,0),0),1)),INDEX($T$2:$T$1001,MATCH(ROWS($O$2:O494),$O$2:$O$1001,0),0)))</f>
        <v>0</v>
      </c>
      <c r="B494" s="3">
        <f>IF(OR(INDEX($P$2:$P$1001,MATCH(ROWS($O$2:O494),$O$2:$O$1001,0),1)&gt;=100000,INDEX($V$1005:$AE$1005,1,MATCH(COLUMNS($V$1006:V1006),$V$1006:$AE$1006,0))&gt;=100000), " ",IF(INDEX($V$2:$AE$1001,MATCH(ROWS($O$2:O494),$O$2:$O$1001,0),MATCH(COLUMNS($V$1006:V1006),$V$1006:$AE$1006,0)), HYPERLINK("#",""), HYPERLINK(CONCATENATE("#Metadata!", ADDRESS(INDEX($Q$2:$Q$1001,MATCH(ROWS($O$2:O494),$O$2:$O$1001,0),0), INDEX($V$1004:$AE$1004,1,MATCH(COLUMNS($V$1006:V1006),$V$1006:$AE$1006,0)))),"Fix")))</f>
        <v>0</v>
      </c>
      <c r="C494" s="3">
        <f>IF(OR(INDEX($P$2:$P$1001,MATCH(ROWS($O$2:O494),$O$2:$O$1001,0),1)&gt;=100000,INDEX($V$1005:$AE$1005,1,MATCH(COLUMNS($V$1006:W1006),$V$1006:$AE$1006,0))&gt;=100000), " ",IF(INDEX($V$2:$AE$1001,MATCH(ROWS($O$2:O494),$O$2:$O$1001,0),MATCH(COLUMNS($V$1006:W1006),$V$1006:$AE$1006,0)), HYPERLINK("#",""), HYPERLINK(CONCATENATE("#Metadata!", ADDRESS(INDEX($Q$2:$Q$1001,MATCH(ROWS($O$2:O494),$O$2:$O$1001,0),0), INDEX($V$1004:$AE$1004,1,MATCH(COLUMNS($V$1006:W1006),$V$1006:$AE$1006,0)))),"Fix")))</f>
        <v>0</v>
      </c>
      <c r="D494" s="3">
        <f>IF(OR(INDEX($P$2:$P$1001,MATCH(ROWS($O$2:O494),$O$2:$O$1001,0),1)&gt;=100000,INDEX($V$1005:$AE$1005,1,MATCH(COLUMNS($V$1006:X1006),$V$1006:$AE$1006,0))&gt;=100000), " ",IF(INDEX($V$2:$AE$1001,MATCH(ROWS($O$2:O494),$O$2:$O$1001,0),MATCH(COLUMNS($V$1006:X1006),$V$1006:$AE$1006,0)), HYPERLINK("#",""), HYPERLINK(CONCATENATE("#Metadata!", ADDRESS(INDEX($Q$2:$Q$1001,MATCH(ROWS($O$2:O494),$O$2:$O$1001,0),0), INDEX($V$1004:$AE$1004,1,MATCH(COLUMNS($V$1006:X1006),$V$1006:$AE$1006,0)))),"Fix")))</f>
        <v>0</v>
      </c>
      <c r="E494" s="3">
        <f>IF(OR(INDEX($P$2:$P$1001,MATCH(ROWS($O$2:O494),$O$2:$O$1001,0),1)&gt;=100000,INDEX($V$1005:$AE$1005,1,MATCH(COLUMNS($V$1006:Y1006),$V$1006:$AE$1006,0))&gt;=100000), " ",IF(INDEX($V$2:$AE$1001,MATCH(ROWS($O$2:O494),$O$2:$O$1001,0),MATCH(COLUMNS($V$1006:Y1006),$V$1006:$AE$1006,0)), HYPERLINK("#",""), HYPERLINK(CONCATENATE("#Metadata!", ADDRESS(INDEX($Q$2:$Q$1001,MATCH(ROWS($O$2:O494),$O$2:$O$1001,0),0), INDEX($V$1004:$AE$1004,1,MATCH(COLUMNS($V$1006:Y1006),$V$1006:$AE$1006,0)))),"Fix")))</f>
        <v>0</v>
      </c>
      <c r="F494" s="3">
        <f>IF(OR(INDEX($P$2:$P$1001,MATCH(ROWS($O$2:O494),$O$2:$O$1001,0),1)&gt;=100000,INDEX($V$1005:$AE$1005,1,MATCH(COLUMNS($V$1006:Z1006),$V$1006:$AE$1006,0))&gt;=100000), " ",IF(INDEX($V$2:$AE$1001,MATCH(ROWS($O$2:O494),$O$2:$O$1001,0),MATCH(COLUMNS($V$1006:Z1006),$V$1006:$AE$1006,0)), HYPERLINK("#",""), HYPERLINK(CONCATENATE("#Metadata!", ADDRESS(INDEX($Q$2:$Q$1001,MATCH(ROWS($O$2:O494),$O$2:$O$1001,0),0), INDEX($V$1004:$AE$1004,1,MATCH(COLUMNS($V$1006:Z1006),$V$1006:$AE$1006,0)))),"Fix")))</f>
        <v>0</v>
      </c>
      <c r="G494" s="3">
        <f>IF(OR(INDEX($P$2:$P$1001,MATCH(ROWS($O$2:O494),$O$2:$O$1001,0),1)&gt;=100000,INDEX($V$1005:$AE$1005,1,MATCH(COLUMNS($V$1006:AA1006),$V$1006:$AE$1006,0))&gt;=100000), " ",IF(INDEX($V$2:$AE$1001,MATCH(ROWS($O$2:O494),$O$2:$O$1001,0),MATCH(COLUMNS($V$1006:AA1006),$V$1006:$AE$1006,0)), HYPERLINK("#",""), HYPERLINK(CONCATENATE("#Metadata!", ADDRESS(INDEX($Q$2:$Q$1001,MATCH(ROWS($O$2:O494),$O$2:$O$1001,0),0), INDEX($V$1004:$AE$1004,1,MATCH(COLUMNS($V$1006:AA1006),$V$1006:$AE$1006,0)))),"Fix")))</f>
        <v>0</v>
      </c>
      <c r="H494" s="3">
        <f>IF(OR(INDEX($P$2:$P$1001,MATCH(ROWS($O$2:O494),$O$2:$O$1001,0),1)&gt;=100000,INDEX($V$1005:$AE$1005,1,MATCH(COLUMNS($V$1006:AB1006),$V$1006:$AE$1006,0))&gt;=100000), " ",IF(INDEX($V$2:$AE$1001,MATCH(ROWS($O$2:O494),$O$2:$O$1001,0),MATCH(COLUMNS($V$1006:AB1006),$V$1006:$AE$1006,0)), HYPERLINK("#",""), HYPERLINK(CONCATENATE("#Metadata!", ADDRESS(INDEX($Q$2:$Q$1001,MATCH(ROWS($O$2:O494),$O$2:$O$1001,0),0), INDEX($V$1004:$AE$1004,1,MATCH(COLUMNS($V$1006:AB1006),$V$1006:$AE$1006,0)))),"Fix")))</f>
        <v>0</v>
      </c>
      <c r="I494" s="3">
        <f>IF(OR(INDEX($P$2:$P$1001,MATCH(ROWS($O$2:O494),$O$2:$O$1001,0),1)&gt;=100000,INDEX($V$1005:$AE$1005,1,MATCH(COLUMNS($V$1006:AC1006),$V$1006:$AE$1006,0))&gt;=100000), " ",IF(INDEX($V$2:$AE$1001,MATCH(ROWS($O$2:O494),$O$2:$O$1001,0),MATCH(COLUMNS($V$1006:AC1006),$V$1006:$AE$1006,0)), HYPERLINK("#",""), HYPERLINK(CONCATENATE("#Metadata!", ADDRESS(INDEX($Q$2:$Q$1001,MATCH(ROWS($O$2:O494),$O$2:$O$1001,0),0), INDEX($V$1004:$AE$1004,1,MATCH(COLUMNS($V$1006:AC1006),$V$1006:$AE$1006,0)))),"Fix")))</f>
        <v>0</v>
      </c>
      <c r="J494" s="3">
        <f>IF(OR(INDEX($P$2:$P$1001,MATCH(ROWS($O$2:O494),$O$2:$O$1001,0),1)&gt;=100000,INDEX($V$1005:$AE$1005,1,MATCH(COLUMNS($V$1006:AD1006),$V$1006:$AE$1006,0))&gt;=100000), " ",IF(INDEX($V$2:$AE$1001,MATCH(ROWS($O$2:O494),$O$2:$O$1001,0),MATCH(COLUMNS($V$1006:AD1006),$V$1006:$AE$1006,0)), HYPERLINK("#",""), HYPERLINK(CONCATENATE("#Metadata!", ADDRESS(INDEX($Q$2:$Q$1001,MATCH(ROWS($O$2:O494),$O$2:$O$1001,0),0), INDEX($V$1004:$AE$1004,1,MATCH(COLUMNS($V$1006:AD1006),$V$1006:$AE$1006,0)))),"Fix")))</f>
        <v>0</v>
      </c>
      <c r="K494" s="3">
        <f>IF(OR(INDEX($P$2:$P$1001,MATCH(ROWS($O$2:O494),$O$2:$O$1001,0),1)&gt;=100000,INDEX($V$1005:$AE$1005,1,MATCH(COLUMNS($V$1006:AE1006),$V$1006:$AE$1006,0))&gt;=100000), " ",IF(INDEX($V$2:$AE$1001,MATCH(ROWS($O$2:O494),$O$2:$O$1001,0),MATCH(COLUMNS($V$1006:AE1006),$V$1006:$AE$1006,0)), HYPERLINK("#",""), HYPERLINK(CONCATENATE("#Metadata!", ADDRESS(INDEX($Q$2:$Q$1001,MATCH(ROWS($O$2:O494),$O$2:$O$1001,0),0), INDEX($V$1004:$AE$1004,1,MATCH(COLUMNS($V$1006:AE1006),$V$1006:$AE$1006,0)))),"Fix")))</f>
        <v>0</v>
      </c>
      <c r="O494">
        <v>0</v>
      </c>
      <c r="P494">
        <v>0</v>
      </c>
      <c r="Q494">
        <v>0</v>
      </c>
      <c r="R494">
        <f>IF(S494,TRUE,AND(V494:AE494))</f>
        <v>0</v>
      </c>
      <c r="S494">
        <f>COUNTBLANK(Metadata!B494:K494)=COLUMNS(Metadata!B494:K494)</f>
        <v>0</v>
      </c>
      <c r="T494">
        <v>0</v>
      </c>
      <c r="V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W494">
        <f>AND(IF(Metadata!C494="",FALSE,TRUE),exact(Metadata!C494,"animal secretion"))</f>
        <v>0</v>
      </c>
      <c r="X494">
        <f>AND(IF(Metadata!D494="",FALSE,TRUE),exact(Metadata!D494,"saliva"))</f>
        <v>0</v>
      </c>
      <c r="Y494">
        <f>AND(IF(Metadata!E494="",FALSE,TRUE),exact(Metadata!E494,"human-oral"))</f>
        <v>0</v>
      </c>
      <c r="Z494">
        <f>AND(IF(Metadata!F494="",FALSE,TRUE),exact(Metadata!F494,"UBERON:oral cavity"))</f>
        <v>0</v>
      </c>
      <c r="AA494">
        <f>AND(IF(Metadata!G494="",FALSE,TRUE),exact(Metadata!G494,"UBERON:saliva"))</f>
        <v>0</v>
      </c>
      <c r="AB494">
        <f>AND(IF(Metadata!H494="",FALSE,TRUE),exact(Metadata!H494,"UBERON:tongue"))</f>
        <v>0</v>
      </c>
      <c r="AC494">
        <f>AND(IF(Metadata!I494="",FALSE,TRUE),exact(Metadata!I494,"tongue"))</f>
        <v>0</v>
      </c>
      <c r="AD494">
        <f>AND(IF(Metadata!J494="",FALSE,TRUE),exact(Metadata!J494,"human oral metagenome"))</f>
        <v>0</v>
      </c>
      <c r="AE494">
        <f>AND(IF(Metadata!K494="",FALSE,TRUE),exact(Metadata!K494,"447426"))</f>
        <v>0</v>
      </c>
    </row>
    <row r="495" spans="1:31">
      <c r="A495" s="4">
        <f>IF(B495=" "," ",HYPERLINK(CONCATENATE("#metadata!",ADDRESS(INDEX($Q$2:$Q$1001,MATCH(ROWS($O$2:O495),$O$2:$O$1001,0),0),1)),INDEX($T$2:$T$1001,MATCH(ROWS($O$2:O495),$O$2:$O$1001,0),0)))</f>
        <v>0</v>
      </c>
      <c r="B495" s="3">
        <f>IF(OR(INDEX($P$2:$P$1001,MATCH(ROWS($O$2:O495),$O$2:$O$1001,0),1)&gt;=100000,INDEX($V$1005:$AE$1005,1,MATCH(COLUMNS($V$1006:V1006),$V$1006:$AE$1006,0))&gt;=100000), " ",IF(INDEX($V$2:$AE$1001,MATCH(ROWS($O$2:O495),$O$2:$O$1001,0),MATCH(COLUMNS($V$1006:V1006),$V$1006:$AE$1006,0)), HYPERLINK("#",""), HYPERLINK(CONCATENATE("#Metadata!", ADDRESS(INDEX($Q$2:$Q$1001,MATCH(ROWS($O$2:O495),$O$2:$O$1001,0),0), INDEX($V$1004:$AE$1004,1,MATCH(COLUMNS($V$1006:V1006),$V$1006:$AE$1006,0)))),"Fix")))</f>
        <v>0</v>
      </c>
      <c r="C495" s="3">
        <f>IF(OR(INDEX($P$2:$P$1001,MATCH(ROWS($O$2:O495),$O$2:$O$1001,0),1)&gt;=100000,INDEX($V$1005:$AE$1005,1,MATCH(COLUMNS($V$1006:W1006),$V$1006:$AE$1006,0))&gt;=100000), " ",IF(INDEX($V$2:$AE$1001,MATCH(ROWS($O$2:O495),$O$2:$O$1001,0),MATCH(COLUMNS($V$1006:W1006),$V$1006:$AE$1006,0)), HYPERLINK("#",""), HYPERLINK(CONCATENATE("#Metadata!", ADDRESS(INDEX($Q$2:$Q$1001,MATCH(ROWS($O$2:O495),$O$2:$O$1001,0),0), INDEX($V$1004:$AE$1004,1,MATCH(COLUMNS($V$1006:W1006),$V$1006:$AE$1006,0)))),"Fix")))</f>
        <v>0</v>
      </c>
      <c r="D495" s="3">
        <f>IF(OR(INDEX($P$2:$P$1001,MATCH(ROWS($O$2:O495),$O$2:$O$1001,0),1)&gt;=100000,INDEX($V$1005:$AE$1005,1,MATCH(COLUMNS($V$1006:X1006),$V$1006:$AE$1006,0))&gt;=100000), " ",IF(INDEX($V$2:$AE$1001,MATCH(ROWS($O$2:O495),$O$2:$O$1001,0),MATCH(COLUMNS($V$1006:X1006),$V$1006:$AE$1006,0)), HYPERLINK("#",""), HYPERLINK(CONCATENATE("#Metadata!", ADDRESS(INDEX($Q$2:$Q$1001,MATCH(ROWS($O$2:O495),$O$2:$O$1001,0),0), INDEX($V$1004:$AE$1004,1,MATCH(COLUMNS($V$1006:X1006),$V$1006:$AE$1006,0)))),"Fix")))</f>
        <v>0</v>
      </c>
      <c r="E495" s="3">
        <f>IF(OR(INDEX($P$2:$P$1001,MATCH(ROWS($O$2:O495),$O$2:$O$1001,0),1)&gt;=100000,INDEX($V$1005:$AE$1005,1,MATCH(COLUMNS($V$1006:Y1006),$V$1006:$AE$1006,0))&gt;=100000), " ",IF(INDEX($V$2:$AE$1001,MATCH(ROWS($O$2:O495),$O$2:$O$1001,0),MATCH(COLUMNS($V$1006:Y1006),$V$1006:$AE$1006,0)), HYPERLINK("#",""), HYPERLINK(CONCATENATE("#Metadata!", ADDRESS(INDEX($Q$2:$Q$1001,MATCH(ROWS($O$2:O495),$O$2:$O$1001,0),0), INDEX($V$1004:$AE$1004,1,MATCH(COLUMNS($V$1006:Y1006),$V$1006:$AE$1006,0)))),"Fix")))</f>
        <v>0</v>
      </c>
      <c r="F495" s="3">
        <f>IF(OR(INDEX($P$2:$P$1001,MATCH(ROWS($O$2:O495),$O$2:$O$1001,0),1)&gt;=100000,INDEX($V$1005:$AE$1005,1,MATCH(COLUMNS($V$1006:Z1006),$V$1006:$AE$1006,0))&gt;=100000), " ",IF(INDEX($V$2:$AE$1001,MATCH(ROWS($O$2:O495),$O$2:$O$1001,0),MATCH(COLUMNS($V$1006:Z1006),$V$1006:$AE$1006,0)), HYPERLINK("#",""), HYPERLINK(CONCATENATE("#Metadata!", ADDRESS(INDEX($Q$2:$Q$1001,MATCH(ROWS($O$2:O495),$O$2:$O$1001,0),0), INDEX($V$1004:$AE$1004,1,MATCH(COLUMNS($V$1006:Z1006),$V$1006:$AE$1006,0)))),"Fix")))</f>
        <v>0</v>
      </c>
      <c r="G495" s="3">
        <f>IF(OR(INDEX($P$2:$P$1001,MATCH(ROWS($O$2:O495),$O$2:$O$1001,0),1)&gt;=100000,INDEX($V$1005:$AE$1005,1,MATCH(COLUMNS($V$1006:AA1006),$V$1006:$AE$1006,0))&gt;=100000), " ",IF(INDEX($V$2:$AE$1001,MATCH(ROWS($O$2:O495),$O$2:$O$1001,0),MATCH(COLUMNS($V$1006:AA1006),$V$1006:$AE$1006,0)), HYPERLINK("#",""), HYPERLINK(CONCATENATE("#Metadata!", ADDRESS(INDEX($Q$2:$Q$1001,MATCH(ROWS($O$2:O495),$O$2:$O$1001,0),0), INDEX($V$1004:$AE$1004,1,MATCH(COLUMNS($V$1006:AA1006),$V$1006:$AE$1006,0)))),"Fix")))</f>
        <v>0</v>
      </c>
      <c r="H495" s="3">
        <f>IF(OR(INDEX($P$2:$P$1001,MATCH(ROWS($O$2:O495),$O$2:$O$1001,0),1)&gt;=100000,INDEX($V$1005:$AE$1005,1,MATCH(COLUMNS($V$1006:AB1006),$V$1006:$AE$1006,0))&gt;=100000), " ",IF(INDEX($V$2:$AE$1001,MATCH(ROWS($O$2:O495),$O$2:$O$1001,0),MATCH(COLUMNS($V$1006:AB1006),$V$1006:$AE$1006,0)), HYPERLINK("#",""), HYPERLINK(CONCATENATE("#Metadata!", ADDRESS(INDEX($Q$2:$Q$1001,MATCH(ROWS($O$2:O495),$O$2:$O$1001,0),0), INDEX($V$1004:$AE$1004,1,MATCH(COLUMNS($V$1006:AB1006),$V$1006:$AE$1006,0)))),"Fix")))</f>
        <v>0</v>
      </c>
      <c r="I495" s="3">
        <f>IF(OR(INDEX($P$2:$P$1001,MATCH(ROWS($O$2:O495),$O$2:$O$1001,0),1)&gt;=100000,INDEX($V$1005:$AE$1005,1,MATCH(COLUMNS($V$1006:AC1006),$V$1006:$AE$1006,0))&gt;=100000), " ",IF(INDEX($V$2:$AE$1001,MATCH(ROWS($O$2:O495),$O$2:$O$1001,0),MATCH(COLUMNS($V$1006:AC1006),$V$1006:$AE$1006,0)), HYPERLINK("#",""), HYPERLINK(CONCATENATE("#Metadata!", ADDRESS(INDEX($Q$2:$Q$1001,MATCH(ROWS($O$2:O495),$O$2:$O$1001,0),0), INDEX($V$1004:$AE$1004,1,MATCH(COLUMNS($V$1006:AC1006),$V$1006:$AE$1006,0)))),"Fix")))</f>
        <v>0</v>
      </c>
      <c r="J495" s="3">
        <f>IF(OR(INDEX($P$2:$P$1001,MATCH(ROWS($O$2:O495),$O$2:$O$1001,0),1)&gt;=100000,INDEX($V$1005:$AE$1005,1,MATCH(COLUMNS($V$1006:AD1006),$V$1006:$AE$1006,0))&gt;=100000), " ",IF(INDEX($V$2:$AE$1001,MATCH(ROWS($O$2:O495),$O$2:$O$1001,0),MATCH(COLUMNS($V$1006:AD1006),$V$1006:$AE$1006,0)), HYPERLINK("#",""), HYPERLINK(CONCATENATE("#Metadata!", ADDRESS(INDEX($Q$2:$Q$1001,MATCH(ROWS($O$2:O495),$O$2:$O$1001,0),0), INDEX($V$1004:$AE$1004,1,MATCH(COLUMNS($V$1006:AD1006),$V$1006:$AE$1006,0)))),"Fix")))</f>
        <v>0</v>
      </c>
      <c r="K495" s="3">
        <f>IF(OR(INDEX($P$2:$P$1001,MATCH(ROWS($O$2:O495),$O$2:$O$1001,0),1)&gt;=100000,INDEX($V$1005:$AE$1005,1,MATCH(COLUMNS($V$1006:AE1006),$V$1006:$AE$1006,0))&gt;=100000), " ",IF(INDEX($V$2:$AE$1001,MATCH(ROWS($O$2:O495),$O$2:$O$1001,0),MATCH(COLUMNS($V$1006:AE1006),$V$1006:$AE$1006,0)), HYPERLINK("#",""), HYPERLINK(CONCATENATE("#Metadata!", ADDRESS(INDEX($Q$2:$Q$1001,MATCH(ROWS($O$2:O495),$O$2:$O$1001,0),0), INDEX($V$1004:$AE$1004,1,MATCH(COLUMNS($V$1006:AE1006),$V$1006:$AE$1006,0)))),"Fix")))</f>
        <v>0</v>
      </c>
      <c r="O495">
        <v>0</v>
      </c>
      <c r="P495">
        <v>0</v>
      </c>
      <c r="Q495">
        <v>0</v>
      </c>
      <c r="R495">
        <f>IF(S495,TRUE,AND(V495:AE495))</f>
        <v>0</v>
      </c>
      <c r="S495">
        <f>COUNTBLANK(Metadata!B495:K495)=COLUMNS(Metadata!B495:K495)</f>
        <v>0</v>
      </c>
      <c r="T495">
        <v>0</v>
      </c>
      <c r="V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W495">
        <f>AND(IF(Metadata!C495="",FALSE,TRUE),exact(Metadata!C495,"animal secretion"))</f>
        <v>0</v>
      </c>
      <c r="X495">
        <f>AND(IF(Metadata!D495="",FALSE,TRUE),exact(Metadata!D495,"saliva"))</f>
        <v>0</v>
      </c>
      <c r="Y495">
        <f>AND(IF(Metadata!E495="",FALSE,TRUE),exact(Metadata!E495,"human-oral"))</f>
        <v>0</v>
      </c>
      <c r="Z495">
        <f>AND(IF(Metadata!F495="",FALSE,TRUE),exact(Metadata!F495,"UBERON:oral cavity"))</f>
        <v>0</v>
      </c>
      <c r="AA495">
        <f>AND(IF(Metadata!G495="",FALSE,TRUE),exact(Metadata!G495,"UBERON:saliva"))</f>
        <v>0</v>
      </c>
      <c r="AB495">
        <f>AND(IF(Metadata!H495="",FALSE,TRUE),exact(Metadata!H495,"UBERON:tongue"))</f>
        <v>0</v>
      </c>
      <c r="AC495">
        <f>AND(IF(Metadata!I495="",FALSE,TRUE),exact(Metadata!I495,"tongue"))</f>
        <v>0</v>
      </c>
      <c r="AD495">
        <f>AND(IF(Metadata!J495="",FALSE,TRUE),exact(Metadata!J495,"human oral metagenome"))</f>
        <v>0</v>
      </c>
      <c r="AE495">
        <f>AND(IF(Metadata!K495="",FALSE,TRUE),exact(Metadata!K495,"447426"))</f>
        <v>0</v>
      </c>
    </row>
    <row r="496" spans="1:31">
      <c r="A496" s="4">
        <f>IF(B496=" "," ",HYPERLINK(CONCATENATE("#metadata!",ADDRESS(INDEX($Q$2:$Q$1001,MATCH(ROWS($O$2:O496),$O$2:$O$1001,0),0),1)),INDEX($T$2:$T$1001,MATCH(ROWS($O$2:O496),$O$2:$O$1001,0),0)))</f>
        <v>0</v>
      </c>
      <c r="B496" s="3">
        <f>IF(OR(INDEX($P$2:$P$1001,MATCH(ROWS($O$2:O496),$O$2:$O$1001,0),1)&gt;=100000,INDEX($V$1005:$AE$1005,1,MATCH(COLUMNS($V$1006:V1006),$V$1006:$AE$1006,0))&gt;=100000), " ",IF(INDEX($V$2:$AE$1001,MATCH(ROWS($O$2:O496),$O$2:$O$1001,0),MATCH(COLUMNS($V$1006:V1006),$V$1006:$AE$1006,0)), HYPERLINK("#",""), HYPERLINK(CONCATENATE("#Metadata!", ADDRESS(INDEX($Q$2:$Q$1001,MATCH(ROWS($O$2:O496),$O$2:$O$1001,0),0), INDEX($V$1004:$AE$1004,1,MATCH(COLUMNS($V$1006:V1006),$V$1006:$AE$1006,0)))),"Fix")))</f>
        <v>0</v>
      </c>
      <c r="C496" s="3">
        <f>IF(OR(INDEX($P$2:$P$1001,MATCH(ROWS($O$2:O496),$O$2:$O$1001,0),1)&gt;=100000,INDEX($V$1005:$AE$1005,1,MATCH(COLUMNS($V$1006:W1006),$V$1006:$AE$1006,0))&gt;=100000), " ",IF(INDEX($V$2:$AE$1001,MATCH(ROWS($O$2:O496),$O$2:$O$1001,0),MATCH(COLUMNS($V$1006:W1006),$V$1006:$AE$1006,0)), HYPERLINK("#",""), HYPERLINK(CONCATENATE("#Metadata!", ADDRESS(INDEX($Q$2:$Q$1001,MATCH(ROWS($O$2:O496),$O$2:$O$1001,0),0), INDEX($V$1004:$AE$1004,1,MATCH(COLUMNS($V$1006:W1006),$V$1006:$AE$1006,0)))),"Fix")))</f>
        <v>0</v>
      </c>
      <c r="D496" s="3">
        <f>IF(OR(INDEX($P$2:$P$1001,MATCH(ROWS($O$2:O496),$O$2:$O$1001,0),1)&gt;=100000,INDEX($V$1005:$AE$1005,1,MATCH(COLUMNS($V$1006:X1006),$V$1006:$AE$1006,0))&gt;=100000), " ",IF(INDEX($V$2:$AE$1001,MATCH(ROWS($O$2:O496),$O$2:$O$1001,0),MATCH(COLUMNS($V$1006:X1006),$V$1006:$AE$1006,0)), HYPERLINK("#",""), HYPERLINK(CONCATENATE("#Metadata!", ADDRESS(INDEX($Q$2:$Q$1001,MATCH(ROWS($O$2:O496),$O$2:$O$1001,0),0), INDEX($V$1004:$AE$1004,1,MATCH(COLUMNS($V$1006:X1006),$V$1006:$AE$1006,0)))),"Fix")))</f>
        <v>0</v>
      </c>
      <c r="E496" s="3">
        <f>IF(OR(INDEX($P$2:$P$1001,MATCH(ROWS($O$2:O496),$O$2:$O$1001,0),1)&gt;=100000,INDEX($V$1005:$AE$1005,1,MATCH(COLUMNS($V$1006:Y1006),$V$1006:$AE$1006,0))&gt;=100000), " ",IF(INDEX($V$2:$AE$1001,MATCH(ROWS($O$2:O496),$O$2:$O$1001,0),MATCH(COLUMNS($V$1006:Y1006),$V$1006:$AE$1006,0)), HYPERLINK("#",""), HYPERLINK(CONCATENATE("#Metadata!", ADDRESS(INDEX($Q$2:$Q$1001,MATCH(ROWS($O$2:O496),$O$2:$O$1001,0),0), INDEX($V$1004:$AE$1004,1,MATCH(COLUMNS($V$1006:Y1006),$V$1006:$AE$1006,0)))),"Fix")))</f>
        <v>0</v>
      </c>
      <c r="F496" s="3">
        <f>IF(OR(INDEX($P$2:$P$1001,MATCH(ROWS($O$2:O496),$O$2:$O$1001,0),1)&gt;=100000,INDEX($V$1005:$AE$1005,1,MATCH(COLUMNS($V$1006:Z1006),$V$1006:$AE$1006,0))&gt;=100000), " ",IF(INDEX($V$2:$AE$1001,MATCH(ROWS($O$2:O496),$O$2:$O$1001,0),MATCH(COLUMNS($V$1006:Z1006),$V$1006:$AE$1006,0)), HYPERLINK("#",""), HYPERLINK(CONCATENATE("#Metadata!", ADDRESS(INDEX($Q$2:$Q$1001,MATCH(ROWS($O$2:O496),$O$2:$O$1001,0),0), INDEX($V$1004:$AE$1004,1,MATCH(COLUMNS($V$1006:Z1006),$V$1006:$AE$1006,0)))),"Fix")))</f>
        <v>0</v>
      </c>
      <c r="G496" s="3">
        <f>IF(OR(INDEX($P$2:$P$1001,MATCH(ROWS($O$2:O496),$O$2:$O$1001,0),1)&gt;=100000,INDEX($V$1005:$AE$1005,1,MATCH(COLUMNS($V$1006:AA1006),$V$1006:$AE$1006,0))&gt;=100000), " ",IF(INDEX($V$2:$AE$1001,MATCH(ROWS($O$2:O496),$O$2:$O$1001,0),MATCH(COLUMNS($V$1006:AA1006),$V$1006:$AE$1006,0)), HYPERLINK("#",""), HYPERLINK(CONCATENATE("#Metadata!", ADDRESS(INDEX($Q$2:$Q$1001,MATCH(ROWS($O$2:O496),$O$2:$O$1001,0),0), INDEX($V$1004:$AE$1004,1,MATCH(COLUMNS($V$1006:AA1006),$V$1006:$AE$1006,0)))),"Fix")))</f>
        <v>0</v>
      </c>
      <c r="H496" s="3">
        <f>IF(OR(INDEX($P$2:$P$1001,MATCH(ROWS($O$2:O496),$O$2:$O$1001,0),1)&gt;=100000,INDEX($V$1005:$AE$1005,1,MATCH(COLUMNS($V$1006:AB1006),$V$1006:$AE$1006,0))&gt;=100000), " ",IF(INDEX($V$2:$AE$1001,MATCH(ROWS($O$2:O496),$O$2:$O$1001,0),MATCH(COLUMNS($V$1006:AB1006),$V$1006:$AE$1006,0)), HYPERLINK("#",""), HYPERLINK(CONCATENATE("#Metadata!", ADDRESS(INDEX($Q$2:$Q$1001,MATCH(ROWS($O$2:O496),$O$2:$O$1001,0),0), INDEX($V$1004:$AE$1004,1,MATCH(COLUMNS($V$1006:AB1006),$V$1006:$AE$1006,0)))),"Fix")))</f>
        <v>0</v>
      </c>
      <c r="I496" s="3">
        <f>IF(OR(INDEX($P$2:$P$1001,MATCH(ROWS($O$2:O496),$O$2:$O$1001,0),1)&gt;=100000,INDEX($V$1005:$AE$1005,1,MATCH(COLUMNS($V$1006:AC1006),$V$1006:$AE$1006,0))&gt;=100000), " ",IF(INDEX($V$2:$AE$1001,MATCH(ROWS($O$2:O496),$O$2:$O$1001,0),MATCH(COLUMNS($V$1006:AC1006),$V$1006:$AE$1006,0)), HYPERLINK("#",""), HYPERLINK(CONCATENATE("#Metadata!", ADDRESS(INDEX($Q$2:$Q$1001,MATCH(ROWS($O$2:O496),$O$2:$O$1001,0),0), INDEX($V$1004:$AE$1004,1,MATCH(COLUMNS($V$1006:AC1006),$V$1006:$AE$1006,0)))),"Fix")))</f>
        <v>0</v>
      </c>
      <c r="J496" s="3">
        <f>IF(OR(INDEX($P$2:$P$1001,MATCH(ROWS($O$2:O496),$O$2:$O$1001,0),1)&gt;=100000,INDEX($V$1005:$AE$1005,1,MATCH(COLUMNS($V$1006:AD1006),$V$1006:$AE$1006,0))&gt;=100000), " ",IF(INDEX($V$2:$AE$1001,MATCH(ROWS($O$2:O496),$O$2:$O$1001,0),MATCH(COLUMNS($V$1006:AD1006),$V$1006:$AE$1006,0)), HYPERLINK("#",""), HYPERLINK(CONCATENATE("#Metadata!", ADDRESS(INDEX($Q$2:$Q$1001,MATCH(ROWS($O$2:O496),$O$2:$O$1001,0),0), INDEX($V$1004:$AE$1004,1,MATCH(COLUMNS($V$1006:AD1006),$V$1006:$AE$1006,0)))),"Fix")))</f>
        <v>0</v>
      </c>
      <c r="K496" s="3">
        <f>IF(OR(INDEX($P$2:$P$1001,MATCH(ROWS($O$2:O496),$O$2:$O$1001,0),1)&gt;=100000,INDEX($V$1005:$AE$1005,1,MATCH(COLUMNS($V$1006:AE1006),$V$1006:$AE$1006,0))&gt;=100000), " ",IF(INDEX($V$2:$AE$1001,MATCH(ROWS($O$2:O496),$O$2:$O$1001,0),MATCH(COLUMNS($V$1006:AE1006),$V$1006:$AE$1006,0)), HYPERLINK("#",""), HYPERLINK(CONCATENATE("#Metadata!", ADDRESS(INDEX($Q$2:$Q$1001,MATCH(ROWS($O$2:O496),$O$2:$O$1001,0),0), INDEX($V$1004:$AE$1004,1,MATCH(COLUMNS($V$1006:AE1006),$V$1006:$AE$1006,0)))),"Fix")))</f>
        <v>0</v>
      </c>
      <c r="O496">
        <v>0</v>
      </c>
      <c r="P496">
        <v>0</v>
      </c>
      <c r="Q496">
        <v>0</v>
      </c>
      <c r="R496">
        <f>IF(S496,TRUE,AND(V496:AE496))</f>
        <v>0</v>
      </c>
      <c r="S496">
        <f>COUNTBLANK(Metadata!B496:K496)=COLUMNS(Metadata!B496:K496)</f>
        <v>0</v>
      </c>
      <c r="T496">
        <v>0</v>
      </c>
      <c r="V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W496">
        <f>AND(IF(Metadata!C496="",FALSE,TRUE),exact(Metadata!C496,"animal secretion"))</f>
        <v>0</v>
      </c>
      <c r="X496">
        <f>AND(IF(Metadata!D496="",FALSE,TRUE),exact(Metadata!D496,"saliva"))</f>
        <v>0</v>
      </c>
      <c r="Y496">
        <f>AND(IF(Metadata!E496="",FALSE,TRUE),exact(Metadata!E496,"human-oral"))</f>
        <v>0</v>
      </c>
      <c r="Z496">
        <f>AND(IF(Metadata!F496="",FALSE,TRUE),exact(Metadata!F496,"UBERON:oral cavity"))</f>
        <v>0</v>
      </c>
      <c r="AA496">
        <f>AND(IF(Metadata!G496="",FALSE,TRUE),exact(Metadata!G496,"UBERON:saliva"))</f>
        <v>0</v>
      </c>
      <c r="AB496">
        <f>AND(IF(Metadata!H496="",FALSE,TRUE),exact(Metadata!H496,"UBERON:tongue"))</f>
        <v>0</v>
      </c>
      <c r="AC496">
        <f>AND(IF(Metadata!I496="",FALSE,TRUE),exact(Metadata!I496,"tongue"))</f>
        <v>0</v>
      </c>
      <c r="AD496">
        <f>AND(IF(Metadata!J496="",FALSE,TRUE),exact(Metadata!J496,"human oral metagenome"))</f>
        <v>0</v>
      </c>
      <c r="AE496">
        <f>AND(IF(Metadata!K496="",FALSE,TRUE),exact(Metadata!K496,"447426"))</f>
        <v>0</v>
      </c>
    </row>
    <row r="497" spans="1:31">
      <c r="A497" s="4">
        <f>IF(B497=" "," ",HYPERLINK(CONCATENATE("#metadata!",ADDRESS(INDEX($Q$2:$Q$1001,MATCH(ROWS($O$2:O497),$O$2:$O$1001,0),0),1)),INDEX($T$2:$T$1001,MATCH(ROWS($O$2:O497),$O$2:$O$1001,0),0)))</f>
        <v>0</v>
      </c>
      <c r="B497" s="3">
        <f>IF(OR(INDEX($P$2:$P$1001,MATCH(ROWS($O$2:O497),$O$2:$O$1001,0),1)&gt;=100000,INDEX($V$1005:$AE$1005,1,MATCH(COLUMNS($V$1006:V1006),$V$1006:$AE$1006,0))&gt;=100000), " ",IF(INDEX($V$2:$AE$1001,MATCH(ROWS($O$2:O497),$O$2:$O$1001,0),MATCH(COLUMNS($V$1006:V1006),$V$1006:$AE$1006,0)), HYPERLINK("#",""), HYPERLINK(CONCATENATE("#Metadata!", ADDRESS(INDEX($Q$2:$Q$1001,MATCH(ROWS($O$2:O497),$O$2:$O$1001,0),0), INDEX($V$1004:$AE$1004,1,MATCH(COLUMNS($V$1006:V1006),$V$1006:$AE$1006,0)))),"Fix")))</f>
        <v>0</v>
      </c>
      <c r="C497" s="3">
        <f>IF(OR(INDEX($P$2:$P$1001,MATCH(ROWS($O$2:O497),$O$2:$O$1001,0),1)&gt;=100000,INDEX($V$1005:$AE$1005,1,MATCH(COLUMNS($V$1006:W1006),$V$1006:$AE$1006,0))&gt;=100000), " ",IF(INDEX($V$2:$AE$1001,MATCH(ROWS($O$2:O497),$O$2:$O$1001,0),MATCH(COLUMNS($V$1006:W1006),$V$1006:$AE$1006,0)), HYPERLINK("#",""), HYPERLINK(CONCATENATE("#Metadata!", ADDRESS(INDEX($Q$2:$Q$1001,MATCH(ROWS($O$2:O497),$O$2:$O$1001,0),0), INDEX($V$1004:$AE$1004,1,MATCH(COLUMNS($V$1006:W1006),$V$1006:$AE$1006,0)))),"Fix")))</f>
        <v>0</v>
      </c>
      <c r="D497" s="3">
        <f>IF(OR(INDEX($P$2:$P$1001,MATCH(ROWS($O$2:O497),$O$2:$O$1001,0),1)&gt;=100000,INDEX($V$1005:$AE$1005,1,MATCH(COLUMNS($V$1006:X1006),$V$1006:$AE$1006,0))&gt;=100000), " ",IF(INDEX($V$2:$AE$1001,MATCH(ROWS($O$2:O497),$O$2:$O$1001,0),MATCH(COLUMNS($V$1006:X1006),$V$1006:$AE$1006,0)), HYPERLINK("#",""), HYPERLINK(CONCATENATE("#Metadata!", ADDRESS(INDEX($Q$2:$Q$1001,MATCH(ROWS($O$2:O497),$O$2:$O$1001,0),0), INDEX($V$1004:$AE$1004,1,MATCH(COLUMNS($V$1006:X1006),$V$1006:$AE$1006,0)))),"Fix")))</f>
        <v>0</v>
      </c>
      <c r="E497" s="3">
        <f>IF(OR(INDEX($P$2:$P$1001,MATCH(ROWS($O$2:O497),$O$2:$O$1001,0),1)&gt;=100000,INDEX($V$1005:$AE$1005,1,MATCH(COLUMNS($V$1006:Y1006),$V$1006:$AE$1006,0))&gt;=100000), " ",IF(INDEX($V$2:$AE$1001,MATCH(ROWS($O$2:O497),$O$2:$O$1001,0),MATCH(COLUMNS($V$1006:Y1006),$V$1006:$AE$1006,0)), HYPERLINK("#",""), HYPERLINK(CONCATENATE("#Metadata!", ADDRESS(INDEX($Q$2:$Q$1001,MATCH(ROWS($O$2:O497),$O$2:$O$1001,0),0), INDEX($V$1004:$AE$1004,1,MATCH(COLUMNS($V$1006:Y1006),$V$1006:$AE$1006,0)))),"Fix")))</f>
        <v>0</v>
      </c>
      <c r="F497" s="3">
        <f>IF(OR(INDEX($P$2:$P$1001,MATCH(ROWS($O$2:O497),$O$2:$O$1001,0),1)&gt;=100000,INDEX($V$1005:$AE$1005,1,MATCH(COLUMNS($V$1006:Z1006),$V$1006:$AE$1006,0))&gt;=100000), " ",IF(INDEX($V$2:$AE$1001,MATCH(ROWS($O$2:O497),$O$2:$O$1001,0),MATCH(COLUMNS($V$1006:Z1006),$V$1006:$AE$1006,0)), HYPERLINK("#",""), HYPERLINK(CONCATENATE("#Metadata!", ADDRESS(INDEX($Q$2:$Q$1001,MATCH(ROWS($O$2:O497),$O$2:$O$1001,0),0), INDEX($V$1004:$AE$1004,1,MATCH(COLUMNS($V$1006:Z1006),$V$1006:$AE$1006,0)))),"Fix")))</f>
        <v>0</v>
      </c>
      <c r="G497" s="3">
        <f>IF(OR(INDEX($P$2:$P$1001,MATCH(ROWS($O$2:O497),$O$2:$O$1001,0),1)&gt;=100000,INDEX($V$1005:$AE$1005,1,MATCH(COLUMNS($V$1006:AA1006),$V$1006:$AE$1006,0))&gt;=100000), " ",IF(INDEX($V$2:$AE$1001,MATCH(ROWS($O$2:O497),$O$2:$O$1001,0),MATCH(COLUMNS($V$1006:AA1006),$V$1006:$AE$1006,0)), HYPERLINK("#",""), HYPERLINK(CONCATENATE("#Metadata!", ADDRESS(INDEX($Q$2:$Q$1001,MATCH(ROWS($O$2:O497),$O$2:$O$1001,0),0), INDEX($V$1004:$AE$1004,1,MATCH(COLUMNS($V$1006:AA1006),$V$1006:$AE$1006,0)))),"Fix")))</f>
        <v>0</v>
      </c>
      <c r="H497" s="3">
        <f>IF(OR(INDEX($P$2:$P$1001,MATCH(ROWS($O$2:O497),$O$2:$O$1001,0),1)&gt;=100000,INDEX($V$1005:$AE$1005,1,MATCH(COLUMNS($V$1006:AB1006),$V$1006:$AE$1006,0))&gt;=100000), " ",IF(INDEX($V$2:$AE$1001,MATCH(ROWS($O$2:O497),$O$2:$O$1001,0),MATCH(COLUMNS($V$1006:AB1006),$V$1006:$AE$1006,0)), HYPERLINK("#",""), HYPERLINK(CONCATENATE("#Metadata!", ADDRESS(INDEX($Q$2:$Q$1001,MATCH(ROWS($O$2:O497),$O$2:$O$1001,0),0), INDEX($V$1004:$AE$1004,1,MATCH(COLUMNS($V$1006:AB1006),$V$1006:$AE$1006,0)))),"Fix")))</f>
        <v>0</v>
      </c>
      <c r="I497" s="3">
        <f>IF(OR(INDEX($P$2:$P$1001,MATCH(ROWS($O$2:O497),$O$2:$O$1001,0),1)&gt;=100000,INDEX($V$1005:$AE$1005,1,MATCH(COLUMNS($V$1006:AC1006),$V$1006:$AE$1006,0))&gt;=100000), " ",IF(INDEX($V$2:$AE$1001,MATCH(ROWS($O$2:O497),$O$2:$O$1001,0),MATCH(COLUMNS($V$1006:AC1006),$V$1006:$AE$1006,0)), HYPERLINK("#",""), HYPERLINK(CONCATENATE("#Metadata!", ADDRESS(INDEX($Q$2:$Q$1001,MATCH(ROWS($O$2:O497),$O$2:$O$1001,0),0), INDEX($V$1004:$AE$1004,1,MATCH(COLUMNS($V$1006:AC1006),$V$1006:$AE$1006,0)))),"Fix")))</f>
        <v>0</v>
      </c>
      <c r="J497" s="3">
        <f>IF(OR(INDEX($P$2:$P$1001,MATCH(ROWS($O$2:O497),$O$2:$O$1001,0),1)&gt;=100000,INDEX($V$1005:$AE$1005,1,MATCH(COLUMNS($V$1006:AD1006),$V$1006:$AE$1006,0))&gt;=100000), " ",IF(INDEX($V$2:$AE$1001,MATCH(ROWS($O$2:O497),$O$2:$O$1001,0),MATCH(COLUMNS($V$1006:AD1006),$V$1006:$AE$1006,0)), HYPERLINK("#",""), HYPERLINK(CONCATENATE("#Metadata!", ADDRESS(INDEX($Q$2:$Q$1001,MATCH(ROWS($O$2:O497),$O$2:$O$1001,0),0), INDEX($V$1004:$AE$1004,1,MATCH(COLUMNS($V$1006:AD1006),$V$1006:$AE$1006,0)))),"Fix")))</f>
        <v>0</v>
      </c>
      <c r="K497" s="3">
        <f>IF(OR(INDEX($P$2:$P$1001,MATCH(ROWS($O$2:O497),$O$2:$O$1001,0),1)&gt;=100000,INDEX($V$1005:$AE$1005,1,MATCH(COLUMNS($V$1006:AE1006),$V$1006:$AE$1006,0))&gt;=100000), " ",IF(INDEX($V$2:$AE$1001,MATCH(ROWS($O$2:O497),$O$2:$O$1001,0),MATCH(COLUMNS($V$1006:AE1006),$V$1006:$AE$1006,0)), HYPERLINK("#",""), HYPERLINK(CONCATENATE("#Metadata!", ADDRESS(INDEX($Q$2:$Q$1001,MATCH(ROWS($O$2:O497),$O$2:$O$1001,0),0), INDEX($V$1004:$AE$1004,1,MATCH(COLUMNS($V$1006:AE1006),$V$1006:$AE$1006,0)))),"Fix")))</f>
        <v>0</v>
      </c>
      <c r="O497">
        <v>0</v>
      </c>
      <c r="P497">
        <v>0</v>
      </c>
      <c r="Q497">
        <v>0</v>
      </c>
      <c r="R497">
        <f>IF(S497,TRUE,AND(V497:AE497))</f>
        <v>0</v>
      </c>
      <c r="S497">
        <f>COUNTBLANK(Metadata!B497:K497)=COLUMNS(Metadata!B497:K497)</f>
        <v>0</v>
      </c>
      <c r="T497">
        <v>0</v>
      </c>
      <c r="V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W497">
        <f>AND(IF(Metadata!C497="",FALSE,TRUE),exact(Metadata!C497,"animal secretion"))</f>
        <v>0</v>
      </c>
      <c r="X497">
        <f>AND(IF(Metadata!D497="",FALSE,TRUE),exact(Metadata!D497,"saliva"))</f>
        <v>0</v>
      </c>
      <c r="Y497">
        <f>AND(IF(Metadata!E497="",FALSE,TRUE),exact(Metadata!E497,"human-oral"))</f>
        <v>0</v>
      </c>
      <c r="Z497">
        <f>AND(IF(Metadata!F497="",FALSE,TRUE),exact(Metadata!F497,"UBERON:oral cavity"))</f>
        <v>0</v>
      </c>
      <c r="AA497">
        <f>AND(IF(Metadata!G497="",FALSE,TRUE),exact(Metadata!G497,"UBERON:saliva"))</f>
        <v>0</v>
      </c>
      <c r="AB497">
        <f>AND(IF(Metadata!H497="",FALSE,TRUE),exact(Metadata!H497,"UBERON:tongue"))</f>
        <v>0</v>
      </c>
      <c r="AC497">
        <f>AND(IF(Metadata!I497="",FALSE,TRUE),exact(Metadata!I497,"tongue"))</f>
        <v>0</v>
      </c>
      <c r="AD497">
        <f>AND(IF(Metadata!J497="",FALSE,TRUE),exact(Metadata!J497,"human oral metagenome"))</f>
        <v>0</v>
      </c>
      <c r="AE497">
        <f>AND(IF(Metadata!K497="",FALSE,TRUE),exact(Metadata!K497,"447426"))</f>
        <v>0</v>
      </c>
    </row>
    <row r="498" spans="1:31">
      <c r="A498" s="4">
        <f>IF(B498=" "," ",HYPERLINK(CONCATENATE("#metadata!",ADDRESS(INDEX($Q$2:$Q$1001,MATCH(ROWS($O$2:O498),$O$2:$O$1001,0),0),1)),INDEX($T$2:$T$1001,MATCH(ROWS($O$2:O498),$O$2:$O$1001,0),0)))</f>
        <v>0</v>
      </c>
      <c r="B498" s="3">
        <f>IF(OR(INDEX($P$2:$P$1001,MATCH(ROWS($O$2:O498),$O$2:$O$1001,0),1)&gt;=100000,INDEX($V$1005:$AE$1005,1,MATCH(COLUMNS($V$1006:V1006),$V$1006:$AE$1006,0))&gt;=100000), " ",IF(INDEX($V$2:$AE$1001,MATCH(ROWS($O$2:O498),$O$2:$O$1001,0),MATCH(COLUMNS($V$1006:V1006),$V$1006:$AE$1006,0)), HYPERLINK("#",""), HYPERLINK(CONCATENATE("#Metadata!", ADDRESS(INDEX($Q$2:$Q$1001,MATCH(ROWS($O$2:O498),$O$2:$O$1001,0),0), INDEX($V$1004:$AE$1004,1,MATCH(COLUMNS($V$1006:V1006),$V$1006:$AE$1006,0)))),"Fix")))</f>
        <v>0</v>
      </c>
      <c r="C498" s="3">
        <f>IF(OR(INDEX($P$2:$P$1001,MATCH(ROWS($O$2:O498),$O$2:$O$1001,0),1)&gt;=100000,INDEX($V$1005:$AE$1005,1,MATCH(COLUMNS($V$1006:W1006),$V$1006:$AE$1006,0))&gt;=100000), " ",IF(INDEX($V$2:$AE$1001,MATCH(ROWS($O$2:O498),$O$2:$O$1001,0),MATCH(COLUMNS($V$1006:W1006),$V$1006:$AE$1006,0)), HYPERLINK("#",""), HYPERLINK(CONCATENATE("#Metadata!", ADDRESS(INDEX($Q$2:$Q$1001,MATCH(ROWS($O$2:O498),$O$2:$O$1001,0),0), INDEX($V$1004:$AE$1004,1,MATCH(COLUMNS($V$1006:W1006),$V$1006:$AE$1006,0)))),"Fix")))</f>
        <v>0</v>
      </c>
      <c r="D498" s="3">
        <f>IF(OR(INDEX($P$2:$P$1001,MATCH(ROWS($O$2:O498),$O$2:$O$1001,0),1)&gt;=100000,INDEX($V$1005:$AE$1005,1,MATCH(COLUMNS($V$1006:X1006),$V$1006:$AE$1006,0))&gt;=100000), " ",IF(INDEX($V$2:$AE$1001,MATCH(ROWS($O$2:O498),$O$2:$O$1001,0),MATCH(COLUMNS($V$1006:X1006),$V$1006:$AE$1006,0)), HYPERLINK("#",""), HYPERLINK(CONCATENATE("#Metadata!", ADDRESS(INDEX($Q$2:$Q$1001,MATCH(ROWS($O$2:O498),$O$2:$O$1001,0),0), INDEX($V$1004:$AE$1004,1,MATCH(COLUMNS($V$1006:X1006),$V$1006:$AE$1006,0)))),"Fix")))</f>
        <v>0</v>
      </c>
      <c r="E498" s="3">
        <f>IF(OR(INDEX($P$2:$P$1001,MATCH(ROWS($O$2:O498),$O$2:$O$1001,0),1)&gt;=100000,INDEX($V$1005:$AE$1005,1,MATCH(COLUMNS($V$1006:Y1006),$V$1006:$AE$1006,0))&gt;=100000), " ",IF(INDEX($V$2:$AE$1001,MATCH(ROWS($O$2:O498),$O$2:$O$1001,0),MATCH(COLUMNS($V$1006:Y1006),$V$1006:$AE$1006,0)), HYPERLINK("#",""), HYPERLINK(CONCATENATE("#Metadata!", ADDRESS(INDEX($Q$2:$Q$1001,MATCH(ROWS($O$2:O498),$O$2:$O$1001,0),0), INDEX($V$1004:$AE$1004,1,MATCH(COLUMNS($V$1006:Y1006),$V$1006:$AE$1006,0)))),"Fix")))</f>
        <v>0</v>
      </c>
      <c r="F498" s="3">
        <f>IF(OR(INDEX($P$2:$P$1001,MATCH(ROWS($O$2:O498),$O$2:$O$1001,0),1)&gt;=100000,INDEX($V$1005:$AE$1005,1,MATCH(COLUMNS($V$1006:Z1006),$V$1006:$AE$1006,0))&gt;=100000), " ",IF(INDEX($V$2:$AE$1001,MATCH(ROWS($O$2:O498),$O$2:$O$1001,0),MATCH(COLUMNS($V$1006:Z1006),$V$1006:$AE$1006,0)), HYPERLINK("#",""), HYPERLINK(CONCATENATE("#Metadata!", ADDRESS(INDEX($Q$2:$Q$1001,MATCH(ROWS($O$2:O498),$O$2:$O$1001,0),0), INDEX($V$1004:$AE$1004,1,MATCH(COLUMNS($V$1006:Z1006),$V$1006:$AE$1006,0)))),"Fix")))</f>
        <v>0</v>
      </c>
      <c r="G498" s="3">
        <f>IF(OR(INDEX($P$2:$P$1001,MATCH(ROWS($O$2:O498),$O$2:$O$1001,0),1)&gt;=100000,INDEX($V$1005:$AE$1005,1,MATCH(COLUMNS($V$1006:AA1006),$V$1006:$AE$1006,0))&gt;=100000), " ",IF(INDEX($V$2:$AE$1001,MATCH(ROWS($O$2:O498),$O$2:$O$1001,0),MATCH(COLUMNS($V$1006:AA1006),$V$1006:$AE$1006,0)), HYPERLINK("#",""), HYPERLINK(CONCATENATE("#Metadata!", ADDRESS(INDEX($Q$2:$Q$1001,MATCH(ROWS($O$2:O498),$O$2:$O$1001,0),0), INDEX($V$1004:$AE$1004,1,MATCH(COLUMNS($V$1006:AA1006),$V$1006:$AE$1006,0)))),"Fix")))</f>
        <v>0</v>
      </c>
      <c r="H498" s="3">
        <f>IF(OR(INDEX($P$2:$P$1001,MATCH(ROWS($O$2:O498),$O$2:$O$1001,0),1)&gt;=100000,INDEX($V$1005:$AE$1005,1,MATCH(COLUMNS($V$1006:AB1006),$V$1006:$AE$1006,0))&gt;=100000), " ",IF(INDEX($V$2:$AE$1001,MATCH(ROWS($O$2:O498),$O$2:$O$1001,0),MATCH(COLUMNS($V$1006:AB1006),$V$1006:$AE$1006,0)), HYPERLINK("#",""), HYPERLINK(CONCATENATE("#Metadata!", ADDRESS(INDEX($Q$2:$Q$1001,MATCH(ROWS($O$2:O498),$O$2:$O$1001,0),0), INDEX($V$1004:$AE$1004,1,MATCH(COLUMNS($V$1006:AB1006),$V$1006:$AE$1006,0)))),"Fix")))</f>
        <v>0</v>
      </c>
      <c r="I498" s="3">
        <f>IF(OR(INDEX($P$2:$P$1001,MATCH(ROWS($O$2:O498),$O$2:$O$1001,0),1)&gt;=100000,INDEX($V$1005:$AE$1005,1,MATCH(COLUMNS($V$1006:AC1006),$V$1006:$AE$1006,0))&gt;=100000), " ",IF(INDEX($V$2:$AE$1001,MATCH(ROWS($O$2:O498),$O$2:$O$1001,0),MATCH(COLUMNS($V$1006:AC1006),$V$1006:$AE$1006,0)), HYPERLINK("#",""), HYPERLINK(CONCATENATE("#Metadata!", ADDRESS(INDEX($Q$2:$Q$1001,MATCH(ROWS($O$2:O498),$O$2:$O$1001,0),0), INDEX($V$1004:$AE$1004,1,MATCH(COLUMNS($V$1006:AC1006),$V$1006:$AE$1006,0)))),"Fix")))</f>
        <v>0</v>
      </c>
      <c r="J498" s="3">
        <f>IF(OR(INDEX($P$2:$P$1001,MATCH(ROWS($O$2:O498),$O$2:$O$1001,0),1)&gt;=100000,INDEX($V$1005:$AE$1005,1,MATCH(COLUMNS($V$1006:AD1006),$V$1006:$AE$1006,0))&gt;=100000), " ",IF(INDEX($V$2:$AE$1001,MATCH(ROWS($O$2:O498),$O$2:$O$1001,0),MATCH(COLUMNS($V$1006:AD1006),$V$1006:$AE$1006,0)), HYPERLINK("#",""), HYPERLINK(CONCATENATE("#Metadata!", ADDRESS(INDEX($Q$2:$Q$1001,MATCH(ROWS($O$2:O498),$O$2:$O$1001,0),0), INDEX($V$1004:$AE$1004,1,MATCH(COLUMNS($V$1006:AD1006),$V$1006:$AE$1006,0)))),"Fix")))</f>
        <v>0</v>
      </c>
      <c r="K498" s="3">
        <f>IF(OR(INDEX($P$2:$P$1001,MATCH(ROWS($O$2:O498),$O$2:$O$1001,0),1)&gt;=100000,INDEX($V$1005:$AE$1005,1,MATCH(COLUMNS($V$1006:AE1006),$V$1006:$AE$1006,0))&gt;=100000), " ",IF(INDEX($V$2:$AE$1001,MATCH(ROWS($O$2:O498),$O$2:$O$1001,0),MATCH(COLUMNS($V$1006:AE1006),$V$1006:$AE$1006,0)), HYPERLINK("#",""), HYPERLINK(CONCATENATE("#Metadata!", ADDRESS(INDEX($Q$2:$Q$1001,MATCH(ROWS($O$2:O498),$O$2:$O$1001,0),0), INDEX($V$1004:$AE$1004,1,MATCH(COLUMNS($V$1006:AE1006),$V$1006:$AE$1006,0)))),"Fix")))</f>
        <v>0</v>
      </c>
      <c r="O498">
        <v>0</v>
      </c>
      <c r="P498">
        <v>0</v>
      </c>
      <c r="Q498">
        <v>0</v>
      </c>
      <c r="R498">
        <f>IF(S498,TRUE,AND(V498:AE498))</f>
        <v>0</v>
      </c>
      <c r="S498">
        <f>COUNTBLANK(Metadata!B498:K498)=COLUMNS(Metadata!B498:K498)</f>
        <v>0</v>
      </c>
      <c r="T498">
        <v>0</v>
      </c>
      <c r="V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W498">
        <f>AND(IF(Metadata!C498="",FALSE,TRUE),exact(Metadata!C498,"animal secretion"))</f>
        <v>0</v>
      </c>
      <c r="X498">
        <f>AND(IF(Metadata!D498="",FALSE,TRUE),exact(Metadata!D498,"saliva"))</f>
        <v>0</v>
      </c>
      <c r="Y498">
        <f>AND(IF(Metadata!E498="",FALSE,TRUE),exact(Metadata!E498,"human-oral"))</f>
        <v>0</v>
      </c>
      <c r="Z498">
        <f>AND(IF(Metadata!F498="",FALSE,TRUE),exact(Metadata!F498,"UBERON:oral cavity"))</f>
        <v>0</v>
      </c>
      <c r="AA498">
        <f>AND(IF(Metadata!G498="",FALSE,TRUE),exact(Metadata!G498,"UBERON:saliva"))</f>
        <v>0</v>
      </c>
      <c r="AB498">
        <f>AND(IF(Metadata!H498="",FALSE,TRUE),exact(Metadata!H498,"UBERON:tongue"))</f>
        <v>0</v>
      </c>
      <c r="AC498">
        <f>AND(IF(Metadata!I498="",FALSE,TRUE),exact(Metadata!I498,"tongue"))</f>
        <v>0</v>
      </c>
      <c r="AD498">
        <f>AND(IF(Metadata!J498="",FALSE,TRUE),exact(Metadata!J498,"human oral metagenome"))</f>
        <v>0</v>
      </c>
      <c r="AE498">
        <f>AND(IF(Metadata!K498="",FALSE,TRUE),exact(Metadata!K498,"447426"))</f>
        <v>0</v>
      </c>
    </row>
    <row r="499" spans="1:31">
      <c r="A499" s="4">
        <f>IF(B499=" "," ",HYPERLINK(CONCATENATE("#metadata!",ADDRESS(INDEX($Q$2:$Q$1001,MATCH(ROWS($O$2:O499),$O$2:$O$1001,0),0),1)),INDEX($T$2:$T$1001,MATCH(ROWS($O$2:O499),$O$2:$O$1001,0),0)))</f>
        <v>0</v>
      </c>
      <c r="B499" s="3">
        <f>IF(OR(INDEX($P$2:$P$1001,MATCH(ROWS($O$2:O499),$O$2:$O$1001,0),1)&gt;=100000,INDEX($V$1005:$AE$1005,1,MATCH(COLUMNS($V$1006:V1006),$V$1006:$AE$1006,0))&gt;=100000), " ",IF(INDEX($V$2:$AE$1001,MATCH(ROWS($O$2:O499),$O$2:$O$1001,0),MATCH(COLUMNS($V$1006:V1006),$V$1006:$AE$1006,0)), HYPERLINK("#",""), HYPERLINK(CONCATENATE("#Metadata!", ADDRESS(INDEX($Q$2:$Q$1001,MATCH(ROWS($O$2:O499),$O$2:$O$1001,0),0), INDEX($V$1004:$AE$1004,1,MATCH(COLUMNS($V$1006:V1006),$V$1006:$AE$1006,0)))),"Fix")))</f>
        <v>0</v>
      </c>
      <c r="C499" s="3">
        <f>IF(OR(INDEX($P$2:$P$1001,MATCH(ROWS($O$2:O499),$O$2:$O$1001,0),1)&gt;=100000,INDEX($V$1005:$AE$1005,1,MATCH(COLUMNS($V$1006:W1006),$V$1006:$AE$1006,0))&gt;=100000), " ",IF(INDEX($V$2:$AE$1001,MATCH(ROWS($O$2:O499),$O$2:$O$1001,0),MATCH(COLUMNS($V$1006:W1006),$V$1006:$AE$1006,0)), HYPERLINK("#",""), HYPERLINK(CONCATENATE("#Metadata!", ADDRESS(INDEX($Q$2:$Q$1001,MATCH(ROWS($O$2:O499),$O$2:$O$1001,0),0), INDEX($V$1004:$AE$1004,1,MATCH(COLUMNS($V$1006:W1006),$V$1006:$AE$1006,0)))),"Fix")))</f>
        <v>0</v>
      </c>
      <c r="D499" s="3">
        <f>IF(OR(INDEX($P$2:$P$1001,MATCH(ROWS($O$2:O499),$O$2:$O$1001,0),1)&gt;=100000,INDEX($V$1005:$AE$1005,1,MATCH(COLUMNS($V$1006:X1006),$V$1006:$AE$1006,0))&gt;=100000), " ",IF(INDEX($V$2:$AE$1001,MATCH(ROWS($O$2:O499),$O$2:$O$1001,0),MATCH(COLUMNS($V$1006:X1006),$V$1006:$AE$1006,0)), HYPERLINK("#",""), HYPERLINK(CONCATENATE("#Metadata!", ADDRESS(INDEX($Q$2:$Q$1001,MATCH(ROWS($O$2:O499),$O$2:$O$1001,0),0), INDEX($V$1004:$AE$1004,1,MATCH(COLUMNS($V$1006:X1006),$V$1006:$AE$1006,0)))),"Fix")))</f>
        <v>0</v>
      </c>
      <c r="E499" s="3">
        <f>IF(OR(INDEX($P$2:$P$1001,MATCH(ROWS($O$2:O499),$O$2:$O$1001,0),1)&gt;=100000,INDEX($V$1005:$AE$1005,1,MATCH(COLUMNS($V$1006:Y1006),$V$1006:$AE$1006,0))&gt;=100000), " ",IF(INDEX($V$2:$AE$1001,MATCH(ROWS($O$2:O499),$O$2:$O$1001,0),MATCH(COLUMNS($V$1006:Y1006),$V$1006:$AE$1006,0)), HYPERLINK("#",""), HYPERLINK(CONCATENATE("#Metadata!", ADDRESS(INDEX($Q$2:$Q$1001,MATCH(ROWS($O$2:O499),$O$2:$O$1001,0),0), INDEX($V$1004:$AE$1004,1,MATCH(COLUMNS($V$1006:Y1006),$V$1006:$AE$1006,0)))),"Fix")))</f>
        <v>0</v>
      </c>
      <c r="F499" s="3">
        <f>IF(OR(INDEX($P$2:$P$1001,MATCH(ROWS($O$2:O499),$O$2:$O$1001,0),1)&gt;=100000,INDEX($V$1005:$AE$1005,1,MATCH(COLUMNS($V$1006:Z1006),$V$1006:$AE$1006,0))&gt;=100000), " ",IF(INDEX($V$2:$AE$1001,MATCH(ROWS($O$2:O499),$O$2:$O$1001,0),MATCH(COLUMNS($V$1006:Z1006),$V$1006:$AE$1006,0)), HYPERLINK("#",""), HYPERLINK(CONCATENATE("#Metadata!", ADDRESS(INDEX($Q$2:$Q$1001,MATCH(ROWS($O$2:O499),$O$2:$O$1001,0),0), INDEX($V$1004:$AE$1004,1,MATCH(COLUMNS($V$1006:Z1006),$V$1006:$AE$1006,0)))),"Fix")))</f>
        <v>0</v>
      </c>
      <c r="G499" s="3">
        <f>IF(OR(INDEX($P$2:$P$1001,MATCH(ROWS($O$2:O499),$O$2:$O$1001,0),1)&gt;=100000,INDEX($V$1005:$AE$1005,1,MATCH(COLUMNS($V$1006:AA1006),$V$1006:$AE$1006,0))&gt;=100000), " ",IF(INDEX($V$2:$AE$1001,MATCH(ROWS($O$2:O499),$O$2:$O$1001,0),MATCH(COLUMNS($V$1006:AA1006),$V$1006:$AE$1006,0)), HYPERLINK("#",""), HYPERLINK(CONCATENATE("#Metadata!", ADDRESS(INDEX($Q$2:$Q$1001,MATCH(ROWS($O$2:O499),$O$2:$O$1001,0),0), INDEX($V$1004:$AE$1004,1,MATCH(COLUMNS($V$1006:AA1006),$V$1006:$AE$1006,0)))),"Fix")))</f>
        <v>0</v>
      </c>
      <c r="H499" s="3">
        <f>IF(OR(INDEX($P$2:$P$1001,MATCH(ROWS($O$2:O499),$O$2:$O$1001,0),1)&gt;=100000,INDEX($V$1005:$AE$1005,1,MATCH(COLUMNS($V$1006:AB1006),$V$1006:$AE$1006,0))&gt;=100000), " ",IF(INDEX($V$2:$AE$1001,MATCH(ROWS($O$2:O499),$O$2:$O$1001,0),MATCH(COLUMNS($V$1006:AB1006),$V$1006:$AE$1006,0)), HYPERLINK("#",""), HYPERLINK(CONCATENATE("#Metadata!", ADDRESS(INDEX($Q$2:$Q$1001,MATCH(ROWS($O$2:O499),$O$2:$O$1001,0),0), INDEX($V$1004:$AE$1004,1,MATCH(COLUMNS($V$1006:AB1006),$V$1006:$AE$1006,0)))),"Fix")))</f>
        <v>0</v>
      </c>
      <c r="I499" s="3">
        <f>IF(OR(INDEX($P$2:$P$1001,MATCH(ROWS($O$2:O499),$O$2:$O$1001,0),1)&gt;=100000,INDEX($V$1005:$AE$1005,1,MATCH(COLUMNS($V$1006:AC1006),$V$1006:$AE$1006,0))&gt;=100000), " ",IF(INDEX($V$2:$AE$1001,MATCH(ROWS($O$2:O499),$O$2:$O$1001,0),MATCH(COLUMNS($V$1006:AC1006),$V$1006:$AE$1006,0)), HYPERLINK("#",""), HYPERLINK(CONCATENATE("#Metadata!", ADDRESS(INDEX($Q$2:$Q$1001,MATCH(ROWS($O$2:O499),$O$2:$O$1001,0),0), INDEX($V$1004:$AE$1004,1,MATCH(COLUMNS($V$1006:AC1006),$V$1006:$AE$1006,0)))),"Fix")))</f>
        <v>0</v>
      </c>
      <c r="J499" s="3">
        <f>IF(OR(INDEX($P$2:$P$1001,MATCH(ROWS($O$2:O499),$O$2:$O$1001,0),1)&gt;=100000,INDEX($V$1005:$AE$1005,1,MATCH(COLUMNS($V$1006:AD1006),$V$1006:$AE$1006,0))&gt;=100000), " ",IF(INDEX($V$2:$AE$1001,MATCH(ROWS($O$2:O499),$O$2:$O$1001,0),MATCH(COLUMNS($V$1006:AD1006),$V$1006:$AE$1006,0)), HYPERLINK("#",""), HYPERLINK(CONCATENATE("#Metadata!", ADDRESS(INDEX($Q$2:$Q$1001,MATCH(ROWS($O$2:O499),$O$2:$O$1001,0),0), INDEX($V$1004:$AE$1004,1,MATCH(COLUMNS($V$1006:AD1006),$V$1006:$AE$1006,0)))),"Fix")))</f>
        <v>0</v>
      </c>
      <c r="K499" s="3">
        <f>IF(OR(INDEX($P$2:$P$1001,MATCH(ROWS($O$2:O499),$O$2:$O$1001,0),1)&gt;=100000,INDEX($V$1005:$AE$1005,1,MATCH(COLUMNS($V$1006:AE1006),$V$1006:$AE$1006,0))&gt;=100000), " ",IF(INDEX($V$2:$AE$1001,MATCH(ROWS($O$2:O499),$O$2:$O$1001,0),MATCH(COLUMNS($V$1006:AE1006),$V$1006:$AE$1006,0)), HYPERLINK("#",""), HYPERLINK(CONCATENATE("#Metadata!", ADDRESS(INDEX($Q$2:$Q$1001,MATCH(ROWS($O$2:O499),$O$2:$O$1001,0),0), INDEX($V$1004:$AE$1004,1,MATCH(COLUMNS($V$1006:AE1006),$V$1006:$AE$1006,0)))),"Fix")))</f>
        <v>0</v>
      </c>
      <c r="O499">
        <v>0</v>
      </c>
      <c r="P499">
        <v>0</v>
      </c>
      <c r="Q499">
        <v>0</v>
      </c>
      <c r="R499">
        <f>IF(S499,TRUE,AND(V499:AE499))</f>
        <v>0</v>
      </c>
      <c r="S499">
        <f>COUNTBLANK(Metadata!B499:K499)=COLUMNS(Metadata!B499:K499)</f>
        <v>0</v>
      </c>
      <c r="T499">
        <v>0</v>
      </c>
      <c r="V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W499">
        <f>AND(IF(Metadata!C499="",FALSE,TRUE),exact(Metadata!C499,"animal secretion"))</f>
        <v>0</v>
      </c>
      <c r="X499">
        <f>AND(IF(Metadata!D499="",FALSE,TRUE),exact(Metadata!D499,"saliva"))</f>
        <v>0</v>
      </c>
      <c r="Y499">
        <f>AND(IF(Metadata!E499="",FALSE,TRUE),exact(Metadata!E499,"human-oral"))</f>
        <v>0</v>
      </c>
      <c r="Z499">
        <f>AND(IF(Metadata!F499="",FALSE,TRUE),exact(Metadata!F499,"UBERON:oral cavity"))</f>
        <v>0</v>
      </c>
      <c r="AA499">
        <f>AND(IF(Metadata!G499="",FALSE,TRUE),exact(Metadata!G499,"UBERON:saliva"))</f>
        <v>0</v>
      </c>
      <c r="AB499">
        <f>AND(IF(Metadata!H499="",FALSE,TRUE),exact(Metadata!H499,"UBERON:tongue"))</f>
        <v>0</v>
      </c>
      <c r="AC499">
        <f>AND(IF(Metadata!I499="",FALSE,TRUE),exact(Metadata!I499,"tongue"))</f>
        <v>0</v>
      </c>
      <c r="AD499">
        <f>AND(IF(Metadata!J499="",FALSE,TRUE),exact(Metadata!J499,"human oral metagenome"))</f>
        <v>0</v>
      </c>
      <c r="AE499">
        <f>AND(IF(Metadata!K499="",FALSE,TRUE),exact(Metadata!K499,"447426"))</f>
        <v>0</v>
      </c>
    </row>
    <row r="500" spans="1:31">
      <c r="A500" s="4">
        <f>IF(B500=" "," ",HYPERLINK(CONCATENATE("#metadata!",ADDRESS(INDEX($Q$2:$Q$1001,MATCH(ROWS($O$2:O500),$O$2:$O$1001,0),0),1)),INDEX($T$2:$T$1001,MATCH(ROWS($O$2:O500),$O$2:$O$1001,0),0)))</f>
        <v>0</v>
      </c>
      <c r="B500" s="3">
        <f>IF(OR(INDEX($P$2:$P$1001,MATCH(ROWS($O$2:O500),$O$2:$O$1001,0),1)&gt;=100000,INDEX($V$1005:$AE$1005,1,MATCH(COLUMNS($V$1006:V1006),$V$1006:$AE$1006,0))&gt;=100000), " ",IF(INDEX($V$2:$AE$1001,MATCH(ROWS($O$2:O500),$O$2:$O$1001,0),MATCH(COLUMNS($V$1006:V1006),$V$1006:$AE$1006,0)), HYPERLINK("#",""), HYPERLINK(CONCATENATE("#Metadata!", ADDRESS(INDEX($Q$2:$Q$1001,MATCH(ROWS($O$2:O500),$O$2:$O$1001,0),0), INDEX($V$1004:$AE$1004,1,MATCH(COLUMNS($V$1006:V1006),$V$1006:$AE$1006,0)))),"Fix")))</f>
        <v>0</v>
      </c>
      <c r="C500" s="3">
        <f>IF(OR(INDEX($P$2:$P$1001,MATCH(ROWS($O$2:O500),$O$2:$O$1001,0),1)&gt;=100000,INDEX($V$1005:$AE$1005,1,MATCH(COLUMNS($V$1006:W1006),$V$1006:$AE$1006,0))&gt;=100000), " ",IF(INDEX($V$2:$AE$1001,MATCH(ROWS($O$2:O500),$O$2:$O$1001,0),MATCH(COLUMNS($V$1006:W1006),$V$1006:$AE$1006,0)), HYPERLINK("#",""), HYPERLINK(CONCATENATE("#Metadata!", ADDRESS(INDEX($Q$2:$Q$1001,MATCH(ROWS($O$2:O500),$O$2:$O$1001,0),0), INDEX($V$1004:$AE$1004,1,MATCH(COLUMNS($V$1006:W1006),$V$1006:$AE$1006,0)))),"Fix")))</f>
        <v>0</v>
      </c>
      <c r="D500" s="3">
        <f>IF(OR(INDEX($P$2:$P$1001,MATCH(ROWS($O$2:O500),$O$2:$O$1001,0),1)&gt;=100000,INDEX($V$1005:$AE$1005,1,MATCH(COLUMNS($V$1006:X1006),$V$1006:$AE$1006,0))&gt;=100000), " ",IF(INDEX($V$2:$AE$1001,MATCH(ROWS($O$2:O500),$O$2:$O$1001,0),MATCH(COLUMNS($V$1006:X1006),$V$1006:$AE$1006,0)), HYPERLINK("#",""), HYPERLINK(CONCATENATE("#Metadata!", ADDRESS(INDEX($Q$2:$Q$1001,MATCH(ROWS($O$2:O500),$O$2:$O$1001,0),0), INDEX($V$1004:$AE$1004,1,MATCH(COLUMNS($V$1006:X1006),$V$1006:$AE$1006,0)))),"Fix")))</f>
        <v>0</v>
      </c>
      <c r="E500" s="3">
        <f>IF(OR(INDEX($P$2:$P$1001,MATCH(ROWS($O$2:O500),$O$2:$O$1001,0),1)&gt;=100000,INDEX($V$1005:$AE$1005,1,MATCH(COLUMNS($V$1006:Y1006),$V$1006:$AE$1006,0))&gt;=100000), " ",IF(INDEX($V$2:$AE$1001,MATCH(ROWS($O$2:O500),$O$2:$O$1001,0),MATCH(COLUMNS($V$1006:Y1006),$V$1006:$AE$1006,0)), HYPERLINK("#",""), HYPERLINK(CONCATENATE("#Metadata!", ADDRESS(INDEX($Q$2:$Q$1001,MATCH(ROWS($O$2:O500),$O$2:$O$1001,0),0), INDEX($V$1004:$AE$1004,1,MATCH(COLUMNS($V$1006:Y1006),$V$1006:$AE$1006,0)))),"Fix")))</f>
        <v>0</v>
      </c>
      <c r="F500" s="3">
        <f>IF(OR(INDEX($P$2:$P$1001,MATCH(ROWS($O$2:O500),$O$2:$O$1001,0),1)&gt;=100000,INDEX($V$1005:$AE$1005,1,MATCH(COLUMNS($V$1006:Z1006),$V$1006:$AE$1006,0))&gt;=100000), " ",IF(INDEX($V$2:$AE$1001,MATCH(ROWS($O$2:O500),$O$2:$O$1001,0),MATCH(COLUMNS($V$1006:Z1006),$V$1006:$AE$1006,0)), HYPERLINK("#",""), HYPERLINK(CONCATENATE("#Metadata!", ADDRESS(INDEX($Q$2:$Q$1001,MATCH(ROWS($O$2:O500),$O$2:$O$1001,0),0), INDEX($V$1004:$AE$1004,1,MATCH(COLUMNS($V$1006:Z1006),$V$1006:$AE$1006,0)))),"Fix")))</f>
        <v>0</v>
      </c>
      <c r="G500" s="3">
        <f>IF(OR(INDEX($P$2:$P$1001,MATCH(ROWS($O$2:O500),$O$2:$O$1001,0),1)&gt;=100000,INDEX($V$1005:$AE$1005,1,MATCH(COLUMNS($V$1006:AA1006),$V$1006:$AE$1006,0))&gt;=100000), " ",IF(INDEX($V$2:$AE$1001,MATCH(ROWS($O$2:O500),$O$2:$O$1001,0),MATCH(COLUMNS($V$1006:AA1006),$V$1006:$AE$1006,0)), HYPERLINK("#",""), HYPERLINK(CONCATENATE("#Metadata!", ADDRESS(INDEX($Q$2:$Q$1001,MATCH(ROWS($O$2:O500),$O$2:$O$1001,0),0), INDEX($V$1004:$AE$1004,1,MATCH(COLUMNS($V$1006:AA1006),$V$1006:$AE$1006,0)))),"Fix")))</f>
        <v>0</v>
      </c>
      <c r="H500" s="3">
        <f>IF(OR(INDEX($P$2:$P$1001,MATCH(ROWS($O$2:O500),$O$2:$O$1001,0),1)&gt;=100000,INDEX($V$1005:$AE$1005,1,MATCH(COLUMNS($V$1006:AB1006),$V$1006:$AE$1006,0))&gt;=100000), " ",IF(INDEX($V$2:$AE$1001,MATCH(ROWS($O$2:O500),$O$2:$O$1001,0),MATCH(COLUMNS($V$1006:AB1006),$V$1006:$AE$1006,0)), HYPERLINK("#",""), HYPERLINK(CONCATENATE("#Metadata!", ADDRESS(INDEX($Q$2:$Q$1001,MATCH(ROWS($O$2:O500),$O$2:$O$1001,0),0), INDEX($V$1004:$AE$1004,1,MATCH(COLUMNS($V$1006:AB1006),$V$1006:$AE$1006,0)))),"Fix")))</f>
        <v>0</v>
      </c>
      <c r="I500" s="3">
        <f>IF(OR(INDEX($P$2:$P$1001,MATCH(ROWS($O$2:O500),$O$2:$O$1001,0),1)&gt;=100000,INDEX($V$1005:$AE$1005,1,MATCH(COLUMNS($V$1006:AC1006),$V$1006:$AE$1006,0))&gt;=100000), " ",IF(INDEX($V$2:$AE$1001,MATCH(ROWS($O$2:O500),$O$2:$O$1001,0),MATCH(COLUMNS($V$1006:AC1006),$V$1006:$AE$1006,0)), HYPERLINK("#",""), HYPERLINK(CONCATENATE("#Metadata!", ADDRESS(INDEX($Q$2:$Q$1001,MATCH(ROWS($O$2:O500),$O$2:$O$1001,0),0), INDEX($V$1004:$AE$1004,1,MATCH(COLUMNS($V$1006:AC1006),$V$1006:$AE$1006,0)))),"Fix")))</f>
        <v>0</v>
      </c>
      <c r="J500" s="3">
        <f>IF(OR(INDEX($P$2:$P$1001,MATCH(ROWS($O$2:O500),$O$2:$O$1001,0),1)&gt;=100000,INDEX($V$1005:$AE$1005,1,MATCH(COLUMNS($V$1006:AD1006),$V$1006:$AE$1006,0))&gt;=100000), " ",IF(INDEX($V$2:$AE$1001,MATCH(ROWS($O$2:O500),$O$2:$O$1001,0),MATCH(COLUMNS($V$1006:AD1006),$V$1006:$AE$1006,0)), HYPERLINK("#",""), HYPERLINK(CONCATENATE("#Metadata!", ADDRESS(INDEX($Q$2:$Q$1001,MATCH(ROWS($O$2:O500),$O$2:$O$1001,0),0), INDEX($V$1004:$AE$1004,1,MATCH(COLUMNS($V$1006:AD1006),$V$1006:$AE$1006,0)))),"Fix")))</f>
        <v>0</v>
      </c>
      <c r="K500" s="3">
        <f>IF(OR(INDEX($P$2:$P$1001,MATCH(ROWS($O$2:O500),$O$2:$O$1001,0),1)&gt;=100000,INDEX($V$1005:$AE$1005,1,MATCH(COLUMNS($V$1006:AE1006),$V$1006:$AE$1006,0))&gt;=100000), " ",IF(INDEX($V$2:$AE$1001,MATCH(ROWS($O$2:O500),$O$2:$O$1001,0),MATCH(COLUMNS($V$1006:AE1006),$V$1006:$AE$1006,0)), HYPERLINK("#",""), HYPERLINK(CONCATENATE("#Metadata!", ADDRESS(INDEX($Q$2:$Q$1001,MATCH(ROWS($O$2:O500),$O$2:$O$1001,0),0), INDEX($V$1004:$AE$1004,1,MATCH(COLUMNS($V$1006:AE1006),$V$1006:$AE$1006,0)))),"Fix")))</f>
        <v>0</v>
      </c>
      <c r="O500">
        <v>0</v>
      </c>
      <c r="P500">
        <v>0</v>
      </c>
      <c r="Q500">
        <v>0</v>
      </c>
      <c r="R500">
        <f>IF(S500,TRUE,AND(V500:AE500))</f>
        <v>0</v>
      </c>
      <c r="S500">
        <f>COUNTBLANK(Metadata!B500:K500)=COLUMNS(Metadata!B500:K500)</f>
        <v>0</v>
      </c>
      <c r="T500">
        <v>0</v>
      </c>
      <c r="V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W500">
        <f>AND(IF(Metadata!C500="",FALSE,TRUE),exact(Metadata!C500,"animal secretion"))</f>
        <v>0</v>
      </c>
      <c r="X500">
        <f>AND(IF(Metadata!D500="",FALSE,TRUE),exact(Metadata!D500,"saliva"))</f>
        <v>0</v>
      </c>
      <c r="Y500">
        <f>AND(IF(Metadata!E500="",FALSE,TRUE),exact(Metadata!E500,"human-oral"))</f>
        <v>0</v>
      </c>
      <c r="Z500">
        <f>AND(IF(Metadata!F500="",FALSE,TRUE),exact(Metadata!F500,"UBERON:oral cavity"))</f>
        <v>0</v>
      </c>
      <c r="AA500">
        <f>AND(IF(Metadata!G500="",FALSE,TRUE),exact(Metadata!G500,"UBERON:saliva"))</f>
        <v>0</v>
      </c>
      <c r="AB500">
        <f>AND(IF(Metadata!H500="",FALSE,TRUE),exact(Metadata!H500,"UBERON:tongue"))</f>
        <v>0</v>
      </c>
      <c r="AC500">
        <f>AND(IF(Metadata!I500="",FALSE,TRUE),exact(Metadata!I500,"tongue"))</f>
        <v>0</v>
      </c>
      <c r="AD500">
        <f>AND(IF(Metadata!J500="",FALSE,TRUE),exact(Metadata!J500,"human oral metagenome"))</f>
        <v>0</v>
      </c>
      <c r="AE500">
        <f>AND(IF(Metadata!K500="",FALSE,TRUE),exact(Metadata!K500,"447426"))</f>
        <v>0</v>
      </c>
    </row>
    <row r="501" spans="1:31">
      <c r="A501" s="4">
        <f>IF(B501=" "," ",HYPERLINK(CONCATENATE("#metadata!",ADDRESS(INDEX($Q$2:$Q$1001,MATCH(ROWS($O$2:O501),$O$2:$O$1001,0),0),1)),INDEX($T$2:$T$1001,MATCH(ROWS($O$2:O501),$O$2:$O$1001,0),0)))</f>
        <v>0</v>
      </c>
      <c r="B501" s="3">
        <f>IF(OR(INDEX($P$2:$P$1001,MATCH(ROWS($O$2:O501),$O$2:$O$1001,0),1)&gt;=100000,INDEX($V$1005:$AE$1005,1,MATCH(COLUMNS($V$1006:V1006),$V$1006:$AE$1006,0))&gt;=100000), " ",IF(INDEX($V$2:$AE$1001,MATCH(ROWS($O$2:O501),$O$2:$O$1001,0),MATCH(COLUMNS($V$1006:V1006),$V$1006:$AE$1006,0)), HYPERLINK("#",""), HYPERLINK(CONCATENATE("#Metadata!", ADDRESS(INDEX($Q$2:$Q$1001,MATCH(ROWS($O$2:O501),$O$2:$O$1001,0),0), INDEX($V$1004:$AE$1004,1,MATCH(COLUMNS($V$1006:V1006),$V$1006:$AE$1006,0)))),"Fix")))</f>
        <v>0</v>
      </c>
      <c r="C501" s="3">
        <f>IF(OR(INDEX($P$2:$P$1001,MATCH(ROWS($O$2:O501),$O$2:$O$1001,0),1)&gt;=100000,INDEX($V$1005:$AE$1005,1,MATCH(COLUMNS($V$1006:W1006),$V$1006:$AE$1006,0))&gt;=100000), " ",IF(INDEX($V$2:$AE$1001,MATCH(ROWS($O$2:O501),$O$2:$O$1001,0),MATCH(COLUMNS($V$1006:W1006),$V$1006:$AE$1006,0)), HYPERLINK("#",""), HYPERLINK(CONCATENATE("#Metadata!", ADDRESS(INDEX($Q$2:$Q$1001,MATCH(ROWS($O$2:O501),$O$2:$O$1001,0),0), INDEX($V$1004:$AE$1004,1,MATCH(COLUMNS($V$1006:W1006),$V$1006:$AE$1006,0)))),"Fix")))</f>
        <v>0</v>
      </c>
      <c r="D501" s="3">
        <f>IF(OR(INDEX($P$2:$P$1001,MATCH(ROWS($O$2:O501),$O$2:$O$1001,0),1)&gt;=100000,INDEX($V$1005:$AE$1005,1,MATCH(COLUMNS($V$1006:X1006),$V$1006:$AE$1006,0))&gt;=100000), " ",IF(INDEX($V$2:$AE$1001,MATCH(ROWS($O$2:O501),$O$2:$O$1001,0),MATCH(COLUMNS($V$1006:X1006),$V$1006:$AE$1006,0)), HYPERLINK("#",""), HYPERLINK(CONCATENATE("#Metadata!", ADDRESS(INDEX($Q$2:$Q$1001,MATCH(ROWS($O$2:O501),$O$2:$O$1001,0),0), INDEX($V$1004:$AE$1004,1,MATCH(COLUMNS($V$1006:X1006),$V$1006:$AE$1006,0)))),"Fix")))</f>
        <v>0</v>
      </c>
      <c r="E501" s="3">
        <f>IF(OR(INDEX($P$2:$P$1001,MATCH(ROWS($O$2:O501),$O$2:$O$1001,0),1)&gt;=100000,INDEX($V$1005:$AE$1005,1,MATCH(COLUMNS($V$1006:Y1006),$V$1006:$AE$1006,0))&gt;=100000), " ",IF(INDEX($V$2:$AE$1001,MATCH(ROWS($O$2:O501),$O$2:$O$1001,0),MATCH(COLUMNS($V$1006:Y1006),$V$1006:$AE$1006,0)), HYPERLINK("#",""), HYPERLINK(CONCATENATE("#Metadata!", ADDRESS(INDEX($Q$2:$Q$1001,MATCH(ROWS($O$2:O501),$O$2:$O$1001,0),0), INDEX($V$1004:$AE$1004,1,MATCH(COLUMNS($V$1006:Y1006),$V$1006:$AE$1006,0)))),"Fix")))</f>
        <v>0</v>
      </c>
      <c r="F501" s="3">
        <f>IF(OR(INDEX($P$2:$P$1001,MATCH(ROWS($O$2:O501),$O$2:$O$1001,0),1)&gt;=100000,INDEX($V$1005:$AE$1005,1,MATCH(COLUMNS($V$1006:Z1006),$V$1006:$AE$1006,0))&gt;=100000), " ",IF(INDEX($V$2:$AE$1001,MATCH(ROWS($O$2:O501),$O$2:$O$1001,0),MATCH(COLUMNS($V$1006:Z1006),$V$1006:$AE$1006,0)), HYPERLINK("#",""), HYPERLINK(CONCATENATE("#Metadata!", ADDRESS(INDEX($Q$2:$Q$1001,MATCH(ROWS($O$2:O501),$O$2:$O$1001,0),0), INDEX($V$1004:$AE$1004,1,MATCH(COLUMNS($V$1006:Z1006),$V$1006:$AE$1006,0)))),"Fix")))</f>
        <v>0</v>
      </c>
      <c r="G501" s="3">
        <f>IF(OR(INDEX($P$2:$P$1001,MATCH(ROWS($O$2:O501),$O$2:$O$1001,0),1)&gt;=100000,INDEX($V$1005:$AE$1005,1,MATCH(COLUMNS($V$1006:AA1006),$V$1006:$AE$1006,0))&gt;=100000), " ",IF(INDEX($V$2:$AE$1001,MATCH(ROWS($O$2:O501),$O$2:$O$1001,0),MATCH(COLUMNS($V$1006:AA1006),$V$1006:$AE$1006,0)), HYPERLINK("#",""), HYPERLINK(CONCATENATE("#Metadata!", ADDRESS(INDEX($Q$2:$Q$1001,MATCH(ROWS($O$2:O501),$O$2:$O$1001,0),0), INDEX($V$1004:$AE$1004,1,MATCH(COLUMNS($V$1006:AA1006),$V$1006:$AE$1006,0)))),"Fix")))</f>
        <v>0</v>
      </c>
      <c r="H501" s="3">
        <f>IF(OR(INDEX($P$2:$P$1001,MATCH(ROWS($O$2:O501),$O$2:$O$1001,0),1)&gt;=100000,INDEX($V$1005:$AE$1005,1,MATCH(COLUMNS($V$1006:AB1006),$V$1006:$AE$1006,0))&gt;=100000), " ",IF(INDEX($V$2:$AE$1001,MATCH(ROWS($O$2:O501),$O$2:$O$1001,0),MATCH(COLUMNS($V$1006:AB1006),$V$1006:$AE$1006,0)), HYPERLINK("#",""), HYPERLINK(CONCATENATE("#Metadata!", ADDRESS(INDEX($Q$2:$Q$1001,MATCH(ROWS($O$2:O501),$O$2:$O$1001,0),0), INDEX($V$1004:$AE$1004,1,MATCH(COLUMNS($V$1006:AB1006),$V$1006:$AE$1006,0)))),"Fix")))</f>
        <v>0</v>
      </c>
      <c r="I501" s="3">
        <f>IF(OR(INDEX($P$2:$P$1001,MATCH(ROWS($O$2:O501),$O$2:$O$1001,0),1)&gt;=100000,INDEX($V$1005:$AE$1005,1,MATCH(COLUMNS($V$1006:AC1006),$V$1006:$AE$1006,0))&gt;=100000), " ",IF(INDEX($V$2:$AE$1001,MATCH(ROWS($O$2:O501),$O$2:$O$1001,0),MATCH(COLUMNS($V$1006:AC1006),$V$1006:$AE$1006,0)), HYPERLINK("#",""), HYPERLINK(CONCATENATE("#Metadata!", ADDRESS(INDEX($Q$2:$Q$1001,MATCH(ROWS($O$2:O501),$O$2:$O$1001,0),0), INDEX($V$1004:$AE$1004,1,MATCH(COLUMNS($V$1006:AC1006),$V$1006:$AE$1006,0)))),"Fix")))</f>
        <v>0</v>
      </c>
      <c r="J501" s="3">
        <f>IF(OR(INDEX($P$2:$P$1001,MATCH(ROWS($O$2:O501),$O$2:$O$1001,0),1)&gt;=100000,INDEX($V$1005:$AE$1005,1,MATCH(COLUMNS($V$1006:AD1006),$V$1006:$AE$1006,0))&gt;=100000), " ",IF(INDEX($V$2:$AE$1001,MATCH(ROWS($O$2:O501),$O$2:$O$1001,0),MATCH(COLUMNS($V$1006:AD1006),$V$1006:$AE$1006,0)), HYPERLINK("#",""), HYPERLINK(CONCATENATE("#Metadata!", ADDRESS(INDEX($Q$2:$Q$1001,MATCH(ROWS($O$2:O501),$O$2:$O$1001,0),0), INDEX($V$1004:$AE$1004,1,MATCH(COLUMNS($V$1006:AD1006),$V$1006:$AE$1006,0)))),"Fix")))</f>
        <v>0</v>
      </c>
      <c r="K501" s="3">
        <f>IF(OR(INDEX($P$2:$P$1001,MATCH(ROWS($O$2:O501),$O$2:$O$1001,0),1)&gt;=100000,INDEX($V$1005:$AE$1005,1,MATCH(COLUMNS($V$1006:AE1006),$V$1006:$AE$1006,0))&gt;=100000), " ",IF(INDEX($V$2:$AE$1001,MATCH(ROWS($O$2:O501),$O$2:$O$1001,0),MATCH(COLUMNS($V$1006:AE1006),$V$1006:$AE$1006,0)), HYPERLINK("#",""), HYPERLINK(CONCATENATE("#Metadata!", ADDRESS(INDEX($Q$2:$Q$1001,MATCH(ROWS($O$2:O501),$O$2:$O$1001,0),0), INDEX($V$1004:$AE$1004,1,MATCH(COLUMNS($V$1006:AE1006),$V$1006:$AE$1006,0)))),"Fix")))</f>
        <v>0</v>
      </c>
      <c r="O501">
        <v>0</v>
      </c>
      <c r="P501">
        <v>0</v>
      </c>
      <c r="Q501">
        <v>0</v>
      </c>
      <c r="R501">
        <f>IF(S501,TRUE,AND(V501:AE501))</f>
        <v>0</v>
      </c>
      <c r="S501">
        <f>COUNTBLANK(Metadata!B501:K501)=COLUMNS(Metadata!B501:K501)</f>
        <v>0</v>
      </c>
      <c r="T501">
        <v>0</v>
      </c>
      <c r="V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W501">
        <f>AND(IF(Metadata!C501="",FALSE,TRUE),exact(Metadata!C501,"animal secretion"))</f>
        <v>0</v>
      </c>
      <c r="X501">
        <f>AND(IF(Metadata!D501="",FALSE,TRUE),exact(Metadata!D501,"saliva"))</f>
        <v>0</v>
      </c>
      <c r="Y501">
        <f>AND(IF(Metadata!E501="",FALSE,TRUE),exact(Metadata!E501,"human-oral"))</f>
        <v>0</v>
      </c>
      <c r="Z501">
        <f>AND(IF(Metadata!F501="",FALSE,TRUE),exact(Metadata!F501,"UBERON:oral cavity"))</f>
        <v>0</v>
      </c>
      <c r="AA501">
        <f>AND(IF(Metadata!G501="",FALSE,TRUE),exact(Metadata!G501,"UBERON:saliva"))</f>
        <v>0</v>
      </c>
      <c r="AB501">
        <f>AND(IF(Metadata!H501="",FALSE,TRUE),exact(Metadata!H501,"UBERON:tongue"))</f>
        <v>0</v>
      </c>
      <c r="AC501">
        <f>AND(IF(Metadata!I501="",FALSE,TRUE),exact(Metadata!I501,"tongue"))</f>
        <v>0</v>
      </c>
      <c r="AD501">
        <f>AND(IF(Metadata!J501="",FALSE,TRUE),exact(Metadata!J501,"human oral metagenome"))</f>
        <v>0</v>
      </c>
      <c r="AE501">
        <f>AND(IF(Metadata!K501="",FALSE,TRUE),exact(Metadata!K501,"447426"))</f>
        <v>0</v>
      </c>
    </row>
    <row r="502" spans="1:31">
      <c r="A502" s="4">
        <f>IF(B502=" "," ",HYPERLINK(CONCATENATE("#metadata!",ADDRESS(INDEX($Q$2:$Q$1001,MATCH(ROWS($O$2:O502),$O$2:$O$1001,0),0),1)),INDEX($T$2:$T$1001,MATCH(ROWS($O$2:O502),$O$2:$O$1001,0),0)))</f>
        <v>0</v>
      </c>
      <c r="B502" s="3">
        <f>IF(OR(INDEX($P$2:$P$1001,MATCH(ROWS($O$2:O502),$O$2:$O$1001,0),1)&gt;=100000,INDEX($V$1005:$AE$1005,1,MATCH(COLUMNS($V$1006:V1006),$V$1006:$AE$1006,0))&gt;=100000), " ",IF(INDEX($V$2:$AE$1001,MATCH(ROWS($O$2:O502),$O$2:$O$1001,0),MATCH(COLUMNS($V$1006:V1006),$V$1006:$AE$1006,0)), HYPERLINK("#",""), HYPERLINK(CONCATENATE("#Metadata!", ADDRESS(INDEX($Q$2:$Q$1001,MATCH(ROWS($O$2:O502),$O$2:$O$1001,0),0), INDEX($V$1004:$AE$1004,1,MATCH(COLUMNS($V$1006:V1006),$V$1006:$AE$1006,0)))),"Fix")))</f>
        <v>0</v>
      </c>
      <c r="C502" s="3">
        <f>IF(OR(INDEX($P$2:$P$1001,MATCH(ROWS($O$2:O502),$O$2:$O$1001,0),1)&gt;=100000,INDEX($V$1005:$AE$1005,1,MATCH(COLUMNS($V$1006:W1006),$V$1006:$AE$1006,0))&gt;=100000), " ",IF(INDEX($V$2:$AE$1001,MATCH(ROWS($O$2:O502),$O$2:$O$1001,0),MATCH(COLUMNS($V$1006:W1006),$V$1006:$AE$1006,0)), HYPERLINK("#",""), HYPERLINK(CONCATENATE("#Metadata!", ADDRESS(INDEX($Q$2:$Q$1001,MATCH(ROWS($O$2:O502),$O$2:$O$1001,0),0), INDEX($V$1004:$AE$1004,1,MATCH(COLUMNS($V$1006:W1006),$V$1006:$AE$1006,0)))),"Fix")))</f>
        <v>0</v>
      </c>
      <c r="D502" s="3">
        <f>IF(OR(INDEX($P$2:$P$1001,MATCH(ROWS($O$2:O502),$O$2:$O$1001,0),1)&gt;=100000,INDEX($V$1005:$AE$1005,1,MATCH(COLUMNS($V$1006:X1006),$V$1006:$AE$1006,0))&gt;=100000), " ",IF(INDEX($V$2:$AE$1001,MATCH(ROWS($O$2:O502),$O$2:$O$1001,0),MATCH(COLUMNS($V$1006:X1006),$V$1006:$AE$1006,0)), HYPERLINK("#",""), HYPERLINK(CONCATENATE("#Metadata!", ADDRESS(INDEX($Q$2:$Q$1001,MATCH(ROWS($O$2:O502),$O$2:$O$1001,0),0), INDEX($V$1004:$AE$1004,1,MATCH(COLUMNS($V$1006:X1006),$V$1006:$AE$1006,0)))),"Fix")))</f>
        <v>0</v>
      </c>
      <c r="E502" s="3">
        <f>IF(OR(INDEX($P$2:$P$1001,MATCH(ROWS($O$2:O502),$O$2:$O$1001,0),1)&gt;=100000,INDEX($V$1005:$AE$1005,1,MATCH(COLUMNS($V$1006:Y1006),$V$1006:$AE$1006,0))&gt;=100000), " ",IF(INDEX($V$2:$AE$1001,MATCH(ROWS($O$2:O502),$O$2:$O$1001,0),MATCH(COLUMNS($V$1006:Y1006),$V$1006:$AE$1006,0)), HYPERLINK("#",""), HYPERLINK(CONCATENATE("#Metadata!", ADDRESS(INDEX($Q$2:$Q$1001,MATCH(ROWS($O$2:O502),$O$2:$O$1001,0),0), INDEX($V$1004:$AE$1004,1,MATCH(COLUMNS($V$1006:Y1006),$V$1006:$AE$1006,0)))),"Fix")))</f>
        <v>0</v>
      </c>
      <c r="F502" s="3">
        <f>IF(OR(INDEX($P$2:$P$1001,MATCH(ROWS($O$2:O502),$O$2:$O$1001,0),1)&gt;=100000,INDEX($V$1005:$AE$1005,1,MATCH(COLUMNS($V$1006:Z1006),$V$1006:$AE$1006,0))&gt;=100000), " ",IF(INDEX($V$2:$AE$1001,MATCH(ROWS($O$2:O502),$O$2:$O$1001,0),MATCH(COLUMNS($V$1006:Z1006),$V$1006:$AE$1006,0)), HYPERLINK("#",""), HYPERLINK(CONCATENATE("#Metadata!", ADDRESS(INDEX($Q$2:$Q$1001,MATCH(ROWS($O$2:O502),$O$2:$O$1001,0),0), INDEX($V$1004:$AE$1004,1,MATCH(COLUMNS($V$1006:Z1006),$V$1006:$AE$1006,0)))),"Fix")))</f>
        <v>0</v>
      </c>
      <c r="G502" s="3">
        <f>IF(OR(INDEX($P$2:$P$1001,MATCH(ROWS($O$2:O502),$O$2:$O$1001,0),1)&gt;=100000,INDEX($V$1005:$AE$1005,1,MATCH(COLUMNS($V$1006:AA1006),$V$1006:$AE$1006,0))&gt;=100000), " ",IF(INDEX($V$2:$AE$1001,MATCH(ROWS($O$2:O502),$O$2:$O$1001,0),MATCH(COLUMNS($V$1006:AA1006),$V$1006:$AE$1006,0)), HYPERLINK("#",""), HYPERLINK(CONCATENATE("#Metadata!", ADDRESS(INDEX($Q$2:$Q$1001,MATCH(ROWS($O$2:O502),$O$2:$O$1001,0),0), INDEX($V$1004:$AE$1004,1,MATCH(COLUMNS($V$1006:AA1006),$V$1006:$AE$1006,0)))),"Fix")))</f>
        <v>0</v>
      </c>
      <c r="H502" s="3">
        <f>IF(OR(INDEX($P$2:$P$1001,MATCH(ROWS($O$2:O502),$O$2:$O$1001,0),1)&gt;=100000,INDEX($V$1005:$AE$1005,1,MATCH(COLUMNS($V$1006:AB1006),$V$1006:$AE$1006,0))&gt;=100000), " ",IF(INDEX($V$2:$AE$1001,MATCH(ROWS($O$2:O502),$O$2:$O$1001,0),MATCH(COLUMNS($V$1006:AB1006),$V$1006:$AE$1006,0)), HYPERLINK("#",""), HYPERLINK(CONCATENATE("#Metadata!", ADDRESS(INDEX($Q$2:$Q$1001,MATCH(ROWS($O$2:O502),$O$2:$O$1001,0),0), INDEX($V$1004:$AE$1004,1,MATCH(COLUMNS($V$1006:AB1006),$V$1006:$AE$1006,0)))),"Fix")))</f>
        <v>0</v>
      </c>
      <c r="I502" s="3">
        <f>IF(OR(INDEX($P$2:$P$1001,MATCH(ROWS($O$2:O502),$O$2:$O$1001,0),1)&gt;=100000,INDEX($V$1005:$AE$1005,1,MATCH(COLUMNS($V$1006:AC1006),$V$1006:$AE$1006,0))&gt;=100000), " ",IF(INDEX($V$2:$AE$1001,MATCH(ROWS($O$2:O502),$O$2:$O$1001,0),MATCH(COLUMNS($V$1006:AC1006),$V$1006:$AE$1006,0)), HYPERLINK("#",""), HYPERLINK(CONCATENATE("#Metadata!", ADDRESS(INDEX($Q$2:$Q$1001,MATCH(ROWS($O$2:O502),$O$2:$O$1001,0),0), INDEX($V$1004:$AE$1004,1,MATCH(COLUMNS($V$1006:AC1006),$V$1006:$AE$1006,0)))),"Fix")))</f>
        <v>0</v>
      </c>
      <c r="J502" s="3">
        <f>IF(OR(INDEX($P$2:$P$1001,MATCH(ROWS($O$2:O502),$O$2:$O$1001,0),1)&gt;=100000,INDEX($V$1005:$AE$1005,1,MATCH(COLUMNS($V$1006:AD1006),$V$1006:$AE$1006,0))&gt;=100000), " ",IF(INDEX($V$2:$AE$1001,MATCH(ROWS($O$2:O502),$O$2:$O$1001,0),MATCH(COLUMNS($V$1006:AD1006),$V$1006:$AE$1006,0)), HYPERLINK("#",""), HYPERLINK(CONCATENATE("#Metadata!", ADDRESS(INDEX($Q$2:$Q$1001,MATCH(ROWS($O$2:O502),$O$2:$O$1001,0),0), INDEX($V$1004:$AE$1004,1,MATCH(COLUMNS($V$1006:AD1006),$V$1006:$AE$1006,0)))),"Fix")))</f>
        <v>0</v>
      </c>
      <c r="K502" s="3">
        <f>IF(OR(INDEX($P$2:$P$1001,MATCH(ROWS($O$2:O502),$O$2:$O$1001,0),1)&gt;=100000,INDEX($V$1005:$AE$1005,1,MATCH(COLUMNS($V$1006:AE1006),$V$1006:$AE$1006,0))&gt;=100000), " ",IF(INDEX($V$2:$AE$1001,MATCH(ROWS($O$2:O502),$O$2:$O$1001,0),MATCH(COLUMNS($V$1006:AE1006),$V$1006:$AE$1006,0)), HYPERLINK("#",""), HYPERLINK(CONCATENATE("#Metadata!", ADDRESS(INDEX($Q$2:$Q$1001,MATCH(ROWS($O$2:O502),$O$2:$O$1001,0),0), INDEX($V$1004:$AE$1004,1,MATCH(COLUMNS($V$1006:AE1006),$V$1006:$AE$1006,0)))),"Fix")))</f>
        <v>0</v>
      </c>
      <c r="O502">
        <v>0</v>
      </c>
      <c r="P502">
        <v>0</v>
      </c>
      <c r="Q502">
        <v>0</v>
      </c>
      <c r="R502">
        <f>IF(S502,TRUE,AND(V502:AE502))</f>
        <v>0</v>
      </c>
      <c r="S502">
        <f>COUNTBLANK(Metadata!B502:K502)=COLUMNS(Metadata!B502:K502)</f>
        <v>0</v>
      </c>
      <c r="T502">
        <v>0</v>
      </c>
      <c r="V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W502">
        <f>AND(IF(Metadata!C502="",FALSE,TRUE),exact(Metadata!C502,"animal secretion"))</f>
        <v>0</v>
      </c>
      <c r="X502">
        <f>AND(IF(Metadata!D502="",FALSE,TRUE),exact(Metadata!D502,"saliva"))</f>
        <v>0</v>
      </c>
      <c r="Y502">
        <f>AND(IF(Metadata!E502="",FALSE,TRUE),exact(Metadata!E502,"human-oral"))</f>
        <v>0</v>
      </c>
      <c r="Z502">
        <f>AND(IF(Metadata!F502="",FALSE,TRUE),exact(Metadata!F502,"UBERON:oral cavity"))</f>
        <v>0</v>
      </c>
      <c r="AA502">
        <f>AND(IF(Metadata!G502="",FALSE,TRUE),exact(Metadata!G502,"UBERON:saliva"))</f>
        <v>0</v>
      </c>
      <c r="AB502">
        <f>AND(IF(Metadata!H502="",FALSE,TRUE),exact(Metadata!H502,"UBERON:tongue"))</f>
        <v>0</v>
      </c>
      <c r="AC502">
        <f>AND(IF(Metadata!I502="",FALSE,TRUE),exact(Metadata!I502,"tongue"))</f>
        <v>0</v>
      </c>
      <c r="AD502">
        <f>AND(IF(Metadata!J502="",FALSE,TRUE),exact(Metadata!J502,"human oral metagenome"))</f>
        <v>0</v>
      </c>
      <c r="AE502">
        <f>AND(IF(Metadata!K502="",FALSE,TRUE),exact(Metadata!K502,"447426"))</f>
        <v>0</v>
      </c>
    </row>
    <row r="503" spans="1:31">
      <c r="A503" s="4">
        <f>IF(B503=" "," ",HYPERLINK(CONCATENATE("#metadata!",ADDRESS(INDEX($Q$2:$Q$1001,MATCH(ROWS($O$2:O503),$O$2:$O$1001,0),0),1)),INDEX($T$2:$T$1001,MATCH(ROWS($O$2:O503),$O$2:$O$1001,0),0)))</f>
        <v>0</v>
      </c>
      <c r="B503" s="3">
        <f>IF(OR(INDEX($P$2:$P$1001,MATCH(ROWS($O$2:O503),$O$2:$O$1001,0),1)&gt;=100000,INDEX($V$1005:$AE$1005,1,MATCH(COLUMNS($V$1006:V1006),$V$1006:$AE$1006,0))&gt;=100000), " ",IF(INDEX($V$2:$AE$1001,MATCH(ROWS($O$2:O503),$O$2:$O$1001,0),MATCH(COLUMNS($V$1006:V1006),$V$1006:$AE$1006,0)), HYPERLINK("#",""), HYPERLINK(CONCATENATE("#Metadata!", ADDRESS(INDEX($Q$2:$Q$1001,MATCH(ROWS($O$2:O503),$O$2:$O$1001,0),0), INDEX($V$1004:$AE$1004,1,MATCH(COLUMNS($V$1006:V1006),$V$1006:$AE$1006,0)))),"Fix")))</f>
        <v>0</v>
      </c>
      <c r="C503" s="3">
        <f>IF(OR(INDEX($P$2:$P$1001,MATCH(ROWS($O$2:O503),$O$2:$O$1001,0),1)&gt;=100000,INDEX($V$1005:$AE$1005,1,MATCH(COLUMNS($V$1006:W1006),$V$1006:$AE$1006,0))&gt;=100000), " ",IF(INDEX($V$2:$AE$1001,MATCH(ROWS($O$2:O503),$O$2:$O$1001,0),MATCH(COLUMNS($V$1006:W1006),$V$1006:$AE$1006,0)), HYPERLINK("#",""), HYPERLINK(CONCATENATE("#Metadata!", ADDRESS(INDEX($Q$2:$Q$1001,MATCH(ROWS($O$2:O503),$O$2:$O$1001,0),0), INDEX($V$1004:$AE$1004,1,MATCH(COLUMNS($V$1006:W1006),$V$1006:$AE$1006,0)))),"Fix")))</f>
        <v>0</v>
      </c>
      <c r="D503" s="3">
        <f>IF(OR(INDEX($P$2:$P$1001,MATCH(ROWS($O$2:O503),$O$2:$O$1001,0),1)&gt;=100000,INDEX($V$1005:$AE$1005,1,MATCH(COLUMNS($V$1006:X1006),$V$1006:$AE$1006,0))&gt;=100000), " ",IF(INDEX($V$2:$AE$1001,MATCH(ROWS($O$2:O503),$O$2:$O$1001,0),MATCH(COLUMNS($V$1006:X1006),$V$1006:$AE$1006,0)), HYPERLINK("#",""), HYPERLINK(CONCATENATE("#Metadata!", ADDRESS(INDEX($Q$2:$Q$1001,MATCH(ROWS($O$2:O503),$O$2:$O$1001,0),0), INDEX($V$1004:$AE$1004,1,MATCH(COLUMNS($V$1006:X1006),$V$1006:$AE$1006,0)))),"Fix")))</f>
        <v>0</v>
      </c>
      <c r="E503" s="3">
        <f>IF(OR(INDEX($P$2:$P$1001,MATCH(ROWS($O$2:O503),$O$2:$O$1001,0),1)&gt;=100000,INDEX($V$1005:$AE$1005,1,MATCH(COLUMNS($V$1006:Y1006),$V$1006:$AE$1006,0))&gt;=100000), " ",IF(INDEX($V$2:$AE$1001,MATCH(ROWS($O$2:O503),$O$2:$O$1001,0),MATCH(COLUMNS($V$1006:Y1006),$V$1006:$AE$1006,0)), HYPERLINK("#",""), HYPERLINK(CONCATENATE("#Metadata!", ADDRESS(INDEX($Q$2:$Q$1001,MATCH(ROWS($O$2:O503),$O$2:$O$1001,0),0), INDEX($V$1004:$AE$1004,1,MATCH(COLUMNS($V$1006:Y1006),$V$1006:$AE$1006,0)))),"Fix")))</f>
        <v>0</v>
      </c>
      <c r="F503" s="3">
        <f>IF(OR(INDEX($P$2:$P$1001,MATCH(ROWS($O$2:O503),$O$2:$O$1001,0),1)&gt;=100000,INDEX($V$1005:$AE$1005,1,MATCH(COLUMNS($V$1006:Z1006),$V$1006:$AE$1006,0))&gt;=100000), " ",IF(INDEX($V$2:$AE$1001,MATCH(ROWS($O$2:O503),$O$2:$O$1001,0),MATCH(COLUMNS($V$1006:Z1006),$V$1006:$AE$1006,0)), HYPERLINK("#",""), HYPERLINK(CONCATENATE("#Metadata!", ADDRESS(INDEX($Q$2:$Q$1001,MATCH(ROWS($O$2:O503),$O$2:$O$1001,0),0), INDEX($V$1004:$AE$1004,1,MATCH(COLUMNS($V$1006:Z1006),$V$1006:$AE$1006,0)))),"Fix")))</f>
        <v>0</v>
      </c>
      <c r="G503" s="3">
        <f>IF(OR(INDEX($P$2:$P$1001,MATCH(ROWS($O$2:O503),$O$2:$O$1001,0),1)&gt;=100000,INDEX($V$1005:$AE$1005,1,MATCH(COLUMNS($V$1006:AA1006),$V$1006:$AE$1006,0))&gt;=100000), " ",IF(INDEX($V$2:$AE$1001,MATCH(ROWS($O$2:O503),$O$2:$O$1001,0),MATCH(COLUMNS($V$1006:AA1006),$V$1006:$AE$1006,0)), HYPERLINK("#",""), HYPERLINK(CONCATENATE("#Metadata!", ADDRESS(INDEX($Q$2:$Q$1001,MATCH(ROWS($O$2:O503),$O$2:$O$1001,0),0), INDEX($V$1004:$AE$1004,1,MATCH(COLUMNS($V$1006:AA1006),$V$1006:$AE$1006,0)))),"Fix")))</f>
        <v>0</v>
      </c>
      <c r="H503" s="3">
        <f>IF(OR(INDEX($P$2:$P$1001,MATCH(ROWS($O$2:O503),$O$2:$O$1001,0),1)&gt;=100000,INDEX($V$1005:$AE$1005,1,MATCH(COLUMNS($V$1006:AB1006),$V$1006:$AE$1006,0))&gt;=100000), " ",IF(INDEX($V$2:$AE$1001,MATCH(ROWS($O$2:O503),$O$2:$O$1001,0),MATCH(COLUMNS($V$1006:AB1006),$V$1006:$AE$1006,0)), HYPERLINK("#",""), HYPERLINK(CONCATENATE("#Metadata!", ADDRESS(INDEX($Q$2:$Q$1001,MATCH(ROWS($O$2:O503),$O$2:$O$1001,0),0), INDEX($V$1004:$AE$1004,1,MATCH(COLUMNS($V$1006:AB1006),$V$1006:$AE$1006,0)))),"Fix")))</f>
        <v>0</v>
      </c>
      <c r="I503" s="3">
        <f>IF(OR(INDEX($P$2:$P$1001,MATCH(ROWS($O$2:O503),$O$2:$O$1001,0),1)&gt;=100000,INDEX($V$1005:$AE$1005,1,MATCH(COLUMNS($V$1006:AC1006),$V$1006:$AE$1006,0))&gt;=100000), " ",IF(INDEX($V$2:$AE$1001,MATCH(ROWS($O$2:O503),$O$2:$O$1001,0),MATCH(COLUMNS($V$1006:AC1006),$V$1006:$AE$1006,0)), HYPERLINK("#",""), HYPERLINK(CONCATENATE("#Metadata!", ADDRESS(INDEX($Q$2:$Q$1001,MATCH(ROWS($O$2:O503),$O$2:$O$1001,0),0), INDEX($V$1004:$AE$1004,1,MATCH(COLUMNS($V$1006:AC1006),$V$1006:$AE$1006,0)))),"Fix")))</f>
        <v>0</v>
      </c>
      <c r="J503" s="3">
        <f>IF(OR(INDEX($P$2:$P$1001,MATCH(ROWS($O$2:O503),$O$2:$O$1001,0),1)&gt;=100000,INDEX($V$1005:$AE$1005,1,MATCH(COLUMNS($V$1006:AD1006),$V$1006:$AE$1006,0))&gt;=100000), " ",IF(INDEX($V$2:$AE$1001,MATCH(ROWS($O$2:O503),$O$2:$O$1001,0),MATCH(COLUMNS($V$1006:AD1006),$V$1006:$AE$1006,0)), HYPERLINK("#",""), HYPERLINK(CONCATENATE("#Metadata!", ADDRESS(INDEX($Q$2:$Q$1001,MATCH(ROWS($O$2:O503),$O$2:$O$1001,0),0), INDEX($V$1004:$AE$1004,1,MATCH(COLUMNS($V$1006:AD1006),$V$1006:$AE$1006,0)))),"Fix")))</f>
        <v>0</v>
      </c>
      <c r="K503" s="3">
        <f>IF(OR(INDEX($P$2:$P$1001,MATCH(ROWS($O$2:O503),$O$2:$O$1001,0),1)&gt;=100000,INDEX($V$1005:$AE$1005,1,MATCH(COLUMNS($V$1006:AE1006),$V$1006:$AE$1006,0))&gt;=100000), " ",IF(INDEX($V$2:$AE$1001,MATCH(ROWS($O$2:O503),$O$2:$O$1001,0),MATCH(COLUMNS($V$1006:AE1006),$V$1006:$AE$1006,0)), HYPERLINK("#",""), HYPERLINK(CONCATENATE("#Metadata!", ADDRESS(INDEX($Q$2:$Q$1001,MATCH(ROWS($O$2:O503),$O$2:$O$1001,0),0), INDEX($V$1004:$AE$1004,1,MATCH(COLUMNS($V$1006:AE1006),$V$1006:$AE$1006,0)))),"Fix")))</f>
        <v>0</v>
      </c>
      <c r="O503">
        <v>0</v>
      </c>
      <c r="P503">
        <v>0</v>
      </c>
      <c r="Q503">
        <v>0</v>
      </c>
      <c r="R503">
        <f>IF(S503,TRUE,AND(V503:AE503))</f>
        <v>0</v>
      </c>
      <c r="S503">
        <f>COUNTBLANK(Metadata!B503:K503)=COLUMNS(Metadata!B503:K503)</f>
        <v>0</v>
      </c>
      <c r="T503">
        <v>0</v>
      </c>
      <c r="V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W503">
        <f>AND(IF(Metadata!C503="",FALSE,TRUE),exact(Metadata!C503,"animal secretion"))</f>
        <v>0</v>
      </c>
      <c r="X503">
        <f>AND(IF(Metadata!D503="",FALSE,TRUE),exact(Metadata!D503,"saliva"))</f>
        <v>0</v>
      </c>
      <c r="Y503">
        <f>AND(IF(Metadata!E503="",FALSE,TRUE),exact(Metadata!E503,"human-oral"))</f>
        <v>0</v>
      </c>
      <c r="Z503">
        <f>AND(IF(Metadata!F503="",FALSE,TRUE),exact(Metadata!F503,"UBERON:oral cavity"))</f>
        <v>0</v>
      </c>
      <c r="AA503">
        <f>AND(IF(Metadata!G503="",FALSE,TRUE),exact(Metadata!G503,"UBERON:saliva"))</f>
        <v>0</v>
      </c>
      <c r="AB503">
        <f>AND(IF(Metadata!H503="",FALSE,TRUE),exact(Metadata!H503,"UBERON:tongue"))</f>
        <v>0</v>
      </c>
      <c r="AC503">
        <f>AND(IF(Metadata!I503="",FALSE,TRUE),exact(Metadata!I503,"tongue"))</f>
        <v>0</v>
      </c>
      <c r="AD503">
        <f>AND(IF(Metadata!J503="",FALSE,TRUE),exact(Metadata!J503,"human oral metagenome"))</f>
        <v>0</v>
      </c>
      <c r="AE503">
        <f>AND(IF(Metadata!K503="",FALSE,TRUE),exact(Metadata!K503,"447426"))</f>
        <v>0</v>
      </c>
    </row>
    <row r="504" spans="1:31">
      <c r="A504" s="4">
        <f>IF(B504=" "," ",HYPERLINK(CONCATENATE("#metadata!",ADDRESS(INDEX($Q$2:$Q$1001,MATCH(ROWS($O$2:O504),$O$2:$O$1001,0),0),1)),INDEX($T$2:$T$1001,MATCH(ROWS($O$2:O504),$O$2:$O$1001,0),0)))</f>
        <v>0</v>
      </c>
      <c r="B504" s="3">
        <f>IF(OR(INDEX($P$2:$P$1001,MATCH(ROWS($O$2:O504),$O$2:$O$1001,0),1)&gt;=100000,INDEX($V$1005:$AE$1005,1,MATCH(COLUMNS($V$1006:V1006),$V$1006:$AE$1006,0))&gt;=100000), " ",IF(INDEX($V$2:$AE$1001,MATCH(ROWS($O$2:O504),$O$2:$O$1001,0),MATCH(COLUMNS($V$1006:V1006),$V$1006:$AE$1006,0)), HYPERLINK("#",""), HYPERLINK(CONCATENATE("#Metadata!", ADDRESS(INDEX($Q$2:$Q$1001,MATCH(ROWS($O$2:O504),$O$2:$O$1001,0),0), INDEX($V$1004:$AE$1004,1,MATCH(COLUMNS($V$1006:V1006),$V$1006:$AE$1006,0)))),"Fix")))</f>
        <v>0</v>
      </c>
      <c r="C504" s="3">
        <f>IF(OR(INDEX($P$2:$P$1001,MATCH(ROWS($O$2:O504),$O$2:$O$1001,0),1)&gt;=100000,INDEX($V$1005:$AE$1005,1,MATCH(COLUMNS($V$1006:W1006),$V$1006:$AE$1006,0))&gt;=100000), " ",IF(INDEX($V$2:$AE$1001,MATCH(ROWS($O$2:O504),$O$2:$O$1001,0),MATCH(COLUMNS($V$1006:W1006),$V$1006:$AE$1006,0)), HYPERLINK("#",""), HYPERLINK(CONCATENATE("#Metadata!", ADDRESS(INDEX($Q$2:$Q$1001,MATCH(ROWS($O$2:O504),$O$2:$O$1001,0),0), INDEX($V$1004:$AE$1004,1,MATCH(COLUMNS($V$1006:W1006),$V$1006:$AE$1006,0)))),"Fix")))</f>
        <v>0</v>
      </c>
      <c r="D504" s="3">
        <f>IF(OR(INDEX($P$2:$P$1001,MATCH(ROWS($O$2:O504),$O$2:$O$1001,0),1)&gt;=100000,INDEX($V$1005:$AE$1005,1,MATCH(COLUMNS($V$1006:X1006),$V$1006:$AE$1006,0))&gt;=100000), " ",IF(INDEX($V$2:$AE$1001,MATCH(ROWS($O$2:O504),$O$2:$O$1001,0),MATCH(COLUMNS($V$1006:X1006),$V$1006:$AE$1006,0)), HYPERLINK("#",""), HYPERLINK(CONCATENATE("#Metadata!", ADDRESS(INDEX($Q$2:$Q$1001,MATCH(ROWS($O$2:O504),$O$2:$O$1001,0),0), INDEX($V$1004:$AE$1004,1,MATCH(COLUMNS($V$1006:X1006),$V$1006:$AE$1006,0)))),"Fix")))</f>
        <v>0</v>
      </c>
      <c r="E504" s="3">
        <f>IF(OR(INDEX($P$2:$P$1001,MATCH(ROWS($O$2:O504),$O$2:$O$1001,0),1)&gt;=100000,INDEX($V$1005:$AE$1005,1,MATCH(COLUMNS($V$1006:Y1006),$V$1006:$AE$1006,0))&gt;=100000), " ",IF(INDEX($V$2:$AE$1001,MATCH(ROWS($O$2:O504),$O$2:$O$1001,0),MATCH(COLUMNS($V$1006:Y1006),$V$1006:$AE$1006,0)), HYPERLINK("#",""), HYPERLINK(CONCATENATE("#Metadata!", ADDRESS(INDEX($Q$2:$Q$1001,MATCH(ROWS($O$2:O504),$O$2:$O$1001,0),0), INDEX($V$1004:$AE$1004,1,MATCH(COLUMNS($V$1006:Y1006),$V$1006:$AE$1006,0)))),"Fix")))</f>
        <v>0</v>
      </c>
      <c r="F504" s="3">
        <f>IF(OR(INDEX($P$2:$P$1001,MATCH(ROWS($O$2:O504),$O$2:$O$1001,0),1)&gt;=100000,INDEX($V$1005:$AE$1005,1,MATCH(COLUMNS($V$1006:Z1006),$V$1006:$AE$1006,0))&gt;=100000), " ",IF(INDEX($V$2:$AE$1001,MATCH(ROWS($O$2:O504),$O$2:$O$1001,0),MATCH(COLUMNS($V$1006:Z1006),$V$1006:$AE$1006,0)), HYPERLINK("#",""), HYPERLINK(CONCATENATE("#Metadata!", ADDRESS(INDEX($Q$2:$Q$1001,MATCH(ROWS($O$2:O504),$O$2:$O$1001,0),0), INDEX($V$1004:$AE$1004,1,MATCH(COLUMNS($V$1006:Z1006),$V$1006:$AE$1006,0)))),"Fix")))</f>
        <v>0</v>
      </c>
      <c r="G504" s="3">
        <f>IF(OR(INDEX($P$2:$P$1001,MATCH(ROWS($O$2:O504),$O$2:$O$1001,0),1)&gt;=100000,INDEX($V$1005:$AE$1005,1,MATCH(COLUMNS($V$1006:AA1006),$V$1006:$AE$1006,0))&gt;=100000), " ",IF(INDEX($V$2:$AE$1001,MATCH(ROWS($O$2:O504),$O$2:$O$1001,0),MATCH(COLUMNS($V$1006:AA1006),$V$1006:$AE$1006,0)), HYPERLINK("#",""), HYPERLINK(CONCATENATE("#Metadata!", ADDRESS(INDEX($Q$2:$Q$1001,MATCH(ROWS($O$2:O504),$O$2:$O$1001,0),0), INDEX($V$1004:$AE$1004,1,MATCH(COLUMNS($V$1006:AA1006),$V$1006:$AE$1006,0)))),"Fix")))</f>
        <v>0</v>
      </c>
      <c r="H504" s="3">
        <f>IF(OR(INDEX($P$2:$P$1001,MATCH(ROWS($O$2:O504),$O$2:$O$1001,0),1)&gt;=100000,INDEX($V$1005:$AE$1005,1,MATCH(COLUMNS($V$1006:AB1006),$V$1006:$AE$1006,0))&gt;=100000), " ",IF(INDEX($V$2:$AE$1001,MATCH(ROWS($O$2:O504),$O$2:$O$1001,0),MATCH(COLUMNS($V$1006:AB1006),$V$1006:$AE$1006,0)), HYPERLINK("#",""), HYPERLINK(CONCATENATE("#Metadata!", ADDRESS(INDEX($Q$2:$Q$1001,MATCH(ROWS($O$2:O504),$O$2:$O$1001,0),0), INDEX($V$1004:$AE$1004,1,MATCH(COLUMNS($V$1006:AB1006),$V$1006:$AE$1006,0)))),"Fix")))</f>
        <v>0</v>
      </c>
      <c r="I504" s="3">
        <f>IF(OR(INDEX($P$2:$P$1001,MATCH(ROWS($O$2:O504),$O$2:$O$1001,0),1)&gt;=100000,INDEX($V$1005:$AE$1005,1,MATCH(COLUMNS($V$1006:AC1006),$V$1006:$AE$1006,0))&gt;=100000), " ",IF(INDEX($V$2:$AE$1001,MATCH(ROWS($O$2:O504),$O$2:$O$1001,0),MATCH(COLUMNS($V$1006:AC1006),$V$1006:$AE$1006,0)), HYPERLINK("#",""), HYPERLINK(CONCATENATE("#Metadata!", ADDRESS(INDEX($Q$2:$Q$1001,MATCH(ROWS($O$2:O504),$O$2:$O$1001,0),0), INDEX($V$1004:$AE$1004,1,MATCH(COLUMNS($V$1006:AC1006),$V$1006:$AE$1006,0)))),"Fix")))</f>
        <v>0</v>
      </c>
      <c r="J504" s="3">
        <f>IF(OR(INDEX($P$2:$P$1001,MATCH(ROWS($O$2:O504),$O$2:$O$1001,0),1)&gt;=100000,INDEX($V$1005:$AE$1005,1,MATCH(COLUMNS($V$1006:AD1006),$V$1006:$AE$1006,0))&gt;=100000), " ",IF(INDEX($V$2:$AE$1001,MATCH(ROWS($O$2:O504),$O$2:$O$1001,0),MATCH(COLUMNS($V$1006:AD1006),$V$1006:$AE$1006,0)), HYPERLINK("#",""), HYPERLINK(CONCATENATE("#Metadata!", ADDRESS(INDEX($Q$2:$Q$1001,MATCH(ROWS($O$2:O504),$O$2:$O$1001,0),0), INDEX($V$1004:$AE$1004,1,MATCH(COLUMNS($V$1006:AD1006),$V$1006:$AE$1006,0)))),"Fix")))</f>
        <v>0</v>
      </c>
      <c r="K504" s="3">
        <f>IF(OR(INDEX($P$2:$P$1001,MATCH(ROWS($O$2:O504),$O$2:$O$1001,0),1)&gt;=100000,INDEX($V$1005:$AE$1005,1,MATCH(COLUMNS($V$1006:AE1006),$V$1006:$AE$1006,0))&gt;=100000), " ",IF(INDEX($V$2:$AE$1001,MATCH(ROWS($O$2:O504),$O$2:$O$1001,0),MATCH(COLUMNS($V$1006:AE1006),$V$1006:$AE$1006,0)), HYPERLINK("#",""), HYPERLINK(CONCATENATE("#Metadata!", ADDRESS(INDEX($Q$2:$Q$1001,MATCH(ROWS($O$2:O504),$O$2:$O$1001,0),0), INDEX($V$1004:$AE$1004,1,MATCH(COLUMNS($V$1006:AE1006),$V$1006:$AE$1006,0)))),"Fix")))</f>
        <v>0</v>
      </c>
      <c r="O504">
        <v>0</v>
      </c>
      <c r="P504">
        <v>0</v>
      </c>
      <c r="Q504">
        <v>0</v>
      </c>
      <c r="R504">
        <f>IF(S504,TRUE,AND(V504:AE504))</f>
        <v>0</v>
      </c>
      <c r="S504">
        <f>COUNTBLANK(Metadata!B504:K504)=COLUMNS(Metadata!B504:K504)</f>
        <v>0</v>
      </c>
      <c r="T504">
        <v>0</v>
      </c>
      <c r="V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W504">
        <f>AND(IF(Metadata!C504="",FALSE,TRUE),exact(Metadata!C504,"animal secretion"))</f>
        <v>0</v>
      </c>
      <c r="X504">
        <f>AND(IF(Metadata!D504="",FALSE,TRUE),exact(Metadata!D504,"saliva"))</f>
        <v>0</v>
      </c>
      <c r="Y504">
        <f>AND(IF(Metadata!E504="",FALSE,TRUE),exact(Metadata!E504,"human-oral"))</f>
        <v>0</v>
      </c>
      <c r="Z504">
        <f>AND(IF(Metadata!F504="",FALSE,TRUE),exact(Metadata!F504,"UBERON:oral cavity"))</f>
        <v>0</v>
      </c>
      <c r="AA504">
        <f>AND(IF(Metadata!G504="",FALSE,TRUE),exact(Metadata!G504,"UBERON:saliva"))</f>
        <v>0</v>
      </c>
      <c r="AB504">
        <f>AND(IF(Metadata!H504="",FALSE,TRUE),exact(Metadata!H504,"UBERON:tongue"))</f>
        <v>0</v>
      </c>
      <c r="AC504">
        <f>AND(IF(Metadata!I504="",FALSE,TRUE),exact(Metadata!I504,"tongue"))</f>
        <v>0</v>
      </c>
      <c r="AD504">
        <f>AND(IF(Metadata!J504="",FALSE,TRUE),exact(Metadata!J504,"human oral metagenome"))</f>
        <v>0</v>
      </c>
      <c r="AE504">
        <f>AND(IF(Metadata!K504="",FALSE,TRUE),exact(Metadata!K504,"447426"))</f>
        <v>0</v>
      </c>
    </row>
    <row r="505" spans="1:31">
      <c r="A505" s="4">
        <f>IF(B505=" "," ",HYPERLINK(CONCATENATE("#metadata!",ADDRESS(INDEX($Q$2:$Q$1001,MATCH(ROWS($O$2:O505),$O$2:$O$1001,0),0),1)),INDEX($T$2:$T$1001,MATCH(ROWS($O$2:O505),$O$2:$O$1001,0),0)))</f>
        <v>0</v>
      </c>
      <c r="B505" s="3">
        <f>IF(OR(INDEX($P$2:$P$1001,MATCH(ROWS($O$2:O505),$O$2:$O$1001,0),1)&gt;=100000,INDEX($V$1005:$AE$1005,1,MATCH(COLUMNS($V$1006:V1006),$V$1006:$AE$1006,0))&gt;=100000), " ",IF(INDEX($V$2:$AE$1001,MATCH(ROWS($O$2:O505),$O$2:$O$1001,0),MATCH(COLUMNS($V$1006:V1006),$V$1006:$AE$1006,0)), HYPERLINK("#",""), HYPERLINK(CONCATENATE("#Metadata!", ADDRESS(INDEX($Q$2:$Q$1001,MATCH(ROWS($O$2:O505),$O$2:$O$1001,0),0), INDEX($V$1004:$AE$1004,1,MATCH(COLUMNS($V$1006:V1006),$V$1006:$AE$1006,0)))),"Fix")))</f>
        <v>0</v>
      </c>
      <c r="C505" s="3">
        <f>IF(OR(INDEX($P$2:$P$1001,MATCH(ROWS($O$2:O505),$O$2:$O$1001,0),1)&gt;=100000,INDEX($V$1005:$AE$1005,1,MATCH(COLUMNS($V$1006:W1006),$V$1006:$AE$1006,0))&gt;=100000), " ",IF(INDEX($V$2:$AE$1001,MATCH(ROWS($O$2:O505),$O$2:$O$1001,0),MATCH(COLUMNS($V$1006:W1006),$V$1006:$AE$1006,0)), HYPERLINK("#",""), HYPERLINK(CONCATENATE("#Metadata!", ADDRESS(INDEX($Q$2:$Q$1001,MATCH(ROWS($O$2:O505),$O$2:$O$1001,0),0), INDEX($V$1004:$AE$1004,1,MATCH(COLUMNS($V$1006:W1006),$V$1006:$AE$1006,0)))),"Fix")))</f>
        <v>0</v>
      </c>
      <c r="D505" s="3">
        <f>IF(OR(INDEX($P$2:$P$1001,MATCH(ROWS($O$2:O505),$O$2:$O$1001,0),1)&gt;=100000,INDEX($V$1005:$AE$1005,1,MATCH(COLUMNS($V$1006:X1006),$V$1006:$AE$1006,0))&gt;=100000), " ",IF(INDEX($V$2:$AE$1001,MATCH(ROWS($O$2:O505),$O$2:$O$1001,0),MATCH(COLUMNS($V$1006:X1006),$V$1006:$AE$1006,0)), HYPERLINK("#",""), HYPERLINK(CONCATENATE("#Metadata!", ADDRESS(INDEX($Q$2:$Q$1001,MATCH(ROWS($O$2:O505),$O$2:$O$1001,0),0), INDEX($V$1004:$AE$1004,1,MATCH(COLUMNS($V$1006:X1006),$V$1006:$AE$1006,0)))),"Fix")))</f>
        <v>0</v>
      </c>
      <c r="E505" s="3">
        <f>IF(OR(INDEX($P$2:$P$1001,MATCH(ROWS($O$2:O505),$O$2:$O$1001,0),1)&gt;=100000,INDEX($V$1005:$AE$1005,1,MATCH(COLUMNS($V$1006:Y1006),$V$1006:$AE$1006,0))&gt;=100000), " ",IF(INDEX($V$2:$AE$1001,MATCH(ROWS($O$2:O505),$O$2:$O$1001,0),MATCH(COLUMNS($V$1006:Y1006),$V$1006:$AE$1006,0)), HYPERLINK("#",""), HYPERLINK(CONCATENATE("#Metadata!", ADDRESS(INDEX($Q$2:$Q$1001,MATCH(ROWS($O$2:O505),$O$2:$O$1001,0),0), INDEX($V$1004:$AE$1004,1,MATCH(COLUMNS($V$1006:Y1006),$V$1006:$AE$1006,0)))),"Fix")))</f>
        <v>0</v>
      </c>
      <c r="F505" s="3">
        <f>IF(OR(INDEX($P$2:$P$1001,MATCH(ROWS($O$2:O505),$O$2:$O$1001,0),1)&gt;=100000,INDEX($V$1005:$AE$1005,1,MATCH(COLUMNS($V$1006:Z1006),$V$1006:$AE$1006,0))&gt;=100000), " ",IF(INDEX($V$2:$AE$1001,MATCH(ROWS($O$2:O505),$O$2:$O$1001,0),MATCH(COLUMNS($V$1006:Z1006),$V$1006:$AE$1006,0)), HYPERLINK("#",""), HYPERLINK(CONCATENATE("#Metadata!", ADDRESS(INDEX($Q$2:$Q$1001,MATCH(ROWS($O$2:O505),$O$2:$O$1001,0),0), INDEX($V$1004:$AE$1004,1,MATCH(COLUMNS($V$1006:Z1006),$V$1006:$AE$1006,0)))),"Fix")))</f>
        <v>0</v>
      </c>
      <c r="G505" s="3">
        <f>IF(OR(INDEX($P$2:$P$1001,MATCH(ROWS($O$2:O505),$O$2:$O$1001,0),1)&gt;=100000,INDEX($V$1005:$AE$1005,1,MATCH(COLUMNS($V$1006:AA1006),$V$1006:$AE$1006,0))&gt;=100000), " ",IF(INDEX($V$2:$AE$1001,MATCH(ROWS($O$2:O505),$O$2:$O$1001,0),MATCH(COLUMNS($V$1006:AA1006),$V$1006:$AE$1006,0)), HYPERLINK("#",""), HYPERLINK(CONCATENATE("#Metadata!", ADDRESS(INDEX($Q$2:$Q$1001,MATCH(ROWS($O$2:O505),$O$2:$O$1001,0),0), INDEX($V$1004:$AE$1004,1,MATCH(COLUMNS($V$1006:AA1006),$V$1006:$AE$1006,0)))),"Fix")))</f>
        <v>0</v>
      </c>
      <c r="H505" s="3">
        <f>IF(OR(INDEX($P$2:$P$1001,MATCH(ROWS($O$2:O505),$O$2:$O$1001,0),1)&gt;=100000,INDEX($V$1005:$AE$1005,1,MATCH(COLUMNS($V$1006:AB1006),$V$1006:$AE$1006,0))&gt;=100000), " ",IF(INDEX($V$2:$AE$1001,MATCH(ROWS($O$2:O505),$O$2:$O$1001,0),MATCH(COLUMNS($V$1006:AB1006),$V$1006:$AE$1006,0)), HYPERLINK("#",""), HYPERLINK(CONCATENATE("#Metadata!", ADDRESS(INDEX($Q$2:$Q$1001,MATCH(ROWS($O$2:O505),$O$2:$O$1001,0),0), INDEX($V$1004:$AE$1004,1,MATCH(COLUMNS($V$1006:AB1006),$V$1006:$AE$1006,0)))),"Fix")))</f>
        <v>0</v>
      </c>
      <c r="I505" s="3">
        <f>IF(OR(INDEX($P$2:$P$1001,MATCH(ROWS($O$2:O505),$O$2:$O$1001,0),1)&gt;=100000,INDEX($V$1005:$AE$1005,1,MATCH(COLUMNS($V$1006:AC1006),$V$1006:$AE$1006,0))&gt;=100000), " ",IF(INDEX($V$2:$AE$1001,MATCH(ROWS($O$2:O505),$O$2:$O$1001,0),MATCH(COLUMNS($V$1006:AC1006),$V$1006:$AE$1006,0)), HYPERLINK("#",""), HYPERLINK(CONCATENATE("#Metadata!", ADDRESS(INDEX($Q$2:$Q$1001,MATCH(ROWS($O$2:O505),$O$2:$O$1001,0),0), INDEX($V$1004:$AE$1004,1,MATCH(COLUMNS($V$1006:AC1006),$V$1006:$AE$1006,0)))),"Fix")))</f>
        <v>0</v>
      </c>
      <c r="J505" s="3">
        <f>IF(OR(INDEX($P$2:$P$1001,MATCH(ROWS($O$2:O505),$O$2:$O$1001,0),1)&gt;=100000,INDEX($V$1005:$AE$1005,1,MATCH(COLUMNS($V$1006:AD1006),$V$1006:$AE$1006,0))&gt;=100000), " ",IF(INDEX($V$2:$AE$1001,MATCH(ROWS($O$2:O505),$O$2:$O$1001,0),MATCH(COLUMNS($V$1006:AD1006),$V$1006:$AE$1006,0)), HYPERLINK("#",""), HYPERLINK(CONCATENATE("#Metadata!", ADDRESS(INDEX($Q$2:$Q$1001,MATCH(ROWS($O$2:O505),$O$2:$O$1001,0),0), INDEX($V$1004:$AE$1004,1,MATCH(COLUMNS($V$1006:AD1006),$V$1006:$AE$1006,0)))),"Fix")))</f>
        <v>0</v>
      </c>
      <c r="K505" s="3">
        <f>IF(OR(INDEX($P$2:$P$1001,MATCH(ROWS($O$2:O505),$O$2:$O$1001,0),1)&gt;=100000,INDEX($V$1005:$AE$1005,1,MATCH(COLUMNS($V$1006:AE1006),$V$1006:$AE$1006,0))&gt;=100000), " ",IF(INDEX($V$2:$AE$1001,MATCH(ROWS($O$2:O505),$O$2:$O$1001,0),MATCH(COLUMNS($V$1006:AE1006),$V$1006:$AE$1006,0)), HYPERLINK("#",""), HYPERLINK(CONCATENATE("#Metadata!", ADDRESS(INDEX($Q$2:$Q$1001,MATCH(ROWS($O$2:O505),$O$2:$O$1001,0),0), INDEX($V$1004:$AE$1004,1,MATCH(COLUMNS($V$1006:AE1006),$V$1006:$AE$1006,0)))),"Fix")))</f>
        <v>0</v>
      </c>
      <c r="O505">
        <v>0</v>
      </c>
      <c r="P505">
        <v>0</v>
      </c>
      <c r="Q505">
        <v>0</v>
      </c>
      <c r="R505">
        <f>IF(S505,TRUE,AND(V505:AE505))</f>
        <v>0</v>
      </c>
      <c r="S505">
        <f>COUNTBLANK(Metadata!B505:K505)=COLUMNS(Metadata!B505:K505)</f>
        <v>0</v>
      </c>
      <c r="T505">
        <v>0</v>
      </c>
      <c r="V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W505">
        <f>AND(IF(Metadata!C505="",FALSE,TRUE),exact(Metadata!C505,"animal secretion"))</f>
        <v>0</v>
      </c>
      <c r="X505">
        <f>AND(IF(Metadata!D505="",FALSE,TRUE),exact(Metadata!D505,"saliva"))</f>
        <v>0</v>
      </c>
      <c r="Y505">
        <f>AND(IF(Metadata!E505="",FALSE,TRUE),exact(Metadata!E505,"human-oral"))</f>
        <v>0</v>
      </c>
      <c r="Z505">
        <f>AND(IF(Metadata!F505="",FALSE,TRUE),exact(Metadata!F505,"UBERON:oral cavity"))</f>
        <v>0</v>
      </c>
      <c r="AA505">
        <f>AND(IF(Metadata!G505="",FALSE,TRUE),exact(Metadata!G505,"UBERON:saliva"))</f>
        <v>0</v>
      </c>
      <c r="AB505">
        <f>AND(IF(Metadata!H505="",FALSE,TRUE),exact(Metadata!H505,"UBERON:tongue"))</f>
        <v>0</v>
      </c>
      <c r="AC505">
        <f>AND(IF(Metadata!I505="",FALSE,TRUE),exact(Metadata!I505,"tongue"))</f>
        <v>0</v>
      </c>
      <c r="AD505">
        <f>AND(IF(Metadata!J505="",FALSE,TRUE),exact(Metadata!J505,"human oral metagenome"))</f>
        <v>0</v>
      </c>
      <c r="AE505">
        <f>AND(IF(Metadata!K505="",FALSE,TRUE),exact(Metadata!K505,"447426"))</f>
        <v>0</v>
      </c>
    </row>
    <row r="506" spans="1:31">
      <c r="A506" s="4">
        <f>IF(B506=" "," ",HYPERLINK(CONCATENATE("#metadata!",ADDRESS(INDEX($Q$2:$Q$1001,MATCH(ROWS($O$2:O506),$O$2:$O$1001,0),0),1)),INDEX($T$2:$T$1001,MATCH(ROWS($O$2:O506),$O$2:$O$1001,0),0)))</f>
        <v>0</v>
      </c>
      <c r="B506" s="3">
        <f>IF(OR(INDEX($P$2:$P$1001,MATCH(ROWS($O$2:O506),$O$2:$O$1001,0),1)&gt;=100000,INDEX($V$1005:$AE$1005,1,MATCH(COLUMNS($V$1006:V1006),$V$1006:$AE$1006,0))&gt;=100000), " ",IF(INDEX($V$2:$AE$1001,MATCH(ROWS($O$2:O506),$O$2:$O$1001,0),MATCH(COLUMNS($V$1006:V1006),$V$1006:$AE$1006,0)), HYPERLINK("#",""), HYPERLINK(CONCATENATE("#Metadata!", ADDRESS(INDEX($Q$2:$Q$1001,MATCH(ROWS($O$2:O506),$O$2:$O$1001,0),0), INDEX($V$1004:$AE$1004,1,MATCH(COLUMNS($V$1006:V1006),$V$1006:$AE$1006,0)))),"Fix")))</f>
        <v>0</v>
      </c>
      <c r="C506" s="3">
        <f>IF(OR(INDEX($P$2:$P$1001,MATCH(ROWS($O$2:O506),$O$2:$O$1001,0),1)&gt;=100000,INDEX($V$1005:$AE$1005,1,MATCH(COLUMNS($V$1006:W1006),$V$1006:$AE$1006,0))&gt;=100000), " ",IF(INDEX($V$2:$AE$1001,MATCH(ROWS($O$2:O506),$O$2:$O$1001,0),MATCH(COLUMNS($V$1006:W1006),$V$1006:$AE$1006,0)), HYPERLINK("#",""), HYPERLINK(CONCATENATE("#Metadata!", ADDRESS(INDEX($Q$2:$Q$1001,MATCH(ROWS($O$2:O506),$O$2:$O$1001,0),0), INDEX($V$1004:$AE$1004,1,MATCH(COLUMNS($V$1006:W1006),$V$1006:$AE$1006,0)))),"Fix")))</f>
        <v>0</v>
      </c>
      <c r="D506" s="3">
        <f>IF(OR(INDEX($P$2:$P$1001,MATCH(ROWS($O$2:O506),$O$2:$O$1001,0),1)&gt;=100000,INDEX($V$1005:$AE$1005,1,MATCH(COLUMNS($V$1006:X1006),$V$1006:$AE$1006,0))&gt;=100000), " ",IF(INDEX($V$2:$AE$1001,MATCH(ROWS($O$2:O506),$O$2:$O$1001,0),MATCH(COLUMNS($V$1006:X1006),$V$1006:$AE$1006,0)), HYPERLINK("#",""), HYPERLINK(CONCATENATE("#Metadata!", ADDRESS(INDEX($Q$2:$Q$1001,MATCH(ROWS($O$2:O506),$O$2:$O$1001,0),0), INDEX($V$1004:$AE$1004,1,MATCH(COLUMNS($V$1006:X1006),$V$1006:$AE$1006,0)))),"Fix")))</f>
        <v>0</v>
      </c>
      <c r="E506" s="3">
        <f>IF(OR(INDEX($P$2:$P$1001,MATCH(ROWS($O$2:O506),$O$2:$O$1001,0),1)&gt;=100000,INDEX($V$1005:$AE$1005,1,MATCH(COLUMNS($V$1006:Y1006),$V$1006:$AE$1006,0))&gt;=100000), " ",IF(INDEX($V$2:$AE$1001,MATCH(ROWS($O$2:O506),$O$2:$O$1001,0),MATCH(COLUMNS($V$1006:Y1006),$V$1006:$AE$1006,0)), HYPERLINK("#",""), HYPERLINK(CONCATENATE("#Metadata!", ADDRESS(INDEX($Q$2:$Q$1001,MATCH(ROWS($O$2:O506),$O$2:$O$1001,0),0), INDEX($V$1004:$AE$1004,1,MATCH(COLUMNS($V$1006:Y1006),$V$1006:$AE$1006,0)))),"Fix")))</f>
        <v>0</v>
      </c>
      <c r="F506" s="3">
        <f>IF(OR(INDEX($P$2:$P$1001,MATCH(ROWS($O$2:O506),$O$2:$O$1001,0),1)&gt;=100000,INDEX($V$1005:$AE$1005,1,MATCH(COLUMNS($V$1006:Z1006),$V$1006:$AE$1006,0))&gt;=100000), " ",IF(INDEX($V$2:$AE$1001,MATCH(ROWS($O$2:O506),$O$2:$O$1001,0),MATCH(COLUMNS($V$1006:Z1006),$V$1006:$AE$1006,0)), HYPERLINK("#",""), HYPERLINK(CONCATENATE("#Metadata!", ADDRESS(INDEX($Q$2:$Q$1001,MATCH(ROWS($O$2:O506),$O$2:$O$1001,0),0), INDEX($V$1004:$AE$1004,1,MATCH(COLUMNS($V$1006:Z1006),$V$1006:$AE$1006,0)))),"Fix")))</f>
        <v>0</v>
      </c>
      <c r="G506" s="3">
        <f>IF(OR(INDEX($P$2:$P$1001,MATCH(ROWS($O$2:O506),$O$2:$O$1001,0),1)&gt;=100000,INDEX($V$1005:$AE$1005,1,MATCH(COLUMNS($V$1006:AA1006),$V$1006:$AE$1006,0))&gt;=100000), " ",IF(INDEX($V$2:$AE$1001,MATCH(ROWS($O$2:O506),$O$2:$O$1001,0),MATCH(COLUMNS($V$1006:AA1006),$V$1006:$AE$1006,0)), HYPERLINK("#",""), HYPERLINK(CONCATENATE("#Metadata!", ADDRESS(INDEX($Q$2:$Q$1001,MATCH(ROWS($O$2:O506),$O$2:$O$1001,0),0), INDEX($V$1004:$AE$1004,1,MATCH(COLUMNS($V$1006:AA1006),$V$1006:$AE$1006,0)))),"Fix")))</f>
        <v>0</v>
      </c>
      <c r="H506" s="3">
        <f>IF(OR(INDEX($P$2:$P$1001,MATCH(ROWS($O$2:O506),$O$2:$O$1001,0),1)&gt;=100000,INDEX($V$1005:$AE$1005,1,MATCH(COLUMNS($V$1006:AB1006),$V$1006:$AE$1006,0))&gt;=100000), " ",IF(INDEX($V$2:$AE$1001,MATCH(ROWS($O$2:O506),$O$2:$O$1001,0),MATCH(COLUMNS($V$1006:AB1006),$V$1006:$AE$1006,0)), HYPERLINK("#",""), HYPERLINK(CONCATENATE("#Metadata!", ADDRESS(INDEX($Q$2:$Q$1001,MATCH(ROWS($O$2:O506),$O$2:$O$1001,0),0), INDEX($V$1004:$AE$1004,1,MATCH(COLUMNS($V$1006:AB1006),$V$1006:$AE$1006,0)))),"Fix")))</f>
        <v>0</v>
      </c>
      <c r="I506" s="3">
        <f>IF(OR(INDEX($P$2:$P$1001,MATCH(ROWS($O$2:O506),$O$2:$O$1001,0),1)&gt;=100000,INDEX($V$1005:$AE$1005,1,MATCH(COLUMNS($V$1006:AC1006),$V$1006:$AE$1006,0))&gt;=100000), " ",IF(INDEX($V$2:$AE$1001,MATCH(ROWS($O$2:O506),$O$2:$O$1001,0),MATCH(COLUMNS($V$1006:AC1006),$V$1006:$AE$1006,0)), HYPERLINK("#",""), HYPERLINK(CONCATENATE("#Metadata!", ADDRESS(INDEX($Q$2:$Q$1001,MATCH(ROWS($O$2:O506),$O$2:$O$1001,0),0), INDEX($V$1004:$AE$1004,1,MATCH(COLUMNS($V$1006:AC1006),$V$1006:$AE$1006,0)))),"Fix")))</f>
        <v>0</v>
      </c>
      <c r="J506" s="3">
        <f>IF(OR(INDEX($P$2:$P$1001,MATCH(ROWS($O$2:O506),$O$2:$O$1001,0),1)&gt;=100000,INDEX($V$1005:$AE$1005,1,MATCH(COLUMNS($V$1006:AD1006),$V$1006:$AE$1006,0))&gt;=100000), " ",IF(INDEX($V$2:$AE$1001,MATCH(ROWS($O$2:O506),$O$2:$O$1001,0),MATCH(COLUMNS($V$1006:AD1006),$V$1006:$AE$1006,0)), HYPERLINK("#",""), HYPERLINK(CONCATENATE("#Metadata!", ADDRESS(INDEX($Q$2:$Q$1001,MATCH(ROWS($O$2:O506),$O$2:$O$1001,0),0), INDEX($V$1004:$AE$1004,1,MATCH(COLUMNS($V$1006:AD1006),$V$1006:$AE$1006,0)))),"Fix")))</f>
        <v>0</v>
      </c>
      <c r="K506" s="3">
        <f>IF(OR(INDEX($P$2:$P$1001,MATCH(ROWS($O$2:O506),$O$2:$O$1001,0),1)&gt;=100000,INDEX($V$1005:$AE$1005,1,MATCH(COLUMNS($V$1006:AE1006),$V$1006:$AE$1006,0))&gt;=100000), " ",IF(INDEX($V$2:$AE$1001,MATCH(ROWS($O$2:O506),$O$2:$O$1001,0),MATCH(COLUMNS($V$1006:AE1006),$V$1006:$AE$1006,0)), HYPERLINK("#",""), HYPERLINK(CONCATENATE("#Metadata!", ADDRESS(INDEX($Q$2:$Q$1001,MATCH(ROWS($O$2:O506),$O$2:$O$1001,0),0), INDEX($V$1004:$AE$1004,1,MATCH(COLUMNS($V$1006:AE1006),$V$1006:$AE$1006,0)))),"Fix")))</f>
        <v>0</v>
      </c>
      <c r="O506">
        <v>0</v>
      </c>
      <c r="P506">
        <v>0</v>
      </c>
      <c r="Q506">
        <v>0</v>
      </c>
      <c r="R506">
        <f>IF(S506,TRUE,AND(V506:AE506))</f>
        <v>0</v>
      </c>
      <c r="S506">
        <f>COUNTBLANK(Metadata!B506:K506)=COLUMNS(Metadata!B506:K506)</f>
        <v>0</v>
      </c>
      <c r="T506">
        <v>0</v>
      </c>
      <c r="V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W506">
        <f>AND(IF(Metadata!C506="",FALSE,TRUE),exact(Metadata!C506,"animal secretion"))</f>
        <v>0</v>
      </c>
      <c r="X506">
        <f>AND(IF(Metadata!D506="",FALSE,TRUE),exact(Metadata!D506,"saliva"))</f>
        <v>0</v>
      </c>
      <c r="Y506">
        <f>AND(IF(Metadata!E506="",FALSE,TRUE),exact(Metadata!E506,"human-oral"))</f>
        <v>0</v>
      </c>
      <c r="Z506">
        <f>AND(IF(Metadata!F506="",FALSE,TRUE),exact(Metadata!F506,"UBERON:oral cavity"))</f>
        <v>0</v>
      </c>
      <c r="AA506">
        <f>AND(IF(Metadata!G506="",FALSE,TRUE),exact(Metadata!G506,"UBERON:saliva"))</f>
        <v>0</v>
      </c>
      <c r="AB506">
        <f>AND(IF(Metadata!H506="",FALSE,TRUE),exact(Metadata!H506,"UBERON:tongue"))</f>
        <v>0</v>
      </c>
      <c r="AC506">
        <f>AND(IF(Metadata!I506="",FALSE,TRUE),exact(Metadata!I506,"tongue"))</f>
        <v>0</v>
      </c>
      <c r="AD506">
        <f>AND(IF(Metadata!J506="",FALSE,TRUE),exact(Metadata!J506,"human oral metagenome"))</f>
        <v>0</v>
      </c>
      <c r="AE506">
        <f>AND(IF(Metadata!K506="",FALSE,TRUE),exact(Metadata!K506,"447426"))</f>
        <v>0</v>
      </c>
    </row>
    <row r="507" spans="1:31">
      <c r="A507" s="4">
        <f>IF(B507=" "," ",HYPERLINK(CONCATENATE("#metadata!",ADDRESS(INDEX($Q$2:$Q$1001,MATCH(ROWS($O$2:O507),$O$2:$O$1001,0),0),1)),INDEX($T$2:$T$1001,MATCH(ROWS($O$2:O507),$O$2:$O$1001,0),0)))</f>
        <v>0</v>
      </c>
      <c r="B507" s="3">
        <f>IF(OR(INDEX($P$2:$P$1001,MATCH(ROWS($O$2:O507),$O$2:$O$1001,0),1)&gt;=100000,INDEX($V$1005:$AE$1005,1,MATCH(COLUMNS($V$1006:V1006),$V$1006:$AE$1006,0))&gt;=100000), " ",IF(INDEX($V$2:$AE$1001,MATCH(ROWS($O$2:O507),$O$2:$O$1001,0),MATCH(COLUMNS($V$1006:V1006),$V$1006:$AE$1006,0)), HYPERLINK("#",""), HYPERLINK(CONCATENATE("#Metadata!", ADDRESS(INDEX($Q$2:$Q$1001,MATCH(ROWS($O$2:O507),$O$2:$O$1001,0),0), INDEX($V$1004:$AE$1004,1,MATCH(COLUMNS($V$1006:V1006),$V$1006:$AE$1006,0)))),"Fix")))</f>
        <v>0</v>
      </c>
      <c r="C507" s="3">
        <f>IF(OR(INDEX($P$2:$P$1001,MATCH(ROWS($O$2:O507),$O$2:$O$1001,0),1)&gt;=100000,INDEX($V$1005:$AE$1005,1,MATCH(COLUMNS($V$1006:W1006),$V$1006:$AE$1006,0))&gt;=100000), " ",IF(INDEX($V$2:$AE$1001,MATCH(ROWS($O$2:O507),$O$2:$O$1001,0),MATCH(COLUMNS($V$1006:W1006),$V$1006:$AE$1006,0)), HYPERLINK("#",""), HYPERLINK(CONCATENATE("#Metadata!", ADDRESS(INDEX($Q$2:$Q$1001,MATCH(ROWS($O$2:O507),$O$2:$O$1001,0),0), INDEX($V$1004:$AE$1004,1,MATCH(COLUMNS($V$1006:W1006),$V$1006:$AE$1006,0)))),"Fix")))</f>
        <v>0</v>
      </c>
      <c r="D507" s="3">
        <f>IF(OR(INDEX($P$2:$P$1001,MATCH(ROWS($O$2:O507),$O$2:$O$1001,0),1)&gt;=100000,INDEX($V$1005:$AE$1005,1,MATCH(COLUMNS($V$1006:X1006),$V$1006:$AE$1006,0))&gt;=100000), " ",IF(INDEX($V$2:$AE$1001,MATCH(ROWS($O$2:O507),$O$2:$O$1001,0),MATCH(COLUMNS($V$1006:X1006),$V$1006:$AE$1006,0)), HYPERLINK("#",""), HYPERLINK(CONCATENATE("#Metadata!", ADDRESS(INDEX($Q$2:$Q$1001,MATCH(ROWS($O$2:O507),$O$2:$O$1001,0),0), INDEX($V$1004:$AE$1004,1,MATCH(COLUMNS($V$1006:X1006),$V$1006:$AE$1006,0)))),"Fix")))</f>
        <v>0</v>
      </c>
      <c r="E507" s="3">
        <f>IF(OR(INDEX($P$2:$P$1001,MATCH(ROWS($O$2:O507),$O$2:$O$1001,0),1)&gt;=100000,INDEX($V$1005:$AE$1005,1,MATCH(COLUMNS($V$1006:Y1006),$V$1006:$AE$1006,0))&gt;=100000), " ",IF(INDEX($V$2:$AE$1001,MATCH(ROWS($O$2:O507),$O$2:$O$1001,0),MATCH(COLUMNS($V$1006:Y1006),$V$1006:$AE$1006,0)), HYPERLINK("#",""), HYPERLINK(CONCATENATE("#Metadata!", ADDRESS(INDEX($Q$2:$Q$1001,MATCH(ROWS($O$2:O507),$O$2:$O$1001,0),0), INDEX($V$1004:$AE$1004,1,MATCH(COLUMNS($V$1006:Y1006),$V$1006:$AE$1006,0)))),"Fix")))</f>
        <v>0</v>
      </c>
      <c r="F507" s="3">
        <f>IF(OR(INDEX($P$2:$P$1001,MATCH(ROWS($O$2:O507),$O$2:$O$1001,0),1)&gt;=100000,INDEX($V$1005:$AE$1005,1,MATCH(COLUMNS($V$1006:Z1006),$V$1006:$AE$1006,0))&gt;=100000), " ",IF(INDEX($V$2:$AE$1001,MATCH(ROWS($O$2:O507),$O$2:$O$1001,0),MATCH(COLUMNS($V$1006:Z1006),$V$1006:$AE$1006,0)), HYPERLINK("#",""), HYPERLINK(CONCATENATE("#Metadata!", ADDRESS(INDEX($Q$2:$Q$1001,MATCH(ROWS($O$2:O507),$O$2:$O$1001,0),0), INDEX($V$1004:$AE$1004,1,MATCH(COLUMNS($V$1006:Z1006),$V$1006:$AE$1006,0)))),"Fix")))</f>
        <v>0</v>
      </c>
      <c r="G507" s="3">
        <f>IF(OR(INDEX($P$2:$P$1001,MATCH(ROWS($O$2:O507),$O$2:$O$1001,0),1)&gt;=100000,INDEX($V$1005:$AE$1005,1,MATCH(COLUMNS($V$1006:AA1006),$V$1006:$AE$1006,0))&gt;=100000), " ",IF(INDEX($V$2:$AE$1001,MATCH(ROWS($O$2:O507),$O$2:$O$1001,0),MATCH(COLUMNS($V$1006:AA1006),$V$1006:$AE$1006,0)), HYPERLINK("#",""), HYPERLINK(CONCATENATE("#Metadata!", ADDRESS(INDEX($Q$2:$Q$1001,MATCH(ROWS($O$2:O507),$O$2:$O$1001,0),0), INDEX($V$1004:$AE$1004,1,MATCH(COLUMNS($V$1006:AA1006),$V$1006:$AE$1006,0)))),"Fix")))</f>
        <v>0</v>
      </c>
      <c r="H507" s="3">
        <f>IF(OR(INDEX($P$2:$P$1001,MATCH(ROWS($O$2:O507),$O$2:$O$1001,0),1)&gt;=100000,INDEX($V$1005:$AE$1005,1,MATCH(COLUMNS($V$1006:AB1006),$V$1006:$AE$1006,0))&gt;=100000), " ",IF(INDEX($V$2:$AE$1001,MATCH(ROWS($O$2:O507),$O$2:$O$1001,0),MATCH(COLUMNS($V$1006:AB1006),$V$1006:$AE$1006,0)), HYPERLINK("#",""), HYPERLINK(CONCATENATE("#Metadata!", ADDRESS(INDEX($Q$2:$Q$1001,MATCH(ROWS($O$2:O507),$O$2:$O$1001,0),0), INDEX($V$1004:$AE$1004,1,MATCH(COLUMNS($V$1006:AB1006),$V$1006:$AE$1006,0)))),"Fix")))</f>
        <v>0</v>
      </c>
      <c r="I507" s="3">
        <f>IF(OR(INDEX($P$2:$P$1001,MATCH(ROWS($O$2:O507),$O$2:$O$1001,0),1)&gt;=100000,INDEX($V$1005:$AE$1005,1,MATCH(COLUMNS($V$1006:AC1006),$V$1006:$AE$1006,0))&gt;=100000), " ",IF(INDEX($V$2:$AE$1001,MATCH(ROWS($O$2:O507),$O$2:$O$1001,0),MATCH(COLUMNS($V$1006:AC1006),$V$1006:$AE$1006,0)), HYPERLINK("#",""), HYPERLINK(CONCATENATE("#Metadata!", ADDRESS(INDEX($Q$2:$Q$1001,MATCH(ROWS($O$2:O507),$O$2:$O$1001,0),0), INDEX($V$1004:$AE$1004,1,MATCH(COLUMNS($V$1006:AC1006),$V$1006:$AE$1006,0)))),"Fix")))</f>
        <v>0</v>
      </c>
      <c r="J507" s="3">
        <f>IF(OR(INDEX($P$2:$P$1001,MATCH(ROWS($O$2:O507),$O$2:$O$1001,0),1)&gt;=100000,INDEX($V$1005:$AE$1005,1,MATCH(COLUMNS($V$1006:AD1006),$V$1006:$AE$1006,0))&gt;=100000), " ",IF(INDEX($V$2:$AE$1001,MATCH(ROWS($O$2:O507),$O$2:$O$1001,0),MATCH(COLUMNS($V$1006:AD1006),$V$1006:$AE$1006,0)), HYPERLINK("#",""), HYPERLINK(CONCATENATE("#Metadata!", ADDRESS(INDEX($Q$2:$Q$1001,MATCH(ROWS($O$2:O507),$O$2:$O$1001,0),0), INDEX($V$1004:$AE$1004,1,MATCH(COLUMNS($V$1006:AD1006),$V$1006:$AE$1006,0)))),"Fix")))</f>
        <v>0</v>
      </c>
      <c r="K507" s="3">
        <f>IF(OR(INDEX($P$2:$P$1001,MATCH(ROWS($O$2:O507),$O$2:$O$1001,0),1)&gt;=100000,INDEX($V$1005:$AE$1005,1,MATCH(COLUMNS($V$1006:AE1006),$V$1006:$AE$1006,0))&gt;=100000), " ",IF(INDEX($V$2:$AE$1001,MATCH(ROWS($O$2:O507),$O$2:$O$1001,0),MATCH(COLUMNS($V$1006:AE1006),$V$1006:$AE$1006,0)), HYPERLINK("#",""), HYPERLINK(CONCATENATE("#Metadata!", ADDRESS(INDEX($Q$2:$Q$1001,MATCH(ROWS($O$2:O507),$O$2:$O$1001,0),0), INDEX($V$1004:$AE$1004,1,MATCH(COLUMNS($V$1006:AE1006),$V$1006:$AE$1006,0)))),"Fix")))</f>
        <v>0</v>
      </c>
      <c r="O507">
        <v>0</v>
      </c>
      <c r="P507">
        <v>0</v>
      </c>
      <c r="Q507">
        <v>0</v>
      </c>
      <c r="R507">
        <f>IF(S507,TRUE,AND(V507:AE507))</f>
        <v>0</v>
      </c>
      <c r="S507">
        <f>COUNTBLANK(Metadata!B507:K507)=COLUMNS(Metadata!B507:K507)</f>
        <v>0</v>
      </c>
      <c r="T507">
        <v>0</v>
      </c>
      <c r="V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W507">
        <f>AND(IF(Metadata!C507="",FALSE,TRUE),exact(Metadata!C507,"animal secretion"))</f>
        <v>0</v>
      </c>
      <c r="X507">
        <f>AND(IF(Metadata!D507="",FALSE,TRUE),exact(Metadata!D507,"saliva"))</f>
        <v>0</v>
      </c>
      <c r="Y507">
        <f>AND(IF(Metadata!E507="",FALSE,TRUE),exact(Metadata!E507,"human-oral"))</f>
        <v>0</v>
      </c>
      <c r="Z507">
        <f>AND(IF(Metadata!F507="",FALSE,TRUE),exact(Metadata!F507,"UBERON:oral cavity"))</f>
        <v>0</v>
      </c>
      <c r="AA507">
        <f>AND(IF(Metadata!G507="",FALSE,TRUE),exact(Metadata!G507,"UBERON:saliva"))</f>
        <v>0</v>
      </c>
      <c r="AB507">
        <f>AND(IF(Metadata!H507="",FALSE,TRUE),exact(Metadata!H507,"UBERON:tongue"))</f>
        <v>0</v>
      </c>
      <c r="AC507">
        <f>AND(IF(Metadata!I507="",FALSE,TRUE),exact(Metadata!I507,"tongue"))</f>
        <v>0</v>
      </c>
      <c r="AD507">
        <f>AND(IF(Metadata!J507="",FALSE,TRUE),exact(Metadata!J507,"human oral metagenome"))</f>
        <v>0</v>
      </c>
      <c r="AE507">
        <f>AND(IF(Metadata!K507="",FALSE,TRUE),exact(Metadata!K507,"447426"))</f>
        <v>0</v>
      </c>
    </row>
    <row r="508" spans="1:31">
      <c r="A508" s="4">
        <f>IF(B508=" "," ",HYPERLINK(CONCATENATE("#metadata!",ADDRESS(INDEX($Q$2:$Q$1001,MATCH(ROWS($O$2:O508),$O$2:$O$1001,0),0),1)),INDEX($T$2:$T$1001,MATCH(ROWS($O$2:O508),$O$2:$O$1001,0),0)))</f>
        <v>0</v>
      </c>
      <c r="B508" s="3">
        <f>IF(OR(INDEX($P$2:$P$1001,MATCH(ROWS($O$2:O508),$O$2:$O$1001,0),1)&gt;=100000,INDEX($V$1005:$AE$1005,1,MATCH(COLUMNS($V$1006:V1006),$V$1006:$AE$1006,0))&gt;=100000), " ",IF(INDEX($V$2:$AE$1001,MATCH(ROWS($O$2:O508),$O$2:$O$1001,0),MATCH(COLUMNS($V$1006:V1006),$V$1006:$AE$1006,0)), HYPERLINK("#",""), HYPERLINK(CONCATENATE("#Metadata!", ADDRESS(INDEX($Q$2:$Q$1001,MATCH(ROWS($O$2:O508),$O$2:$O$1001,0),0), INDEX($V$1004:$AE$1004,1,MATCH(COLUMNS($V$1006:V1006),$V$1006:$AE$1006,0)))),"Fix")))</f>
        <v>0</v>
      </c>
      <c r="C508" s="3">
        <f>IF(OR(INDEX($P$2:$P$1001,MATCH(ROWS($O$2:O508),$O$2:$O$1001,0),1)&gt;=100000,INDEX($V$1005:$AE$1005,1,MATCH(COLUMNS($V$1006:W1006),$V$1006:$AE$1006,0))&gt;=100000), " ",IF(INDEX($V$2:$AE$1001,MATCH(ROWS($O$2:O508),$O$2:$O$1001,0),MATCH(COLUMNS($V$1006:W1006),$V$1006:$AE$1006,0)), HYPERLINK("#",""), HYPERLINK(CONCATENATE("#Metadata!", ADDRESS(INDEX($Q$2:$Q$1001,MATCH(ROWS($O$2:O508),$O$2:$O$1001,0),0), INDEX($V$1004:$AE$1004,1,MATCH(COLUMNS($V$1006:W1006),$V$1006:$AE$1006,0)))),"Fix")))</f>
        <v>0</v>
      </c>
      <c r="D508" s="3">
        <f>IF(OR(INDEX($P$2:$P$1001,MATCH(ROWS($O$2:O508),$O$2:$O$1001,0),1)&gt;=100000,INDEX($V$1005:$AE$1005,1,MATCH(COLUMNS($V$1006:X1006),$V$1006:$AE$1006,0))&gt;=100000), " ",IF(INDEX($V$2:$AE$1001,MATCH(ROWS($O$2:O508),$O$2:$O$1001,0),MATCH(COLUMNS($V$1006:X1006),$V$1006:$AE$1006,0)), HYPERLINK("#",""), HYPERLINK(CONCATENATE("#Metadata!", ADDRESS(INDEX($Q$2:$Q$1001,MATCH(ROWS($O$2:O508),$O$2:$O$1001,0),0), INDEX($V$1004:$AE$1004,1,MATCH(COLUMNS($V$1006:X1006),$V$1006:$AE$1006,0)))),"Fix")))</f>
        <v>0</v>
      </c>
      <c r="E508" s="3">
        <f>IF(OR(INDEX($P$2:$P$1001,MATCH(ROWS($O$2:O508),$O$2:$O$1001,0),1)&gt;=100000,INDEX($V$1005:$AE$1005,1,MATCH(COLUMNS($V$1006:Y1006),$V$1006:$AE$1006,0))&gt;=100000), " ",IF(INDEX($V$2:$AE$1001,MATCH(ROWS($O$2:O508),$O$2:$O$1001,0),MATCH(COLUMNS($V$1006:Y1006),$V$1006:$AE$1006,0)), HYPERLINK("#",""), HYPERLINK(CONCATENATE("#Metadata!", ADDRESS(INDEX($Q$2:$Q$1001,MATCH(ROWS($O$2:O508),$O$2:$O$1001,0),0), INDEX($V$1004:$AE$1004,1,MATCH(COLUMNS($V$1006:Y1006),$V$1006:$AE$1006,0)))),"Fix")))</f>
        <v>0</v>
      </c>
      <c r="F508" s="3">
        <f>IF(OR(INDEX($P$2:$P$1001,MATCH(ROWS($O$2:O508),$O$2:$O$1001,0),1)&gt;=100000,INDEX($V$1005:$AE$1005,1,MATCH(COLUMNS($V$1006:Z1006),$V$1006:$AE$1006,0))&gt;=100000), " ",IF(INDEX($V$2:$AE$1001,MATCH(ROWS($O$2:O508),$O$2:$O$1001,0),MATCH(COLUMNS($V$1006:Z1006),$V$1006:$AE$1006,0)), HYPERLINK("#",""), HYPERLINK(CONCATENATE("#Metadata!", ADDRESS(INDEX($Q$2:$Q$1001,MATCH(ROWS($O$2:O508),$O$2:$O$1001,0),0), INDEX($V$1004:$AE$1004,1,MATCH(COLUMNS($V$1006:Z1006),$V$1006:$AE$1006,0)))),"Fix")))</f>
        <v>0</v>
      </c>
      <c r="G508" s="3">
        <f>IF(OR(INDEX($P$2:$P$1001,MATCH(ROWS($O$2:O508),$O$2:$O$1001,0),1)&gt;=100000,INDEX($V$1005:$AE$1005,1,MATCH(COLUMNS($V$1006:AA1006),$V$1006:$AE$1006,0))&gt;=100000), " ",IF(INDEX($V$2:$AE$1001,MATCH(ROWS($O$2:O508),$O$2:$O$1001,0),MATCH(COLUMNS($V$1006:AA1006),$V$1006:$AE$1006,0)), HYPERLINK("#",""), HYPERLINK(CONCATENATE("#Metadata!", ADDRESS(INDEX($Q$2:$Q$1001,MATCH(ROWS($O$2:O508),$O$2:$O$1001,0),0), INDEX($V$1004:$AE$1004,1,MATCH(COLUMNS($V$1006:AA1006),$V$1006:$AE$1006,0)))),"Fix")))</f>
        <v>0</v>
      </c>
      <c r="H508" s="3">
        <f>IF(OR(INDEX($P$2:$P$1001,MATCH(ROWS($O$2:O508),$O$2:$O$1001,0),1)&gt;=100000,INDEX($V$1005:$AE$1005,1,MATCH(COLUMNS($V$1006:AB1006),$V$1006:$AE$1006,0))&gt;=100000), " ",IF(INDEX($V$2:$AE$1001,MATCH(ROWS($O$2:O508),$O$2:$O$1001,0),MATCH(COLUMNS($V$1006:AB1006),$V$1006:$AE$1006,0)), HYPERLINK("#",""), HYPERLINK(CONCATENATE("#Metadata!", ADDRESS(INDEX($Q$2:$Q$1001,MATCH(ROWS($O$2:O508),$O$2:$O$1001,0),0), INDEX($V$1004:$AE$1004,1,MATCH(COLUMNS($V$1006:AB1006),$V$1006:$AE$1006,0)))),"Fix")))</f>
        <v>0</v>
      </c>
      <c r="I508" s="3">
        <f>IF(OR(INDEX($P$2:$P$1001,MATCH(ROWS($O$2:O508),$O$2:$O$1001,0),1)&gt;=100000,INDEX($V$1005:$AE$1005,1,MATCH(COLUMNS($V$1006:AC1006),$V$1006:$AE$1006,0))&gt;=100000), " ",IF(INDEX($V$2:$AE$1001,MATCH(ROWS($O$2:O508),$O$2:$O$1001,0),MATCH(COLUMNS($V$1006:AC1006),$V$1006:$AE$1006,0)), HYPERLINK("#",""), HYPERLINK(CONCATENATE("#Metadata!", ADDRESS(INDEX($Q$2:$Q$1001,MATCH(ROWS($O$2:O508),$O$2:$O$1001,0),0), INDEX($V$1004:$AE$1004,1,MATCH(COLUMNS($V$1006:AC1006),$V$1006:$AE$1006,0)))),"Fix")))</f>
        <v>0</v>
      </c>
      <c r="J508" s="3">
        <f>IF(OR(INDEX($P$2:$P$1001,MATCH(ROWS($O$2:O508),$O$2:$O$1001,0),1)&gt;=100000,INDEX($V$1005:$AE$1005,1,MATCH(COLUMNS($V$1006:AD1006),$V$1006:$AE$1006,0))&gt;=100000), " ",IF(INDEX($V$2:$AE$1001,MATCH(ROWS($O$2:O508),$O$2:$O$1001,0),MATCH(COLUMNS($V$1006:AD1006),$V$1006:$AE$1006,0)), HYPERLINK("#",""), HYPERLINK(CONCATENATE("#Metadata!", ADDRESS(INDEX($Q$2:$Q$1001,MATCH(ROWS($O$2:O508),$O$2:$O$1001,0),0), INDEX($V$1004:$AE$1004,1,MATCH(COLUMNS($V$1006:AD1006),$V$1006:$AE$1006,0)))),"Fix")))</f>
        <v>0</v>
      </c>
      <c r="K508" s="3">
        <f>IF(OR(INDEX($P$2:$P$1001,MATCH(ROWS($O$2:O508),$O$2:$O$1001,0),1)&gt;=100000,INDEX($V$1005:$AE$1005,1,MATCH(COLUMNS($V$1006:AE1006),$V$1006:$AE$1006,0))&gt;=100000), " ",IF(INDEX($V$2:$AE$1001,MATCH(ROWS($O$2:O508),$O$2:$O$1001,0),MATCH(COLUMNS($V$1006:AE1006),$V$1006:$AE$1006,0)), HYPERLINK("#",""), HYPERLINK(CONCATENATE("#Metadata!", ADDRESS(INDEX($Q$2:$Q$1001,MATCH(ROWS($O$2:O508),$O$2:$O$1001,0),0), INDEX($V$1004:$AE$1004,1,MATCH(COLUMNS($V$1006:AE1006),$V$1006:$AE$1006,0)))),"Fix")))</f>
        <v>0</v>
      </c>
      <c r="O508">
        <v>0</v>
      </c>
      <c r="P508">
        <v>0</v>
      </c>
      <c r="Q508">
        <v>0</v>
      </c>
      <c r="R508">
        <f>IF(S508,TRUE,AND(V508:AE508))</f>
        <v>0</v>
      </c>
      <c r="S508">
        <f>COUNTBLANK(Metadata!B508:K508)=COLUMNS(Metadata!B508:K508)</f>
        <v>0</v>
      </c>
      <c r="T508">
        <v>0</v>
      </c>
      <c r="V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W508">
        <f>AND(IF(Metadata!C508="",FALSE,TRUE),exact(Metadata!C508,"animal secretion"))</f>
        <v>0</v>
      </c>
      <c r="X508">
        <f>AND(IF(Metadata!D508="",FALSE,TRUE),exact(Metadata!D508,"saliva"))</f>
        <v>0</v>
      </c>
      <c r="Y508">
        <f>AND(IF(Metadata!E508="",FALSE,TRUE),exact(Metadata!E508,"human-oral"))</f>
        <v>0</v>
      </c>
      <c r="Z508">
        <f>AND(IF(Metadata!F508="",FALSE,TRUE),exact(Metadata!F508,"UBERON:oral cavity"))</f>
        <v>0</v>
      </c>
      <c r="AA508">
        <f>AND(IF(Metadata!G508="",FALSE,TRUE),exact(Metadata!G508,"UBERON:saliva"))</f>
        <v>0</v>
      </c>
      <c r="AB508">
        <f>AND(IF(Metadata!H508="",FALSE,TRUE),exact(Metadata!H508,"UBERON:tongue"))</f>
        <v>0</v>
      </c>
      <c r="AC508">
        <f>AND(IF(Metadata!I508="",FALSE,TRUE),exact(Metadata!I508,"tongue"))</f>
        <v>0</v>
      </c>
      <c r="AD508">
        <f>AND(IF(Metadata!J508="",FALSE,TRUE),exact(Metadata!J508,"human oral metagenome"))</f>
        <v>0</v>
      </c>
      <c r="AE508">
        <f>AND(IF(Metadata!K508="",FALSE,TRUE),exact(Metadata!K508,"447426"))</f>
        <v>0</v>
      </c>
    </row>
    <row r="509" spans="1:31">
      <c r="A509" s="4">
        <f>IF(B509=" "," ",HYPERLINK(CONCATENATE("#metadata!",ADDRESS(INDEX($Q$2:$Q$1001,MATCH(ROWS($O$2:O509),$O$2:$O$1001,0),0),1)),INDEX($T$2:$T$1001,MATCH(ROWS($O$2:O509),$O$2:$O$1001,0),0)))</f>
        <v>0</v>
      </c>
      <c r="B509" s="3">
        <f>IF(OR(INDEX($P$2:$P$1001,MATCH(ROWS($O$2:O509),$O$2:$O$1001,0),1)&gt;=100000,INDEX($V$1005:$AE$1005,1,MATCH(COLUMNS($V$1006:V1006),$V$1006:$AE$1006,0))&gt;=100000), " ",IF(INDEX($V$2:$AE$1001,MATCH(ROWS($O$2:O509),$O$2:$O$1001,0),MATCH(COLUMNS($V$1006:V1006),$V$1006:$AE$1006,0)), HYPERLINK("#",""), HYPERLINK(CONCATENATE("#Metadata!", ADDRESS(INDEX($Q$2:$Q$1001,MATCH(ROWS($O$2:O509),$O$2:$O$1001,0),0), INDEX($V$1004:$AE$1004,1,MATCH(COLUMNS($V$1006:V1006),$V$1006:$AE$1006,0)))),"Fix")))</f>
        <v>0</v>
      </c>
      <c r="C509" s="3">
        <f>IF(OR(INDEX($P$2:$P$1001,MATCH(ROWS($O$2:O509),$O$2:$O$1001,0),1)&gt;=100000,INDEX($V$1005:$AE$1005,1,MATCH(COLUMNS($V$1006:W1006),$V$1006:$AE$1006,0))&gt;=100000), " ",IF(INDEX($V$2:$AE$1001,MATCH(ROWS($O$2:O509),$O$2:$O$1001,0),MATCH(COLUMNS($V$1006:W1006),$V$1006:$AE$1006,0)), HYPERLINK("#",""), HYPERLINK(CONCATENATE("#Metadata!", ADDRESS(INDEX($Q$2:$Q$1001,MATCH(ROWS($O$2:O509),$O$2:$O$1001,0),0), INDEX($V$1004:$AE$1004,1,MATCH(COLUMNS($V$1006:W1006),$V$1006:$AE$1006,0)))),"Fix")))</f>
        <v>0</v>
      </c>
      <c r="D509" s="3">
        <f>IF(OR(INDEX($P$2:$P$1001,MATCH(ROWS($O$2:O509),$O$2:$O$1001,0),1)&gt;=100000,INDEX($V$1005:$AE$1005,1,MATCH(COLUMNS($V$1006:X1006),$V$1006:$AE$1006,0))&gt;=100000), " ",IF(INDEX($V$2:$AE$1001,MATCH(ROWS($O$2:O509),$O$2:$O$1001,0),MATCH(COLUMNS($V$1006:X1006),$V$1006:$AE$1006,0)), HYPERLINK("#",""), HYPERLINK(CONCATENATE("#Metadata!", ADDRESS(INDEX($Q$2:$Q$1001,MATCH(ROWS($O$2:O509),$O$2:$O$1001,0),0), INDEX($V$1004:$AE$1004,1,MATCH(COLUMNS($V$1006:X1006),$V$1006:$AE$1006,0)))),"Fix")))</f>
        <v>0</v>
      </c>
      <c r="E509" s="3">
        <f>IF(OR(INDEX($P$2:$P$1001,MATCH(ROWS($O$2:O509),$O$2:$O$1001,0),1)&gt;=100000,INDEX($V$1005:$AE$1005,1,MATCH(COLUMNS($V$1006:Y1006),$V$1006:$AE$1006,0))&gt;=100000), " ",IF(INDEX($V$2:$AE$1001,MATCH(ROWS($O$2:O509),$O$2:$O$1001,0),MATCH(COLUMNS($V$1006:Y1006),$V$1006:$AE$1006,0)), HYPERLINK("#",""), HYPERLINK(CONCATENATE("#Metadata!", ADDRESS(INDEX($Q$2:$Q$1001,MATCH(ROWS($O$2:O509),$O$2:$O$1001,0),0), INDEX($V$1004:$AE$1004,1,MATCH(COLUMNS($V$1006:Y1006),$V$1006:$AE$1006,0)))),"Fix")))</f>
        <v>0</v>
      </c>
      <c r="F509" s="3">
        <f>IF(OR(INDEX($P$2:$P$1001,MATCH(ROWS($O$2:O509),$O$2:$O$1001,0),1)&gt;=100000,INDEX($V$1005:$AE$1005,1,MATCH(COLUMNS($V$1006:Z1006),$V$1006:$AE$1006,0))&gt;=100000), " ",IF(INDEX($V$2:$AE$1001,MATCH(ROWS($O$2:O509),$O$2:$O$1001,0),MATCH(COLUMNS($V$1006:Z1006),$V$1006:$AE$1006,0)), HYPERLINK("#",""), HYPERLINK(CONCATENATE("#Metadata!", ADDRESS(INDEX($Q$2:$Q$1001,MATCH(ROWS($O$2:O509),$O$2:$O$1001,0),0), INDEX($V$1004:$AE$1004,1,MATCH(COLUMNS($V$1006:Z1006),$V$1006:$AE$1006,0)))),"Fix")))</f>
        <v>0</v>
      </c>
      <c r="G509" s="3">
        <f>IF(OR(INDEX($P$2:$P$1001,MATCH(ROWS($O$2:O509),$O$2:$O$1001,0),1)&gt;=100000,INDEX($V$1005:$AE$1005,1,MATCH(COLUMNS($V$1006:AA1006),$V$1006:$AE$1006,0))&gt;=100000), " ",IF(INDEX($V$2:$AE$1001,MATCH(ROWS($O$2:O509),$O$2:$O$1001,0),MATCH(COLUMNS($V$1006:AA1006),$V$1006:$AE$1006,0)), HYPERLINK("#",""), HYPERLINK(CONCATENATE("#Metadata!", ADDRESS(INDEX($Q$2:$Q$1001,MATCH(ROWS($O$2:O509),$O$2:$O$1001,0),0), INDEX($V$1004:$AE$1004,1,MATCH(COLUMNS($V$1006:AA1006),$V$1006:$AE$1006,0)))),"Fix")))</f>
        <v>0</v>
      </c>
      <c r="H509" s="3">
        <f>IF(OR(INDEX($P$2:$P$1001,MATCH(ROWS($O$2:O509),$O$2:$O$1001,0),1)&gt;=100000,INDEX($V$1005:$AE$1005,1,MATCH(COLUMNS($V$1006:AB1006),$V$1006:$AE$1006,0))&gt;=100000), " ",IF(INDEX($V$2:$AE$1001,MATCH(ROWS($O$2:O509),$O$2:$O$1001,0),MATCH(COLUMNS($V$1006:AB1006),$V$1006:$AE$1006,0)), HYPERLINK("#",""), HYPERLINK(CONCATENATE("#Metadata!", ADDRESS(INDEX($Q$2:$Q$1001,MATCH(ROWS($O$2:O509),$O$2:$O$1001,0),0), INDEX($V$1004:$AE$1004,1,MATCH(COLUMNS($V$1006:AB1006),$V$1006:$AE$1006,0)))),"Fix")))</f>
        <v>0</v>
      </c>
      <c r="I509" s="3">
        <f>IF(OR(INDEX($P$2:$P$1001,MATCH(ROWS($O$2:O509),$O$2:$O$1001,0),1)&gt;=100000,INDEX($V$1005:$AE$1005,1,MATCH(COLUMNS($V$1006:AC1006),$V$1006:$AE$1006,0))&gt;=100000), " ",IF(INDEX($V$2:$AE$1001,MATCH(ROWS($O$2:O509),$O$2:$O$1001,0),MATCH(COLUMNS($V$1006:AC1006),$V$1006:$AE$1006,0)), HYPERLINK("#",""), HYPERLINK(CONCATENATE("#Metadata!", ADDRESS(INDEX($Q$2:$Q$1001,MATCH(ROWS($O$2:O509),$O$2:$O$1001,0),0), INDEX($V$1004:$AE$1004,1,MATCH(COLUMNS($V$1006:AC1006),$V$1006:$AE$1006,0)))),"Fix")))</f>
        <v>0</v>
      </c>
      <c r="J509" s="3">
        <f>IF(OR(INDEX($P$2:$P$1001,MATCH(ROWS($O$2:O509),$O$2:$O$1001,0),1)&gt;=100000,INDEX($V$1005:$AE$1005,1,MATCH(COLUMNS($V$1006:AD1006),$V$1006:$AE$1006,0))&gt;=100000), " ",IF(INDEX($V$2:$AE$1001,MATCH(ROWS($O$2:O509),$O$2:$O$1001,0),MATCH(COLUMNS($V$1006:AD1006),$V$1006:$AE$1006,0)), HYPERLINK("#",""), HYPERLINK(CONCATENATE("#Metadata!", ADDRESS(INDEX($Q$2:$Q$1001,MATCH(ROWS($O$2:O509),$O$2:$O$1001,0),0), INDEX($V$1004:$AE$1004,1,MATCH(COLUMNS($V$1006:AD1006),$V$1006:$AE$1006,0)))),"Fix")))</f>
        <v>0</v>
      </c>
      <c r="K509" s="3">
        <f>IF(OR(INDEX($P$2:$P$1001,MATCH(ROWS($O$2:O509),$O$2:$O$1001,0),1)&gt;=100000,INDEX($V$1005:$AE$1005,1,MATCH(COLUMNS($V$1006:AE1006),$V$1006:$AE$1006,0))&gt;=100000), " ",IF(INDEX($V$2:$AE$1001,MATCH(ROWS($O$2:O509),$O$2:$O$1001,0),MATCH(COLUMNS($V$1006:AE1006),$V$1006:$AE$1006,0)), HYPERLINK("#",""), HYPERLINK(CONCATENATE("#Metadata!", ADDRESS(INDEX($Q$2:$Q$1001,MATCH(ROWS($O$2:O509),$O$2:$O$1001,0),0), INDEX($V$1004:$AE$1004,1,MATCH(COLUMNS($V$1006:AE1006),$V$1006:$AE$1006,0)))),"Fix")))</f>
        <v>0</v>
      </c>
      <c r="O509">
        <v>0</v>
      </c>
      <c r="P509">
        <v>0</v>
      </c>
      <c r="Q509">
        <v>0</v>
      </c>
      <c r="R509">
        <f>IF(S509,TRUE,AND(V509:AE509))</f>
        <v>0</v>
      </c>
      <c r="S509">
        <f>COUNTBLANK(Metadata!B509:K509)=COLUMNS(Metadata!B509:K509)</f>
        <v>0</v>
      </c>
      <c r="T509">
        <v>0</v>
      </c>
      <c r="V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W509">
        <f>AND(IF(Metadata!C509="",FALSE,TRUE),exact(Metadata!C509,"animal secretion"))</f>
        <v>0</v>
      </c>
      <c r="X509">
        <f>AND(IF(Metadata!D509="",FALSE,TRUE),exact(Metadata!D509,"saliva"))</f>
        <v>0</v>
      </c>
      <c r="Y509">
        <f>AND(IF(Metadata!E509="",FALSE,TRUE),exact(Metadata!E509,"human-oral"))</f>
        <v>0</v>
      </c>
      <c r="Z509">
        <f>AND(IF(Metadata!F509="",FALSE,TRUE),exact(Metadata!F509,"UBERON:oral cavity"))</f>
        <v>0</v>
      </c>
      <c r="AA509">
        <f>AND(IF(Metadata!G509="",FALSE,TRUE),exact(Metadata!G509,"UBERON:saliva"))</f>
        <v>0</v>
      </c>
      <c r="AB509">
        <f>AND(IF(Metadata!H509="",FALSE,TRUE),exact(Metadata!H509,"UBERON:tongue"))</f>
        <v>0</v>
      </c>
      <c r="AC509">
        <f>AND(IF(Metadata!I509="",FALSE,TRUE),exact(Metadata!I509,"tongue"))</f>
        <v>0</v>
      </c>
      <c r="AD509">
        <f>AND(IF(Metadata!J509="",FALSE,TRUE),exact(Metadata!J509,"human oral metagenome"))</f>
        <v>0</v>
      </c>
      <c r="AE509">
        <f>AND(IF(Metadata!K509="",FALSE,TRUE),exact(Metadata!K509,"447426"))</f>
        <v>0</v>
      </c>
    </row>
    <row r="510" spans="1:31">
      <c r="A510" s="4">
        <f>IF(B510=" "," ",HYPERLINK(CONCATENATE("#metadata!",ADDRESS(INDEX($Q$2:$Q$1001,MATCH(ROWS($O$2:O510),$O$2:$O$1001,0),0),1)),INDEX($T$2:$T$1001,MATCH(ROWS($O$2:O510),$O$2:$O$1001,0),0)))</f>
        <v>0</v>
      </c>
      <c r="B510" s="3">
        <f>IF(OR(INDEX($P$2:$P$1001,MATCH(ROWS($O$2:O510),$O$2:$O$1001,0),1)&gt;=100000,INDEX($V$1005:$AE$1005,1,MATCH(COLUMNS($V$1006:V1006),$V$1006:$AE$1006,0))&gt;=100000), " ",IF(INDEX($V$2:$AE$1001,MATCH(ROWS($O$2:O510),$O$2:$O$1001,0),MATCH(COLUMNS($V$1006:V1006),$V$1006:$AE$1006,0)), HYPERLINK("#",""), HYPERLINK(CONCATENATE("#Metadata!", ADDRESS(INDEX($Q$2:$Q$1001,MATCH(ROWS($O$2:O510),$O$2:$O$1001,0),0), INDEX($V$1004:$AE$1004,1,MATCH(COLUMNS($V$1006:V1006),$V$1006:$AE$1006,0)))),"Fix")))</f>
        <v>0</v>
      </c>
      <c r="C510" s="3">
        <f>IF(OR(INDEX($P$2:$P$1001,MATCH(ROWS($O$2:O510),$O$2:$O$1001,0),1)&gt;=100000,INDEX($V$1005:$AE$1005,1,MATCH(COLUMNS($V$1006:W1006),$V$1006:$AE$1006,0))&gt;=100000), " ",IF(INDEX($V$2:$AE$1001,MATCH(ROWS($O$2:O510),$O$2:$O$1001,0),MATCH(COLUMNS($V$1006:W1006),$V$1006:$AE$1006,0)), HYPERLINK("#",""), HYPERLINK(CONCATENATE("#Metadata!", ADDRESS(INDEX($Q$2:$Q$1001,MATCH(ROWS($O$2:O510),$O$2:$O$1001,0),0), INDEX($V$1004:$AE$1004,1,MATCH(COLUMNS($V$1006:W1006),$V$1006:$AE$1006,0)))),"Fix")))</f>
        <v>0</v>
      </c>
      <c r="D510" s="3">
        <f>IF(OR(INDEX($P$2:$P$1001,MATCH(ROWS($O$2:O510),$O$2:$O$1001,0),1)&gt;=100000,INDEX($V$1005:$AE$1005,1,MATCH(COLUMNS($V$1006:X1006),$V$1006:$AE$1006,0))&gt;=100000), " ",IF(INDEX($V$2:$AE$1001,MATCH(ROWS($O$2:O510),$O$2:$O$1001,0),MATCH(COLUMNS($V$1006:X1006),$V$1006:$AE$1006,0)), HYPERLINK("#",""), HYPERLINK(CONCATENATE("#Metadata!", ADDRESS(INDEX($Q$2:$Q$1001,MATCH(ROWS($O$2:O510),$O$2:$O$1001,0),0), INDEX($V$1004:$AE$1004,1,MATCH(COLUMNS($V$1006:X1006),$V$1006:$AE$1006,0)))),"Fix")))</f>
        <v>0</v>
      </c>
      <c r="E510" s="3">
        <f>IF(OR(INDEX($P$2:$P$1001,MATCH(ROWS($O$2:O510),$O$2:$O$1001,0),1)&gt;=100000,INDEX($V$1005:$AE$1005,1,MATCH(COLUMNS($V$1006:Y1006),$V$1006:$AE$1006,0))&gt;=100000), " ",IF(INDEX($V$2:$AE$1001,MATCH(ROWS($O$2:O510),$O$2:$O$1001,0),MATCH(COLUMNS($V$1006:Y1006),$V$1006:$AE$1006,0)), HYPERLINK("#",""), HYPERLINK(CONCATENATE("#Metadata!", ADDRESS(INDEX($Q$2:$Q$1001,MATCH(ROWS($O$2:O510),$O$2:$O$1001,0),0), INDEX($V$1004:$AE$1004,1,MATCH(COLUMNS($V$1006:Y1006),$V$1006:$AE$1006,0)))),"Fix")))</f>
        <v>0</v>
      </c>
      <c r="F510" s="3">
        <f>IF(OR(INDEX($P$2:$P$1001,MATCH(ROWS($O$2:O510),$O$2:$O$1001,0),1)&gt;=100000,INDEX($V$1005:$AE$1005,1,MATCH(COLUMNS($V$1006:Z1006),$V$1006:$AE$1006,0))&gt;=100000), " ",IF(INDEX($V$2:$AE$1001,MATCH(ROWS($O$2:O510),$O$2:$O$1001,0),MATCH(COLUMNS($V$1006:Z1006),$V$1006:$AE$1006,0)), HYPERLINK("#",""), HYPERLINK(CONCATENATE("#Metadata!", ADDRESS(INDEX($Q$2:$Q$1001,MATCH(ROWS($O$2:O510),$O$2:$O$1001,0),0), INDEX($V$1004:$AE$1004,1,MATCH(COLUMNS($V$1006:Z1006),$V$1006:$AE$1006,0)))),"Fix")))</f>
        <v>0</v>
      </c>
      <c r="G510" s="3">
        <f>IF(OR(INDEX($P$2:$P$1001,MATCH(ROWS($O$2:O510),$O$2:$O$1001,0),1)&gt;=100000,INDEX($V$1005:$AE$1005,1,MATCH(COLUMNS($V$1006:AA1006),$V$1006:$AE$1006,0))&gt;=100000), " ",IF(INDEX($V$2:$AE$1001,MATCH(ROWS($O$2:O510),$O$2:$O$1001,0),MATCH(COLUMNS($V$1006:AA1006),$V$1006:$AE$1006,0)), HYPERLINK("#",""), HYPERLINK(CONCATENATE("#Metadata!", ADDRESS(INDEX($Q$2:$Q$1001,MATCH(ROWS($O$2:O510),$O$2:$O$1001,0),0), INDEX($V$1004:$AE$1004,1,MATCH(COLUMNS($V$1006:AA1006),$V$1006:$AE$1006,0)))),"Fix")))</f>
        <v>0</v>
      </c>
      <c r="H510" s="3">
        <f>IF(OR(INDEX($P$2:$P$1001,MATCH(ROWS($O$2:O510),$O$2:$O$1001,0),1)&gt;=100000,INDEX($V$1005:$AE$1005,1,MATCH(COLUMNS($V$1006:AB1006),$V$1006:$AE$1006,0))&gt;=100000), " ",IF(INDEX($V$2:$AE$1001,MATCH(ROWS($O$2:O510),$O$2:$O$1001,0),MATCH(COLUMNS($V$1006:AB1006),$V$1006:$AE$1006,0)), HYPERLINK("#",""), HYPERLINK(CONCATENATE("#Metadata!", ADDRESS(INDEX($Q$2:$Q$1001,MATCH(ROWS($O$2:O510),$O$2:$O$1001,0),0), INDEX($V$1004:$AE$1004,1,MATCH(COLUMNS($V$1006:AB1006),$V$1006:$AE$1006,0)))),"Fix")))</f>
        <v>0</v>
      </c>
      <c r="I510" s="3">
        <f>IF(OR(INDEX($P$2:$P$1001,MATCH(ROWS($O$2:O510),$O$2:$O$1001,0),1)&gt;=100000,INDEX($V$1005:$AE$1005,1,MATCH(COLUMNS($V$1006:AC1006),$V$1006:$AE$1006,0))&gt;=100000), " ",IF(INDEX($V$2:$AE$1001,MATCH(ROWS($O$2:O510),$O$2:$O$1001,0),MATCH(COLUMNS($V$1006:AC1006),$V$1006:$AE$1006,0)), HYPERLINK("#",""), HYPERLINK(CONCATENATE("#Metadata!", ADDRESS(INDEX($Q$2:$Q$1001,MATCH(ROWS($O$2:O510),$O$2:$O$1001,0),0), INDEX($V$1004:$AE$1004,1,MATCH(COLUMNS($V$1006:AC1006),$V$1006:$AE$1006,0)))),"Fix")))</f>
        <v>0</v>
      </c>
      <c r="J510" s="3">
        <f>IF(OR(INDEX($P$2:$P$1001,MATCH(ROWS($O$2:O510),$O$2:$O$1001,0),1)&gt;=100000,INDEX($V$1005:$AE$1005,1,MATCH(COLUMNS($V$1006:AD1006),$V$1006:$AE$1006,0))&gt;=100000), " ",IF(INDEX($V$2:$AE$1001,MATCH(ROWS($O$2:O510),$O$2:$O$1001,0),MATCH(COLUMNS($V$1006:AD1006),$V$1006:$AE$1006,0)), HYPERLINK("#",""), HYPERLINK(CONCATENATE("#Metadata!", ADDRESS(INDEX($Q$2:$Q$1001,MATCH(ROWS($O$2:O510),$O$2:$O$1001,0),0), INDEX($V$1004:$AE$1004,1,MATCH(COLUMNS($V$1006:AD1006),$V$1006:$AE$1006,0)))),"Fix")))</f>
        <v>0</v>
      </c>
      <c r="K510" s="3">
        <f>IF(OR(INDEX($P$2:$P$1001,MATCH(ROWS($O$2:O510),$O$2:$O$1001,0),1)&gt;=100000,INDEX($V$1005:$AE$1005,1,MATCH(COLUMNS($V$1006:AE1006),$V$1006:$AE$1006,0))&gt;=100000), " ",IF(INDEX($V$2:$AE$1001,MATCH(ROWS($O$2:O510),$O$2:$O$1001,0),MATCH(COLUMNS($V$1006:AE1006),$V$1006:$AE$1006,0)), HYPERLINK("#",""), HYPERLINK(CONCATENATE("#Metadata!", ADDRESS(INDEX($Q$2:$Q$1001,MATCH(ROWS($O$2:O510),$O$2:$O$1001,0),0), INDEX($V$1004:$AE$1004,1,MATCH(COLUMNS($V$1006:AE1006),$V$1006:$AE$1006,0)))),"Fix")))</f>
        <v>0</v>
      </c>
      <c r="O510">
        <v>0</v>
      </c>
      <c r="P510">
        <v>0</v>
      </c>
      <c r="Q510">
        <v>0</v>
      </c>
      <c r="R510">
        <f>IF(S510,TRUE,AND(V510:AE510))</f>
        <v>0</v>
      </c>
      <c r="S510">
        <f>COUNTBLANK(Metadata!B510:K510)=COLUMNS(Metadata!B510:K510)</f>
        <v>0</v>
      </c>
      <c r="T510">
        <v>0</v>
      </c>
      <c r="V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W510">
        <f>AND(IF(Metadata!C510="",FALSE,TRUE),exact(Metadata!C510,"animal secretion"))</f>
        <v>0</v>
      </c>
      <c r="X510">
        <f>AND(IF(Metadata!D510="",FALSE,TRUE),exact(Metadata!D510,"saliva"))</f>
        <v>0</v>
      </c>
      <c r="Y510">
        <f>AND(IF(Metadata!E510="",FALSE,TRUE),exact(Metadata!E510,"human-oral"))</f>
        <v>0</v>
      </c>
      <c r="Z510">
        <f>AND(IF(Metadata!F510="",FALSE,TRUE),exact(Metadata!F510,"UBERON:oral cavity"))</f>
        <v>0</v>
      </c>
      <c r="AA510">
        <f>AND(IF(Metadata!G510="",FALSE,TRUE),exact(Metadata!G510,"UBERON:saliva"))</f>
        <v>0</v>
      </c>
      <c r="AB510">
        <f>AND(IF(Metadata!H510="",FALSE,TRUE),exact(Metadata!H510,"UBERON:tongue"))</f>
        <v>0</v>
      </c>
      <c r="AC510">
        <f>AND(IF(Metadata!I510="",FALSE,TRUE),exact(Metadata!I510,"tongue"))</f>
        <v>0</v>
      </c>
      <c r="AD510">
        <f>AND(IF(Metadata!J510="",FALSE,TRUE),exact(Metadata!J510,"human oral metagenome"))</f>
        <v>0</v>
      </c>
      <c r="AE510">
        <f>AND(IF(Metadata!K510="",FALSE,TRUE),exact(Metadata!K510,"447426"))</f>
        <v>0</v>
      </c>
    </row>
    <row r="511" spans="1:31">
      <c r="A511" s="4">
        <f>IF(B511=" "," ",HYPERLINK(CONCATENATE("#metadata!",ADDRESS(INDEX($Q$2:$Q$1001,MATCH(ROWS($O$2:O511),$O$2:$O$1001,0),0),1)),INDEX($T$2:$T$1001,MATCH(ROWS($O$2:O511),$O$2:$O$1001,0),0)))</f>
        <v>0</v>
      </c>
      <c r="B511" s="3">
        <f>IF(OR(INDEX($P$2:$P$1001,MATCH(ROWS($O$2:O511),$O$2:$O$1001,0),1)&gt;=100000,INDEX($V$1005:$AE$1005,1,MATCH(COLUMNS($V$1006:V1006),$V$1006:$AE$1006,0))&gt;=100000), " ",IF(INDEX($V$2:$AE$1001,MATCH(ROWS($O$2:O511),$O$2:$O$1001,0),MATCH(COLUMNS($V$1006:V1006),$V$1006:$AE$1006,0)), HYPERLINK("#",""), HYPERLINK(CONCATENATE("#Metadata!", ADDRESS(INDEX($Q$2:$Q$1001,MATCH(ROWS($O$2:O511),$O$2:$O$1001,0),0), INDEX($V$1004:$AE$1004,1,MATCH(COLUMNS($V$1006:V1006),$V$1006:$AE$1006,0)))),"Fix")))</f>
        <v>0</v>
      </c>
      <c r="C511" s="3">
        <f>IF(OR(INDEX($P$2:$P$1001,MATCH(ROWS($O$2:O511),$O$2:$O$1001,0),1)&gt;=100000,INDEX($V$1005:$AE$1005,1,MATCH(COLUMNS($V$1006:W1006),$V$1006:$AE$1006,0))&gt;=100000), " ",IF(INDEX($V$2:$AE$1001,MATCH(ROWS($O$2:O511),$O$2:$O$1001,0),MATCH(COLUMNS($V$1006:W1006),$V$1006:$AE$1006,0)), HYPERLINK("#",""), HYPERLINK(CONCATENATE("#Metadata!", ADDRESS(INDEX($Q$2:$Q$1001,MATCH(ROWS($O$2:O511),$O$2:$O$1001,0),0), INDEX($V$1004:$AE$1004,1,MATCH(COLUMNS($V$1006:W1006),$V$1006:$AE$1006,0)))),"Fix")))</f>
        <v>0</v>
      </c>
      <c r="D511" s="3">
        <f>IF(OR(INDEX($P$2:$P$1001,MATCH(ROWS($O$2:O511),$O$2:$O$1001,0),1)&gt;=100000,INDEX($V$1005:$AE$1005,1,MATCH(COLUMNS($V$1006:X1006),$V$1006:$AE$1006,0))&gt;=100000), " ",IF(INDEX($V$2:$AE$1001,MATCH(ROWS($O$2:O511),$O$2:$O$1001,0),MATCH(COLUMNS($V$1006:X1006),$V$1006:$AE$1006,0)), HYPERLINK("#",""), HYPERLINK(CONCATENATE("#Metadata!", ADDRESS(INDEX($Q$2:$Q$1001,MATCH(ROWS($O$2:O511),$O$2:$O$1001,0),0), INDEX($V$1004:$AE$1004,1,MATCH(COLUMNS($V$1006:X1006),$V$1006:$AE$1006,0)))),"Fix")))</f>
        <v>0</v>
      </c>
      <c r="E511" s="3">
        <f>IF(OR(INDEX($P$2:$P$1001,MATCH(ROWS($O$2:O511),$O$2:$O$1001,0),1)&gt;=100000,INDEX($V$1005:$AE$1005,1,MATCH(COLUMNS($V$1006:Y1006),$V$1006:$AE$1006,0))&gt;=100000), " ",IF(INDEX($V$2:$AE$1001,MATCH(ROWS($O$2:O511),$O$2:$O$1001,0),MATCH(COLUMNS($V$1006:Y1006),$V$1006:$AE$1006,0)), HYPERLINK("#",""), HYPERLINK(CONCATENATE("#Metadata!", ADDRESS(INDEX($Q$2:$Q$1001,MATCH(ROWS($O$2:O511),$O$2:$O$1001,0),0), INDEX($V$1004:$AE$1004,1,MATCH(COLUMNS($V$1006:Y1006),$V$1006:$AE$1006,0)))),"Fix")))</f>
        <v>0</v>
      </c>
      <c r="F511" s="3">
        <f>IF(OR(INDEX($P$2:$P$1001,MATCH(ROWS($O$2:O511),$O$2:$O$1001,0),1)&gt;=100000,INDEX($V$1005:$AE$1005,1,MATCH(COLUMNS($V$1006:Z1006),$V$1006:$AE$1006,0))&gt;=100000), " ",IF(INDEX($V$2:$AE$1001,MATCH(ROWS($O$2:O511),$O$2:$O$1001,0),MATCH(COLUMNS($V$1006:Z1006),$V$1006:$AE$1006,0)), HYPERLINK("#",""), HYPERLINK(CONCATENATE("#Metadata!", ADDRESS(INDEX($Q$2:$Q$1001,MATCH(ROWS($O$2:O511),$O$2:$O$1001,0),0), INDEX($V$1004:$AE$1004,1,MATCH(COLUMNS($V$1006:Z1006),$V$1006:$AE$1006,0)))),"Fix")))</f>
        <v>0</v>
      </c>
      <c r="G511" s="3">
        <f>IF(OR(INDEX($P$2:$P$1001,MATCH(ROWS($O$2:O511),$O$2:$O$1001,0),1)&gt;=100000,INDEX($V$1005:$AE$1005,1,MATCH(COLUMNS($V$1006:AA1006),$V$1006:$AE$1006,0))&gt;=100000), " ",IF(INDEX($V$2:$AE$1001,MATCH(ROWS($O$2:O511),$O$2:$O$1001,0),MATCH(COLUMNS($V$1006:AA1006),$V$1006:$AE$1006,0)), HYPERLINK("#",""), HYPERLINK(CONCATENATE("#Metadata!", ADDRESS(INDEX($Q$2:$Q$1001,MATCH(ROWS($O$2:O511),$O$2:$O$1001,0),0), INDEX($V$1004:$AE$1004,1,MATCH(COLUMNS($V$1006:AA1006),$V$1006:$AE$1006,0)))),"Fix")))</f>
        <v>0</v>
      </c>
      <c r="H511" s="3">
        <f>IF(OR(INDEX($P$2:$P$1001,MATCH(ROWS($O$2:O511),$O$2:$O$1001,0),1)&gt;=100000,INDEX($V$1005:$AE$1005,1,MATCH(COLUMNS($V$1006:AB1006),$V$1006:$AE$1006,0))&gt;=100000), " ",IF(INDEX($V$2:$AE$1001,MATCH(ROWS($O$2:O511),$O$2:$O$1001,0),MATCH(COLUMNS($V$1006:AB1006),$V$1006:$AE$1006,0)), HYPERLINK("#",""), HYPERLINK(CONCATENATE("#Metadata!", ADDRESS(INDEX($Q$2:$Q$1001,MATCH(ROWS($O$2:O511),$O$2:$O$1001,0),0), INDEX($V$1004:$AE$1004,1,MATCH(COLUMNS($V$1006:AB1006),$V$1006:$AE$1006,0)))),"Fix")))</f>
        <v>0</v>
      </c>
      <c r="I511" s="3">
        <f>IF(OR(INDEX($P$2:$P$1001,MATCH(ROWS($O$2:O511),$O$2:$O$1001,0),1)&gt;=100000,INDEX($V$1005:$AE$1005,1,MATCH(COLUMNS($V$1006:AC1006),$V$1006:$AE$1006,0))&gt;=100000), " ",IF(INDEX($V$2:$AE$1001,MATCH(ROWS($O$2:O511),$O$2:$O$1001,0),MATCH(COLUMNS($V$1006:AC1006),$V$1006:$AE$1006,0)), HYPERLINK("#",""), HYPERLINK(CONCATENATE("#Metadata!", ADDRESS(INDEX($Q$2:$Q$1001,MATCH(ROWS($O$2:O511),$O$2:$O$1001,0),0), INDEX($V$1004:$AE$1004,1,MATCH(COLUMNS($V$1006:AC1006),$V$1006:$AE$1006,0)))),"Fix")))</f>
        <v>0</v>
      </c>
      <c r="J511" s="3">
        <f>IF(OR(INDEX($P$2:$P$1001,MATCH(ROWS($O$2:O511),$O$2:$O$1001,0),1)&gt;=100000,INDEX($V$1005:$AE$1005,1,MATCH(COLUMNS($V$1006:AD1006),$V$1006:$AE$1006,0))&gt;=100000), " ",IF(INDEX($V$2:$AE$1001,MATCH(ROWS($O$2:O511),$O$2:$O$1001,0),MATCH(COLUMNS($V$1006:AD1006),$V$1006:$AE$1006,0)), HYPERLINK("#",""), HYPERLINK(CONCATENATE("#Metadata!", ADDRESS(INDEX($Q$2:$Q$1001,MATCH(ROWS($O$2:O511),$O$2:$O$1001,0),0), INDEX($V$1004:$AE$1004,1,MATCH(COLUMNS($V$1006:AD1006),$V$1006:$AE$1006,0)))),"Fix")))</f>
        <v>0</v>
      </c>
      <c r="K511" s="3">
        <f>IF(OR(INDEX($P$2:$P$1001,MATCH(ROWS($O$2:O511),$O$2:$O$1001,0),1)&gt;=100000,INDEX($V$1005:$AE$1005,1,MATCH(COLUMNS($V$1006:AE1006),$V$1006:$AE$1006,0))&gt;=100000), " ",IF(INDEX($V$2:$AE$1001,MATCH(ROWS($O$2:O511),$O$2:$O$1001,0),MATCH(COLUMNS($V$1006:AE1006),$V$1006:$AE$1006,0)), HYPERLINK("#",""), HYPERLINK(CONCATENATE("#Metadata!", ADDRESS(INDEX($Q$2:$Q$1001,MATCH(ROWS($O$2:O511),$O$2:$O$1001,0),0), INDEX($V$1004:$AE$1004,1,MATCH(COLUMNS($V$1006:AE1006),$V$1006:$AE$1006,0)))),"Fix")))</f>
        <v>0</v>
      </c>
      <c r="O511">
        <v>0</v>
      </c>
      <c r="P511">
        <v>0</v>
      </c>
      <c r="Q511">
        <v>0</v>
      </c>
      <c r="R511">
        <f>IF(S511,TRUE,AND(V511:AE511))</f>
        <v>0</v>
      </c>
      <c r="S511">
        <f>COUNTBLANK(Metadata!B511:K511)=COLUMNS(Metadata!B511:K511)</f>
        <v>0</v>
      </c>
      <c r="T511">
        <v>0</v>
      </c>
      <c r="V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W511">
        <f>AND(IF(Metadata!C511="",FALSE,TRUE),exact(Metadata!C511,"animal secretion"))</f>
        <v>0</v>
      </c>
      <c r="X511">
        <f>AND(IF(Metadata!D511="",FALSE,TRUE),exact(Metadata!D511,"saliva"))</f>
        <v>0</v>
      </c>
      <c r="Y511">
        <f>AND(IF(Metadata!E511="",FALSE,TRUE),exact(Metadata!E511,"human-oral"))</f>
        <v>0</v>
      </c>
      <c r="Z511">
        <f>AND(IF(Metadata!F511="",FALSE,TRUE),exact(Metadata!F511,"UBERON:oral cavity"))</f>
        <v>0</v>
      </c>
      <c r="AA511">
        <f>AND(IF(Metadata!G511="",FALSE,TRUE),exact(Metadata!G511,"UBERON:saliva"))</f>
        <v>0</v>
      </c>
      <c r="AB511">
        <f>AND(IF(Metadata!H511="",FALSE,TRUE),exact(Metadata!H511,"UBERON:tongue"))</f>
        <v>0</v>
      </c>
      <c r="AC511">
        <f>AND(IF(Metadata!I511="",FALSE,TRUE),exact(Metadata!I511,"tongue"))</f>
        <v>0</v>
      </c>
      <c r="AD511">
        <f>AND(IF(Metadata!J511="",FALSE,TRUE),exact(Metadata!J511,"human oral metagenome"))</f>
        <v>0</v>
      </c>
      <c r="AE511">
        <f>AND(IF(Metadata!K511="",FALSE,TRUE),exact(Metadata!K511,"447426"))</f>
        <v>0</v>
      </c>
    </row>
    <row r="512" spans="1:31">
      <c r="A512" s="4">
        <f>IF(B512=" "," ",HYPERLINK(CONCATENATE("#metadata!",ADDRESS(INDEX($Q$2:$Q$1001,MATCH(ROWS($O$2:O512),$O$2:$O$1001,0),0),1)),INDEX($T$2:$T$1001,MATCH(ROWS($O$2:O512),$O$2:$O$1001,0),0)))</f>
        <v>0</v>
      </c>
      <c r="B512" s="3">
        <f>IF(OR(INDEX($P$2:$P$1001,MATCH(ROWS($O$2:O512),$O$2:$O$1001,0),1)&gt;=100000,INDEX($V$1005:$AE$1005,1,MATCH(COLUMNS($V$1006:V1006),$V$1006:$AE$1006,0))&gt;=100000), " ",IF(INDEX($V$2:$AE$1001,MATCH(ROWS($O$2:O512),$O$2:$O$1001,0),MATCH(COLUMNS($V$1006:V1006),$V$1006:$AE$1006,0)), HYPERLINK("#",""), HYPERLINK(CONCATENATE("#Metadata!", ADDRESS(INDEX($Q$2:$Q$1001,MATCH(ROWS($O$2:O512),$O$2:$O$1001,0),0), INDEX($V$1004:$AE$1004,1,MATCH(COLUMNS($V$1006:V1006),$V$1006:$AE$1006,0)))),"Fix")))</f>
        <v>0</v>
      </c>
      <c r="C512" s="3">
        <f>IF(OR(INDEX($P$2:$P$1001,MATCH(ROWS($O$2:O512),$O$2:$O$1001,0),1)&gt;=100000,INDEX($V$1005:$AE$1005,1,MATCH(COLUMNS($V$1006:W1006),$V$1006:$AE$1006,0))&gt;=100000), " ",IF(INDEX($V$2:$AE$1001,MATCH(ROWS($O$2:O512),$O$2:$O$1001,0),MATCH(COLUMNS($V$1006:W1006),$V$1006:$AE$1006,0)), HYPERLINK("#",""), HYPERLINK(CONCATENATE("#Metadata!", ADDRESS(INDEX($Q$2:$Q$1001,MATCH(ROWS($O$2:O512),$O$2:$O$1001,0),0), INDEX($V$1004:$AE$1004,1,MATCH(COLUMNS($V$1006:W1006),$V$1006:$AE$1006,0)))),"Fix")))</f>
        <v>0</v>
      </c>
      <c r="D512" s="3">
        <f>IF(OR(INDEX($P$2:$P$1001,MATCH(ROWS($O$2:O512),$O$2:$O$1001,0),1)&gt;=100000,INDEX($V$1005:$AE$1005,1,MATCH(COLUMNS($V$1006:X1006),$V$1006:$AE$1006,0))&gt;=100000), " ",IF(INDEX($V$2:$AE$1001,MATCH(ROWS($O$2:O512),$O$2:$O$1001,0),MATCH(COLUMNS($V$1006:X1006),$V$1006:$AE$1006,0)), HYPERLINK("#",""), HYPERLINK(CONCATENATE("#Metadata!", ADDRESS(INDEX($Q$2:$Q$1001,MATCH(ROWS($O$2:O512),$O$2:$O$1001,0),0), INDEX($V$1004:$AE$1004,1,MATCH(COLUMNS($V$1006:X1006),$V$1006:$AE$1006,0)))),"Fix")))</f>
        <v>0</v>
      </c>
      <c r="E512" s="3">
        <f>IF(OR(INDEX($P$2:$P$1001,MATCH(ROWS($O$2:O512),$O$2:$O$1001,0),1)&gt;=100000,INDEX($V$1005:$AE$1005,1,MATCH(COLUMNS($V$1006:Y1006),$V$1006:$AE$1006,0))&gt;=100000), " ",IF(INDEX($V$2:$AE$1001,MATCH(ROWS($O$2:O512),$O$2:$O$1001,0),MATCH(COLUMNS($V$1006:Y1006),$V$1006:$AE$1006,0)), HYPERLINK("#",""), HYPERLINK(CONCATENATE("#Metadata!", ADDRESS(INDEX($Q$2:$Q$1001,MATCH(ROWS($O$2:O512),$O$2:$O$1001,0),0), INDEX($V$1004:$AE$1004,1,MATCH(COLUMNS($V$1006:Y1006),$V$1006:$AE$1006,0)))),"Fix")))</f>
        <v>0</v>
      </c>
      <c r="F512" s="3">
        <f>IF(OR(INDEX($P$2:$P$1001,MATCH(ROWS($O$2:O512),$O$2:$O$1001,0),1)&gt;=100000,INDEX($V$1005:$AE$1005,1,MATCH(COLUMNS($V$1006:Z1006),$V$1006:$AE$1006,0))&gt;=100000), " ",IF(INDEX($V$2:$AE$1001,MATCH(ROWS($O$2:O512),$O$2:$O$1001,0),MATCH(COLUMNS($V$1006:Z1006),$V$1006:$AE$1006,0)), HYPERLINK("#",""), HYPERLINK(CONCATENATE("#Metadata!", ADDRESS(INDEX($Q$2:$Q$1001,MATCH(ROWS($O$2:O512),$O$2:$O$1001,0),0), INDEX($V$1004:$AE$1004,1,MATCH(COLUMNS($V$1006:Z1006),$V$1006:$AE$1006,0)))),"Fix")))</f>
        <v>0</v>
      </c>
      <c r="G512" s="3">
        <f>IF(OR(INDEX($P$2:$P$1001,MATCH(ROWS($O$2:O512),$O$2:$O$1001,0),1)&gt;=100000,INDEX($V$1005:$AE$1005,1,MATCH(COLUMNS($V$1006:AA1006),$V$1006:$AE$1006,0))&gt;=100000), " ",IF(INDEX($V$2:$AE$1001,MATCH(ROWS($O$2:O512),$O$2:$O$1001,0),MATCH(COLUMNS($V$1006:AA1006),$V$1006:$AE$1006,0)), HYPERLINK("#",""), HYPERLINK(CONCATENATE("#Metadata!", ADDRESS(INDEX($Q$2:$Q$1001,MATCH(ROWS($O$2:O512),$O$2:$O$1001,0),0), INDEX($V$1004:$AE$1004,1,MATCH(COLUMNS($V$1006:AA1006),$V$1006:$AE$1006,0)))),"Fix")))</f>
        <v>0</v>
      </c>
      <c r="H512" s="3">
        <f>IF(OR(INDEX($P$2:$P$1001,MATCH(ROWS($O$2:O512),$O$2:$O$1001,0),1)&gt;=100000,INDEX($V$1005:$AE$1005,1,MATCH(COLUMNS($V$1006:AB1006),$V$1006:$AE$1006,0))&gt;=100000), " ",IF(INDEX($V$2:$AE$1001,MATCH(ROWS($O$2:O512),$O$2:$O$1001,0),MATCH(COLUMNS($V$1006:AB1006),$V$1006:$AE$1006,0)), HYPERLINK("#",""), HYPERLINK(CONCATENATE("#Metadata!", ADDRESS(INDEX($Q$2:$Q$1001,MATCH(ROWS($O$2:O512),$O$2:$O$1001,0),0), INDEX($V$1004:$AE$1004,1,MATCH(COLUMNS($V$1006:AB1006),$V$1006:$AE$1006,0)))),"Fix")))</f>
        <v>0</v>
      </c>
      <c r="I512" s="3">
        <f>IF(OR(INDEX($P$2:$P$1001,MATCH(ROWS($O$2:O512),$O$2:$O$1001,0),1)&gt;=100000,INDEX($V$1005:$AE$1005,1,MATCH(COLUMNS($V$1006:AC1006),$V$1006:$AE$1006,0))&gt;=100000), " ",IF(INDEX($V$2:$AE$1001,MATCH(ROWS($O$2:O512),$O$2:$O$1001,0),MATCH(COLUMNS($V$1006:AC1006),$V$1006:$AE$1006,0)), HYPERLINK("#",""), HYPERLINK(CONCATENATE("#Metadata!", ADDRESS(INDEX($Q$2:$Q$1001,MATCH(ROWS($O$2:O512),$O$2:$O$1001,0),0), INDEX($V$1004:$AE$1004,1,MATCH(COLUMNS($V$1006:AC1006),$V$1006:$AE$1006,0)))),"Fix")))</f>
        <v>0</v>
      </c>
      <c r="J512" s="3">
        <f>IF(OR(INDEX($P$2:$P$1001,MATCH(ROWS($O$2:O512),$O$2:$O$1001,0),1)&gt;=100000,INDEX($V$1005:$AE$1005,1,MATCH(COLUMNS($V$1006:AD1006),$V$1006:$AE$1006,0))&gt;=100000), " ",IF(INDEX($V$2:$AE$1001,MATCH(ROWS($O$2:O512),$O$2:$O$1001,0),MATCH(COLUMNS($V$1006:AD1006),$V$1006:$AE$1006,0)), HYPERLINK("#",""), HYPERLINK(CONCATENATE("#Metadata!", ADDRESS(INDEX($Q$2:$Q$1001,MATCH(ROWS($O$2:O512),$O$2:$O$1001,0),0), INDEX($V$1004:$AE$1004,1,MATCH(COLUMNS($V$1006:AD1006),$V$1006:$AE$1006,0)))),"Fix")))</f>
        <v>0</v>
      </c>
      <c r="K512" s="3">
        <f>IF(OR(INDEX($P$2:$P$1001,MATCH(ROWS($O$2:O512),$O$2:$O$1001,0),1)&gt;=100000,INDEX($V$1005:$AE$1005,1,MATCH(COLUMNS($V$1006:AE1006),$V$1006:$AE$1006,0))&gt;=100000), " ",IF(INDEX($V$2:$AE$1001,MATCH(ROWS($O$2:O512),$O$2:$O$1001,0),MATCH(COLUMNS($V$1006:AE1006),$V$1006:$AE$1006,0)), HYPERLINK("#",""), HYPERLINK(CONCATENATE("#Metadata!", ADDRESS(INDEX($Q$2:$Q$1001,MATCH(ROWS($O$2:O512),$O$2:$O$1001,0),0), INDEX($V$1004:$AE$1004,1,MATCH(COLUMNS($V$1006:AE1006),$V$1006:$AE$1006,0)))),"Fix")))</f>
        <v>0</v>
      </c>
      <c r="O512">
        <v>0</v>
      </c>
      <c r="P512">
        <v>0</v>
      </c>
      <c r="Q512">
        <v>0</v>
      </c>
      <c r="R512">
        <f>IF(S512,TRUE,AND(V512:AE512))</f>
        <v>0</v>
      </c>
      <c r="S512">
        <f>COUNTBLANK(Metadata!B512:K512)=COLUMNS(Metadata!B512:K512)</f>
        <v>0</v>
      </c>
      <c r="T512">
        <v>0</v>
      </c>
      <c r="V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W512">
        <f>AND(IF(Metadata!C512="",FALSE,TRUE),exact(Metadata!C512,"animal secretion"))</f>
        <v>0</v>
      </c>
      <c r="X512">
        <f>AND(IF(Metadata!D512="",FALSE,TRUE),exact(Metadata!D512,"saliva"))</f>
        <v>0</v>
      </c>
      <c r="Y512">
        <f>AND(IF(Metadata!E512="",FALSE,TRUE),exact(Metadata!E512,"human-oral"))</f>
        <v>0</v>
      </c>
      <c r="Z512">
        <f>AND(IF(Metadata!F512="",FALSE,TRUE),exact(Metadata!F512,"UBERON:oral cavity"))</f>
        <v>0</v>
      </c>
      <c r="AA512">
        <f>AND(IF(Metadata!G512="",FALSE,TRUE),exact(Metadata!G512,"UBERON:saliva"))</f>
        <v>0</v>
      </c>
      <c r="AB512">
        <f>AND(IF(Metadata!H512="",FALSE,TRUE),exact(Metadata!H512,"UBERON:tongue"))</f>
        <v>0</v>
      </c>
      <c r="AC512">
        <f>AND(IF(Metadata!I512="",FALSE,TRUE),exact(Metadata!I512,"tongue"))</f>
        <v>0</v>
      </c>
      <c r="AD512">
        <f>AND(IF(Metadata!J512="",FALSE,TRUE),exact(Metadata!J512,"human oral metagenome"))</f>
        <v>0</v>
      </c>
      <c r="AE512">
        <f>AND(IF(Metadata!K512="",FALSE,TRUE),exact(Metadata!K512,"447426"))</f>
        <v>0</v>
      </c>
    </row>
    <row r="513" spans="1:31">
      <c r="A513" s="4">
        <f>IF(B513=" "," ",HYPERLINK(CONCATENATE("#metadata!",ADDRESS(INDEX($Q$2:$Q$1001,MATCH(ROWS($O$2:O513),$O$2:$O$1001,0),0),1)),INDEX($T$2:$T$1001,MATCH(ROWS($O$2:O513),$O$2:$O$1001,0),0)))</f>
        <v>0</v>
      </c>
      <c r="B513" s="3">
        <f>IF(OR(INDEX($P$2:$P$1001,MATCH(ROWS($O$2:O513),$O$2:$O$1001,0),1)&gt;=100000,INDEX($V$1005:$AE$1005,1,MATCH(COLUMNS($V$1006:V1006),$V$1006:$AE$1006,0))&gt;=100000), " ",IF(INDEX($V$2:$AE$1001,MATCH(ROWS($O$2:O513),$O$2:$O$1001,0),MATCH(COLUMNS($V$1006:V1006),$V$1006:$AE$1006,0)), HYPERLINK("#",""), HYPERLINK(CONCATENATE("#Metadata!", ADDRESS(INDEX($Q$2:$Q$1001,MATCH(ROWS($O$2:O513),$O$2:$O$1001,0),0), INDEX($V$1004:$AE$1004,1,MATCH(COLUMNS($V$1006:V1006),$V$1006:$AE$1006,0)))),"Fix")))</f>
        <v>0</v>
      </c>
      <c r="C513" s="3">
        <f>IF(OR(INDEX($P$2:$P$1001,MATCH(ROWS($O$2:O513),$O$2:$O$1001,0),1)&gt;=100000,INDEX($V$1005:$AE$1005,1,MATCH(COLUMNS($V$1006:W1006),$V$1006:$AE$1006,0))&gt;=100000), " ",IF(INDEX($V$2:$AE$1001,MATCH(ROWS($O$2:O513),$O$2:$O$1001,0),MATCH(COLUMNS($V$1006:W1006),$V$1006:$AE$1006,0)), HYPERLINK("#",""), HYPERLINK(CONCATENATE("#Metadata!", ADDRESS(INDEX($Q$2:$Q$1001,MATCH(ROWS($O$2:O513),$O$2:$O$1001,0),0), INDEX($V$1004:$AE$1004,1,MATCH(COLUMNS($V$1006:W1006),$V$1006:$AE$1006,0)))),"Fix")))</f>
        <v>0</v>
      </c>
      <c r="D513" s="3">
        <f>IF(OR(INDEX($P$2:$P$1001,MATCH(ROWS($O$2:O513),$O$2:$O$1001,0),1)&gt;=100000,INDEX($V$1005:$AE$1005,1,MATCH(COLUMNS($V$1006:X1006),$V$1006:$AE$1006,0))&gt;=100000), " ",IF(INDEX($V$2:$AE$1001,MATCH(ROWS($O$2:O513),$O$2:$O$1001,0),MATCH(COLUMNS($V$1006:X1006),$V$1006:$AE$1006,0)), HYPERLINK("#",""), HYPERLINK(CONCATENATE("#Metadata!", ADDRESS(INDEX($Q$2:$Q$1001,MATCH(ROWS($O$2:O513),$O$2:$O$1001,0),0), INDEX($V$1004:$AE$1004,1,MATCH(COLUMNS($V$1006:X1006),$V$1006:$AE$1006,0)))),"Fix")))</f>
        <v>0</v>
      </c>
      <c r="E513" s="3">
        <f>IF(OR(INDEX($P$2:$P$1001,MATCH(ROWS($O$2:O513),$O$2:$O$1001,0),1)&gt;=100000,INDEX($V$1005:$AE$1005,1,MATCH(COLUMNS($V$1006:Y1006),$V$1006:$AE$1006,0))&gt;=100000), " ",IF(INDEX($V$2:$AE$1001,MATCH(ROWS($O$2:O513),$O$2:$O$1001,0),MATCH(COLUMNS($V$1006:Y1006),$V$1006:$AE$1006,0)), HYPERLINK("#",""), HYPERLINK(CONCATENATE("#Metadata!", ADDRESS(INDEX($Q$2:$Q$1001,MATCH(ROWS($O$2:O513),$O$2:$O$1001,0),0), INDEX($V$1004:$AE$1004,1,MATCH(COLUMNS($V$1006:Y1006),$V$1006:$AE$1006,0)))),"Fix")))</f>
        <v>0</v>
      </c>
      <c r="F513" s="3">
        <f>IF(OR(INDEX($P$2:$P$1001,MATCH(ROWS($O$2:O513),$O$2:$O$1001,0),1)&gt;=100000,INDEX($V$1005:$AE$1005,1,MATCH(COLUMNS($V$1006:Z1006),$V$1006:$AE$1006,0))&gt;=100000), " ",IF(INDEX($V$2:$AE$1001,MATCH(ROWS($O$2:O513),$O$2:$O$1001,0),MATCH(COLUMNS($V$1006:Z1006),$V$1006:$AE$1006,0)), HYPERLINK("#",""), HYPERLINK(CONCATENATE("#Metadata!", ADDRESS(INDEX($Q$2:$Q$1001,MATCH(ROWS($O$2:O513),$O$2:$O$1001,0),0), INDEX($V$1004:$AE$1004,1,MATCH(COLUMNS($V$1006:Z1006),$V$1006:$AE$1006,0)))),"Fix")))</f>
        <v>0</v>
      </c>
      <c r="G513" s="3">
        <f>IF(OR(INDEX($P$2:$P$1001,MATCH(ROWS($O$2:O513),$O$2:$O$1001,0),1)&gt;=100000,INDEX($V$1005:$AE$1005,1,MATCH(COLUMNS($V$1006:AA1006),$V$1006:$AE$1006,0))&gt;=100000), " ",IF(INDEX($V$2:$AE$1001,MATCH(ROWS($O$2:O513),$O$2:$O$1001,0),MATCH(COLUMNS($V$1006:AA1006),$V$1006:$AE$1006,0)), HYPERLINK("#",""), HYPERLINK(CONCATENATE("#Metadata!", ADDRESS(INDEX($Q$2:$Q$1001,MATCH(ROWS($O$2:O513),$O$2:$O$1001,0),0), INDEX($V$1004:$AE$1004,1,MATCH(COLUMNS($V$1006:AA1006),$V$1006:$AE$1006,0)))),"Fix")))</f>
        <v>0</v>
      </c>
      <c r="H513" s="3">
        <f>IF(OR(INDEX($P$2:$P$1001,MATCH(ROWS($O$2:O513),$O$2:$O$1001,0),1)&gt;=100000,INDEX($V$1005:$AE$1005,1,MATCH(COLUMNS($V$1006:AB1006),$V$1006:$AE$1006,0))&gt;=100000), " ",IF(INDEX($V$2:$AE$1001,MATCH(ROWS($O$2:O513),$O$2:$O$1001,0),MATCH(COLUMNS($V$1006:AB1006),$V$1006:$AE$1006,0)), HYPERLINK("#",""), HYPERLINK(CONCATENATE("#Metadata!", ADDRESS(INDEX($Q$2:$Q$1001,MATCH(ROWS($O$2:O513),$O$2:$O$1001,0),0), INDEX($V$1004:$AE$1004,1,MATCH(COLUMNS($V$1006:AB1006),$V$1006:$AE$1006,0)))),"Fix")))</f>
        <v>0</v>
      </c>
      <c r="I513" s="3">
        <f>IF(OR(INDEX($P$2:$P$1001,MATCH(ROWS($O$2:O513),$O$2:$O$1001,0),1)&gt;=100000,INDEX($V$1005:$AE$1005,1,MATCH(COLUMNS($V$1006:AC1006),$V$1006:$AE$1006,0))&gt;=100000), " ",IF(INDEX($V$2:$AE$1001,MATCH(ROWS($O$2:O513),$O$2:$O$1001,0),MATCH(COLUMNS($V$1006:AC1006),$V$1006:$AE$1006,0)), HYPERLINK("#",""), HYPERLINK(CONCATENATE("#Metadata!", ADDRESS(INDEX($Q$2:$Q$1001,MATCH(ROWS($O$2:O513),$O$2:$O$1001,0),0), INDEX($V$1004:$AE$1004,1,MATCH(COLUMNS($V$1006:AC1006),$V$1006:$AE$1006,0)))),"Fix")))</f>
        <v>0</v>
      </c>
      <c r="J513" s="3">
        <f>IF(OR(INDEX($P$2:$P$1001,MATCH(ROWS($O$2:O513),$O$2:$O$1001,0),1)&gt;=100000,INDEX($V$1005:$AE$1005,1,MATCH(COLUMNS($V$1006:AD1006),$V$1006:$AE$1006,0))&gt;=100000), " ",IF(INDEX($V$2:$AE$1001,MATCH(ROWS($O$2:O513),$O$2:$O$1001,0),MATCH(COLUMNS($V$1006:AD1006),$V$1006:$AE$1006,0)), HYPERLINK("#",""), HYPERLINK(CONCATENATE("#Metadata!", ADDRESS(INDEX($Q$2:$Q$1001,MATCH(ROWS($O$2:O513),$O$2:$O$1001,0),0), INDEX($V$1004:$AE$1004,1,MATCH(COLUMNS($V$1006:AD1006),$V$1006:$AE$1006,0)))),"Fix")))</f>
        <v>0</v>
      </c>
      <c r="K513" s="3">
        <f>IF(OR(INDEX($P$2:$P$1001,MATCH(ROWS($O$2:O513),$O$2:$O$1001,0),1)&gt;=100000,INDEX($V$1005:$AE$1005,1,MATCH(COLUMNS($V$1006:AE1006),$V$1006:$AE$1006,0))&gt;=100000), " ",IF(INDEX($V$2:$AE$1001,MATCH(ROWS($O$2:O513),$O$2:$O$1001,0),MATCH(COLUMNS($V$1006:AE1006),$V$1006:$AE$1006,0)), HYPERLINK("#",""), HYPERLINK(CONCATENATE("#Metadata!", ADDRESS(INDEX($Q$2:$Q$1001,MATCH(ROWS($O$2:O513),$O$2:$O$1001,0),0), INDEX($V$1004:$AE$1004,1,MATCH(COLUMNS($V$1006:AE1006),$V$1006:$AE$1006,0)))),"Fix")))</f>
        <v>0</v>
      </c>
      <c r="O513">
        <v>0</v>
      </c>
      <c r="P513">
        <v>0</v>
      </c>
      <c r="Q513">
        <v>0</v>
      </c>
      <c r="R513">
        <f>IF(S513,TRUE,AND(V513:AE513))</f>
        <v>0</v>
      </c>
      <c r="S513">
        <f>COUNTBLANK(Metadata!B513:K513)=COLUMNS(Metadata!B513:K513)</f>
        <v>0</v>
      </c>
      <c r="T513">
        <v>0</v>
      </c>
      <c r="V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W513">
        <f>AND(IF(Metadata!C513="",FALSE,TRUE),exact(Metadata!C513,"animal secretion"))</f>
        <v>0</v>
      </c>
      <c r="X513">
        <f>AND(IF(Metadata!D513="",FALSE,TRUE),exact(Metadata!D513,"saliva"))</f>
        <v>0</v>
      </c>
      <c r="Y513">
        <f>AND(IF(Metadata!E513="",FALSE,TRUE),exact(Metadata!E513,"human-oral"))</f>
        <v>0</v>
      </c>
      <c r="Z513">
        <f>AND(IF(Metadata!F513="",FALSE,TRUE),exact(Metadata!F513,"UBERON:oral cavity"))</f>
        <v>0</v>
      </c>
      <c r="AA513">
        <f>AND(IF(Metadata!G513="",FALSE,TRUE),exact(Metadata!G513,"UBERON:saliva"))</f>
        <v>0</v>
      </c>
      <c r="AB513">
        <f>AND(IF(Metadata!H513="",FALSE,TRUE),exact(Metadata!H513,"UBERON:tongue"))</f>
        <v>0</v>
      </c>
      <c r="AC513">
        <f>AND(IF(Metadata!I513="",FALSE,TRUE),exact(Metadata!I513,"tongue"))</f>
        <v>0</v>
      </c>
      <c r="AD513">
        <f>AND(IF(Metadata!J513="",FALSE,TRUE),exact(Metadata!J513,"human oral metagenome"))</f>
        <v>0</v>
      </c>
      <c r="AE513">
        <f>AND(IF(Metadata!K513="",FALSE,TRUE),exact(Metadata!K513,"447426"))</f>
        <v>0</v>
      </c>
    </row>
    <row r="514" spans="1:31">
      <c r="A514" s="4">
        <f>IF(B514=" "," ",HYPERLINK(CONCATENATE("#metadata!",ADDRESS(INDEX($Q$2:$Q$1001,MATCH(ROWS($O$2:O514),$O$2:$O$1001,0),0),1)),INDEX($T$2:$T$1001,MATCH(ROWS($O$2:O514),$O$2:$O$1001,0),0)))</f>
        <v>0</v>
      </c>
      <c r="B514" s="3">
        <f>IF(OR(INDEX($P$2:$P$1001,MATCH(ROWS($O$2:O514),$O$2:$O$1001,0),1)&gt;=100000,INDEX($V$1005:$AE$1005,1,MATCH(COLUMNS($V$1006:V1006),$V$1006:$AE$1006,0))&gt;=100000), " ",IF(INDEX($V$2:$AE$1001,MATCH(ROWS($O$2:O514),$O$2:$O$1001,0),MATCH(COLUMNS($V$1006:V1006),$V$1006:$AE$1006,0)), HYPERLINK("#",""), HYPERLINK(CONCATENATE("#Metadata!", ADDRESS(INDEX($Q$2:$Q$1001,MATCH(ROWS($O$2:O514),$O$2:$O$1001,0),0), INDEX($V$1004:$AE$1004,1,MATCH(COLUMNS($V$1006:V1006),$V$1006:$AE$1006,0)))),"Fix")))</f>
        <v>0</v>
      </c>
      <c r="C514" s="3">
        <f>IF(OR(INDEX($P$2:$P$1001,MATCH(ROWS($O$2:O514),$O$2:$O$1001,0),1)&gt;=100000,INDEX($V$1005:$AE$1005,1,MATCH(COLUMNS($V$1006:W1006),$V$1006:$AE$1006,0))&gt;=100000), " ",IF(INDEX($V$2:$AE$1001,MATCH(ROWS($O$2:O514),$O$2:$O$1001,0),MATCH(COLUMNS($V$1006:W1006),$V$1006:$AE$1006,0)), HYPERLINK("#",""), HYPERLINK(CONCATENATE("#Metadata!", ADDRESS(INDEX($Q$2:$Q$1001,MATCH(ROWS($O$2:O514),$O$2:$O$1001,0),0), INDEX($V$1004:$AE$1004,1,MATCH(COLUMNS($V$1006:W1006),$V$1006:$AE$1006,0)))),"Fix")))</f>
        <v>0</v>
      </c>
      <c r="D514" s="3">
        <f>IF(OR(INDEX($P$2:$P$1001,MATCH(ROWS($O$2:O514),$O$2:$O$1001,0),1)&gt;=100000,INDEX($V$1005:$AE$1005,1,MATCH(COLUMNS($V$1006:X1006),$V$1006:$AE$1006,0))&gt;=100000), " ",IF(INDEX($V$2:$AE$1001,MATCH(ROWS($O$2:O514),$O$2:$O$1001,0),MATCH(COLUMNS($V$1006:X1006),$V$1006:$AE$1006,0)), HYPERLINK("#",""), HYPERLINK(CONCATENATE("#Metadata!", ADDRESS(INDEX($Q$2:$Q$1001,MATCH(ROWS($O$2:O514),$O$2:$O$1001,0),0), INDEX($V$1004:$AE$1004,1,MATCH(COLUMNS($V$1006:X1006),$V$1006:$AE$1006,0)))),"Fix")))</f>
        <v>0</v>
      </c>
      <c r="E514" s="3">
        <f>IF(OR(INDEX($P$2:$P$1001,MATCH(ROWS($O$2:O514),$O$2:$O$1001,0),1)&gt;=100000,INDEX($V$1005:$AE$1005,1,MATCH(COLUMNS($V$1006:Y1006),$V$1006:$AE$1006,0))&gt;=100000), " ",IF(INDEX($V$2:$AE$1001,MATCH(ROWS($O$2:O514),$O$2:$O$1001,0),MATCH(COLUMNS($V$1006:Y1006),$V$1006:$AE$1006,0)), HYPERLINK("#",""), HYPERLINK(CONCATENATE("#Metadata!", ADDRESS(INDEX($Q$2:$Q$1001,MATCH(ROWS($O$2:O514),$O$2:$O$1001,0),0), INDEX($V$1004:$AE$1004,1,MATCH(COLUMNS($V$1006:Y1006),$V$1006:$AE$1006,0)))),"Fix")))</f>
        <v>0</v>
      </c>
      <c r="F514" s="3">
        <f>IF(OR(INDEX($P$2:$P$1001,MATCH(ROWS($O$2:O514),$O$2:$O$1001,0),1)&gt;=100000,INDEX($V$1005:$AE$1005,1,MATCH(COLUMNS($V$1006:Z1006),$V$1006:$AE$1006,0))&gt;=100000), " ",IF(INDEX($V$2:$AE$1001,MATCH(ROWS($O$2:O514),$O$2:$O$1001,0),MATCH(COLUMNS($V$1006:Z1006),$V$1006:$AE$1006,0)), HYPERLINK("#",""), HYPERLINK(CONCATENATE("#Metadata!", ADDRESS(INDEX($Q$2:$Q$1001,MATCH(ROWS($O$2:O514),$O$2:$O$1001,0),0), INDEX($V$1004:$AE$1004,1,MATCH(COLUMNS($V$1006:Z1006),$V$1006:$AE$1006,0)))),"Fix")))</f>
        <v>0</v>
      </c>
      <c r="G514" s="3">
        <f>IF(OR(INDEX($P$2:$P$1001,MATCH(ROWS($O$2:O514),$O$2:$O$1001,0),1)&gt;=100000,INDEX($V$1005:$AE$1005,1,MATCH(COLUMNS($V$1006:AA1006),$V$1006:$AE$1006,0))&gt;=100000), " ",IF(INDEX($V$2:$AE$1001,MATCH(ROWS($O$2:O514),$O$2:$O$1001,0),MATCH(COLUMNS($V$1006:AA1006),$V$1006:$AE$1006,0)), HYPERLINK("#",""), HYPERLINK(CONCATENATE("#Metadata!", ADDRESS(INDEX($Q$2:$Q$1001,MATCH(ROWS($O$2:O514),$O$2:$O$1001,0),0), INDEX($V$1004:$AE$1004,1,MATCH(COLUMNS($V$1006:AA1006),$V$1006:$AE$1006,0)))),"Fix")))</f>
        <v>0</v>
      </c>
      <c r="H514" s="3">
        <f>IF(OR(INDEX($P$2:$P$1001,MATCH(ROWS($O$2:O514),$O$2:$O$1001,0),1)&gt;=100000,INDEX($V$1005:$AE$1005,1,MATCH(COLUMNS($V$1006:AB1006),$V$1006:$AE$1006,0))&gt;=100000), " ",IF(INDEX($V$2:$AE$1001,MATCH(ROWS($O$2:O514),$O$2:$O$1001,0),MATCH(COLUMNS($V$1006:AB1006),$V$1006:$AE$1006,0)), HYPERLINK("#",""), HYPERLINK(CONCATENATE("#Metadata!", ADDRESS(INDEX($Q$2:$Q$1001,MATCH(ROWS($O$2:O514),$O$2:$O$1001,0),0), INDEX($V$1004:$AE$1004,1,MATCH(COLUMNS($V$1006:AB1006),$V$1006:$AE$1006,0)))),"Fix")))</f>
        <v>0</v>
      </c>
      <c r="I514" s="3">
        <f>IF(OR(INDEX($P$2:$P$1001,MATCH(ROWS($O$2:O514),$O$2:$O$1001,0),1)&gt;=100000,INDEX($V$1005:$AE$1005,1,MATCH(COLUMNS($V$1006:AC1006),$V$1006:$AE$1006,0))&gt;=100000), " ",IF(INDEX($V$2:$AE$1001,MATCH(ROWS($O$2:O514),$O$2:$O$1001,0),MATCH(COLUMNS($V$1006:AC1006),$V$1006:$AE$1006,0)), HYPERLINK("#",""), HYPERLINK(CONCATENATE("#Metadata!", ADDRESS(INDEX($Q$2:$Q$1001,MATCH(ROWS($O$2:O514),$O$2:$O$1001,0),0), INDEX($V$1004:$AE$1004,1,MATCH(COLUMNS($V$1006:AC1006),$V$1006:$AE$1006,0)))),"Fix")))</f>
        <v>0</v>
      </c>
      <c r="J514" s="3">
        <f>IF(OR(INDEX($P$2:$P$1001,MATCH(ROWS($O$2:O514),$O$2:$O$1001,0),1)&gt;=100000,INDEX($V$1005:$AE$1005,1,MATCH(COLUMNS($V$1006:AD1006),$V$1006:$AE$1006,0))&gt;=100000), " ",IF(INDEX($V$2:$AE$1001,MATCH(ROWS($O$2:O514),$O$2:$O$1001,0),MATCH(COLUMNS($V$1006:AD1006),$V$1006:$AE$1006,0)), HYPERLINK("#",""), HYPERLINK(CONCATENATE("#Metadata!", ADDRESS(INDEX($Q$2:$Q$1001,MATCH(ROWS($O$2:O514),$O$2:$O$1001,0),0), INDEX($V$1004:$AE$1004,1,MATCH(COLUMNS($V$1006:AD1006),$V$1006:$AE$1006,0)))),"Fix")))</f>
        <v>0</v>
      </c>
      <c r="K514" s="3">
        <f>IF(OR(INDEX($P$2:$P$1001,MATCH(ROWS($O$2:O514),$O$2:$O$1001,0),1)&gt;=100000,INDEX($V$1005:$AE$1005,1,MATCH(COLUMNS($V$1006:AE1006),$V$1006:$AE$1006,0))&gt;=100000), " ",IF(INDEX($V$2:$AE$1001,MATCH(ROWS($O$2:O514),$O$2:$O$1001,0),MATCH(COLUMNS($V$1006:AE1006),$V$1006:$AE$1006,0)), HYPERLINK("#",""), HYPERLINK(CONCATENATE("#Metadata!", ADDRESS(INDEX($Q$2:$Q$1001,MATCH(ROWS($O$2:O514),$O$2:$O$1001,0),0), INDEX($V$1004:$AE$1004,1,MATCH(COLUMNS($V$1006:AE1006),$V$1006:$AE$1006,0)))),"Fix")))</f>
        <v>0</v>
      </c>
      <c r="O514">
        <v>0</v>
      </c>
      <c r="P514">
        <v>0</v>
      </c>
      <c r="Q514">
        <v>0</v>
      </c>
      <c r="R514">
        <f>IF(S514,TRUE,AND(V514:AE514))</f>
        <v>0</v>
      </c>
      <c r="S514">
        <f>COUNTBLANK(Metadata!B514:K514)=COLUMNS(Metadata!B514:K514)</f>
        <v>0</v>
      </c>
      <c r="T514">
        <v>0</v>
      </c>
      <c r="V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W514">
        <f>AND(IF(Metadata!C514="",FALSE,TRUE),exact(Metadata!C514,"animal secretion"))</f>
        <v>0</v>
      </c>
      <c r="X514">
        <f>AND(IF(Metadata!D514="",FALSE,TRUE),exact(Metadata!D514,"saliva"))</f>
        <v>0</v>
      </c>
      <c r="Y514">
        <f>AND(IF(Metadata!E514="",FALSE,TRUE),exact(Metadata!E514,"human-oral"))</f>
        <v>0</v>
      </c>
      <c r="Z514">
        <f>AND(IF(Metadata!F514="",FALSE,TRUE),exact(Metadata!F514,"UBERON:oral cavity"))</f>
        <v>0</v>
      </c>
      <c r="AA514">
        <f>AND(IF(Metadata!G514="",FALSE,TRUE),exact(Metadata!G514,"UBERON:saliva"))</f>
        <v>0</v>
      </c>
      <c r="AB514">
        <f>AND(IF(Metadata!H514="",FALSE,TRUE),exact(Metadata!H514,"UBERON:tongue"))</f>
        <v>0</v>
      </c>
      <c r="AC514">
        <f>AND(IF(Metadata!I514="",FALSE,TRUE),exact(Metadata!I514,"tongue"))</f>
        <v>0</v>
      </c>
      <c r="AD514">
        <f>AND(IF(Metadata!J514="",FALSE,TRUE),exact(Metadata!J514,"human oral metagenome"))</f>
        <v>0</v>
      </c>
      <c r="AE514">
        <f>AND(IF(Metadata!K514="",FALSE,TRUE),exact(Metadata!K514,"447426"))</f>
        <v>0</v>
      </c>
    </row>
    <row r="515" spans="1:31">
      <c r="A515" s="4">
        <f>IF(B515=" "," ",HYPERLINK(CONCATENATE("#metadata!",ADDRESS(INDEX($Q$2:$Q$1001,MATCH(ROWS($O$2:O515),$O$2:$O$1001,0),0),1)),INDEX($T$2:$T$1001,MATCH(ROWS($O$2:O515),$O$2:$O$1001,0),0)))</f>
        <v>0</v>
      </c>
      <c r="B515" s="3">
        <f>IF(OR(INDEX($P$2:$P$1001,MATCH(ROWS($O$2:O515),$O$2:$O$1001,0),1)&gt;=100000,INDEX($V$1005:$AE$1005,1,MATCH(COLUMNS($V$1006:V1006),$V$1006:$AE$1006,0))&gt;=100000), " ",IF(INDEX($V$2:$AE$1001,MATCH(ROWS($O$2:O515),$O$2:$O$1001,0),MATCH(COLUMNS($V$1006:V1006),$V$1006:$AE$1006,0)), HYPERLINK("#",""), HYPERLINK(CONCATENATE("#Metadata!", ADDRESS(INDEX($Q$2:$Q$1001,MATCH(ROWS($O$2:O515),$O$2:$O$1001,0),0), INDEX($V$1004:$AE$1004,1,MATCH(COLUMNS($V$1006:V1006),$V$1006:$AE$1006,0)))),"Fix")))</f>
        <v>0</v>
      </c>
      <c r="C515" s="3">
        <f>IF(OR(INDEX($P$2:$P$1001,MATCH(ROWS($O$2:O515),$O$2:$O$1001,0),1)&gt;=100000,INDEX($V$1005:$AE$1005,1,MATCH(COLUMNS($V$1006:W1006),$V$1006:$AE$1006,0))&gt;=100000), " ",IF(INDEX($V$2:$AE$1001,MATCH(ROWS($O$2:O515),$O$2:$O$1001,0),MATCH(COLUMNS($V$1006:W1006),$V$1006:$AE$1006,0)), HYPERLINK("#",""), HYPERLINK(CONCATENATE("#Metadata!", ADDRESS(INDEX($Q$2:$Q$1001,MATCH(ROWS($O$2:O515),$O$2:$O$1001,0),0), INDEX($V$1004:$AE$1004,1,MATCH(COLUMNS($V$1006:W1006),$V$1006:$AE$1006,0)))),"Fix")))</f>
        <v>0</v>
      </c>
      <c r="D515" s="3">
        <f>IF(OR(INDEX($P$2:$P$1001,MATCH(ROWS($O$2:O515),$O$2:$O$1001,0),1)&gt;=100000,INDEX($V$1005:$AE$1005,1,MATCH(COLUMNS($V$1006:X1006),$V$1006:$AE$1006,0))&gt;=100000), " ",IF(INDEX($V$2:$AE$1001,MATCH(ROWS($O$2:O515),$O$2:$O$1001,0),MATCH(COLUMNS($V$1006:X1006),$V$1006:$AE$1006,0)), HYPERLINK("#",""), HYPERLINK(CONCATENATE("#Metadata!", ADDRESS(INDEX($Q$2:$Q$1001,MATCH(ROWS($O$2:O515),$O$2:$O$1001,0),0), INDEX($V$1004:$AE$1004,1,MATCH(COLUMNS($V$1006:X1006),$V$1006:$AE$1006,0)))),"Fix")))</f>
        <v>0</v>
      </c>
      <c r="E515" s="3">
        <f>IF(OR(INDEX($P$2:$P$1001,MATCH(ROWS($O$2:O515),$O$2:$O$1001,0),1)&gt;=100000,INDEX($V$1005:$AE$1005,1,MATCH(COLUMNS($V$1006:Y1006),$V$1006:$AE$1006,0))&gt;=100000), " ",IF(INDEX($V$2:$AE$1001,MATCH(ROWS($O$2:O515),$O$2:$O$1001,0),MATCH(COLUMNS($V$1006:Y1006),$V$1006:$AE$1006,0)), HYPERLINK("#",""), HYPERLINK(CONCATENATE("#Metadata!", ADDRESS(INDEX($Q$2:$Q$1001,MATCH(ROWS($O$2:O515),$O$2:$O$1001,0),0), INDEX($V$1004:$AE$1004,1,MATCH(COLUMNS($V$1006:Y1006),$V$1006:$AE$1006,0)))),"Fix")))</f>
        <v>0</v>
      </c>
      <c r="F515" s="3">
        <f>IF(OR(INDEX($P$2:$P$1001,MATCH(ROWS($O$2:O515),$O$2:$O$1001,0),1)&gt;=100000,INDEX($V$1005:$AE$1005,1,MATCH(COLUMNS($V$1006:Z1006),$V$1006:$AE$1006,0))&gt;=100000), " ",IF(INDEX($V$2:$AE$1001,MATCH(ROWS($O$2:O515),$O$2:$O$1001,0),MATCH(COLUMNS($V$1006:Z1006),$V$1006:$AE$1006,0)), HYPERLINK("#",""), HYPERLINK(CONCATENATE("#Metadata!", ADDRESS(INDEX($Q$2:$Q$1001,MATCH(ROWS($O$2:O515),$O$2:$O$1001,0),0), INDEX($V$1004:$AE$1004,1,MATCH(COLUMNS($V$1006:Z1006),$V$1006:$AE$1006,0)))),"Fix")))</f>
        <v>0</v>
      </c>
      <c r="G515" s="3">
        <f>IF(OR(INDEX($P$2:$P$1001,MATCH(ROWS($O$2:O515),$O$2:$O$1001,0),1)&gt;=100000,INDEX($V$1005:$AE$1005,1,MATCH(COLUMNS($V$1006:AA1006),$V$1006:$AE$1006,0))&gt;=100000), " ",IF(INDEX($V$2:$AE$1001,MATCH(ROWS($O$2:O515),$O$2:$O$1001,0),MATCH(COLUMNS($V$1006:AA1006),$V$1006:$AE$1006,0)), HYPERLINK("#",""), HYPERLINK(CONCATENATE("#Metadata!", ADDRESS(INDEX($Q$2:$Q$1001,MATCH(ROWS($O$2:O515),$O$2:$O$1001,0),0), INDEX($V$1004:$AE$1004,1,MATCH(COLUMNS($V$1006:AA1006),$V$1006:$AE$1006,0)))),"Fix")))</f>
        <v>0</v>
      </c>
      <c r="H515" s="3">
        <f>IF(OR(INDEX($P$2:$P$1001,MATCH(ROWS($O$2:O515),$O$2:$O$1001,0),1)&gt;=100000,INDEX($V$1005:$AE$1005,1,MATCH(COLUMNS($V$1006:AB1006),$V$1006:$AE$1006,0))&gt;=100000), " ",IF(INDEX($V$2:$AE$1001,MATCH(ROWS($O$2:O515),$O$2:$O$1001,0),MATCH(COLUMNS($V$1006:AB1006),$V$1006:$AE$1006,0)), HYPERLINK("#",""), HYPERLINK(CONCATENATE("#Metadata!", ADDRESS(INDEX($Q$2:$Q$1001,MATCH(ROWS($O$2:O515),$O$2:$O$1001,0),0), INDEX($V$1004:$AE$1004,1,MATCH(COLUMNS($V$1006:AB1006),$V$1006:$AE$1006,0)))),"Fix")))</f>
        <v>0</v>
      </c>
      <c r="I515" s="3">
        <f>IF(OR(INDEX($P$2:$P$1001,MATCH(ROWS($O$2:O515),$O$2:$O$1001,0),1)&gt;=100000,INDEX($V$1005:$AE$1005,1,MATCH(COLUMNS($V$1006:AC1006),$V$1006:$AE$1006,0))&gt;=100000), " ",IF(INDEX($V$2:$AE$1001,MATCH(ROWS($O$2:O515),$O$2:$O$1001,0),MATCH(COLUMNS($V$1006:AC1006),$V$1006:$AE$1006,0)), HYPERLINK("#",""), HYPERLINK(CONCATENATE("#Metadata!", ADDRESS(INDEX($Q$2:$Q$1001,MATCH(ROWS($O$2:O515),$O$2:$O$1001,0),0), INDEX($V$1004:$AE$1004,1,MATCH(COLUMNS($V$1006:AC1006),$V$1006:$AE$1006,0)))),"Fix")))</f>
        <v>0</v>
      </c>
      <c r="J515" s="3">
        <f>IF(OR(INDEX($P$2:$P$1001,MATCH(ROWS($O$2:O515),$O$2:$O$1001,0),1)&gt;=100000,INDEX($V$1005:$AE$1005,1,MATCH(COLUMNS($V$1006:AD1006),$V$1006:$AE$1006,0))&gt;=100000), " ",IF(INDEX($V$2:$AE$1001,MATCH(ROWS($O$2:O515),$O$2:$O$1001,0),MATCH(COLUMNS($V$1006:AD1006),$V$1006:$AE$1006,0)), HYPERLINK("#",""), HYPERLINK(CONCATENATE("#Metadata!", ADDRESS(INDEX($Q$2:$Q$1001,MATCH(ROWS($O$2:O515),$O$2:$O$1001,0),0), INDEX($V$1004:$AE$1004,1,MATCH(COLUMNS($V$1006:AD1006),$V$1006:$AE$1006,0)))),"Fix")))</f>
        <v>0</v>
      </c>
      <c r="K515" s="3">
        <f>IF(OR(INDEX($P$2:$P$1001,MATCH(ROWS($O$2:O515),$O$2:$O$1001,0),1)&gt;=100000,INDEX($V$1005:$AE$1005,1,MATCH(COLUMNS($V$1006:AE1006),$V$1006:$AE$1006,0))&gt;=100000), " ",IF(INDEX($V$2:$AE$1001,MATCH(ROWS($O$2:O515),$O$2:$O$1001,0),MATCH(COLUMNS($V$1006:AE1006),$V$1006:$AE$1006,0)), HYPERLINK("#",""), HYPERLINK(CONCATENATE("#Metadata!", ADDRESS(INDEX($Q$2:$Q$1001,MATCH(ROWS($O$2:O515),$O$2:$O$1001,0),0), INDEX($V$1004:$AE$1004,1,MATCH(COLUMNS($V$1006:AE1006),$V$1006:$AE$1006,0)))),"Fix")))</f>
        <v>0</v>
      </c>
      <c r="O515">
        <v>0</v>
      </c>
      <c r="P515">
        <v>0</v>
      </c>
      <c r="Q515">
        <v>0</v>
      </c>
      <c r="R515">
        <f>IF(S515,TRUE,AND(V515:AE515))</f>
        <v>0</v>
      </c>
      <c r="S515">
        <f>COUNTBLANK(Metadata!B515:K515)=COLUMNS(Metadata!B515:K515)</f>
        <v>0</v>
      </c>
      <c r="T515">
        <v>0</v>
      </c>
      <c r="V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W515">
        <f>AND(IF(Metadata!C515="",FALSE,TRUE),exact(Metadata!C515,"animal secretion"))</f>
        <v>0</v>
      </c>
      <c r="X515">
        <f>AND(IF(Metadata!D515="",FALSE,TRUE),exact(Metadata!D515,"saliva"))</f>
        <v>0</v>
      </c>
      <c r="Y515">
        <f>AND(IF(Metadata!E515="",FALSE,TRUE),exact(Metadata!E515,"human-oral"))</f>
        <v>0</v>
      </c>
      <c r="Z515">
        <f>AND(IF(Metadata!F515="",FALSE,TRUE),exact(Metadata!F515,"UBERON:oral cavity"))</f>
        <v>0</v>
      </c>
      <c r="AA515">
        <f>AND(IF(Metadata!G515="",FALSE,TRUE),exact(Metadata!G515,"UBERON:saliva"))</f>
        <v>0</v>
      </c>
      <c r="AB515">
        <f>AND(IF(Metadata!H515="",FALSE,TRUE),exact(Metadata!H515,"UBERON:tongue"))</f>
        <v>0</v>
      </c>
      <c r="AC515">
        <f>AND(IF(Metadata!I515="",FALSE,TRUE),exact(Metadata!I515,"tongue"))</f>
        <v>0</v>
      </c>
      <c r="AD515">
        <f>AND(IF(Metadata!J515="",FALSE,TRUE),exact(Metadata!J515,"human oral metagenome"))</f>
        <v>0</v>
      </c>
      <c r="AE515">
        <f>AND(IF(Metadata!K515="",FALSE,TRUE),exact(Metadata!K515,"447426"))</f>
        <v>0</v>
      </c>
    </row>
    <row r="516" spans="1:31">
      <c r="A516" s="4">
        <f>IF(B516=" "," ",HYPERLINK(CONCATENATE("#metadata!",ADDRESS(INDEX($Q$2:$Q$1001,MATCH(ROWS($O$2:O516),$O$2:$O$1001,0),0),1)),INDEX($T$2:$T$1001,MATCH(ROWS($O$2:O516),$O$2:$O$1001,0),0)))</f>
        <v>0</v>
      </c>
      <c r="B516" s="3">
        <f>IF(OR(INDEX($P$2:$P$1001,MATCH(ROWS($O$2:O516),$O$2:$O$1001,0),1)&gt;=100000,INDEX($V$1005:$AE$1005,1,MATCH(COLUMNS($V$1006:V1006),$V$1006:$AE$1006,0))&gt;=100000), " ",IF(INDEX($V$2:$AE$1001,MATCH(ROWS($O$2:O516),$O$2:$O$1001,0),MATCH(COLUMNS($V$1006:V1006),$V$1006:$AE$1006,0)), HYPERLINK("#",""), HYPERLINK(CONCATENATE("#Metadata!", ADDRESS(INDEX($Q$2:$Q$1001,MATCH(ROWS($O$2:O516),$O$2:$O$1001,0),0), INDEX($V$1004:$AE$1004,1,MATCH(COLUMNS($V$1006:V1006),$V$1006:$AE$1006,0)))),"Fix")))</f>
        <v>0</v>
      </c>
      <c r="C516" s="3">
        <f>IF(OR(INDEX($P$2:$P$1001,MATCH(ROWS($O$2:O516),$O$2:$O$1001,0),1)&gt;=100000,INDEX($V$1005:$AE$1005,1,MATCH(COLUMNS($V$1006:W1006),$V$1006:$AE$1006,0))&gt;=100000), " ",IF(INDEX($V$2:$AE$1001,MATCH(ROWS($O$2:O516),$O$2:$O$1001,0),MATCH(COLUMNS($V$1006:W1006),$V$1006:$AE$1006,0)), HYPERLINK("#",""), HYPERLINK(CONCATENATE("#Metadata!", ADDRESS(INDEX($Q$2:$Q$1001,MATCH(ROWS($O$2:O516),$O$2:$O$1001,0),0), INDEX($V$1004:$AE$1004,1,MATCH(COLUMNS($V$1006:W1006),$V$1006:$AE$1006,0)))),"Fix")))</f>
        <v>0</v>
      </c>
      <c r="D516" s="3">
        <f>IF(OR(INDEX($P$2:$P$1001,MATCH(ROWS($O$2:O516),$O$2:$O$1001,0),1)&gt;=100000,INDEX($V$1005:$AE$1005,1,MATCH(COLUMNS($V$1006:X1006),$V$1006:$AE$1006,0))&gt;=100000), " ",IF(INDEX($V$2:$AE$1001,MATCH(ROWS($O$2:O516),$O$2:$O$1001,0),MATCH(COLUMNS($V$1006:X1006),$V$1006:$AE$1006,0)), HYPERLINK("#",""), HYPERLINK(CONCATENATE("#Metadata!", ADDRESS(INDEX($Q$2:$Q$1001,MATCH(ROWS($O$2:O516),$O$2:$O$1001,0),0), INDEX($V$1004:$AE$1004,1,MATCH(COLUMNS($V$1006:X1006),$V$1006:$AE$1006,0)))),"Fix")))</f>
        <v>0</v>
      </c>
      <c r="E516" s="3">
        <f>IF(OR(INDEX($P$2:$P$1001,MATCH(ROWS($O$2:O516),$O$2:$O$1001,0),1)&gt;=100000,INDEX($V$1005:$AE$1005,1,MATCH(COLUMNS($V$1006:Y1006),$V$1006:$AE$1006,0))&gt;=100000), " ",IF(INDEX($V$2:$AE$1001,MATCH(ROWS($O$2:O516),$O$2:$O$1001,0),MATCH(COLUMNS($V$1006:Y1006),$V$1006:$AE$1006,0)), HYPERLINK("#",""), HYPERLINK(CONCATENATE("#Metadata!", ADDRESS(INDEX($Q$2:$Q$1001,MATCH(ROWS($O$2:O516),$O$2:$O$1001,0),0), INDEX($V$1004:$AE$1004,1,MATCH(COLUMNS($V$1006:Y1006),$V$1006:$AE$1006,0)))),"Fix")))</f>
        <v>0</v>
      </c>
      <c r="F516" s="3">
        <f>IF(OR(INDEX($P$2:$P$1001,MATCH(ROWS($O$2:O516),$O$2:$O$1001,0),1)&gt;=100000,INDEX($V$1005:$AE$1005,1,MATCH(COLUMNS($V$1006:Z1006),$V$1006:$AE$1006,0))&gt;=100000), " ",IF(INDEX($V$2:$AE$1001,MATCH(ROWS($O$2:O516),$O$2:$O$1001,0),MATCH(COLUMNS($V$1006:Z1006),$V$1006:$AE$1006,0)), HYPERLINK("#",""), HYPERLINK(CONCATENATE("#Metadata!", ADDRESS(INDEX($Q$2:$Q$1001,MATCH(ROWS($O$2:O516),$O$2:$O$1001,0),0), INDEX($V$1004:$AE$1004,1,MATCH(COLUMNS($V$1006:Z1006),$V$1006:$AE$1006,0)))),"Fix")))</f>
        <v>0</v>
      </c>
      <c r="G516" s="3">
        <f>IF(OR(INDEX($P$2:$P$1001,MATCH(ROWS($O$2:O516),$O$2:$O$1001,0),1)&gt;=100000,INDEX($V$1005:$AE$1005,1,MATCH(COLUMNS($V$1006:AA1006),$V$1006:$AE$1006,0))&gt;=100000), " ",IF(INDEX($V$2:$AE$1001,MATCH(ROWS($O$2:O516),$O$2:$O$1001,0),MATCH(COLUMNS($V$1006:AA1006),$V$1006:$AE$1006,0)), HYPERLINK("#",""), HYPERLINK(CONCATENATE("#Metadata!", ADDRESS(INDEX($Q$2:$Q$1001,MATCH(ROWS($O$2:O516),$O$2:$O$1001,0),0), INDEX($V$1004:$AE$1004,1,MATCH(COLUMNS($V$1006:AA1006),$V$1006:$AE$1006,0)))),"Fix")))</f>
        <v>0</v>
      </c>
      <c r="H516" s="3">
        <f>IF(OR(INDEX($P$2:$P$1001,MATCH(ROWS($O$2:O516),$O$2:$O$1001,0),1)&gt;=100000,INDEX($V$1005:$AE$1005,1,MATCH(COLUMNS($V$1006:AB1006),$V$1006:$AE$1006,0))&gt;=100000), " ",IF(INDEX($V$2:$AE$1001,MATCH(ROWS($O$2:O516),$O$2:$O$1001,0),MATCH(COLUMNS($V$1006:AB1006),$V$1006:$AE$1006,0)), HYPERLINK("#",""), HYPERLINK(CONCATENATE("#Metadata!", ADDRESS(INDEX($Q$2:$Q$1001,MATCH(ROWS($O$2:O516),$O$2:$O$1001,0),0), INDEX($V$1004:$AE$1004,1,MATCH(COLUMNS($V$1006:AB1006),$V$1006:$AE$1006,0)))),"Fix")))</f>
        <v>0</v>
      </c>
      <c r="I516" s="3">
        <f>IF(OR(INDEX($P$2:$P$1001,MATCH(ROWS($O$2:O516),$O$2:$O$1001,0),1)&gt;=100000,INDEX($V$1005:$AE$1005,1,MATCH(COLUMNS($V$1006:AC1006),$V$1006:$AE$1006,0))&gt;=100000), " ",IF(INDEX($V$2:$AE$1001,MATCH(ROWS($O$2:O516),$O$2:$O$1001,0),MATCH(COLUMNS($V$1006:AC1006),$V$1006:$AE$1006,0)), HYPERLINK("#",""), HYPERLINK(CONCATENATE("#Metadata!", ADDRESS(INDEX($Q$2:$Q$1001,MATCH(ROWS($O$2:O516),$O$2:$O$1001,0),0), INDEX($V$1004:$AE$1004,1,MATCH(COLUMNS($V$1006:AC1006),$V$1006:$AE$1006,0)))),"Fix")))</f>
        <v>0</v>
      </c>
      <c r="J516" s="3">
        <f>IF(OR(INDEX($P$2:$P$1001,MATCH(ROWS($O$2:O516),$O$2:$O$1001,0),1)&gt;=100000,INDEX($V$1005:$AE$1005,1,MATCH(COLUMNS($V$1006:AD1006),$V$1006:$AE$1006,0))&gt;=100000), " ",IF(INDEX($V$2:$AE$1001,MATCH(ROWS($O$2:O516),$O$2:$O$1001,0),MATCH(COLUMNS($V$1006:AD1006),$V$1006:$AE$1006,0)), HYPERLINK("#",""), HYPERLINK(CONCATENATE("#Metadata!", ADDRESS(INDEX($Q$2:$Q$1001,MATCH(ROWS($O$2:O516),$O$2:$O$1001,0),0), INDEX($V$1004:$AE$1004,1,MATCH(COLUMNS($V$1006:AD1006),$V$1006:$AE$1006,0)))),"Fix")))</f>
        <v>0</v>
      </c>
      <c r="K516" s="3">
        <f>IF(OR(INDEX($P$2:$P$1001,MATCH(ROWS($O$2:O516),$O$2:$O$1001,0),1)&gt;=100000,INDEX($V$1005:$AE$1005,1,MATCH(COLUMNS($V$1006:AE1006),$V$1006:$AE$1006,0))&gt;=100000), " ",IF(INDEX($V$2:$AE$1001,MATCH(ROWS($O$2:O516),$O$2:$O$1001,0),MATCH(COLUMNS($V$1006:AE1006),$V$1006:$AE$1006,0)), HYPERLINK("#",""), HYPERLINK(CONCATENATE("#Metadata!", ADDRESS(INDEX($Q$2:$Q$1001,MATCH(ROWS($O$2:O516),$O$2:$O$1001,0),0), INDEX($V$1004:$AE$1004,1,MATCH(COLUMNS($V$1006:AE1006),$V$1006:$AE$1006,0)))),"Fix")))</f>
        <v>0</v>
      </c>
      <c r="O516">
        <v>0</v>
      </c>
      <c r="P516">
        <v>0</v>
      </c>
      <c r="Q516">
        <v>0</v>
      </c>
      <c r="R516">
        <f>IF(S516,TRUE,AND(V516:AE516))</f>
        <v>0</v>
      </c>
      <c r="S516">
        <f>COUNTBLANK(Metadata!B516:K516)=COLUMNS(Metadata!B516:K516)</f>
        <v>0</v>
      </c>
      <c r="T516">
        <v>0</v>
      </c>
      <c r="V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W516">
        <f>AND(IF(Metadata!C516="",FALSE,TRUE),exact(Metadata!C516,"animal secretion"))</f>
        <v>0</v>
      </c>
      <c r="X516">
        <f>AND(IF(Metadata!D516="",FALSE,TRUE),exact(Metadata!D516,"saliva"))</f>
        <v>0</v>
      </c>
      <c r="Y516">
        <f>AND(IF(Metadata!E516="",FALSE,TRUE),exact(Metadata!E516,"human-oral"))</f>
        <v>0</v>
      </c>
      <c r="Z516">
        <f>AND(IF(Metadata!F516="",FALSE,TRUE),exact(Metadata!F516,"UBERON:oral cavity"))</f>
        <v>0</v>
      </c>
      <c r="AA516">
        <f>AND(IF(Metadata!G516="",FALSE,TRUE),exact(Metadata!G516,"UBERON:saliva"))</f>
        <v>0</v>
      </c>
      <c r="AB516">
        <f>AND(IF(Metadata!H516="",FALSE,TRUE),exact(Metadata!H516,"UBERON:tongue"))</f>
        <v>0</v>
      </c>
      <c r="AC516">
        <f>AND(IF(Metadata!I516="",FALSE,TRUE),exact(Metadata!I516,"tongue"))</f>
        <v>0</v>
      </c>
      <c r="AD516">
        <f>AND(IF(Metadata!J516="",FALSE,TRUE),exact(Metadata!J516,"human oral metagenome"))</f>
        <v>0</v>
      </c>
      <c r="AE516">
        <f>AND(IF(Metadata!K516="",FALSE,TRUE),exact(Metadata!K516,"447426"))</f>
        <v>0</v>
      </c>
    </row>
    <row r="517" spans="1:31">
      <c r="A517" s="4">
        <f>IF(B517=" "," ",HYPERLINK(CONCATENATE("#metadata!",ADDRESS(INDEX($Q$2:$Q$1001,MATCH(ROWS($O$2:O517),$O$2:$O$1001,0),0),1)),INDEX($T$2:$T$1001,MATCH(ROWS($O$2:O517),$O$2:$O$1001,0),0)))</f>
        <v>0</v>
      </c>
      <c r="B517" s="3">
        <f>IF(OR(INDEX($P$2:$P$1001,MATCH(ROWS($O$2:O517),$O$2:$O$1001,0),1)&gt;=100000,INDEX($V$1005:$AE$1005,1,MATCH(COLUMNS($V$1006:V1006),$V$1006:$AE$1006,0))&gt;=100000), " ",IF(INDEX($V$2:$AE$1001,MATCH(ROWS($O$2:O517),$O$2:$O$1001,0),MATCH(COLUMNS($V$1006:V1006),$V$1006:$AE$1006,0)), HYPERLINK("#",""), HYPERLINK(CONCATENATE("#Metadata!", ADDRESS(INDEX($Q$2:$Q$1001,MATCH(ROWS($O$2:O517),$O$2:$O$1001,0),0), INDEX($V$1004:$AE$1004,1,MATCH(COLUMNS($V$1006:V1006),$V$1006:$AE$1006,0)))),"Fix")))</f>
        <v>0</v>
      </c>
      <c r="C517" s="3">
        <f>IF(OR(INDEX($P$2:$P$1001,MATCH(ROWS($O$2:O517),$O$2:$O$1001,0),1)&gt;=100000,INDEX($V$1005:$AE$1005,1,MATCH(COLUMNS($V$1006:W1006),$V$1006:$AE$1006,0))&gt;=100000), " ",IF(INDEX($V$2:$AE$1001,MATCH(ROWS($O$2:O517),$O$2:$O$1001,0),MATCH(COLUMNS($V$1006:W1006),$V$1006:$AE$1006,0)), HYPERLINK("#",""), HYPERLINK(CONCATENATE("#Metadata!", ADDRESS(INDEX($Q$2:$Q$1001,MATCH(ROWS($O$2:O517),$O$2:$O$1001,0),0), INDEX($V$1004:$AE$1004,1,MATCH(COLUMNS($V$1006:W1006),$V$1006:$AE$1006,0)))),"Fix")))</f>
        <v>0</v>
      </c>
      <c r="D517" s="3">
        <f>IF(OR(INDEX($P$2:$P$1001,MATCH(ROWS($O$2:O517),$O$2:$O$1001,0),1)&gt;=100000,INDEX($V$1005:$AE$1005,1,MATCH(COLUMNS($V$1006:X1006),$V$1006:$AE$1006,0))&gt;=100000), " ",IF(INDEX($V$2:$AE$1001,MATCH(ROWS($O$2:O517),$O$2:$O$1001,0),MATCH(COLUMNS($V$1006:X1006),$V$1006:$AE$1006,0)), HYPERLINK("#",""), HYPERLINK(CONCATENATE("#Metadata!", ADDRESS(INDEX($Q$2:$Q$1001,MATCH(ROWS($O$2:O517),$O$2:$O$1001,0),0), INDEX($V$1004:$AE$1004,1,MATCH(COLUMNS($V$1006:X1006),$V$1006:$AE$1006,0)))),"Fix")))</f>
        <v>0</v>
      </c>
      <c r="E517" s="3">
        <f>IF(OR(INDEX($P$2:$P$1001,MATCH(ROWS($O$2:O517),$O$2:$O$1001,0),1)&gt;=100000,INDEX($V$1005:$AE$1005,1,MATCH(COLUMNS($V$1006:Y1006),$V$1006:$AE$1006,0))&gt;=100000), " ",IF(INDEX($V$2:$AE$1001,MATCH(ROWS($O$2:O517),$O$2:$O$1001,0),MATCH(COLUMNS($V$1006:Y1006),$V$1006:$AE$1006,0)), HYPERLINK("#",""), HYPERLINK(CONCATENATE("#Metadata!", ADDRESS(INDEX($Q$2:$Q$1001,MATCH(ROWS($O$2:O517),$O$2:$O$1001,0),0), INDEX($V$1004:$AE$1004,1,MATCH(COLUMNS($V$1006:Y1006),$V$1006:$AE$1006,0)))),"Fix")))</f>
        <v>0</v>
      </c>
      <c r="F517" s="3">
        <f>IF(OR(INDEX($P$2:$P$1001,MATCH(ROWS($O$2:O517),$O$2:$O$1001,0),1)&gt;=100000,INDEX($V$1005:$AE$1005,1,MATCH(COLUMNS($V$1006:Z1006),$V$1006:$AE$1006,0))&gt;=100000), " ",IF(INDEX($V$2:$AE$1001,MATCH(ROWS($O$2:O517),$O$2:$O$1001,0),MATCH(COLUMNS($V$1006:Z1006),$V$1006:$AE$1006,0)), HYPERLINK("#",""), HYPERLINK(CONCATENATE("#Metadata!", ADDRESS(INDEX($Q$2:$Q$1001,MATCH(ROWS($O$2:O517),$O$2:$O$1001,0),0), INDEX($V$1004:$AE$1004,1,MATCH(COLUMNS($V$1006:Z1006),$V$1006:$AE$1006,0)))),"Fix")))</f>
        <v>0</v>
      </c>
      <c r="G517" s="3">
        <f>IF(OR(INDEX($P$2:$P$1001,MATCH(ROWS($O$2:O517),$O$2:$O$1001,0),1)&gt;=100000,INDEX($V$1005:$AE$1005,1,MATCH(COLUMNS($V$1006:AA1006),$V$1006:$AE$1006,0))&gt;=100000), " ",IF(INDEX($V$2:$AE$1001,MATCH(ROWS($O$2:O517),$O$2:$O$1001,0),MATCH(COLUMNS($V$1006:AA1006),$V$1006:$AE$1006,0)), HYPERLINK("#",""), HYPERLINK(CONCATENATE("#Metadata!", ADDRESS(INDEX($Q$2:$Q$1001,MATCH(ROWS($O$2:O517),$O$2:$O$1001,0),0), INDEX($V$1004:$AE$1004,1,MATCH(COLUMNS($V$1006:AA1006),$V$1006:$AE$1006,0)))),"Fix")))</f>
        <v>0</v>
      </c>
      <c r="H517" s="3">
        <f>IF(OR(INDEX($P$2:$P$1001,MATCH(ROWS($O$2:O517),$O$2:$O$1001,0),1)&gt;=100000,INDEX($V$1005:$AE$1005,1,MATCH(COLUMNS($V$1006:AB1006),$V$1006:$AE$1006,0))&gt;=100000), " ",IF(INDEX($V$2:$AE$1001,MATCH(ROWS($O$2:O517),$O$2:$O$1001,0),MATCH(COLUMNS($V$1006:AB1006),$V$1006:$AE$1006,0)), HYPERLINK("#",""), HYPERLINK(CONCATENATE("#Metadata!", ADDRESS(INDEX($Q$2:$Q$1001,MATCH(ROWS($O$2:O517),$O$2:$O$1001,0),0), INDEX($V$1004:$AE$1004,1,MATCH(COLUMNS($V$1006:AB1006),$V$1006:$AE$1006,0)))),"Fix")))</f>
        <v>0</v>
      </c>
      <c r="I517" s="3">
        <f>IF(OR(INDEX($P$2:$P$1001,MATCH(ROWS($O$2:O517),$O$2:$O$1001,0),1)&gt;=100000,INDEX($V$1005:$AE$1005,1,MATCH(COLUMNS($V$1006:AC1006),$V$1006:$AE$1006,0))&gt;=100000), " ",IF(INDEX($V$2:$AE$1001,MATCH(ROWS($O$2:O517),$O$2:$O$1001,0),MATCH(COLUMNS($V$1006:AC1006),$V$1006:$AE$1006,0)), HYPERLINK("#",""), HYPERLINK(CONCATENATE("#Metadata!", ADDRESS(INDEX($Q$2:$Q$1001,MATCH(ROWS($O$2:O517),$O$2:$O$1001,0),0), INDEX($V$1004:$AE$1004,1,MATCH(COLUMNS($V$1006:AC1006),$V$1006:$AE$1006,0)))),"Fix")))</f>
        <v>0</v>
      </c>
      <c r="J517" s="3">
        <f>IF(OR(INDEX($P$2:$P$1001,MATCH(ROWS($O$2:O517),$O$2:$O$1001,0),1)&gt;=100000,INDEX($V$1005:$AE$1005,1,MATCH(COLUMNS($V$1006:AD1006),$V$1006:$AE$1006,0))&gt;=100000), " ",IF(INDEX($V$2:$AE$1001,MATCH(ROWS($O$2:O517),$O$2:$O$1001,0),MATCH(COLUMNS($V$1006:AD1006),$V$1006:$AE$1006,0)), HYPERLINK("#",""), HYPERLINK(CONCATENATE("#Metadata!", ADDRESS(INDEX($Q$2:$Q$1001,MATCH(ROWS($O$2:O517),$O$2:$O$1001,0),0), INDEX($V$1004:$AE$1004,1,MATCH(COLUMNS($V$1006:AD1006),$V$1006:$AE$1006,0)))),"Fix")))</f>
        <v>0</v>
      </c>
      <c r="K517" s="3">
        <f>IF(OR(INDEX($P$2:$P$1001,MATCH(ROWS($O$2:O517),$O$2:$O$1001,0),1)&gt;=100000,INDEX($V$1005:$AE$1005,1,MATCH(COLUMNS($V$1006:AE1006),$V$1006:$AE$1006,0))&gt;=100000), " ",IF(INDEX($V$2:$AE$1001,MATCH(ROWS($O$2:O517),$O$2:$O$1001,0),MATCH(COLUMNS($V$1006:AE1006),$V$1006:$AE$1006,0)), HYPERLINK("#",""), HYPERLINK(CONCATENATE("#Metadata!", ADDRESS(INDEX($Q$2:$Q$1001,MATCH(ROWS($O$2:O517),$O$2:$O$1001,0),0), INDEX($V$1004:$AE$1004,1,MATCH(COLUMNS($V$1006:AE1006),$V$1006:$AE$1006,0)))),"Fix")))</f>
        <v>0</v>
      </c>
      <c r="O517">
        <v>0</v>
      </c>
      <c r="P517">
        <v>0</v>
      </c>
      <c r="Q517">
        <v>0</v>
      </c>
      <c r="R517">
        <f>IF(S517,TRUE,AND(V517:AE517))</f>
        <v>0</v>
      </c>
      <c r="S517">
        <f>COUNTBLANK(Metadata!B517:K517)=COLUMNS(Metadata!B517:K517)</f>
        <v>0</v>
      </c>
      <c r="T517">
        <v>0</v>
      </c>
      <c r="V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W517">
        <f>AND(IF(Metadata!C517="",FALSE,TRUE),exact(Metadata!C517,"animal secretion"))</f>
        <v>0</v>
      </c>
      <c r="X517">
        <f>AND(IF(Metadata!D517="",FALSE,TRUE),exact(Metadata!D517,"saliva"))</f>
        <v>0</v>
      </c>
      <c r="Y517">
        <f>AND(IF(Metadata!E517="",FALSE,TRUE),exact(Metadata!E517,"human-oral"))</f>
        <v>0</v>
      </c>
      <c r="Z517">
        <f>AND(IF(Metadata!F517="",FALSE,TRUE),exact(Metadata!F517,"UBERON:oral cavity"))</f>
        <v>0</v>
      </c>
      <c r="AA517">
        <f>AND(IF(Metadata!G517="",FALSE,TRUE),exact(Metadata!G517,"UBERON:saliva"))</f>
        <v>0</v>
      </c>
      <c r="AB517">
        <f>AND(IF(Metadata!H517="",FALSE,TRUE),exact(Metadata!H517,"UBERON:tongue"))</f>
        <v>0</v>
      </c>
      <c r="AC517">
        <f>AND(IF(Metadata!I517="",FALSE,TRUE),exact(Metadata!I517,"tongue"))</f>
        <v>0</v>
      </c>
      <c r="AD517">
        <f>AND(IF(Metadata!J517="",FALSE,TRUE),exact(Metadata!J517,"human oral metagenome"))</f>
        <v>0</v>
      </c>
      <c r="AE517">
        <f>AND(IF(Metadata!K517="",FALSE,TRUE),exact(Metadata!K517,"447426"))</f>
        <v>0</v>
      </c>
    </row>
    <row r="518" spans="1:31">
      <c r="A518" s="4">
        <f>IF(B518=" "," ",HYPERLINK(CONCATENATE("#metadata!",ADDRESS(INDEX($Q$2:$Q$1001,MATCH(ROWS($O$2:O518),$O$2:$O$1001,0),0),1)),INDEX($T$2:$T$1001,MATCH(ROWS($O$2:O518),$O$2:$O$1001,0),0)))</f>
        <v>0</v>
      </c>
      <c r="B518" s="3">
        <f>IF(OR(INDEX($P$2:$P$1001,MATCH(ROWS($O$2:O518),$O$2:$O$1001,0),1)&gt;=100000,INDEX($V$1005:$AE$1005,1,MATCH(COLUMNS($V$1006:V1006),$V$1006:$AE$1006,0))&gt;=100000), " ",IF(INDEX($V$2:$AE$1001,MATCH(ROWS($O$2:O518),$O$2:$O$1001,0),MATCH(COLUMNS($V$1006:V1006),$V$1006:$AE$1006,0)), HYPERLINK("#",""), HYPERLINK(CONCATENATE("#Metadata!", ADDRESS(INDEX($Q$2:$Q$1001,MATCH(ROWS($O$2:O518),$O$2:$O$1001,0),0), INDEX($V$1004:$AE$1004,1,MATCH(COLUMNS($V$1006:V1006),$V$1006:$AE$1006,0)))),"Fix")))</f>
        <v>0</v>
      </c>
      <c r="C518" s="3">
        <f>IF(OR(INDEX($P$2:$P$1001,MATCH(ROWS($O$2:O518),$O$2:$O$1001,0),1)&gt;=100000,INDEX($V$1005:$AE$1005,1,MATCH(COLUMNS($V$1006:W1006),$V$1006:$AE$1006,0))&gt;=100000), " ",IF(INDEX($V$2:$AE$1001,MATCH(ROWS($O$2:O518),$O$2:$O$1001,0),MATCH(COLUMNS($V$1006:W1006),$V$1006:$AE$1006,0)), HYPERLINK("#",""), HYPERLINK(CONCATENATE("#Metadata!", ADDRESS(INDEX($Q$2:$Q$1001,MATCH(ROWS($O$2:O518),$O$2:$O$1001,0),0), INDEX($V$1004:$AE$1004,1,MATCH(COLUMNS($V$1006:W1006),$V$1006:$AE$1006,0)))),"Fix")))</f>
        <v>0</v>
      </c>
      <c r="D518" s="3">
        <f>IF(OR(INDEX($P$2:$P$1001,MATCH(ROWS($O$2:O518),$O$2:$O$1001,0),1)&gt;=100000,INDEX($V$1005:$AE$1005,1,MATCH(COLUMNS($V$1006:X1006),$V$1006:$AE$1006,0))&gt;=100000), " ",IF(INDEX($V$2:$AE$1001,MATCH(ROWS($O$2:O518),$O$2:$O$1001,0),MATCH(COLUMNS($V$1006:X1006),$V$1006:$AE$1006,0)), HYPERLINK("#",""), HYPERLINK(CONCATENATE("#Metadata!", ADDRESS(INDEX($Q$2:$Q$1001,MATCH(ROWS($O$2:O518),$O$2:$O$1001,0),0), INDEX($V$1004:$AE$1004,1,MATCH(COLUMNS($V$1006:X1006),$V$1006:$AE$1006,0)))),"Fix")))</f>
        <v>0</v>
      </c>
      <c r="E518" s="3">
        <f>IF(OR(INDEX($P$2:$P$1001,MATCH(ROWS($O$2:O518),$O$2:$O$1001,0),1)&gt;=100000,INDEX($V$1005:$AE$1005,1,MATCH(COLUMNS($V$1006:Y1006),$V$1006:$AE$1006,0))&gt;=100000), " ",IF(INDEX($V$2:$AE$1001,MATCH(ROWS($O$2:O518),$O$2:$O$1001,0),MATCH(COLUMNS($V$1006:Y1006),$V$1006:$AE$1006,0)), HYPERLINK("#",""), HYPERLINK(CONCATENATE("#Metadata!", ADDRESS(INDEX($Q$2:$Q$1001,MATCH(ROWS($O$2:O518),$O$2:$O$1001,0),0), INDEX($V$1004:$AE$1004,1,MATCH(COLUMNS($V$1006:Y1006),$V$1006:$AE$1006,0)))),"Fix")))</f>
        <v>0</v>
      </c>
      <c r="F518" s="3">
        <f>IF(OR(INDEX($P$2:$P$1001,MATCH(ROWS($O$2:O518),$O$2:$O$1001,0),1)&gt;=100000,INDEX($V$1005:$AE$1005,1,MATCH(COLUMNS($V$1006:Z1006),$V$1006:$AE$1006,0))&gt;=100000), " ",IF(INDEX($V$2:$AE$1001,MATCH(ROWS($O$2:O518),$O$2:$O$1001,0),MATCH(COLUMNS($V$1006:Z1006),$V$1006:$AE$1006,0)), HYPERLINK("#",""), HYPERLINK(CONCATENATE("#Metadata!", ADDRESS(INDEX($Q$2:$Q$1001,MATCH(ROWS($O$2:O518),$O$2:$O$1001,0),0), INDEX($V$1004:$AE$1004,1,MATCH(COLUMNS($V$1006:Z1006),$V$1006:$AE$1006,0)))),"Fix")))</f>
        <v>0</v>
      </c>
      <c r="G518" s="3">
        <f>IF(OR(INDEX($P$2:$P$1001,MATCH(ROWS($O$2:O518),$O$2:$O$1001,0),1)&gt;=100000,INDEX($V$1005:$AE$1005,1,MATCH(COLUMNS($V$1006:AA1006),$V$1006:$AE$1006,0))&gt;=100000), " ",IF(INDEX($V$2:$AE$1001,MATCH(ROWS($O$2:O518),$O$2:$O$1001,0),MATCH(COLUMNS($V$1006:AA1006),$V$1006:$AE$1006,0)), HYPERLINK("#",""), HYPERLINK(CONCATENATE("#Metadata!", ADDRESS(INDEX($Q$2:$Q$1001,MATCH(ROWS($O$2:O518),$O$2:$O$1001,0),0), INDEX($V$1004:$AE$1004,1,MATCH(COLUMNS($V$1006:AA1006),$V$1006:$AE$1006,0)))),"Fix")))</f>
        <v>0</v>
      </c>
      <c r="H518" s="3">
        <f>IF(OR(INDEX($P$2:$P$1001,MATCH(ROWS($O$2:O518),$O$2:$O$1001,0),1)&gt;=100000,INDEX($V$1005:$AE$1005,1,MATCH(COLUMNS($V$1006:AB1006),$V$1006:$AE$1006,0))&gt;=100000), " ",IF(INDEX($V$2:$AE$1001,MATCH(ROWS($O$2:O518),$O$2:$O$1001,0),MATCH(COLUMNS($V$1006:AB1006),$V$1006:$AE$1006,0)), HYPERLINK("#",""), HYPERLINK(CONCATENATE("#Metadata!", ADDRESS(INDEX($Q$2:$Q$1001,MATCH(ROWS($O$2:O518),$O$2:$O$1001,0),0), INDEX($V$1004:$AE$1004,1,MATCH(COLUMNS($V$1006:AB1006),$V$1006:$AE$1006,0)))),"Fix")))</f>
        <v>0</v>
      </c>
      <c r="I518" s="3">
        <f>IF(OR(INDEX($P$2:$P$1001,MATCH(ROWS($O$2:O518),$O$2:$O$1001,0),1)&gt;=100000,INDEX($V$1005:$AE$1005,1,MATCH(COLUMNS($V$1006:AC1006),$V$1006:$AE$1006,0))&gt;=100000), " ",IF(INDEX($V$2:$AE$1001,MATCH(ROWS($O$2:O518),$O$2:$O$1001,0),MATCH(COLUMNS($V$1006:AC1006),$V$1006:$AE$1006,0)), HYPERLINK("#",""), HYPERLINK(CONCATENATE("#Metadata!", ADDRESS(INDEX($Q$2:$Q$1001,MATCH(ROWS($O$2:O518),$O$2:$O$1001,0),0), INDEX($V$1004:$AE$1004,1,MATCH(COLUMNS($V$1006:AC1006),$V$1006:$AE$1006,0)))),"Fix")))</f>
        <v>0</v>
      </c>
      <c r="J518" s="3">
        <f>IF(OR(INDEX($P$2:$P$1001,MATCH(ROWS($O$2:O518),$O$2:$O$1001,0),1)&gt;=100000,INDEX($V$1005:$AE$1005,1,MATCH(COLUMNS($V$1006:AD1006),$V$1006:$AE$1006,0))&gt;=100000), " ",IF(INDEX($V$2:$AE$1001,MATCH(ROWS($O$2:O518),$O$2:$O$1001,0),MATCH(COLUMNS($V$1006:AD1006),$V$1006:$AE$1006,0)), HYPERLINK("#",""), HYPERLINK(CONCATENATE("#Metadata!", ADDRESS(INDEX($Q$2:$Q$1001,MATCH(ROWS($O$2:O518),$O$2:$O$1001,0),0), INDEX($V$1004:$AE$1004,1,MATCH(COLUMNS($V$1006:AD1006),$V$1006:$AE$1006,0)))),"Fix")))</f>
        <v>0</v>
      </c>
      <c r="K518" s="3">
        <f>IF(OR(INDEX($P$2:$P$1001,MATCH(ROWS($O$2:O518),$O$2:$O$1001,0),1)&gt;=100000,INDEX($V$1005:$AE$1005,1,MATCH(COLUMNS($V$1006:AE1006),$V$1006:$AE$1006,0))&gt;=100000), " ",IF(INDEX($V$2:$AE$1001,MATCH(ROWS($O$2:O518),$O$2:$O$1001,0),MATCH(COLUMNS($V$1006:AE1006),$V$1006:$AE$1006,0)), HYPERLINK("#",""), HYPERLINK(CONCATENATE("#Metadata!", ADDRESS(INDEX($Q$2:$Q$1001,MATCH(ROWS($O$2:O518),$O$2:$O$1001,0),0), INDEX($V$1004:$AE$1004,1,MATCH(COLUMNS($V$1006:AE1006),$V$1006:$AE$1006,0)))),"Fix")))</f>
        <v>0</v>
      </c>
      <c r="O518">
        <v>0</v>
      </c>
      <c r="P518">
        <v>0</v>
      </c>
      <c r="Q518">
        <v>0</v>
      </c>
      <c r="R518">
        <f>IF(S518,TRUE,AND(V518:AE518))</f>
        <v>0</v>
      </c>
      <c r="S518">
        <f>COUNTBLANK(Metadata!B518:K518)=COLUMNS(Metadata!B518:K518)</f>
        <v>0</v>
      </c>
      <c r="T518">
        <v>0</v>
      </c>
      <c r="V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W518">
        <f>AND(IF(Metadata!C518="",FALSE,TRUE),exact(Metadata!C518,"animal secretion"))</f>
        <v>0</v>
      </c>
      <c r="X518">
        <f>AND(IF(Metadata!D518="",FALSE,TRUE),exact(Metadata!D518,"saliva"))</f>
        <v>0</v>
      </c>
      <c r="Y518">
        <f>AND(IF(Metadata!E518="",FALSE,TRUE),exact(Metadata!E518,"human-oral"))</f>
        <v>0</v>
      </c>
      <c r="Z518">
        <f>AND(IF(Metadata!F518="",FALSE,TRUE),exact(Metadata!F518,"UBERON:oral cavity"))</f>
        <v>0</v>
      </c>
      <c r="AA518">
        <f>AND(IF(Metadata!G518="",FALSE,TRUE),exact(Metadata!G518,"UBERON:saliva"))</f>
        <v>0</v>
      </c>
      <c r="AB518">
        <f>AND(IF(Metadata!H518="",FALSE,TRUE),exact(Metadata!H518,"UBERON:tongue"))</f>
        <v>0</v>
      </c>
      <c r="AC518">
        <f>AND(IF(Metadata!I518="",FALSE,TRUE),exact(Metadata!I518,"tongue"))</f>
        <v>0</v>
      </c>
      <c r="AD518">
        <f>AND(IF(Metadata!J518="",FALSE,TRUE),exact(Metadata!J518,"human oral metagenome"))</f>
        <v>0</v>
      </c>
      <c r="AE518">
        <f>AND(IF(Metadata!K518="",FALSE,TRUE),exact(Metadata!K518,"447426"))</f>
        <v>0</v>
      </c>
    </row>
    <row r="519" spans="1:31">
      <c r="A519" s="4">
        <f>IF(B519=" "," ",HYPERLINK(CONCATENATE("#metadata!",ADDRESS(INDEX($Q$2:$Q$1001,MATCH(ROWS($O$2:O519),$O$2:$O$1001,0),0),1)),INDEX($T$2:$T$1001,MATCH(ROWS($O$2:O519),$O$2:$O$1001,0),0)))</f>
        <v>0</v>
      </c>
      <c r="B519" s="3">
        <f>IF(OR(INDEX($P$2:$P$1001,MATCH(ROWS($O$2:O519),$O$2:$O$1001,0),1)&gt;=100000,INDEX($V$1005:$AE$1005,1,MATCH(COLUMNS($V$1006:V1006),$V$1006:$AE$1006,0))&gt;=100000), " ",IF(INDEX($V$2:$AE$1001,MATCH(ROWS($O$2:O519),$O$2:$O$1001,0),MATCH(COLUMNS($V$1006:V1006),$V$1006:$AE$1006,0)), HYPERLINK("#",""), HYPERLINK(CONCATENATE("#Metadata!", ADDRESS(INDEX($Q$2:$Q$1001,MATCH(ROWS($O$2:O519),$O$2:$O$1001,0),0), INDEX($V$1004:$AE$1004,1,MATCH(COLUMNS($V$1006:V1006),$V$1006:$AE$1006,0)))),"Fix")))</f>
        <v>0</v>
      </c>
      <c r="C519" s="3">
        <f>IF(OR(INDEX($P$2:$P$1001,MATCH(ROWS($O$2:O519),$O$2:$O$1001,0),1)&gt;=100000,INDEX($V$1005:$AE$1005,1,MATCH(COLUMNS($V$1006:W1006),$V$1006:$AE$1006,0))&gt;=100000), " ",IF(INDEX($V$2:$AE$1001,MATCH(ROWS($O$2:O519),$O$2:$O$1001,0),MATCH(COLUMNS($V$1006:W1006),$V$1006:$AE$1006,0)), HYPERLINK("#",""), HYPERLINK(CONCATENATE("#Metadata!", ADDRESS(INDEX($Q$2:$Q$1001,MATCH(ROWS($O$2:O519),$O$2:$O$1001,0),0), INDEX($V$1004:$AE$1004,1,MATCH(COLUMNS($V$1006:W1006),$V$1006:$AE$1006,0)))),"Fix")))</f>
        <v>0</v>
      </c>
      <c r="D519" s="3">
        <f>IF(OR(INDEX($P$2:$P$1001,MATCH(ROWS($O$2:O519),$O$2:$O$1001,0),1)&gt;=100000,INDEX($V$1005:$AE$1005,1,MATCH(COLUMNS($V$1006:X1006),$V$1006:$AE$1006,0))&gt;=100000), " ",IF(INDEX($V$2:$AE$1001,MATCH(ROWS($O$2:O519),$O$2:$O$1001,0),MATCH(COLUMNS($V$1006:X1006),$V$1006:$AE$1006,0)), HYPERLINK("#",""), HYPERLINK(CONCATENATE("#Metadata!", ADDRESS(INDEX($Q$2:$Q$1001,MATCH(ROWS($O$2:O519),$O$2:$O$1001,0),0), INDEX($V$1004:$AE$1004,1,MATCH(COLUMNS($V$1006:X1006),$V$1006:$AE$1006,0)))),"Fix")))</f>
        <v>0</v>
      </c>
      <c r="E519" s="3">
        <f>IF(OR(INDEX($P$2:$P$1001,MATCH(ROWS($O$2:O519),$O$2:$O$1001,0),1)&gt;=100000,INDEX($V$1005:$AE$1005,1,MATCH(COLUMNS($V$1006:Y1006),$V$1006:$AE$1006,0))&gt;=100000), " ",IF(INDEX($V$2:$AE$1001,MATCH(ROWS($O$2:O519),$O$2:$O$1001,0),MATCH(COLUMNS($V$1006:Y1006),$V$1006:$AE$1006,0)), HYPERLINK("#",""), HYPERLINK(CONCATENATE("#Metadata!", ADDRESS(INDEX($Q$2:$Q$1001,MATCH(ROWS($O$2:O519),$O$2:$O$1001,0),0), INDEX($V$1004:$AE$1004,1,MATCH(COLUMNS($V$1006:Y1006),$V$1006:$AE$1006,0)))),"Fix")))</f>
        <v>0</v>
      </c>
      <c r="F519" s="3">
        <f>IF(OR(INDEX($P$2:$P$1001,MATCH(ROWS($O$2:O519),$O$2:$O$1001,0),1)&gt;=100000,INDEX($V$1005:$AE$1005,1,MATCH(COLUMNS($V$1006:Z1006),$V$1006:$AE$1006,0))&gt;=100000), " ",IF(INDEX($V$2:$AE$1001,MATCH(ROWS($O$2:O519),$O$2:$O$1001,0),MATCH(COLUMNS($V$1006:Z1006),$V$1006:$AE$1006,0)), HYPERLINK("#",""), HYPERLINK(CONCATENATE("#Metadata!", ADDRESS(INDEX($Q$2:$Q$1001,MATCH(ROWS($O$2:O519),$O$2:$O$1001,0),0), INDEX($V$1004:$AE$1004,1,MATCH(COLUMNS($V$1006:Z1006),$V$1006:$AE$1006,0)))),"Fix")))</f>
        <v>0</v>
      </c>
      <c r="G519" s="3">
        <f>IF(OR(INDEX($P$2:$P$1001,MATCH(ROWS($O$2:O519),$O$2:$O$1001,0),1)&gt;=100000,INDEX($V$1005:$AE$1005,1,MATCH(COLUMNS($V$1006:AA1006),$V$1006:$AE$1006,0))&gt;=100000), " ",IF(INDEX($V$2:$AE$1001,MATCH(ROWS($O$2:O519),$O$2:$O$1001,0),MATCH(COLUMNS($V$1006:AA1006),$V$1006:$AE$1006,0)), HYPERLINK("#",""), HYPERLINK(CONCATENATE("#Metadata!", ADDRESS(INDEX($Q$2:$Q$1001,MATCH(ROWS($O$2:O519),$O$2:$O$1001,0),0), INDEX($V$1004:$AE$1004,1,MATCH(COLUMNS($V$1006:AA1006),$V$1006:$AE$1006,0)))),"Fix")))</f>
        <v>0</v>
      </c>
      <c r="H519" s="3">
        <f>IF(OR(INDEX($P$2:$P$1001,MATCH(ROWS($O$2:O519),$O$2:$O$1001,0),1)&gt;=100000,INDEX($V$1005:$AE$1005,1,MATCH(COLUMNS($V$1006:AB1006),$V$1006:$AE$1006,0))&gt;=100000), " ",IF(INDEX($V$2:$AE$1001,MATCH(ROWS($O$2:O519),$O$2:$O$1001,0),MATCH(COLUMNS($V$1006:AB1006),$V$1006:$AE$1006,0)), HYPERLINK("#",""), HYPERLINK(CONCATENATE("#Metadata!", ADDRESS(INDEX($Q$2:$Q$1001,MATCH(ROWS($O$2:O519),$O$2:$O$1001,0),0), INDEX($V$1004:$AE$1004,1,MATCH(COLUMNS($V$1006:AB1006),$V$1006:$AE$1006,0)))),"Fix")))</f>
        <v>0</v>
      </c>
      <c r="I519" s="3">
        <f>IF(OR(INDEX($P$2:$P$1001,MATCH(ROWS($O$2:O519),$O$2:$O$1001,0),1)&gt;=100000,INDEX($V$1005:$AE$1005,1,MATCH(COLUMNS($V$1006:AC1006),$V$1006:$AE$1006,0))&gt;=100000), " ",IF(INDEX($V$2:$AE$1001,MATCH(ROWS($O$2:O519),$O$2:$O$1001,0),MATCH(COLUMNS($V$1006:AC1006),$V$1006:$AE$1006,0)), HYPERLINK("#",""), HYPERLINK(CONCATENATE("#Metadata!", ADDRESS(INDEX($Q$2:$Q$1001,MATCH(ROWS($O$2:O519),$O$2:$O$1001,0),0), INDEX($V$1004:$AE$1004,1,MATCH(COLUMNS($V$1006:AC1006),$V$1006:$AE$1006,0)))),"Fix")))</f>
        <v>0</v>
      </c>
      <c r="J519" s="3">
        <f>IF(OR(INDEX($P$2:$P$1001,MATCH(ROWS($O$2:O519),$O$2:$O$1001,0),1)&gt;=100000,INDEX($V$1005:$AE$1005,1,MATCH(COLUMNS($V$1006:AD1006),$V$1006:$AE$1006,0))&gt;=100000), " ",IF(INDEX($V$2:$AE$1001,MATCH(ROWS($O$2:O519),$O$2:$O$1001,0),MATCH(COLUMNS($V$1006:AD1006),$V$1006:$AE$1006,0)), HYPERLINK("#",""), HYPERLINK(CONCATENATE("#Metadata!", ADDRESS(INDEX($Q$2:$Q$1001,MATCH(ROWS($O$2:O519),$O$2:$O$1001,0),0), INDEX($V$1004:$AE$1004,1,MATCH(COLUMNS($V$1006:AD1006),$V$1006:$AE$1006,0)))),"Fix")))</f>
        <v>0</v>
      </c>
      <c r="K519" s="3">
        <f>IF(OR(INDEX($P$2:$P$1001,MATCH(ROWS($O$2:O519),$O$2:$O$1001,0),1)&gt;=100000,INDEX($V$1005:$AE$1005,1,MATCH(COLUMNS($V$1006:AE1006),$V$1006:$AE$1006,0))&gt;=100000), " ",IF(INDEX($V$2:$AE$1001,MATCH(ROWS($O$2:O519),$O$2:$O$1001,0),MATCH(COLUMNS($V$1006:AE1006),$V$1006:$AE$1006,0)), HYPERLINK("#",""), HYPERLINK(CONCATENATE("#Metadata!", ADDRESS(INDEX($Q$2:$Q$1001,MATCH(ROWS($O$2:O519),$O$2:$O$1001,0),0), INDEX($V$1004:$AE$1004,1,MATCH(COLUMNS($V$1006:AE1006),$V$1006:$AE$1006,0)))),"Fix")))</f>
        <v>0</v>
      </c>
      <c r="O519">
        <v>0</v>
      </c>
      <c r="P519">
        <v>0</v>
      </c>
      <c r="Q519">
        <v>0</v>
      </c>
      <c r="R519">
        <f>IF(S519,TRUE,AND(V519:AE519))</f>
        <v>0</v>
      </c>
      <c r="S519">
        <f>COUNTBLANK(Metadata!B519:K519)=COLUMNS(Metadata!B519:K519)</f>
        <v>0</v>
      </c>
      <c r="T519">
        <v>0</v>
      </c>
      <c r="V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W519">
        <f>AND(IF(Metadata!C519="",FALSE,TRUE),exact(Metadata!C519,"animal secretion"))</f>
        <v>0</v>
      </c>
      <c r="X519">
        <f>AND(IF(Metadata!D519="",FALSE,TRUE),exact(Metadata!D519,"saliva"))</f>
        <v>0</v>
      </c>
      <c r="Y519">
        <f>AND(IF(Metadata!E519="",FALSE,TRUE),exact(Metadata!E519,"human-oral"))</f>
        <v>0</v>
      </c>
      <c r="Z519">
        <f>AND(IF(Metadata!F519="",FALSE,TRUE),exact(Metadata!F519,"UBERON:oral cavity"))</f>
        <v>0</v>
      </c>
      <c r="AA519">
        <f>AND(IF(Metadata!G519="",FALSE,TRUE),exact(Metadata!G519,"UBERON:saliva"))</f>
        <v>0</v>
      </c>
      <c r="AB519">
        <f>AND(IF(Metadata!H519="",FALSE,TRUE),exact(Metadata!H519,"UBERON:tongue"))</f>
        <v>0</v>
      </c>
      <c r="AC519">
        <f>AND(IF(Metadata!I519="",FALSE,TRUE),exact(Metadata!I519,"tongue"))</f>
        <v>0</v>
      </c>
      <c r="AD519">
        <f>AND(IF(Metadata!J519="",FALSE,TRUE),exact(Metadata!J519,"human oral metagenome"))</f>
        <v>0</v>
      </c>
      <c r="AE519">
        <f>AND(IF(Metadata!K519="",FALSE,TRUE),exact(Metadata!K519,"447426"))</f>
        <v>0</v>
      </c>
    </row>
    <row r="520" spans="1:31">
      <c r="A520" s="4">
        <f>IF(B520=" "," ",HYPERLINK(CONCATENATE("#metadata!",ADDRESS(INDEX($Q$2:$Q$1001,MATCH(ROWS($O$2:O520),$O$2:$O$1001,0),0),1)),INDEX($T$2:$T$1001,MATCH(ROWS($O$2:O520),$O$2:$O$1001,0),0)))</f>
        <v>0</v>
      </c>
      <c r="B520" s="3">
        <f>IF(OR(INDEX($P$2:$P$1001,MATCH(ROWS($O$2:O520),$O$2:$O$1001,0),1)&gt;=100000,INDEX($V$1005:$AE$1005,1,MATCH(COLUMNS($V$1006:V1006),$V$1006:$AE$1006,0))&gt;=100000), " ",IF(INDEX($V$2:$AE$1001,MATCH(ROWS($O$2:O520),$O$2:$O$1001,0),MATCH(COLUMNS($V$1006:V1006),$V$1006:$AE$1006,0)), HYPERLINK("#",""), HYPERLINK(CONCATENATE("#Metadata!", ADDRESS(INDEX($Q$2:$Q$1001,MATCH(ROWS($O$2:O520),$O$2:$O$1001,0),0), INDEX($V$1004:$AE$1004,1,MATCH(COLUMNS($V$1006:V1006),$V$1006:$AE$1006,0)))),"Fix")))</f>
        <v>0</v>
      </c>
      <c r="C520" s="3">
        <f>IF(OR(INDEX($P$2:$P$1001,MATCH(ROWS($O$2:O520),$O$2:$O$1001,0),1)&gt;=100000,INDEX($V$1005:$AE$1005,1,MATCH(COLUMNS($V$1006:W1006),$V$1006:$AE$1006,0))&gt;=100000), " ",IF(INDEX($V$2:$AE$1001,MATCH(ROWS($O$2:O520),$O$2:$O$1001,0),MATCH(COLUMNS($V$1006:W1006),$V$1006:$AE$1006,0)), HYPERLINK("#",""), HYPERLINK(CONCATENATE("#Metadata!", ADDRESS(INDEX($Q$2:$Q$1001,MATCH(ROWS($O$2:O520),$O$2:$O$1001,0),0), INDEX($V$1004:$AE$1004,1,MATCH(COLUMNS($V$1006:W1006),$V$1006:$AE$1006,0)))),"Fix")))</f>
        <v>0</v>
      </c>
      <c r="D520" s="3">
        <f>IF(OR(INDEX($P$2:$P$1001,MATCH(ROWS($O$2:O520),$O$2:$O$1001,0),1)&gt;=100000,INDEX($V$1005:$AE$1005,1,MATCH(COLUMNS($V$1006:X1006),$V$1006:$AE$1006,0))&gt;=100000), " ",IF(INDEX($V$2:$AE$1001,MATCH(ROWS($O$2:O520),$O$2:$O$1001,0),MATCH(COLUMNS($V$1006:X1006),$V$1006:$AE$1006,0)), HYPERLINK("#",""), HYPERLINK(CONCATENATE("#Metadata!", ADDRESS(INDEX($Q$2:$Q$1001,MATCH(ROWS($O$2:O520),$O$2:$O$1001,0),0), INDEX($V$1004:$AE$1004,1,MATCH(COLUMNS($V$1006:X1006),$V$1006:$AE$1006,0)))),"Fix")))</f>
        <v>0</v>
      </c>
      <c r="E520" s="3">
        <f>IF(OR(INDEX($P$2:$P$1001,MATCH(ROWS($O$2:O520),$O$2:$O$1001,0),1)&gt;=100000,INDEX($V$1005:$AE$1005,1,MATCH(COLUMNS($V$1006:Y1006),$V$1006:$AE$1006,0))&gt;=100000), " ",IF(INDEX($V$2:$AE$1001,MATCH(ROWS($O$2:O520),$O$2:$O$1001,0),MATCH(COLUMNS($V$1006:Y1006),$V$1006:$AE$1006,0)), HYPERLINK("#",""), HYPERLINK(CONCATENATE("#Metadata!", ADDRESS(INDEX($Q$2:$Q$1001,MATCH(ROWS($O$2:O520),$O$2:$O$1001,0),0), INDEX($V$1004:$AE$1004,1,MATCH(COLUMNS($V$1006:Y1006),$V$1006:$AE$1006,0)))),"Fix")))</f>
        <v>0</v>
      </c>
      <c r="F520" s="3">
        <f>IF(OR(INDEX($P$2:$P$1001,MATCH(ROWS($O$2:O520),$O$2:$O$1001,0),1)&gt;=100000,INDEX($V$1005:$AE$1005,1,MATCH(COLUMNS($V$1006:Z1006),$V$1006:$AE$1006,0))&gt;=100000), " ",IF(INDEX($V$2:$AE$1001,MATCH(ROWS($O$2:O520),$O$2:$O$1001,0),MATCH(COLUMNS($V$1006:Z1006),$V$1006:$AE$1006,0)), HYPERLINK("#",""), HYPERLINK(CONCATENATE("#Metadata!", ADDRESS(INDEX($Q$2:$Q$1001,MATCH(ROWS($O$2:O520),$O$2:$O$1001,0),0), INDEX($V$1004:$AE$1004,1,MATCH(COLUMNS($V$1006:Z1006),$V$1006:$AE$1006,0)))),"Fix")))</f>
        <v>0</v>
      </c>
      <c r="G520" s="3">
        <f>IF(OR(INDEX($P$2:$P$1001,MATCH(ROWS($O$2:O520),$O$2:$O$1001,0),1)&gt;=100000,INDEX($V$1005:$AE$1005,1,MATCH(COLUMNS($V$1006:AA1006),$V$1006:$AE$1006,0))&gt;=100000), " ",IF(INDEX($V$2:$AE$1001,MATCH(ROWS($O$2:O520),$O$2:$O$1001,0),MATCH(COLUMNS($V$1006:AA1006),$V$1006:$AE$1006,0)), HYPERLINK("#",""), HYPERLINK(CONCATENATE("#Metadata!", ADDRESS(INDEX($Q$2:$Q$1001,MATCH(ROWS($O$2:O520),$O$2:$O$1001,0),0), INDEX($V$1004:$AE$1004,1,MATCH(COLUMNS($V$1006:AA1006),$V$1006:$AE$1006,0)))),"Fix")))</f>
        <v>0</v>
      </c>
      <c r="H520" s="3">
        <f>IF(OR(INDEX($P$2:$P$1001,MATCH(ROWS($O$2:O520),$O$2:$O$1001,0),1)&gt;=100000,INDEX($V$1005:$AE$1005,1,MATCH(COLUMNS($V$1006:AB1006),$V$1006:$AE$1006,0))&gt;=100000), " ",IF(INDEX($V$2:$AE$1001,MATCH(ROWS($O$2:O520),$O$2:$O$1001,0),MATCH(COLUMNS($V$1006:AB1006),$V$1006:$AE$1006,0)), HYPERLINK("#",""), HYPERLINK(CONCATENATE("#Metadata!", ADDRESS(INDEX($Q$2:$Q$1001,MATCH(ROWS($O$2:O520),$O$2:$O$1001,0),0), INDEX($V$1004:$AE$1004,1,MATCH(COLUMNS($V$1006:AB1006),$V$1006:$AE$1006,0)))),"Fix")))</f>
        <v>0</v>
      </c>
      <c r="I520" s="3">
        <f>IF(OR(INDEX($P$2:$P$1001,MATCH(ROWS($O$2:O520),$O$2:$O$1001,0),1)&gt;=100000,INDEX($V$1005:$AE$1005,1,MATCH(COLUMNS($V$1006:AC1006),$V$1006:$AE$1006,0))&gt;=100000), " ",IF(INDEX($V$2:$AE$1001,MATCH(ROWS($O$2:O520),$O$2:$O$1001,0),MATCH(COLUMNS($V$1006:AC1006),$V$1006:$AE$1006,0)), HYPERLINK("#",""), HYPERLINK(CONCATENATE("#Metadata!", ADDRESS(INDEX($Q$2:$Q$1001,MATCH(ROWS($O$2:O520),$O$2:$O$1001,0),0), INDEX($V$1004:$AE$1004,1,MATCH(COLUMNS($V$1006:AC1006),$V$1006:$AE$1006,0)))),"Fix")))</f>
        <v>0</v>
      </c>
      <c r="J520" s="3">
        <f>IF(OR(INDEX($P$2:$P$1001,MATCH(ROWS($O$2:O520),$O$2:$O$1001,0),1)&gt;=100000,INDEX($V$1005:$AE$1005,1,MATCH(COLUMNS($V$1006:AD1006),$V$1006:$AE$1006,0))&gt;=100000), " ",IF(INDEX($V$2:$AE$1001,MATCH(ROWS($O$2:O520),$O$2:$O$1001,0),MATCH(COLUMNS($V$1006:AD1006),$V$1006:$AE$1006,0)), HYPERLINK("#",""), HYPERLINK(CONCATENATE("#Metadata!", ADDRESS(INDEX($Q$2:$Q$1001,MATCH(ROWS($O$2:O520),$O$2:$O$1001,0),0), INDEX($V$1004:$AE$1004,1,MATCH(COLUMNS($V$1006:AD1006),$V$1006:$AE$1006,0)))),"Fix")))</f>
        <v>0</v>
      </c>
      <c r="K520" s="3">
        <f>IF(OR(INDEX($P$2:$P$1001,MATCH(ROWS($O$2:O520),$O$2:$O$1001,0),1)&gt;=100000,INDEX($V$1005:$AE$1005,1,MATCH(COLUMNS($V$1006:AE1006),$V$1006:$AE$1006,0))&gt;=100000), " ",IF(INDEX($V$2:$AE$1001,MATCH(ROWS($O$2:O520),$O$2:$O$1001,0),MATCH(COLUMNS($V$1006:AE1006),$V$1006:$AE$1006,0)), HYPERLINK("#",""), HYPERLINK(CONCATENATE("#Metadata!", ADDRESS(INDEX($Q$2:$Q$1001,MATCH(ROWS($O$2:O520),$O$2:$O$1001,0),0), INDEX($V$1004:$AE$1004,1,MATCH(COLUMNS($V$1006:AE1006),$V$1006:$AE$1006,0)))),"Fix")))</f>
        <v>0</v>
      </c>
      <c r="O520">
        <v>0</v>
      </c>
      <c r="P520">
        <v>0</v>
      </c>
      <c r="Q520">
        <v>0</v>
      </c>
      <c r="R520">
        <f>IF(S520,TRUE,AND(V520:AE520))</f>
        <v>0</v>
      </c>
      <c r="S520">
        <f>COUNTBLANK(Metadata!B520:K520)=COLUMNS(Metadata!B520:K520)</f>
        <v>0</v>
      </c>
      <c r="T520">
        <v>0</v>
      </c>
      <c r="V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W520">
        <f>AND(IF(Metadata!C520="",FALSE,TRUE),exact(Metadata!C520,"animal secretion"))</f>
        <v>0</v>
      </c>
      <c r="X520">
        <f>AND(IF(Metadata!D520="",FALSE,TRUE),exact(Metadata!D520,"saliva"))</f>
        <v>0</v>
      </c>
      <c r="Y520">
        <f>AND(IF(Metadata!E520="",FALSE,TRUE),exact(Metadata!E520,"human-oral"))</f>
        <v>0</v>
      </c>
      <c r="Z520">
        <f>AND(IF(Metadata!F520="",FALSE,TRUE),exact(Metadata!F520,"UBERON:oral cavity"))</f>
        <v>0</v>
      </c>
      <c r="AA520">
        <f>AND(IF(Metadata!G520="",FALSE,TRUE),exact(Metadata!G520,"UBERON:saliva"))</f>
        <v>0</v>
      </c>
      <c r="AB520">
        <f>AND(IF(Metadata!H520="",FALSE,TRUE),exact(Metadata!H520,"UBERON:tongue"))</f>
        <v>0</v>
      </c>
      <c r="AC520">
        <f>AND(IF(Metadata!I520="",FALSE,TRUE),exact(Metadata!I520,"tongue"))</f>
        <v>0</v>
      </c>
      <c r="AD520">
        <f>AND(IF(Metadata!J520="",FALSE,TRUE),exact(Metadata!J520,"human oral metagenome"))</f>
        <v>0</v>
      </c>
      <c r="AE520">
        <f>AND(IF(Metadata!K520="",FALSE,TRUE),exact(Metadata!K520,"447426"))</f>
        <v>0</v>
      </c>
    </row>
    <row r="521" spans="1:31">
      <c r="A521" s="4">
        <f>IF(B521=" "," ",HYPERLINK(CONCATENATE("#metadata!",ADDRESS(INDEX($Q$2:$Q$1001,MATCH(ROWS($O$2:O521),$O$2:$O$1001,0),0),1)),INDEX($T$2:$T$1001,MATCH(ROWS($O$2:O521),$O$2:$O$1001,0),0)))</f>
        <v>0</v>
      </c>
      <c r="B521" s="3">
        <f>IF(OR(INDEX($P$2:$P$1001,MATCH(ROWS($O$2:O521),$O$2:$O$1001,0),1)&gt;=100000,INDEX($V$1005:$AE$1005,1,MATCH(COLUMNS($V$1006:V1006),$V$1006:$AE$1006,0))&gt;=100000), " ",IF(INDEX($V$2:$AE$1001,MATCH(ROWS($O$2:O521),$O$2:$O$1001,0),MATCH(COLUMNS($V$1006:V1006),$V$1006:$AE$1006,0)), HYPERLINK("#",""), HYPERLINK(CONCATENATE("#Metadata!", ADDRESS(INDEX($Q$2:$Q$1001,MATCH(ROWS($O$2:O521),$O$2:$O$1001,0),0), INDEX($V$1004:$AE$1004,1,MATCH(COLUMNS($V$1006:V1006),$V$1006:$AE$1006,0)))),"Fix")))</f>
        <v>0</v>
      </c>
      <c r="C521" s="3">
        <f>IF(OR(INDEX($P$2:$P$1001,MATCH(ROWS($O$2:O521),$O$2:$O$1001,0),1)&gt;=100000,INDEX($V$1005:$AE$1005,1,MATCH(COLUMNS($V$1006:W1006),$V$1006:$AE$1006,0))&gt;=100000), " ",IF(INDEX($V$2:$AE$1001,MATCH(ROWS($O$2:O521),$O$2:$O$1001,0),MATCH(COLUMNS($V$1006:W1006),$V$1006:$AE$1006,0)), HYPERLINK("#",""), HYPERLINK(CONCATENATE("#Metadata!", ADDRESS(INDEX($Q$2:$Q$1001,MATCH(ROWS($O$2:O521),$O$2:$O$1001,0),0), INDEX($V$1004:$AE$1004,1,MATCH(COLUMNS($V$1006:W1006),$V$1006:$AE$1006,0)))),"Fix")))</f>
        <v>0</v>
      </c>
      <c r="D521" s="3">
        <f>IF(OR(INDEX($P$2:$P$1001,MATCH(ROWS($O$2:O521),$O$2:$O$1001,0),1)&gt;=100000,INDEX($V$1005:$AE$1005,1,MATCH(COLUMNS($V$1006:X1006),$V$1006:$AE$1006,0))&gt;=100000), " ",IF(INDEX($V$2:$AE$1001,MATCH(ROWS($O$2:O521),$O$2:$O$1001,0),MATCH(COLUMNS($V$1006:X1006),$V$1006:$AE$1006,0)), HYPERLINK("#",""), HYPERLINK(CONCATENATE("#Metadata!", ADDRESS(INDEX($Q$2:$Q$1001,MATCH(ROWS($O$2:O521),$O$2:$O$1001,0),0), INDEX($V$1004:$AE$1004,1,MATCH(COLUMNS($V$1006:X1006),$V$1006:$AE$1006,0)))),"Fix")))</f>
        <v>0</v>
      </c>
      <c r="E521" s="3">
        <f>IF(OR(INDEX($P$2:$P$1001,MATCH(ROWS($O$2:O521),$O$2:$O$1001,0),1)&gt;=100000,INDEX($V$1005:$AE$1005,1,MATCH(COLUMNS($V$1006:Y1006),$V$1006:$AE$1006,0))&gt;=100000), " ",IF(INDEX($V$2:$AE$1001,MATCH(ROWS($O$2:O521),$O$2:$O$1001,0),MATCH(COLUMNS($V$1006:Y1006),$V$1006:$AE$1006,0)), HYPERLINK("#",""), HYPERLINK(CONCATENATE("#Metadata!", ADDRESS(INDEX($Q$2:$Q$1001,MATCH(ROWS($O$2:O521),$O$2:$O$1001,0),0), INDEX($V$1004:$AE$1004,1,MATCH(COLUMNS($V$1006:Y1006),$V$1006:$AE$1006,0)))),"Fix")))</f>
        <v>0</v>
      </c>
      <c r="F521" s="3">
        <f>IF(OR(INDEX($P$2:$P$1001,MATCH(ROWS($O$2:O521),$O$2:$O$1001,0),1)&gt;=100000,INDEX($V$1005:$AE$1005,1,MATCH(COLUMNS($V$1006:Z1006),$V$1006:$AE$1006,0))&gt;=100000), " ",IF(INDEX($V$2:$AE$1001,MATCH(ROWS($O$2:O521),$O$2:$O$1001,0),MATCH(COLUMNS($V$1006:Z1006),$V$1006:$AE$1006,0)), HYPERLINK("#",""), HYPERLINK(CONCATENATE("#Metadata!", ADDRESS(INDEX($Q$2:$Q$1001,MATCH(ROWS($O$2:O521),$O$2:$O$1001,0),0), INDEX($V$1004:$AE$1004,1,MATCH(COLUMNS($V$1006:Z1006),$V$1006:$AE$1006,0)))),"Fix")))</f>
        <v>0</v>
      </c>
      <c r="G521" s="3">
        <f>IF(OR(INDEX($P$2:$P$1001,MATCH(ROWS($O$2:O521),$O$2:$O$1001,0),1)&gt;=100000,INDEX($V$1005:$AE$1005,1,MATCH(COLUMNS($V$1006:AA1006),$V$1006:$AE$1006,0))&gt;=100000), " ",IF(INDEX($V$2:$AE$1001,MATCH(ROWS($O$2:O521),$O$2:$O$1001,0),MATCH(COLUMNS($V$1006:AA1006),$V$1006:$AE$1006,0)), HYPERLINK("#",""), HYPERLINK(CONCATENATE("#Metadata!", ADDRESS(INDEX($Q$2:$Q$1001,MATCH(ROWS($O$2:O521),$O$2:$O$1001,0),0), INDEX($V$1004:$AE$1004,1,MATCH(COLUMNS($V$1006:AA1006),$V$1006:$AE$1006,0)))),"Fix")))</f>
        <v>0</v>
      </c>
      <c r="H521" s="3">
        <f>IF(OR(INDEX($P$2:$P$1001,MATCH(ROWS($O$2:O521),$O$2:$O$1001,0),1)&gt;=100000,INDEX($V$1005:$AE$1005,1,MATCH(COLUMNS($V$1006:AB1006),$V$1006:$AE$1006,0))&gt;=100000), " ",IF(INDEX($V$2:$AE$1001,MATCH(ROWS($O$2:O521),$O$2:$O$1001,0),MATCH(COLUMNS($V$1006:AB1006),$V$1006:$AE$1006,0)), HYPERLINK("#",""), HYPERLINK(CONCATENATE("#Metadata!", ADDRESS(INDEX($Q$2:$Q$1001,MATCH(ROWS($O$2:O521),$O$2:$O$1001,0),0), INDEX($V$1004:$AE$1004,1,MATCH(COLUMNS($V$1006:AB1006),$V$1006:$AE$1006,0)))),"Fix")))</f>
        <v>0</v>
      </c>
      <c r="I521" s="3">
        <f>IF(OR(INDEX($P$2:$P$1001,MATCH(ROWS($O$2:O521),$O$2:$O$1001,0),1)&gt;=100000,INDEX($V$1005:$AE$1005,1,MATCH(COLUMNS($V$1006:AC1006),$V$1006:$AE$1006,0))&gt;=100000), " ",IF(INDEX($V$2:$AE$1001,MATCH(ROWS($O$2:O521),$O$2:$O$1001,0),MATCH(COLUMNS($V$1006:AC1006),$V$1006:$AE$1006,0)), HYPERLINK("#",""), HYPERLINK(CONCATENATE("#Metadata!", ADDRESS(INDEX($Q$2:$Q$1001,MATCH(ROWS($O$2:O521),$O$2:$O$1001,0),0), INDEX($V$1004:$AE$1004,1,MATCH(COLUMNS($V$1006:AC1006),$V$1006:$AE$1006,0)))),"Fix")))</f>
        <v>0</v>
      </c>
      <c r="J521" s="3">
        <f>IF(OR(INDEX($P$2:$P$1001,MATCH(ROWS($O$2:O521),$O$2:$O$1001,0),1)&gt;=100000,INDEX($V$1005:$AE$1005,1,MATCH(COLUMNS($V$1006:AD1006),$V$1006:$AE$1006,0))&gt;=100000), " ",IF(INDEX($V$2:$AE$1001,MATCH(ROWS($O$2:O521),$O$2:$O$1001,0),MATCH(COLUMNS($V$1006:AD1006),$V$1006:$AE$1006,0)), HYPERLINK("#",""), HYPERLINK(CONCATENATE("#Metadata!", ADDRESS(INDEX($Q$2:$Q$1001,MATCH(ROWS($O$2:O521),$O$2:$O$1001,0),0), INDEX($V$1004:$AE$1004,1,MATCH(COLUMNS($V$1006:AD1006),$V$1006:$AE$1006,0)))),"Fix")))</f>
        <v>0</v>
      </c>
      <c r="K521" s="3">
        <f>IF(OR(INDEX($P$2:$P$1001,MATCH(ROWS($O$2:O521),$O$2:$O$1001,0),1)&gt;=100000,INDEX($V$1005:$AE$1005,1,MATCH(COLUMNS($V$1006:AE1006),$V$1006:$AE$1006,0))&gt;=100000), " ",IF(INDEX($V$2:$AE$1001,MATCH(ROWS($O$2:O521),$O$2:$O$1001,0),MATCH(COLUMNS($V$1006:AE1006),$V$1006:$AE$1006,0)), HYPERLINK("#",""), HYPERLINK(CONCATENATE("#Metadata!", ADDRESS(INDEX($Q$2:$Q$1001,MATCH(ROWS($O$2:O521),$O$2:$O$1001,0),0), INDEX($V$1004:$AE$1004,1,MATCH(COLUMNS($V$1006:AE1006),$V$1006:$AE$1006,0)))),"Fix")))</f>
        <v>0</v>
      </c>
      <c r="O521">
        <v>0</v>
      </c>
      <c r="P521">
        <v>0</v>
      </c>
      <c r="Q521">
        <v>0</v>
      </c>
      <c r="R521">
        <f>IF(S521,TRUE,AND(V521:AE521))</f>
        <v>0</v>
      </c>
      <c r="S521">
        <f>COUNTBLANK(Metadata!B521:K521)=COLUMNS(Metadata!B521:K521)</f>
        <v>0</v>
      </c>
      <c r="T521">
        <v>0</v>
      </c>
      <c r="V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W521">
        <f>AND(IF(Metadata!C521="",FALSE,TRUE),exact(Metadata!C521,"animal secretion"))</f>
        <v>0</v>
      </c>
      <c r="X521">
        <f>AND(IF(Metadata!D521="",FALSE,TRUE),exact(Metadata!D521,"saliva"))</f>
        <v>0</v>
      </c>
      <c r="Y521">
        <f>AND(IF(Metadata!E521="",FALSE,TRUE),exact(Metadata!E521,"human-oral"))</f>
        <v>0</v>
      </c>
      <c r="Z521">
        <f>AND(IF(Metadata!F521="",FALSE,TRUE),exact(Metadata!F521,"UBERON:oral cavity"))</f>
        <v>0</v>
      </c>
      <c r="AA521">
        <f>AND(IF(Metadata!G521="",FALSE,TRUE),exact(Metadata!G521,"UBERON:saliva"))</f>
        <v>0</v>
      </c>
      <c r="AB521">
        <f>AND(IF(Metadata!H521="",FALSE,TRUE),exact(Metadata!H521,"UBERON:tongue"))</f>
        <v>0</v>
      </c>
      <c r="AC521">
        <f>AND(IF(Metadata!I521="",FALSE,TRUE),exact(Metadata!I521,"tongue"))</f>
        <v>0</v>
      </c>
      <c r="AD521">
        <f>AND(IF(Metadata!J521="",FALSE,TRUE),exact(Metadata!J521,"human oral metagenome"))</f>
        <v>0</v>
      </c>
      <c r="AE521">
        <f>AND(IF(Metadata!K521="",FALSE,TRUE),exact(Metadata!K521,"447426"))</f>
        <v>0</v>
      </c>
    </row>
    <row r="522" spans="1:31">
      <c r="A522" s="4">
        <f>IF(B522=" "," ",HYPERLINK(CONCATENATE("#metadata!",ADDRESS(INDEX($Q$2:$Q$1001,MATCH(ROWS($O$2:O522),$O$2:$O$1001,0),0),1)),INDEX($T$2:$T$1001,MATCH(ROWS($O$2:O522),$O$2:$O$1001,0),0)))</f>
        <v>0</v>
      </c>
      <c r="B522" s="3">
        <f>IF(OR(INDEX($P$2:$P$1001,MATCH(ROWS($O$2:O522),$O$2:$O$1001,0),1)&gt;=100000,INDEX($V$1005:$AE$1005,1,MATCH(COLUMNS($V$1006:V1006),$V$1006:$AE$1006,0))&gt;=100000), " ",IF(INDEX($V$2:$AE$1001,MATCH(ROWS($O$2:O522),$O$2:$O$1001,0),MATCH(COLUMNS($V$1006:V1006),$V$1006:$AE$1006,0)), HYPERLINK("#",""), HYPERLINK(CONCATENATE("#Metadata!", ADDRESS(INDEX($Q$2:$Q$1001,MATCH(ROWS($O$2:O522),$O$2:$O$1001,0),0), INDEX($V$1004:$AE$1004,1,MATCH(COLUMNS($V$1006:V1006),$V$1006:$AE$1006,0)))),"Fix")))</f>
        <v>0</v>
      </c>
      <c r="C522" s="3">
        <f>IF(OR(INDEX($P$2:$P$1001,MATCH(ROWS($O$2:O522),$O$2:$O$1001,0),1)&gt;=100000,INDEX($V$1005:$AE$1005,1,MATCH(COLUMNS($V$1006:W1006),$V$1006:$AE$1006,0))&gt;=100000), " ",IF(INDEX($V$2:$AE$1001,MATCH(ROWS($O$2:O522),$O$2:$O$1001,0),MATCH(COLUMNS($V$1006:W1006),$V$1006:$AE$1006,0)), HYPERLINK("#",""), HYPERLINK(CONCATENATE("#Metadata!", ADDRESS(INDEX($Q$2:$Q$1001,MATCH(ROWS($O$2:O522),$O$2:$O$1001,0),0), INDEX($V$1004:$AE$1004,1,MATCH(COLUMNS($V$1006:W1006),$V$1006:$AE$1006,0)))),"Fix")))</f>
        <v>0</v>
      </c>
      <c r="D522" s="3">
        <f>IF(OR(INDEX($P$2:$P$1001,MATCH(ROWS($O$2:O522),$O$2:$O$1001,0),1)&gt;=100000,INDEX($V$1005:$AE$1005,1,MATCH(COLUMNS($V$1006:X1006),$V$1006:$AE$1006,0))&gt;=100000), " ",IF(INDEX($V$2:$AE$1001,MATCH(ROWS($O$2:O522),$O$2:$O$1001,0),MATCH(COLUMNS($V$1006:X1006),$V$1006:$AE$1006,0)), HYPERLINK("#",""), HYPERLINK(CONCATENATE("#Metadata!", ADDRESS(INDEX($Q$2:$Q$1001,MATCH(ROWS($O$2:O522),$O$2:$O$1001,0),0), INDEX($V$1004:$AE$1004,1,MATCH(COLUMNS($V$1006:X1006),$V$1006:$AE$1006,0)))),"Fix")))</f>
        <v>0</v>
      </c>
      <c r="E522" s="3">
        <f>IF(OR(INDEX($P$2:$P$1001,MATCH(ROWS($O$2:O522),$O$2:$O$1001,0),1)&gt;=100000,INDEX($V$1005:$AE$1005,1,MATCH(COLUMNS($V$1006:Y1006),$V$1006:$AE$1006,0))&gt;=100000), " ",IF(INDEX($V$2:$AE$1001,MATCH(ROWS($O$2:O522),$O$2:$O$1001,0),MATCH(COLUMNS($V$1006:Y1006),$V$1006:$AE$1006,0)), HYPERLINK("#",""), HYPERLINK(CONCATENATE("#Metadata!", ADDRESS(INDEX($Q$2:$Q$1001,MATCH(ROWS($O$2:O522),$O$2:$O$1001,0),0), INDEX($V$1004:$AE$1004,1,MATCH(COLUMNS($V$1006:Y1006),$V$1006:$AE$1006,0)))),"Fix")))</f>
        <v>0</v>
      </c>
      <c r="F522" s="3">
        <f>IF(OR(INDEX($P$2:$P$1001,MATCH(ROWS($O$2:O522),$O$2:$O$1001,0),1)&gt;=100000,INDEX($V$1005:$AE$1005,1,MATCH(COLUMNS($V$1006:Z1006),$V$1006:$AE$1006,0))&gt;=100000), " ",IF(INDEX($V$2:$AE$1001,MATCH(ROWS($O$2:O522),$O$2:$O$1001,0),MATCH(COLUMNS($V$1006:Z1006),$V$1006:$AE$1006,0)), HYPERLINK("#",""), HYPERLINK(CONCATENATE("#Metadata!", ADDRESS(INDEX($Q$2:$Q$1001,MATCH(ROWS($O$2:O522),$O$2:$O$1001,0),0), INDEX($V$1004:$AE$1004,1,MATCH(COLUMNS($V$1006:Z1006),$V$1006:$AE$1006,0)))),"Fix")))</f>
        <v>0</v>
      </c>
      <c r="G522" s="3">
        <f>IF(OR(INDEX($P$2:$P$1001,MATCH(ROWS($O$2:O522),$O$2:$O$1001,0),1)&gt;=100000,INDEX($V$1005:$AE$1005,1,MATCH(COLUMNS($V$1006:AA1006),$V$1006:$AE$1006,0))&gt;=100000), " ",IF(INDEX($V$2:$AE$1001,MATCH(ROWS($O$2:O522),$O$2:$O$1001,0),MATCH(COLUMNS($V$1006:AA1006),$V$1006:$AE$1006,0)), HYPERLINK("#",""), HYPERLINK(CONCATENATE("#Metadata!", ADDRESS(INDEX($Q$2:$Q$1001,MATCH(ROWS($O$2:O522),$O$2:$O$1001,0),0), INDEX($V$1004:$AE$1004,1,MATCH(COLUMNS($V$1006:AA1006),$V$1006:$AE$1006,0)))),"Fix")))</f>
        <v>0</v>
      </c>
      <c r="H522" s="3">
        <f>IF(OR(INDEX($P$2:$P$1001,MATCH(ROWS($O$2:O522),$O$2:$O$1001,0),1)&gt;=100000,INDEX($V$1005:$AE$1005,1,MATCH(COLUMNS($V$1006:AB1006),$V$1006:$AE$1006,0))&gt;=100000), " ",IF(INDEX($V$2:$AE$1001,MATCH(ROWS($O$2:O522),$O$2:$O$1001,0),MATCH(COLUMNS($V$1006:AB1006),$V$1006:$AE$1006,0)), HYPERLINK("#",""), HYPERLINK(CONCATENATE("#Metadata!", ADDRESS(INDEX($Q$2:$Q$1001,MATCH(ROWS($O$2:O522),$O$2:$O$1001,0),0), INDEX($V$1004:$AE$1004,1,MATCH(COLUMNS($V$1006:AB1006),$V$1006:$AE$1006,0)))),"Fix")))</f>
        <v>0</v>
      </c>
      <c r="I522" s="3">
        <f>IF(OR(INDEX($P$2:$P$1001,MATCH(ROWS($O$2:O522),$O$2:$O$1001,0),1)&gt;=100000,INDEX($V$1005:$AE$1005,1,MATCH(COLUMNS($V$1006:AC1006),$V$1006:$AE$1006,0))&gt;=100000), " ",IF(INDEX($V$2:$AE$1001,MATCH(ROWS($O$2:O522),$O$2:$O$1001,0),MATCH(COLUMNS($V$1006:AC1006),$V$1006:$AE$1006,0)), HYPERLINK("#",""), HYPERLINK(CONCATENATE("#Metadata!", ADDRESS(INDEX($Q$2:$Q$1001,MATCH(ROWS($O$2:O522),$O$2:$O$1001,0),0), INDEX($V$1004:$AE$1004,1,MATCH(COLUMNS($V$1006:AC1006),$V$1006:$AE$1006,0)))),"Fix")))</f>
        <v>0</v>
      </c>
      <c r="J522" s="3">
        <f>IF(OR(INDEX($P$2:$P$1001,MATCH(ROWS($O$2:O522),$O$2:$O$1001,0),1)&gt;=100000,INDEX($V$1005:$AE$1005,1,MATCH(COLUMNS($V$1006:AD1006),$V$1006:$AE$1006,0))&gt;=100000), " ",IF(INDEX($V$2:$AE$1001,MATCH(ROWS($O$2:O522),$O$2:$O$1001,0),MATCH(COLUMNS($V$1006:AD1006),$V$1006:$AE$1006,0)), HYPERLINK("#",""), HYPERLINK(CONCATENATE("#Metadata!", ADDRESS(INDEX($Q$2:$Q$1001,MATCH(ROWS($O$2:O522),$O$2:$O$1001,0),0), INDEX($V$1004:$AE$1004,1,MATCH(COLUMNS($V$1006:AD1006),$V$1006:$AE$1006,0)))),"Fix")))</f>
        <v>0</v>
      </c>
      <c r="K522" s="3">
        <f>IF(OR(INDEX($P$2:$P$1001,MATCH(ROWS($O$2:O522),$O$2:$O$1001,0),1)&gt;=100000,INDEX($V$1005:$AE$1005,1,MATCH(COLUMNS($V$1006:AE1006),$V$1006:$AE$1006,0))&gt;=100000), " ",IF(INDEX($V$2:$AE$1001,MATCH(ROWS($O$2:O522),$O$2:$O$1001,0),MATCH(COLUMNS($V$1006:AE1006),$V$1006:$AE$1006,0)), HYPERLINK("#",""), HYPERLINK(CONCATENATE("#Metadata!", ADDRESS(INDEX($Q$2:$Q$1001,MATCH(ROWS($O$2:O522),$O$2:$O$1001,0),0), INDEX($V$1004:$AE$1004,1,MATCH(COLUMNS($V$1006:AE1006),$V$1006:$AE$1006,0)))),"Fix")))</f>
        <v>0</v>
      </c>
      <c r="O522">
        <v>0</v>
      </c>
      <c r="P522">
        <v>0</v>
      </c>
      <c r="Q522">
        <v>0</v>
      </c>
      <c r="R522">
        <f>IF(S522,TRUE,AND(V522:AE522))</f>
        <v>0</v>
      </c>
      <c r="S522">
        <f>COUNTBLANK(Metadata!B522:K522)=COLUMNS(Metadata!B522:K522)</f>
        <v>0</v>
      </c>
      <c r="T522">
        <v>0</v>
      </c>
      <c r="V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W522">
        <f>AND(IF(Metadata!C522="",FALSE,TRUE),exact(Metadata!C522,"animal secretion"))</f>
        <v>0</v>
      </c>
      <c r="X522">
        <f>AND(IF(Metadata!D522="",FALSE,TRUE),exact(Metadata!D522,"saliva"))</f>
        <v>0</v>
      </c>
      <c r="Y522">
        <f>AND(IF(Metadata!E522="",FALSE,TRUE),exact(Metadata!E522,"human-oral"))</f>
        <v>0</v>
      </c>
      <c r="Z522">
        <f>AND(IF(Metadata!F522="",FALSE,TRUE),exact(Metadata!F522,"UBERON:oral cavity"))</f>
        <v>0</v>
      </c>
      <c r="AA522">
        <f>AND(IF(Metadata!G522="",FALSE,TRUE),exact(Metadata!G522,"UBERON:saliva"))</f>
        <v>0</v>
      </c>
      <c r="AB522">
        <f>AND(IF(Metadata!H522="",FALSE,TRUE),exact(Metadata!H522,"UBERON:tongue"))</f>
        <v>0</v>
      </c>
      <c r="AC522">
        <f>AND(IF(Metadata!I522="",FALSE,TRUE),exact(Metadata!I522,"tongue"))</f>
        <v>0</v>
      </c>
      <c r="AD522">
        <f>AND(IF(Metadata!J522="",FALSE,TRUE),exact(Metadata!J522,"human oral metagenome"))</f>
        <v>0</v>
      </c>
      <c r="AE522">
        <f>AND(IF(Metadata!K522="",FALSE,TRUE),exact(Metadata!K522,"447426"))</f>
        <v>0</v>
      </c>
    </row>
    <row r="523" spans="1:31">
      <c r="A523" s="4">
        <f>IF(B523=" "," ",HYPERLINK(CONCATENATE("#metadata!",ADDRESS(INDEX($Q$2:$Q$1001,MATCH(ROWS($O$2:O523),$O$2:$O$1001,0),0),1)),INDEX($T$2:$T$1001,MATCH(ROWS($O$2:O523),$O$2:$O$1001,0),0)))</f>
        <v>0</v>
      </c>
      <c r="B523" s="3">
        <f>IF(OR(INDEX($P$2:$P$1001,MATCH(ROWS($O$2:O523),$O$2:$O$1001,0),1)&gt;=100000,INDEX($V$1005:$AE$1005,1,MATCH(COLUMNS($V$1006:V1006),$V$1006:$AE$1006,0))&gt;=100000), " ",IF(INDEX($V$2:$AE$1001,MATCH(ROWS($O$2:O523),$O$2:$O$1001,0),MATCH(COLUMNS($V$1006:V1006),$V$1006:$AE$1006,0)), HYPERLINK("#",""), HYPERLINK(CONCATENATE("#Metadata!", ADDRESS(INDEX($Q$2:$Q$1001,MATCH(ROWS($O$2:O523),$O$2:$O$1001,0),0), INDEX($V$1004:$AE$1004,1,MATCH(COLUMNS($V$1006:V1006),$V$1006:$AE$1006,0)))),"Fix")))</f>
        <v>0</v>
      </c>
      <c r="C523" s="3">
        <f>IF(OR(INDEX($P$2:$P$1001,MATCH(ROWS($O$2:O523),$O$2:$O$1001,0),1)&gt;=100000,INDEX($V$1005:$AE$1005,1,MATCH(COLUMNS($V$1006:W1006),$V$1006:$AE$1006,0))&gt;=100000), " ",IF(INDEX($V$2:$AE$1001,MATCH(ROWS($O$2:O523),$O$2:$O$1001,0),MATCH(COLUMNS($V$1006:W1006),$V$1006:$AE$1006,0)), HYPERLINK("#",""), HYPERLINK(CONCATENATE("#Metadata!", ADDRESS(INDEX($Q$2:$Q$1001,MATCH(ROWS($O$2:O523),$O$2:$O$1001,0),0), INDEX($V$1004:$AE$1004,1,MATCH(COLUMNS($V$1006:W1006),$V$1006:$AE$1006,0)))),"Fix")))</f>
        <v>0</v>
      </c>
      <c r="D523" s="3">
        <f>IF(OR(INDEX($P$2:$P$1001,MATCH(ROWS($O$2:O523),$O$2:$O$1001,0),1)&gt;=100000,INDEX($V$1005:$AE$1005,1,MATCH(COLUMNS($V$1006:X1006),$V$1006:$AE$1006,0))&gt;=100000), " ",IF(INDEX($V$2:$AE$1001,MATCH(ROWS($O$2:O523),$O$2:$O$1001,0),MATCH(COLUMNS($V$1006:X1006),$V$1006:$AE$1006,0)), HYPERLINK("#",""), HYPERLINK(CONCATENATE("#Metadata!", ADDRESS(INDEX($Q$2:$Q$1001,MATCH(ROWS($O$2:O523),$O$2:$O$1001,0),0), INDEX($V$1004:$AE$1004,1,MATCH(COLUMNS($V$1006:X1006),$V$1006:$AE$1006,0)))),"Fix")))</f>
        <v>0</v>
      </c>
      <c r="E523" s="3">
        <f>IF(OR(INDEX($P$2:$P$1001,MATCH(ROWS($O$2:O523),$O$2:$O$1001,0),1)&gt;=100000,INDEX($V$1005:$AE$1005,1,MATCH(COLUMNS($V$1006:Y1006),$V$1006:$AE$1006,0))&gt;=100000), " ",IF(INDEX($V$2:$AE$1001,MATCH(ROWS($O$2:O523),$O$2:$O$1001,0),MATCH(COLUMNS($V$1006:Y1006),$V$1006:$AE$1006,0)), HYPERLINK("#",""), HYPERLINK(CONCATENATE("#Metadata!", ADDRESS(INDEX($Q$2:$Q$1001,MATCH(ROWS($O$2:O523),$O$2:$O$1001,0),0), INDEX($V$1004:$AE$1004,1,MATCH(COLUMNS($V$1006:Y1006),$V$1006:$AE$1006,0)))),"Fix")))</f>
        <v>0</v>
      </c>
      <c r="F523" s="3">
        <f>IF(OR(INDEX($P$2:$P$1001,MATCH(ROWS($O$2:O523),$O$2:$O$1001,0),1)&gt;=100000,INDEX($V$1005:$AE$1005,1,MATCH(COLUMNS($V$1006:Z1006),$V$1006:$AE$1006,0))&gt;=100000), " ",IF(INDEX($V$2:$AE$1001,MATCH(ROWS($O$2:O523),$O$2:$O$1001,0),MATCH(COLUMNS($V$1006:Z1006),$V$1006:$AE$1006,0)), HYPERLINK("#",""), HYPERLINK(CONCATENATE("#Metadata!", ADDRESS(INDEX($Q$2:$Q$1001,MATCH(ROWS($O$2:O523),$O$2:$O$1001,0),0), INDEX($V$1004:$AE$1004,1,MATCH(COLUMNS($V$1006:Z1006),$V$1006:$AE$1006,0)))),"Fix")))</f>
        <v>0</v>
      </c>
      <c r="G523" s="3">
        <f>IF(OR(INDEX($P$2:$P$1001,MATCH(ROWS($O$2:O523),$O$2:$O$1001,0),1)&gt;=100000,INDEX($V$1005:$AE$1005,1,MATCH(COLUMNS($V$1006:AA1006),$V$1006:$AE$1006,0))&gt;=100000), " ",IF(INDEX($V$2:$AE$1001,MATCH(ROWS($O$2:O523),$O$2:$O$1001,0),MATCH(COLUMNS($V$1006:AA1006),$V$1006:$AE$1006,0)), HYPERLINK("#",""), HYPERLINK(CONCATENATE("#Metadata!", ADDRESS(INDEX($Q$2:$Q$1001,MATCH(ROWS($O$2:O523),$O$2:$O$1001,0),0), INDEX($V$1004:$AE$1004,1,MATCH(COLUMNS($V$1006:AA1006),$V$1006:$AE$1006,0)))),"Fix")))</f>
        <v>0</v>
      </c>
      <c r="H523" s="3">
        <f>IF(OR(INDEX($P$2:$P$1001,MATCH(ROWS($O$2:O523),$O$2:$O$1001,0),1)&gt;=100000,INDEX($V$1005:$AE$1005,1,MATCH(COLUMNS($V$1006:AB1006),$V$1006:$AE$1006,0))&gt;=100000), " ",IF(INDEX($V$2:$AE$1001,MATCH(ROWS($O$2:O523),$O$2:$O$1001,0),MATCH(COLUMNS($V$1006:AB1006),$V$1006:$AE$1006,0)), HYPERLINK("#",""), HYPERLINK(CONCATENATE("#Metadata!", ADDRESS(INDEX($Q$2:$Q$1001,MATCH(ROWS($O$2:O523),$O$2:$O$1001,0),0), INDEX($V$1004:$AE$1004,1,MATCH(COLUMNS($V$1006:AB1006),$V$1006:$AE$1006,0)))),"Fix")))</f>
        <v>0</v>
      </c>
      <c r="I523" s="3">
        <f>IF(OR(INDEX($P$2:$P$1001,MATCH(ROWS($O$2:O523),$O$2:$O$1001,0),1)&gt;=100000,INDEX($V$1005:$AE$1005,1,MATCH(COLUMNS($V$1006:AC1006),$V$1006:$AE$1006,0))&gt;=100000), " ",IF(INDEX($V$2:$AE$1001,MATCH(ROWS($O$2:O523),$O$2:$O$1001,0),MATCH(COLUMNS($V$1006:AC1006),$V$1006:$AE$1006,0)), HYPERLINK("#",""), HYPERLINK(CONCATENATE("#Metadata!", ADDRESS(INDEX($Q$2:$Q$1001,MATCH(ROWS($O$2:O523),$O$2:$O$1001,0),0), INDEX($V$1004:$AE$1004,1,MATCH(COLUMNS($V$1006:AC1006),$V$1006:$AE$1006,0)))),"Fix")))</f>
        <v>0</v>
      </c>
      <c r="J523" s="3">
        <f>IF(OR(INDEX($P$2:$P$1001,MATCH(ROWS($O$2:O523),$O$2:$O$1001,0),1)&gt;=100000,INDEX($V$1005:$AE$1005,1,MATCH(COLUMNS($V$1006:AD1006),$V$1006:$AE$1006,0))&gt;=100000), " ",IF(INDEX($V$2:$AE$1001,MATCH(ROWS($O$2:O523),$O$2:$O$1001,0),MATCH(COLUMNS($V$1006:AD1006),$V$1006:$AE$1006,0)), HYPERLINK("#",""), HYPERLINK(CONCATENATE("#Metadata!", ADDRESS(INDEX($Q$2:$Q$1001,MATCH(ROWS($O$2:O523),$O$2:$O$1001,0),0), INDEX($V$1004:$AE$1004,1,MATCH(COLUMNS($V$1006:AD1006),$V$1006:$AE$1006,0)))),"Fix")))</f>
        <v>0</v>
      </c>
      <c r="K523" s="3">
        <f>IF(OR(INDEX($P$2:$P$1001,MATCH(ROWS($O$2:O523),$O$2:$O$1001,0),1)&gt;=100000,INDEX($V$1005:$AE$1005,1,MATCH(COLUMNS($V$1006:AE1006),$V$1006:$AE$1006,0))&gt;=100000), " ",IF(INDEX($V$2:$AE$1001,MATCH(ROWS($O$2:O523),$O$2:$O$1001,0),MATCH(COLUMNS($V$1006:AE1006),$V$1006:$AE$1006,0)), HYPERLINK("#",""), HYPERLINK(CONCATENATE("#Metadata!", ADDRESS(INDEX($Q$2:$Q$1001,MATCH(ROWS($O$2:O523),$O$2:$O$1001,0),0), INDEX($V$1004:$AE$1004,1,MATCH(COLUMNS($V$1006:AE1006),$V$1006:$AE$1006,0)))),"Fix")))</f>
        <v>0</v>
      </c>
      <c r="O523">
        <v>0</v>
      </c>
      <c r="P523">
        <v>0</v>
      </c>
      <c r="Q523">
        <v>0</v>
      </c>
      <c r="R523">
        <f>IF(S523,TRUE,AND(V523:AE523))</f>
        <v>0</v>
      </c>
      <c r="S523">
        <f>COUNTBLANK(Metadata!B523:K523)=COLUMNS(Metadata!B523:K523)</f>
        <v>0</v>
      </c>
      <c r="T523">
        <v>0</v>
      </c>
      <c r="V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W523">
        <f>AND(IF(Metadata!C523="",FALSE,TRUE),exact(Metadata!C523,"animal secretion"))</f>
        <v>0</v>
      </c>
      <c r="X523">
        <f>AND(IF(Metadata!D523="",FALSE,TRUE),exact(Metadata!D523,"saliva"))</f>
        <v>0</v>
      </c>
      <c r="Y523">
        <f>AND(IF(Metadata!E523="",FALSE,TRUE),exact(Metadata!E523,"human-oral"))</f>
        <v>0</v>
      </c>
      <c r="Z523">
        <f>AND(IF(Metadata!F523="",FALSE,TRUE),exact(Metadata!F523,"UBERON:oral cavity"))</f>
        <v>0</v>
      </c>
      <c r="AA523">
        <f>AND(IF(Metadata!G523="",FALSE,TRUE),exact(Metadata!G523,"UBERON:saliva"))</f>
        <v>0</v>
      </c>
      <c r="AB523">
        <f>AND(IF(Metadata!H523="",FALSE,TRUE),exact(Metadata!H523,"UBERON:tongue"))</f>
        <v>0</v>
      </c>
      <c r="AC523">
        <f>AND(IF(Metadata!I523="",FALSE,TRUE),exact(Metadata!I523,"tongue"))</f>
        <v>0</v>
      </c>
      <c r="AD523">
        <f>AND(IF(Metadata!J523="",FALSE,TRUE),exact(Metadata!J523,"human oral metagenome"))</f>
        <v>0</v>
      </c>
      <c r="AE523">
        <f>AND(IF(Metadata!K523="",FALSE,TRUE),exact(Metadata!K523,"447426"))</f>
        <v>0</v>
      </c>
    </row>
    <row r="524" spans="1:31">
      <c r="A524" s="4">
        <f>IF(B524=" "," ",HYPERLINK(CONCATENATE("#metadata!",ADDRESS(INDEX($Q$2:$Q$1001,MATCH(ROWS($O$2:O524),$O$2:$O$1001,0),0),1)),INDEX($T$2:$T$1001,MATCH(ROWS($O$2:O524),$O$2:$O$1001,0),0)))</f>
        <v>0</v>
      </c>
      <c r="B524" s="3">
        <f>IF(OR(INDEX($P$2:$P$1001,MATCH(ROWS($O$2:O524),$O$2:$O$1001,0),1)&gt;=100000,INDEX($V$1005:$AE$1005,1,MATCH(COLUMNS($V$1006:V1006),$V$1006:$AE$1006,0))&gt;=100000), " ",IF(INDEX($V$2:$AE$1001,MATCH(ROWS($O$2:O524),$O$2:$O$1001,0),MATCH(COLUMNS($V$1006:V1006),$V$1006:$AE$1006,0)), HYPERLINK("#",""), HYPERLINK(CONCATENATE("#Metadata!", ADDRESS(INDEX($Q$2:$Q$1001,MATCH(ROWS($O$2:O524),$O$2:$O$1001,0),0), INDEX($V$1004:$AE$1004,1,MATCH(COLUMNS($V$1006:V1006),$V$1006:$AE$1006,0)))),"Fix")))</f>
        <v>0</v>
      </c>
      <c r="C524" s="3">
        <f>IF(OR(INDEX($P$2:$P$1001,MATCH(ROWS($O$2:O524),$O$2:$O$1001,0),1)&gt;=100000,INDEX($V$1005:$AE$1005,1,MATCH(COLUMNS($V$1006:W1006),$V$1006:$AE$1006,0))&gt;=100000), " ",IF(INDEX($V$2:$AE$1001,MATCH(ROWS($O$2:O524),$O$2:$O$1001,0),MATCH(COLUMNS($V$1006:W1006),$V$1006:$AE$1006,0)), HYPERLINK("#",""), HYPERLINK(CONCATENATE("#Metadata!", ADDRESS(INDEX($Q$2:$Q$1001,MATCH(ROWS($O$2:O524),$O$2:$O$1001,0),0), INDEX($V$1004:$AE$1004,1,MATCH(COLUMNS($V$1006:W1006),$V$1006:$AE$1006,0)))),"Fix")))</f>
        <v>0</v>
      </c>
      <c r="D524" s="3">
        <f>IF(OR(INDEX($P$2:$P$1001,MATCH(ROWS($O$2:O524),$O$2:$O$1001,0),1)&gt;=100000,INDEX($V$1005:$AE$1005,1,MATCH(COLUMNS($V$1006:X1006),$V$1006:$AE$1006,0))&gt;=100000), " ",IF(INDEX($V$2:$AE$1001,MATCH(ROWS($O$2:O524),$O$2:$O$1001,0),MATCH(COLUMNS($V$1006:X1006),$V$1006:$AE$1006,0)), HYPERLINK("#",""), HYPERLINK(CONCATENATE("#Metadata!", ADDRESS(INDEX($Q$2:$Q$1001,MATCH(ROWS($O$2:O524),$O$2:$O$1001,0),0), INDEX($V$1004:$AE$1004,1,MATCH(COLUMNS($V$1006:X1006),$V$1006:$AE$1006,0)))),"Fix")))</f>
        <v>0</v>
      </c>
      <c r="E524" s="3">
        <f>IF(OR(INDEX($P$2:$P$1001,MATCH(ROWS($O$2:O524),$O$2:$O$1001,0),1)&gt;=100000,INDEX($V$1005:$AE$1005,1,MATCH(COLUMNS($V$1006:Y1006),$V$1006:$AE$1006,0))&gt;=100000), " ",IF(INDEX($V$2:$AE$1001,MATCH(ROWS($O$2:O524),$O$2:$O$1001,0),MATCH(COLUMNS($V$1006:Y1006),$V$1006:$AE$1006,0)), HYPERLINK("#",""), HYPERLINK(CONCATENATE("#Metadata!", ADDRESS(INDEX($Q$2:$Q$1001,MATCH(ROWS($O$2:O524),$O$2:$O$1001,0),0), INDEX($V$1004:$AE$1004,1,MATCH(COLUMNS($V$1006:Y1006),$V$1006:$AE$1006,0)))),"Fix")))</f>
        <v>0</v>
      </c>
      <c r="F524" s="3">
        <f>IF(OR(INDEX($P$2:$P$1001,MATCH(ROWS($O$2:O524),$O$2:$O$1001,0),1)&gt;=100000,INDEX($V$1005:$AE$1005,1,MATCH(COLUMNS($V$1006:Z1006),$V$1006:$AE$1006,0))&gt;=100000), " ",IF(INDEX($V$2:$AE$1001,MATCH(ROWS($O$2:O524),$O$2:$O$1001,0),MATCH(COLUMNS($V$1006:Z1006),$V$1006:$AE$1006,0)), HYPERLINK("#",""), HYPERLINK(CONCATENATE("#Metadata!", ADDRESS(INDEX($Q$2:$Q$1001,MATCH(ROWS($O$2:O524),$O$2:$O$1001,0),0), INDEX($V$1004:$AE$1004,1,MATCH(COLUMNS($V$1006:Z1006),$V$1006:$AE$1006,0)))),"Fix")))</f>
        <v>0</v>
      </c>
      <c r="G524" s="3">
        <f>IF(OR(INDEX($P$2:$P$1001,MATCH(ROWS($O$2:O524),$O$2:$O$1001,0),1)&gt;=100000,INDEX($V$1005:$AE$1005,1,MATCH(COLUMNS($V$1006:AA1006),$V$1006:$AE$1006,0))&gt;=100000), " ",IF(INDEX($V$2:$AE$1001,MATCH(ROWS($O$2:O524),$O$2:$O$1001,0),MATCH(COLUMNS($V$1006:AA1006),$V$1006:$AE$1006,0)), HYPERLINK("#",""), HYPERLINK(CONCATENATE("#Metadata!", ADDRESS(INDEX($Q$2:$Q$1001,MATCH(ROWS($O$2:O524),$O$2:$O$1001,0),0), INDEX($V$1004:$AE$1004,1,MATCH(COLUMNS($V$1006:AA1006),$V$1006:$AE$1006,0)))),"Fix")))</f>
        <v>0</v>
      </c>
      <c r="H524" s="3">
        <f>IF(OR(INDEX($P$2:$P$1001,MATCH(ROWS($O$2:O524),$O$2:$O$1001,0),1)&gt;=100000,INDEX($V$1005:$AE$1005,1,MATCH(COLUMNS($V$1006:AB1006),$V$1006:$AE$1006,0))&gt;=100000), " ",IF(INDEX($V$2:$AE$1001,MATCH(ROWS($O$2:O524),$O$2:$O$1001,0),MATCH(COLUMNS($V$1006:AB1006),$V$1006:$AE$1006,0)), HYPERLINK("#",""), HYPERLINK(CONCATENATE("#Metadata!", ADDRESS(INDEX($Q$2:$Q$1001,MATCH(ROWS($O$2:O524),$O$2:$O$1001,0),0), INDEX($V$1004:$AE$1004,1,MATCH(COLUMNS($V$1006:AB1006),$V$1006:$AE$1006,0)))),"Fix")))</f>
        <v>0</v>
      </c>
      <c r="I524" s="3">
        <f>IF(OR(INDEX($P$2:$P$1001,MATCH(ROWS($O$2:O524),$O$2:$O$1001,0),1)&gt;=100000,INDEX($V$1005:$AE$1005,1,MATCH(COLUMNS($V$1006:AC1006),$V$1006:$AE$1006,0))&gt;=100000), " ",IF(INDEX($V$2:$AE$1001,MATCH(ROWS($O$2:O524),$O$2:$O$1001,0),MATCH(COLUMNS($V$1006:AC1006),$V$1006:$AE$1006,0)), HYPERLINK("#",""), HYPERLINK(CONCATENATE("#Metadata!", ADDRESS(INDEX($Q$2:$Q$1001,MATCH(ROWS($O$2:O524),$O$2:$O$1001,0),0), INDEX($V$1004:$AE$1004,1,MATCH(COLUMNS($V$1006:AC1006),$V$1006:$AE$1006,0)))),"Fix")))</f>
        <v>0</v>
      </c>
      <c r="J524" s="3">
        <f>IF(OR(INDEX($P$2:$P$1001,MATCH(ROWS($O$2:O524),$O$2:$O$1001,0),1)&gt;=100000,INDEX($V$1005:$AE$1005,1,MATCH(COLUMNS($V$1006:AD1006),$V$1006:$AE$1006,0))&gt;=100000), " ",IF(INDEX($V$2:$AE$1001,MATCH(ROWS($O$2:O524),$O$2:$O$1001,0),MATCH(COLUMNS($V$1006:AD1006),$V$1006:$AE$1006,0)), HYPERLINK("#",""), HYPERLINK(CONCATENATE("#Metadata!", ADDRESS(INDEX($Q$2:$Q$1001,MATCH(ROWS($O$2:O524),$O$2:$O$1001,0),0), INDEX($V$1004:$AE$1004,1,MATCH(COLUMNS($V$1006:AD1006),$V$1006:$AE$1006,0)))),"Fix")))</f>
        <v>0</v>
      </c>
      <c r="K524" s="3">
        <f>IF(OR(INDEX($P$2:$P$1001,MATCH(ROWS($O$2:O524),$O$2:$O$1001,0),1)&gt;=100000,INDEX($V$1005:$AE$1005,1,MATCH(COLUMNS($V$1006:AE1006),$V$1006:$AE$1006,0))&gt;=100000), " ",IF(INDEX($V$2:$AE$1001,MATCH(ROWS($O$2:O524),$O$2:$O$1001,0),MATCH(COLUMNS($V$1006:AE1006),$V$1006:$AE$1006,0)), HYPERLINK("#",""), HYPERLINK(CONCATENATE("#Metadata!", ADDRESS(INDEX($Q$2:$Q$1001,MATCH(ROWS($O$2:O524),$O$2:$O$1001,0),0), INDEX($V$1004:$AE$1004,1,MATCH(COLUMNS($V$1006:AE1006),$V$1006:$AE$1006,0)))),"Fix")))</f>
        <v>0</v>
      </c>
      <c r="O524">
        <v>0</v>
      </c>
      <c r="P524">
        <v>0</v>
      </c>
      <c r="Q524">
        <v>0</v>
      </c>
      <c r="R524">
        <f>IF(S524,TRUE,AND(V524:AE524))</f>
        <v>0</v>
      </c>
      <c r="S524">
        <f>COUNTBLANK(Metadata!B524:K524)=COLUMNS(Metadata!B524:K524)</f>
        <v>0</v>
      </c>
      <c r="T524">
        <v>0</v>
      </c>
      <c r="V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W524">
        <f>AND(IF(Metadata!C524="",FALSE,TRUE),exact(Metadata!C524,"animal secretion"))</f>
        <v>0</v>
      </c>
      <c r="X524">
        <f>AND(IF(Metadata!D524="",FALSE,TRUE),exact(Metadata!D524,"saliva"))</f>
        <v>0</v>
      </c>
      <c r="Y524">
        <f>AND(IF(Metadata!E524="",FALSE,TRUE),exact(Metadata!E524,"human-oral"))</f>
        <v>0</v>
      </c>
      <c r="Z524">
        <f>AND(IF(Metadata!F524="",FALSE,TRUE),exact(Metadata!F524,"UBERON:oral cavity"))</f>
        <v>0</v>
      </c>
      <c r="AA524">
        <f>AND(IF(Metadata!G524="",FALSE,TRUE),exact(Metadata!G524,"UBERON:saliva"))</f>
        <v>0</v>
      </c>
      <c r="AB524">
        <f>AND(IF(Metadata!H524="",FALSE,TRUE),exact(Metadata!H524,"UBERON:tongue"))</f>
        <v>0</v>
      </c>
      <c r="AC524">
        <f>AND(IF(Metadata!I524="",FALSE,TRUE),exact(Metadata!I524,"tongue"))</f>
        <v>0</v>
      </c>
      <c r="AD524">
        <f>AND(IF(Metadata!J524="",FALSE,TRUE),exact(Metadata!J524,"human oral metagenome"))</f>
        <v>0</v>
      </c>
      <c r="AE524">
        <f>AND(IF(Metadata!K524="",FALSE,TRUE),exact(Metadata!K524,"447426"))</f>
        <v>0</v>
      </c>
    </row>
    <row r="525" spans="1:31">
      <c r="A525" s="4">
        <f>IF(B525=" "," ",HYPERLINK(CONCATENATE("#metadata!",ADDRESS(INDEX($Q$2:$Q$1001,MATCH(ROWS($O$2:O525),$O$2:$O$1001,0),0),1)),INDEX($T$2:$T$1001,MATCH(ROWS($O$2:O525),$O$2:$O$1001,0),0)))</f>
        <v>0</v>
      </c>
      <c r="B525" s="3">
        <f>IF(OR(INDEX($P$2:$P$1001,MATCH(ROWS($O$2:O525),$O$2:$O$1001,0),1)&gt;=100000,INDEX($V$1005:$AE$1005,1,MATCH(COLUMNS($V$1006:V1006),$V$1006:$AE$1006,0))&gt;=100000), " ",IF(INDEX($V$2:$AE$1001,MATCH(ROWS($O$2:O525),$O$2:$O$1001,0),MATCH(COLUMNS($V$1006:V1006),$V$1006:$AE$1006,0)), HYPERLINK("#",""), HYPERLINK(CONCATENATE("#Metadata!", ADDRESS(INDEX($Q$2:$Q$1001,MATCH(ROWS($O$2:O525),$O$2:$O$1001,0),0), INDEX($V$1004:$AE$1004,1,MATCH(COLUMNS($V$1006:V1006),$V$1006:$AE$1006,0)))),"Fix")))</f>
        <v>0</v>
      </c>
      <c r="C525" s="3">
        <f>IF(OR(INDEX($P$2:$P$1001,MATCH(ROWS($O$2:O525),$O$2:$O$1001,0),1)&gt;=100000,INDEX($V$1005:$AE$1005,1,MATCH(COLUMNS($V$1006:W1006),$V$1006:$AE$1006,0))&gt;=100000), " ",IF(INDEX($V$2:$AE$1001,MATCH(ROWS($O$2:O525),$O$2:$O$1001,0),MATCH(COLUMNS($V$1006:W1006),$V$1006:$AE$1006,0)), HYPERLINK("#",""), HYPERLINK(CONCATENATE("#Metadata!", ADDRESS(INDEX($Q$2:$Q$1001,MATCH(ROWS($O$2:O525),$O$2:$O$1001,0),0), INDEX($V$1004:$AE$1004,1,MATCH(COLUMNS($V$1006:W1006),$V$1006:$AE$1006,0)))),"Fix")))</f>
        <v>0</v>
      </c>
      <c r="D525" s="3">
        <f>IF(OR(INDEX($P$2:$P$1001,MATCH(ROWS($O$2:O525),$O$2:$O$1001,0),1)&gt;=100000,INDEX($V$1005:$AE$1005,1,MATCH(COLUMNS($V$1006:X1006),$V$1006:$AE$1006,0))&gt;=100000), " ",IF(INDEX($V$2:$AE$1001,MATCH(ROWS($O$2:O525),$O$2:$O$1001,0),MATCH(COLUMNS($V$1006:X1006),$V$1006:$AE$1006,0)), HYPERLINK("#",""), HYPERLINK(CONCATENATE("#Metadata!", ADDRESS(INDEX($Q$2:$Q$1001,MATCH(ROWS($O$2:O525),$O$2:$O$1001,0),0), INDEX($V$1004:$AE$1004,1,MATCH(COLUMNS($V$1006:X1006),$V$1006:$AE$1006,0)))),"Fix")))</f>
        <v>0</v>
      </c>
      <c r="E525" s="3">
        <f>IF(OR(INDEX($P$2:$P$1001,MATCH(ROWS($O$2:O525),$O$2:$O$1001,0),1)&gt;=100000,INDEX($V$1005:$AE$1005,1,MATCH(COLUMNS($V$1006:Y1006),$V$1006:$AE$1006,0))&gt;=100000), " ",IF(INDEX($V$2:$AE$1001,MATCH(ROWS($O$2:O525),$O$2:$O$1001,0),MATCH(COLUMNS($V$1006:Y1006),$V$1006:$AE$1006,0)), HYPERLINK("#",""), HYPERLINK(CONCATENATE("#Metadata!", ADDRESS(INDEX($Q$2:$Q$1001,MATCH(ROWS($O$2:O525),$O$2:$O$1001,0),0), INDEX($V$1004:$AE$1004,1,MATCH(COLUMNS($V$1006:Y1006),$V$1006:$AE$1006,0)))),"Fix")))</f>
        <v>0</v>
      </c>
      <c r="F525" s="3">
        <f>IF(OR(INDEX($P$2:$P$1001,MATCH(ROWS($O$2:O525),$O$2:$O$1001,0),1)&gt;=100000,INDEX($V$1005:$AE$1005,1,MATCH(COLUMNS($V$1006:Z1006),$V$1006:$AE$1006,0))&gt;=100000), " ",IF(INDEX($V$2:$AE$1001,MATCH(ROWS($O$2:O525),$O$2:$O$1001,0),MATCH(COLUMNS($V$1006:Z1006),$V$1006:$AE$1006,0)), HYPERLINK("#",""), HYPERLINK(CONCATENATE("#Metadata!", ADDRESS(INDEX($Q$2:$Q$1001,MATCH(ROWS($O$2:O525),$O$2:$O$1001,0),0), INDEX($V$1004:$AE$1004,1,MATCH(COLUMNS($V$1006:Z1006),$V$1006:$AE$1006,0)))),"Fix")))</f>
        <v>0</v>
      </c>
      <c r="G525" s="3">
        <f>IF(OR(INDEX($P$2:$P$1001,MATCH(ROWS($O$2:O525),$O$2:$O$1001,0),1)&gt;=100000,INDEX($V$1005:$AE$1005,1,MATCH(COLUMNS($V$1006:AA1006),$V$1006:$AE$1006,0))&gt;=100000), " ",IF(INDEX($V$2:$AE$1001,MATCH(ROWS($O$2:O525),$O$2:$O$1001,0),MATCH(COLUMNS($V$1006:AA1006),$V$1006:$AE$1006,0)), HYPERLINK("#",""), HYPERLINK(CONCATENATE("#Metadata!", ADDRESS(INDEX($Q$2:$Q$1001,MATCH(ROWS($O$2:O525),$O$2:$O$1001,0),0), INDEX($V$1004:$AE$1004,1,MATCH(COLUMNS($V$1006:AA1006),$V$1006:$AE$1006,0)))),"Fix")))</f>
        <v>0</v>
      </c>
      <c r="H525" s="3">
        <f>IF(OR(INDEX($P$2:$P$1001,MATCH(ROWS($O$2:O525),$O$2:$O$1001,0),1)&gt;=100000,INDEX($V$1005:$AE$1005,1,MATCH(COLUMNS($V$1006:AB1006),$V$1006:$AE$1006,0))&gt;=100000), " ",IF(INDEX($V$2:$AE$1001,MATCH(ROWS($O$2:O525),$O$2:$O$1001,0),MATCH(COLUMNS($V$1006:AB1006),$V$1006:$AE$1006,0)), HYPERLINK("#",""), HYPERLINK(CONCATENATE("#Metadata!", ADDRESS(INDEX($Q$2:$Q$1001,MATCH(ROWS($O$2:O525),$O$2:$O$1001,0),0), INDEX($V$1004:$AE$1004,1,MATCH(COLUMNS($V$1006:AB1006),$V$1006:$AE$1006,0)))),"Fix")))</f>
        <v>0</v>
      </c>
      <c r="I525" s="3">
        <f>IF(OR(INDEX($P$2:$P$1001,MATCH(ROWS($O$2:O525),$O$2:$O$1001,0),1)&gt;=100000,INDEX($V$1005:$AE$1005,1,MATCH(COLUMNS($V$1006:AC1006),$V$1006:$AE$1006,0))&gt;=100000), " ",IF(INDEX($V$2:$AE$1001,MATCH(ROWS($O$2:O525),$O$2:$O$1001,0),MATCH(COLUMNS($V$1006:AC1006),$V$1006:$AE$1006,0)), HYPERLINK("#",""), HYPERLINK(CONCATENATE("#Metadata!", ADDRESS(INDEX($Q$2:$Q$1001,MATCH(ROWS($O$2:O525),$O$2:$O$1001,0),0), INDEX($V$1004:$AE$1004,1,MATCH(COLUMNS($V$1006:AC1006),$V$1006:$AE$1006,0)))),"Fix")))</f>
        <v>0</v>
      </c>
      <c r="J525" s="3">
        <f>IF(OR(INDEX($P$2:$P$1001,MATCH(ROWS($O$2:O525),$O$2:$O$1001,0),1)&gt;=100000,INDEX($V$1005:$AE$1005,1,MATCH(COLUMNS($V$1006:AD1006),$V$1006:$AE$1006,0))&gt;=100000), " ",IF(INDEX($V$2:$AE$1001,MATCH(ROWS($O$2:O525),$O$2:$O$1001,0),MATCH(COLUMNS($V$1006:AD1006),$V$1006:$AE$1006,0)), HYPERLINK("#",""), HYPERLINK(CONCATENATE("#Metadata!", ADDRESS(INDEX($Q$2:$Q$1001,MATCH(ROWS($O$2:O525),$O$2:$O$1001,0),0), INDEX($V$1004:$AE$1004,1,MATCH(COLUMNS($V$1006:AD1006),$V$1006:$AE$1006,0)))),"Fix")))</f>
        <v>0</v>
      </c>
      <c r="K525" s="3">
        <f>IF(OR(INDEX($P$2:$P$1001,MATCH(ROWS($O$2:O525),$O$2:$O$1001,0),1)&gt;=100000,INDEX($V$1005:$AE$1005,1,MATCH(COLUMNS($V$1006:AE1006),$V$1006:$AE$1006,0))&gt;=100000), " ",IF(INDEX($V$2:$AE$1001,MATCH(ROWS($O$2:O525),$O$2:$O$1001,0),MATCH(COLUMNS($V$1006:AE1006),$V$1006:$AE$1006,0)), HYPERLINK("#",""), HYPERLINK(CONCATENATE("#Metadata!", ADDRESS(INDEX($Q$2:$Q$1001,MATCH(ROWS($O$2:O525),$O$2:$O$1001,0),0), INDEX($V$1004:$AE$1004,1,MATCH(COLUMNS($V$1006:AE1006),$V$1006:$AE$1006,0)))),"Fix")))</f>
        <v>0</v>
      </c>
      <c r="O525">
        <v>0</v>
      </c>
      <c r="P525">
        <v>0</v>
      </c>
      <c r="Q525">
        <v>0</v>
      </c>
      <c r="R525">
        <f>IF(S525,TRUE,AND(V525:AE525))</f>
        <v>0</v>
      </c>
      <c r="S525">
        <f>COUNTBLANK(Metadata!B525:K525)=COLUMNS(Metadata!B525:K525)</f>
        <v>0</v>
      </c>
      <c r="T525">
        <v>0</v>
      </c>
      <c r="V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W525">
        <f>AND(IF(Metadata!C525="",FALSE,TRUE),exact(Metadata!C525,"animal secretion"))</f>
        <v>0</v>
      </c>
      <c r="X525">
        <f>AND(IF(Metadata!D525="",FALSE,TRUE),exact(Metadata!D525,"saliva"))</f>
        <v>0</v>
      </c>
      <c r="Y525">
        <f>AND(IF(Metadata!E525="",FALSE,TRUE),exact(Metadata!E525,"human-oral"))</f>
        <v>0</v>
      </c>
      <c r="Z525">
        <f>AND(IF(Metadata!F525="",FALSE,TRUE),exact(Metadata!F525,"UBERON:oral cavity"))</f>
        <v>0</v>
      </c>
      <c r="AA525">
        <f>AND(IF(Metadata!G525="",FALSE,TRUE),exact(Metadata!G525,"UBERON:saliva"))</f>
        <v>0</v>
      </c>
      <c r="AB525">
        <f>AND(IF(Metadata!H525="",FALSE,TRUE),exact(Metadata!H525,"UBERON:tongue"))</f>
        <v>0</v>
      </c>
      <c r="AC525">
        <f>AND(IF(Metadata!I525="",FALSE,TRUE),exact(Metadata!I525,"tongue"))</f>
        <v>0</v>
      </c>
      <c r="AD525">
        <f>AND(IF(Metadata!J525="",FALSE,TRUE),exact(Metadata!J525,"human oral metagenome"))</f>
        <v>0</v>
      </c>
      <c r="AE525">
        <f>AND(IF(Metadata!K525="",FALSE,TRUE),exact(Metadata!K525,"447426"))</f>
        <v>0</v>
      </c>
    </row>
    <row r="526" spans="1:31">
      <c r="A526" s="4">
        <f>IF(B526=" "," ",HYPERLINK(CONCATENATE("#metadata!",ADDRESS(INDEX($Q$2:$Q$1001,MATCH(ROWS($O$2:O526),$O$2:$O$1001,0),0),1)),INDEX($T$2:$T$1001,MATCH(ROWS($O$2:O526),$O$2:$O$1001,0),0)))</f>
        <v>0</v>
      </c>
      <c r="B526" s="3">
        <f>IF(OR(INDEX($P$2:$P$1001,MATCH(ROWS($O$2:O526),$O$2:$O$1001,0),1)&gt;=100000,INDEX($V$1005:$AE$1005,1,MATCH(COLUMNS($V$1006:V1006),$V$1006:$AE$1006,0))&gt;=100000), " ",IF(INDEX($V$2:$AE$1001,MATCH(ROWS($O$2:O526),$O$2:$O$1001,0),MATCH(COLUMNS($V$1006:V1006),$V$1006:$AE$1006,0)), HYPERLINK("#",""), HYPERLINK(CONCATENATE("#Metadata!", ADDRESS(INDEX($Q$2:$Q$1001,MATCH(ROWS($O$2:O526),$O$2:$O$1001,0),0), INDEX($V$1004:$AE$1004,1,MATCH(COLUMNS($V$1006:V1006),$V$1006:$AE$1006,0)))),"Fix")))</f>
        <v>0</v>
      </c>
      <c r="C526" s="3">
        <f>IF(OR(INDEX($P$2:$P$1001,MATCH(ROWS($O$2:O526),$O$2:$O$1001,0),1)&gt;=100000,INDEX($V$1005:$AE$1005,1,MATCH(COLUMNS($V$1006:W1006),$V$1006:$AE$1006,0))&gt;=100000), " ",IF(INDEX($V$2:$AE$1001,MATCH(ROWS($O$2:O526),$O$2:$O$1001,0),MATCH(COLUMNS($V$1006:W1006),$V$1006:$AE$1006,0)), HYPERLINK("#",""), HYPERLINK(CONCATENATE("#Metadata!", ADDRESS(INDEX($Q$2:$Q$1001,MATCH(ROWS($O$2:O526),$O$2:$O$1001,0),0), INDEX($V$1004:$AE$1004,1,MATCH(COLUMNS($V$1006:W1006),$V$1006:$AE$1006,0)))),"Fix")))</f>
        <v>0</v>
      </c>
      <c r="D526" s="3">
        <f>IF(OR(INDEX($P$2:$P$1001,MATCH(ROWS($O$2:O526),$O$2:$O$1001,0),1)&gt;=100000,INDEX($V$1005:$AE$1005,1,MATCH(COLUMNS($V$1006:X1006),$V$1006:$AE$1006,0))&gt;=100000), " ",IF(INDEX($V$2:$AE$1001,MATCH(ROWS($O$2:O526),$O$2:$O$1001,0),MATCH(COLUMNS($V$1006:X1006),$V$1006:$AE$1006,0)), HYPERLINK("#",""), HYPERLINK(CONCATENATE("#Metadata!", ADDRESS(INDEX($Q$2:$Q$1001,MATCH(ROWS($O$2:O526),$O$2:$O$1001,0),0), INDEX($V$1004:$AE$1004,1,MATCH(COLUMNS($V$1006:X1006),$V$1006:$AE$1006,0)))),"Fix")))</f>
        <v>0</v>
      </c>
      <c r="E526" s="3">
        <f>IF(OR(INDEX($P$2:$P$1001,MATCH(ROWS($O$2:O526),$O$2:$O$1001,0),1)&gt;=100000,INDEX($V$1005:$AE$1005,1,MATCH(COLUMNS($V$1006:Y1006),$V$1006:$AE$1006,0))&gt;=100000), " ",IF(INDEX($V$2:$AE$1001,MATCH(ROWS($O$2:O526),$O$2:$O$1001,0),MATCH(COLUMNS($V$1006:Y1006),$V$1006:$AE$1006,0)), HYPERLINK("#",""), HYPERLINK(CONCATENATE("#Metadata!", ADDRESS(INDEX($Q$2:$Q$1001,MATCH(ROWS($O$2:O526),$O$2:$O$1001,0),0), INDEX($V$1004:$AE$1004,1,MATCH(COLUMNS($V$1006:Y1006),$V$1006:$AE$1006,0)))),"Fix")))</f>
        <v>0</v>
      </c>
      <c r="F526" s="3">
        <f>IF(OR(INDEX($P$2:$P$1001,MATCH(ROWS($O$2:O526),$O$2:$O$1001,0),1)&gt;=100000,INDEX($V$1005:$AE$1005,1,MATCH(COLUMNS($V$1006:Z1006),$V$1006:$AE$1006,0))&gt;=100000), " ",IF(INDEX($V$2:$AE$1001,MATCH(ROWS($O$2:O526),$O$2:$O$1001,0),MATCH(COLUMNS($V$1006:Z1006),$V$1006:$AE$1006,0)), HYPERLINK("#",""), HYPERLINK(CONCATENATE("#Metadata!", ADDRESS(INDEX($Q$2:$Q$1001,MATCH(ROWS($O$2:O526),$O$2:$O$1001,0),0), INDEX($V$1004:$AE$1004,1,MATCH(COLUMNS($V$1006:Z1006),$V$1006:$AE$1006,0)))),"Fix")))</f>
        <v>0</v>
      </c>
      <c r="G526" s="3">
        <f>IF(OR(INDEX($P$2:$P$1001,MATCH(ROWS($O$2:O526),$O$2:$O$1001,0),1)&gt;=100000,INDEX($V$1005:$AE$1005,1,MATCH(COLUMNS($V$1006:AA1006),$V$1006:$AE$1006,0))&gt;=100000), " ",IF(INDEX($V$2:$AE$1001,MATCH(ROWS($O$2:O526),$O$2:$O$1001,0),MATCH(COLUMNS($V$1006:AA1006),$V$1006:$AE$1006,0)), HYPERLINK("#",""), HYPERLINK(CONCATENATE("#Metadata!", ADDRESS(INDEX($Q$2:$Q$1001,MATCH(ROWS($O$2:O526),$O$2:$O$1001,0),0), INDEX($V$1004:$AE$1004,1,MATCH(COLUMNS($V$1006:AA1006),$V$1006:$AE$1006,0)))),"Fix")))</f>
        <v>0</v>
      </c>
      <c r="H526" s="3">
        <f>IF(OR(INDEX($P$2:$P$1001,MATCH(ROWS($O$2:O526),$O$2:$O$1001,0),1)&gt;=100000,INDEX($V$1005:$AE$1005,1,MATCH(COLUMNS($V$1006:AB1006),$V$1006:$AE$1006,0))&gt;=100000), " ",IF(INDEX($V$2:$AE$1001,MATCH(ROWS($O$2:O526),$O$2:$O$1001,0),MATCH(COLUMNS($V$1006:AB1006),$V$1006:$AE$1006,0)), HYPERLINK("#",""), HYPERLINK(CONCATENATE("#Metadata!", ADDRESS(INDEX($Q$2:$Q$1001,MATCH(ROWS($O$2:O526),$O$2:$O$1001,0),0), INDEX($V$1004:$AE$1004,1,MATCH(COLUMNS($V$1006:AB1006),$V$1006:$AE$1006,0)))),"Fix")))</f>
        <v>0</v>
      </c>
      <c r="I526" s="3">
        <f>IF(OR(INDEX($P$2:$P$1001,MATCH(ROWS($O$2:O526),$O$2:$O$1001,0),1)&gt;=100000,INDEX($V$1005:$AE$1005,1,MATCH(COLUMNS($V$1006:AC1006),$V$1006:$AE$1006,0))&gt;=100000), " ",IF(INDEX($V$2:$AE$1001,MATCH(ROWS($O$2:O526),$O$2:$O$1001,0),MATCH(COLUMNS($V$1006:AC1006),$V$1006:$AE$1006,0)), HYPERLINK("#",""), HYPERLINK(CONCATENATE("#Metadata!", ADDRESS(INDEX($Q$2:$Q$1001,MATCH(ROWS($O$2:O526),$O$2:$O$1001,0),0), INDEX($V$1004:$AE$1004,1,MATCH(COLUMNS($V$1006:AC1006),$V$1006:$AE$1006,0)))),"Fix")))</f>
        <v>0</v>
      </c>
      <c r="J526" s="3">
        <f>IF(OR(INDEX($P$2:$P$1001,MATCH(ROWS($O$2:O526),$O$2:$O$1001,0),1)&gt;=100000,INDEX($V$1005:$AE$1005,1,MATCH(COLUMNS($V$1006:AD1006),$V$1006:$AE$1006,0))&gt;=100000), " ",IF(INDEX($V$2:$AE$1001,MATCH(ROWS($O$2:O526),$O$2:$O$1001,0),MATCH(COLUMNS($V$1006:AD1006),$V$1006:$AE$1006,0)), HYPERLINK("#",""), HYPERLINK(CONCATENATE("#Metadata!", ADDRESS(INDEX($Q$2:$Q$1001,MATCH(ROWS($O$2:O526),$O$2:$O$1001,0),0), INDEX($V$1004:$AE$1004,1,MATCH(COLUMNS($V$1006:AD1006),$V$1006:$AE$1006,0)))),"Fix")))</f>
        <v>0</v>
      </c>
      <c r="K526" s="3">
        <f>IF(OR(INDEX($P$2:$P$1001,MATCH(ROWS($O$2:O526),$O$2:$O$1001,0),1)&gt;=100000,INDEX($V$1005:$AE$1005,1,MATCH(COLUMNS($V$1006:AE1006),$V$1006:$AE$1006,0))&gt;=100000), " ",IF(INDEX($V$2:$AE$1001,MATCH(ROWS($O$2:O526),$O$2:$O$1001,0),MATCH(COLUMNS($V$1006:AE1006),$V$1006:$AE$1006,0)), HYPERLINK("#",""), HYPERLINK(CONCATENATE("#Metadata!", ADDRESS(INDEX($Q$2:$Q$1001,MATCH(ROWS($O$2:O526),$O$2:$O$1001,0),0), INDEX($V$1004:$AE$1004,1,MATCH(COLUMNS($V$1006:AE1006),$V$1006:$AE$1006,0)))),"Fix")))</f>
        <v>0</v>
      </c>
      <c r="O526">
        <v>0</v>
      </c>
      <c r="P526">
        <v>0</v>
      </c>
      <c r="Q526">
        <v>0</v>
      </c>
      <c r="R526">
        <f>IF(S526,TRUE,AND(V526:AE526))</f>
        <v>0</v>
      </c>
      <c r="S526">
        <f>COUNTBLANK(Metadata!B526:K526)=COLUMNS(Metadata!B526:K526)</f>
        <v>0</v>
      </c>
      <c r="T526">
        <v>0</v>
      </c>
      <c r="V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W526">
        <f>AND(IF(Metadata!C526="",FALSE,TRUE),exact(Metadata!C526,"animal secretion"))</f>
        <v>0</v>
      </c>
      <c r="X526">
        <f>AND(IF(Metadata!D526="",FALSE,TRUE),exact(Metadata!D526,"saliva"))</f>
        <v>0</v>
      </c>
      <c r="Y526">
        <f>AND(IF(Metadata!E526="",FALSE,TRUE),exact(Metadata!E526,"human-oral"))</f>
        <v>0</v>
      </c>
      <c r="Z526">
        <f>AND(IF(Metadata!F526="",FALSE,TRUE),exact(Metadata!F526,"UBERON:oral cavity"))</f>
        <v>0</v>
      </c>
      <c r="AA526">
        <f>AND(IF(Metadata!G526="",FALSE,TRUE),exact(Metadata!G526,"UBERON:saliva"))</f>
        <v>0</v>
      </c>
      <c r="AB526">
        <f>AND(IF(Metadata!H526="",FALSE,TRUE),exact(Metadata!H526,"UBERON:tongue"))</f>
        <v>0</v>
      </c>
      <c r="AC526">
        <f>AND(IF(Metadata!I526="",FALSE,TRUE),exact(Metadata!I526,"tongue"))</f>
        <v>0</v>
      </c>
      <c r="AD526">
        <f>AND(IF(Metadata!J526="",FALSE,TRUE),exact(Metadata!J526,"human oral metagenome"))</f>
        <v>0</v>
      </c>
      <c r="AE526">
        <f>AND(IF(Metadata!K526="",FALSE,TRUE),exact(Metadata!K526,"447426"))</f>
        <v>0</v>
      </c>
    </row>
    <row r="527" spans="1:31">
      <c r="A527" s="4">
        <f>IF(B527=" "," ",HYPERLINK(CONCATENATE("#metadata!",ADDRESS(INDEX($Q$2:$Q$1001,MATCH(ROWS($O$2:O527),$O$2:$O$1001,0),0),1)),INDEX($T$2:$T$1001,MATCH(ROWS($O$2:O527),$O$2:$O$1001,0),0)))</f>
        <v>0</v>
      </c>
      <c r="B527" s="3">
        <f>IF(OR(INDEX($P$2:$P$1001,MATCH(ROWS($O$2:O527),$O$2:$O$1001,0),1)&gt;=100000,INDEX($V$1005:$AE$1005,1,MATCH(COLUMNS($V$1006:V1006),$V$1006:$AE$1006,0))&gt;=100000), " ",IF(INDEX($V$2:$AE$1001,MATCH(ROWS($O$2:O527),$O$2:$O$1001,0),MATCH(COLUMNS($V$1006:V1006),$V$1006:$AE$1006,0)), HYPERLINK("#",""), HYPERLINK(CONCATENATE("#Metadata!", ADDRESS(INDEX($Q$2:$Q$1001,MATCH(ROWS($O$2:O527),$O$2:$O$1001,0),0), INDEX($V$1004:$AE$1004,1,MATCH(COLUMNS($V$1006:V1006),$V$1006:$AE$1006,0)))),"Fix")))</f>
        <v>0</v>
      </c>
      <c r="C527" s="3">
        <f>IF(OR(INDEX($P$2:$P$1001,MATCH(ROWS($O$2:O527),$O$2:$O$1001,0),1)&gt;=100000,INDEX($V$1005:$AE$1005,1,MATCH(COLUMNS($V$1006:W1006),$V$1006:$AE$1006,0))&gt;=100000), " ",IF(INDEX($V$2:$AE$1001,MATCH(ROWS($O$2:O527),$O$2:$O$1001,0),MATCH(COLUMNS($V$1006:W1006),$V$1006:$AE$1006,0)), HYPERLINK("#",""), HYPERLINK(CONCATENATE("#Metadata!", ADDRESS(INDEX($Q$2:$Q$1001,MATCH(ROWS($O$2:O527),$O$2:$O$1001,0),0), INDEX($V$1004:$AE$1004,1,MATCH(COLUMNS($V$1006:W1006),$V$1006:$AE$1006,0)))),"Fix")))</f>
        <v>0</v>
      </c>
      <c r="D527" s="3">
        <f>IF(OR(INDEX($P$2:$P$1001,MATCH(ROWS($O$2:O527),$O$2:$O$1001,0),1)&gt;=100000,INDEX($V$1005:$AE$1005,1,MATCH(COLUMNS($V$1006:X1006),$V$1006:$AE$1006,0))&gt;=100000), " ",IF(INDEX($V$2:$AE$1001,MATCH(ROWS($O$2:O527),$O$2:$O$1001,0),MATCH(COLUMNS($V$1006:X1006),$V$1006:$AE$1006,0)), HYPERLINK("#",""), HYPERLINK(CONCATENATE("#Metadata!", ADDRESS(INDEX($Q$2:$Q$1001,MATCH(ROWS($O$2:O527),$O$2:$O$1001,0),0), INDEX($V$1004:$AE$1004,1,MATCH(COLUMNS($V$1006:X1006),$V$1006:$AE$1006,0)))),"Fix")))</f>
        <v>0</v>
      </c>
      <c r="E527" s="3">
        <f>IF(OR(INDEX($P$2:$P$1001,MATCH(ROWS($O$2:O527),$O$2:$O$1001,0),1)&gt;=100000,INDEX($V$1005:$AE$1005,1,MATCH(COLUMNS($V$1006:Y1006),$V$1006:$AE$1006,0))&gt;=100000), " ",IF(INDEX($V$2:$AE$1001,MATCH(ROWS($O$2:O527),$O$2:$O$1001,0),MATCH(COLUMNS($V$1006:Y1006),$V$1006:$AE$1006,0)), HYPERLINK("#",""), HYPERLINK(CONCATENATE("#Metadata!", ADDRESS(INDEX($Q$2:$Q$1001,MATCH(ROWS($O$2:O527),$O$2:$O$1001,0),0), INDEX($V$1004:$AE$1004,1,MATCH(COLUMNS($V$1006:Y1006),$V$1006:$AE$1006,0)))),"Fix")))</f>
        <v>0</v>
      </c>
      <c r="F527" s="3">
        <f>IF(OR(INDEX($P$2:$P$1001,MATCH(ROWS($O$2:O527),$O$2:$O$1001,0),1)&gt;=100000,INDEX($V$1005:$AE$1005,1,MATCH(COLUMNS($V$1006:Z1006),$V$1006:$AE$1006,0))&gt;=100000), " ",IF(INDEX($V$2:$AE$1001,MATCH(ROWS($O$2:O527),$O$2:$O$1001,0),MATCH(COLUMNS($V$1006:Z1006),$V$1006:$AE$1006,0)), HYPERLINK("#",""), HYPERLINK(CONCATENATE("#Metadata!", ADDRESS(INDEX($Q$2:$Q$1001,MATCH(ROWS($O$2:O527),$O$2:$O$1001,0),0), INDEX($V$1004:$AE$1004,1,MATCH(COLUMNS($V$1006:Z1006),$V$1006:$AE$1006,0)))),"Fix")))</f>
        <v>0</v>
      </c>
      <c r="G527" s="3">
        <f>IF(OR(INDEX($P$2:$P$1001,MATCH(ROWS($O$2:O527),$O$2:$O$1001,0),1)&gt;=100000,INDEX($V$1005:$AE$1005,1,MATCH(COLUMNS($V$1006:AA1006),$V$1006:$AE$1006,0))&gt;=100000), " ",IF(INDEX($V$2:$AE$1001,MATCH(ROWS($O$2:O527),$O$2:$O$1001,0),MATCH(COLUMNS($V$1006:AA1006),$V$1006:$AE$1006,0)), HYPERLINK("#",""), HYPERLINK(CONCATENATE("#Metadata!", ADDRESS(INDEX($Q$2:$Q$1001,MATCH(ROWS($O$2:O527),$O$2:$O$1001,0),0), INDEX($V$1004:$AE$1004,1,MATCH(COLUMNS($V$1006:AA1006),$V$1006:$AE$1006,0)))),"Fix")))</f>
        <v>0</v>
      </c>
      <c r="H527" s="3">
        <f>IF(OR(INDEX($P$2:$P$1001,MATCH(ROWS($O$2:O527),$O$2:$O$1001,0),1)&gt;=100000,INDEX($V$1005:$AE$1005,1,MATCH(COLUMNS($V$1006:AB1006),$V$1006:$AE$1006,0))&gt;=100000), " ",IF(INDEX($V$2:$AE$1001,MATCH(ROWS($O$2:O527),$O$2:$O$1001,0),MATCH(COLUMNS($V$1006:AB1006),$V$1006:$AE$1006,0)), HYPERLINK("#",""), HYPERLINK(CONCATENATE("#Metadata!", ADDRESS(INDEX($Q$2:$Q$1001,MATCH(ROWS($O$2:O527),$O$2:$O$1001,0),0), INDEX($V$1004:$AE$1004,1,MATCH(COLUMNS($V$1006:AB1006),$V$1006:$AE$1006,0)))),"Fix")))</f>
        <v>0</v>
      </c>
      <c r="I527" s="3">
        <f>IF(OR(INDEX($P$2:$P$1001,MATCH(ROWS($O$2:O527),$O$2:$O$1001,0),1)&gt;=100000,INDEX($V$1005:$AE$1005,1,MATCH(COLUMNS($V$1006:AC1006),$V$1006:$AE$1006,0))&gt;=100000), " ",IF(INDEX($V$2:$AE$1001,MATCH(ROWS($O$2:O527),$O$2:$O$1001,0),MATCH(COLUMNS($V$1006:AC1006),$V$1006:$AE$1006,0)), HYPERLINK("#",""), HYPERLINK(CONCATENATE("#Metadata!", ADDRESS(INDEX($Q$2:$Q$1001,MATCH(ROWS($O$2:O527),$O$2:$O$1001,0),0), INDEX($V$1004:$AE$1004,1,MATCH(COLUMNS($V$1006:AC1006),$V$1006:$AE$1006,0)))),"Fix")))</f>
        <v>0</v>
      </c>
      <c r="J527" s="3">
        <f>IF(OR(INDEX($P$2:$P$1001,MATCH(ROWS($O$2:O527),$O$2:$O$1001,0),1)&gt;=100000,INDEX($V$1005:$AE$1005,1,MATCH(COLUMNS($V$1006:AD1006),$V$1006:$AE$1006,0))&gt;=100000), " ",IF(INDEX($V$2:$AE$1001,MATCH(ROWS($O$2:O527),$O$2:$O$1001,0),MATCH(COLUMNS($V$1006:AD1006),$V$1006:$AE$1006,0)), HYPERLINK("#",""), HYPERLINK(CONCATENATE("#Metadata!", ADDRESS(INDEX($Q$2:$Q$1001,MATCH(ROWS($O$2:O527),$O$2:$O$1001,0),0), INDEX($V$1004:$AE$1004,1,MATCH(COLUMNS($V$1006:AD1006),$V$1006:$AE$1006,0)))),"Fix")))</f>
        <v>0</v>
      </c>
      <c r="K527" s="3">
        <f>IF(OR(INDEX($P$2:$P$1001,MATCH(ROWS($O$2:O527),$O$2:$O$1001,0),1)&gt;=100000,INDEX($V$1005:$AE$1005,1,MATCH(COLUMNS($V$1006:AE1006),$V$1006:$AE$1006,0))&gt;=100000), " ",IF(INDEX($V$2:$AE$1001,MATCH(ROWS($O$2:O527),$O$2:$O$1001,0),MATCH(COLUMNS($V$1006:AE1006),$V$1006:$AE$1006,0)), HYPERLINK("#",""), HYPERLINK(CONCATENATE("#Metadata!", ADDRESS(INDEX($Q$2:$Q$1001,MATCH(ROWS($O$2:O527),$O$2:$O$1001,0),0), INDEX($V$1004:$AE$1004,1,MATCH(COLUMNS($V$1006:AE1006),$V$1006:$AE$1006,0)))),"Fix")))</f>
        <v>0</v>
      </c>
      <c r="O527">
        <v>0</v>
      </c>
      <c r="P527">
        <v>0</v>
      </c>
      <c r="Q527">
        <v>0</v>
      </c>
      <c r="R527">
        <f>IF(S527,TRUE,AND(V527:AE527))</f>
        <v>0</v>
      </c>
      <c r="S527">
        <f>COUNTBLANK(Metadata!B527:K527)=COLUMNS(Metadata!B527:K527)</f>
        <v>0</v>
      </c>
      <c r="T527">
        <v>0</v>
      </c>
      <c r="V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W527">
        <f>AND(IF(Metadata!C527="",FALSE,TRUE),exact(Metadata!C527,"animal secretion"))</f>
        <v>0</v>
      </c>
      <c r="X527">
        <f>AND(IF(Metadata!D527="",FALSE,TRUE),exact(Metadata!D527,"saliva"))</f>
        <v>0</v>
      </c>
      <c r="Y527">
        <f>AND(IF(Metadata!E527="",FALSE,TRUE),exact(Metadata!E527,"human-oral"))</f>
        <v>0</v>
      </c>
      <c r="Z527">
        <f>AND(IF(Metadata!F527="",FALSE,TRUE),exact(Metadata!F527,"UBERON:oral cavity"))</f>
        <v>0</v>
      </c>
      <c r="AA527">
        <f>AND(IF(Metadata!G527="",FALSE,TRUE),exact(Metadata!G527,"UBERON:saliva"))</f>
        <v>0</v>
      </c>
      <c r="AB527">
        <f>AND(IF(Metadata!H527="",FALSE,TRUE),exact(Metadata!H527,"UBERON:tongue"))</f>
        <v>0</v>
      </c>
      <c r="AC527">
        <f>AND(IF(Metadata!I527="",FALSE,TRUE),exact(Metadata!I527,"tongue"))</f>
        <v>0</v>
      </c>
      <c r="AD527">
        <f>AND(IF(Metadata!J527="",FALSE,TRUE),exact(Metadata!J527,"human oral metagenome"))</f>
        <v>0</v>
      </c>
      <c r="AE527">
        <f>AND(IF(Metadata!K527="",FALSE,TRUE),exact(Metadata!K527,"447426"))</f>
        <v>0</v>
      </c>
    </row>
    <row r="528" spans="1:31">
      <c r="A528" s="4">
        <f>IF(B528=" "," ",HYPERLINK(CONCATENATE("#metadata!",ADDRESS(INDEX($Q$2:$Q$1001,MATCH(ROWS($O$2:O528),$O$2:$O$1001,0),0),1)),INDEX($T$2:$T$1001,MATCH(ROWS($O$2:O528),$O$2:$O$1001,0),0)))</f>
        <v>0</v>
      </c>
      <c r="B528" s="3">
        <f>IF(OR(INDEX($P$2:$P$1001,MATCH(ROWS($O$2:O528),$O$2:$O$1001,0),1)&gt;=100000,INDEX($V$1005:$AE$1005,1,MATCH(COLUMNS($V$1006:V1006),$V$1006:$AE$1006,0))&gt;=100000), " ",IF(INDEX($V$2:$AE$1001,MATCH(ROWS($O$2:O528),$O$2:$O$1001,0),MATCH(COLUMNS($V$1006:V1006),$V$1006:$AE$1006,0)), HYPERLINK("#",""), HYPERLINK(CONCATENATE("#Metadata!", ADDRESS(INDEX($Q$2:$Q$1001,MATCH(ROWS($O$2:O528),$O$2:$O$1001,0),0), INDEX($V$1004:$AE$1004,1,MATCH(COLUMNS($V$1006:V1006),$V$1006:$AE$1006,0)))),"Fix")))</f>
        <v>0</v>
      </c>
      <c r="C528" s="3">
        <f>IF(OR(INDEX($P$2:$P$1001,MATCH(ROWS($O$2:O528),$O$2:$O$1001,0),1)&gt;=100000,INDEX($V$1005:$AE$1005,1,MATCH(COLUMNS($V$1006:W1006),$V$1006:$AE$1006,0))&gt;=100000), " ",IF(INDEX($V$2:$AE$1001,MATCH(ROWS($O$2:O528),$O$2:$O$1001,0),MATCH(COLUMNS($V$1006:W1006),$V$1006:$AE$1006,0)), HYPERLINK("#",""), HYPERLINK(CONCATENATE("#Metadata!", ADDRESS(INDEX($Q$2:$Q$1001,MATCH(ROWS($O$2:O528),$O$2:$O$1001,0),0), INDEX($V$1004:$AE$1004,1,MATCH(COLUMNS($V$1006:W1006),$V$1006:$AE$1006,0)))),"Fix")))</f>
        <v>0</v>
      </c>
      <c r="D528" s="3">
        <f>IF(OR(INDEX($P$2:$P$1001,MATCH(ROWS($O$2:O528),$O$2:$O$1001,0),1)&gt;=100000,INDEX($V$1005:$AE$1005,1,MATCH(COLUMNS($V$1006:X1006),$V$1006:$AE$1006,0))&gt;=100000), " ",IF(INDEX($V$2:$AE$1001,MATCH(ROWS($O$2:O528),$O$2:$O$1001,0),MATCH(COLUMNS($V$1006:X1006),$V$1006:$AE$1006,0)), HYPERLINK("#",""), HYPERLINK(CONCATENATE("#Metadata!", ADDRESS(INDEX($Q$2:$Q$1001,MATCH(ROWS($O$2:O528),$O$2:$O$1001,0),0), INDEX($V$1004:$AE$1004,1,MATCH(COLUMNS($V$1006:X1006),$V$1006:$AE$1006,0)))),"Fix")))</f>
        <v>0</v>
      </c>
      <c r="E528" s="3">
        <f>IF(OR(INDEX($P$2:$P$1001,MATCH(ROWS($O$2:O528),$O$2:$O$1001,0),1)&gt;=100000,INDEX($V$1005:$AE$1005,1,MATCH(COLUMNS($V$1006:Y1006),$V$1006:$AE$1006,0))&gt;=100000), " ",IF(INDEX($V$2:$AE$1001,MATCH(ROWS($O$2:O528),$O$2:$O$1001,0),MATCH(COLUMNS($V$1006:Y1006),$V$1006:$AE$1006,0)), HYPERLINK("#",""), HYPERLINK(CONCATENATE("#Metadata!", ADDRESS(INDEX($Q$2:$Q$1001,MATCH(ROWS($O$2:O528),$O$2:$O$1001,0),0), INDEX($V$1004:$AE$1004,1,MATCH(COLUMNS($V$1006:Y1006),$V$1006:$AE$1006,0)))),"Fix")))</f>
        <v>0</v>
      </c>
      <c r="F528" s="3">
        <f>IF(OR(INDEX($P$2:$P$1001,MATCH(ROWS($O$2:O528),$O$2:$O$1001,0),1)&gt;=100000,INDEX($V$1005:$AE$1005,1,MATCH(COLUMNS($V$1006:Z1006),$V$1006:$AE$1006,0))&gt;=100000), " ",IF(INDEX($V$2:$AE$1001,MATCH(ROWS($O$2:O528),$O$2:$O$1001,0),MATCH(COLUMNS($V$1006:Z1006),$V$1006:$AE$1006,0)), HYPERLINK("#",""), HYPERLINK(CONCATENATE("#Metadata!", ADDRESS(INDEX($Q$2:$Q$1001,MATCH(ROWS($O$2:O528),$O$2:$O$1001,0),0), INDEX($V$1004:$AE$1004,1,MATCH(COLUMNS($V$1006:Z1006),$V$1006:$AE$1006,0)))),"Fix")))</f>
        <v>0</v>
      </c>
      <c r="G528" s="3">
        <f>IF(OR(INDEX($P$2:$P$1001,MATCH(ROWS($O$2:O528),$O$2:$O$1001,0),1)&gt;=100000,INDEX($V$1005:$AE$1005,1,MATCH(COLUMNS($V$1006:AA1006),$V$1006:$AE$1006,0))&gt;=100000), " ",IF(INDEX($V$2:$AE$1001,MATCH(ROWS($O$2:O528),$O$2:$O$1001,0),MATCH(COLUMNS($V$1006:AA1006),$V$1006:$AE$1006,0)), HYPERLINK("#",""), HYPERLINK(CONCATENATE("#Metadata!", ADDRESS(INDEX($Q$2:$Q$1001,MATCH(ROWS($O$2:O528),$O$2:$O$1001,0),0), INDEX($V$1004:$AE$1004,1,MATCH(COLUMNS($V$1006:AA1006),$V$1006:$AE$1006,0)))),"Fix")))</f>
        <v>0</v>
      </c>
      <c r="H528" s="3">
        <f>IF(OR(INDEX($P$2:$P$1001,MATCH(ROWS($O$2:O528),$O$2:$O$1001,0),1)&gt;=100000,INDEX($V$1005:$AE$1005,1,MATCH(COLUMNS($V$1006:AB1006),$V$1006:$AE$1006,0))&gt;=100000), " ",IF(INDEX($V$2:$AE$1001,MATCH(ROWS($O$2:O528),$O$2:$O$1001,0),MATCH(COLUMNS($V$1006:AB1006),$V$1006:$AE$1006,0)), HYPERLINK("#",""), HYPERLINK(CONCATENATE("#Metadata!", ADDRESS(INDEX($Q$2:$Q$1001,MATCH(ROWS($O$2:O528),$O$2:$O$1001,0),0), INDEX($V$1004:$AE$1004,1,MATCH(COLUMNS($V$1006:AB1006),$V$1006:$AE$1006,0)))),"Fix")))</f>
        <v>0</v>
      </c>
      <c r="I528" s="3">
        <f>IF(OR(INDEX($P$2:$P$1001,MATCH(ROWS($O$2:O528),$O$2:$O$1001,0),1)&gt;=100000,INDEX($V$1005:$AE$1005,1,MATCH(COLUMNS($V$1006:AC1006),$V$1006:$AE$1006,0))&gt;=100000), " ",IF(INDEX($V$2:$AE$1001,MATCH(ROWS($O$2:O528),$O$2:$O$1001,0),MATCH(COLUMNS($V$1006:AC1006),$V$1006:$AE$1006,0)), HYPERLINK("#",""), HYPERLINK(CONCATENATE("#Metadata!", ADDRESS(INDEX($Q$2:$Q$1001,MATCH(ROWS($O$2:O528),$O$2:$O$1001,0),0), INDEX($V$1004:$AE$1004,1,MATCH(COLUMNS($V$1006:AC1006),$V$1006:$AE$1006,0)))),"Fix")))</f>
        <v>0</v>
      </c>
      <c r="J528" s="3">
        <f>IF(OR(INDEX($P$2:$P$1001,MATCH(ROWS($O$2:O528),$O$2:$O$1001,0),1)&gt;=100000,INDEX($V$1005:$AE$1005,1,MATCH(COLUMNS($V$1006:AD1006),$V$1006:$AE$1006,0))&gt;=100000), " ",IF(INDEX($V$2:$AE$1001,MATCH(ROWS($O$2:O528),$O$2:$O$1001,0),MATCH(COLUMNS($V$1006:AD1006),$V$1006:$AE$1006,0)), HYPERLINK("#",""), HYPERLINK(CONCATENATE("#Metadata!", ADDRESS(INDEX($Q$2:$Q$1001,MATCH(ROWS($O$2:O528),$O$2:$O$1001,0),0), INDEX($V$1004:$AE$1004,1,MATCH(COLUMNS($V$1006:AD1006),$V$1006:$AE$1006,0)))),"Fix")))</f>
        <v>0</v>
      </c>
      <c r="K528" s="3">
        <f>IF(OR(INDEX($P$2:$P$1001,MATCH(ROWS($O$2:O528),$O$2:$O$1001,0),1)&gt;=100000,INDEX($V$1005:$AE$1005,1,MATCH(COLUMNS($V$1006:AE1006),$V$1006:$AE$1006,0))&gt;=100000), " ",IF(INDEX($V$2:$AE$1001,MATCH(ROWS($O$2:O528),$O$2:$O$1001,0),MATCH(COLUMNS($V$1006:AE1006),$V$1006:$AE$1006,0)), HYPERLINK("#",""), HYPERLINK(CONCATENATE("#Metadata!", ADDRESS(INDEX($Q$2:$Q$1001,MATCH(ROWS($O$2:O528),$O$2:$O$1001,0),0), INDEX($V$1004:$AE$1004,1,MATCH(COLUMNS($V$1006:AE1006),$V$1006:$AE$1006,0)))),"Fix")))</f>
        <v>0</v>
      </c>
      <c r="O528">
        <v>0</v>
      </c>
      <c r="P528">
        <v>0</v>
      </c>
      <c r="Q528">
        <v>0</v>
      </c>
      <c r="R528">
        <f>IF(S528,TRUE,AND(V528:AE528))</f>
        <v>0</v>
      </c>
      <c r="S528">
        <f>COUNTBLANK(Metadata!B528:K528)=COLUMNS(Metadata!B528:K528)</f>
        <v>0</v>
      </c>
      <c r="T528">
        <v>0</v>
      </c>
      <c r="V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W528">
        <f>AND(IF(Metadata!C528="",FALSE,TRUE),exact(Metadata!C528,"animal secretion"))</f>
        <v>0</v>
      </c>
      <c r="X528">
        <f>AND(IF(Metadata!D528="",FALSE,TRUE),exact(Metadata!D528,"saliva"))</f>
        <v>0</v>
      </c>
      <c r="Y528">
        <f>AND(IF(Metadata!E528="",FALSE,TRUE),exact(Metadata!E528,"human-oral"))</f>
        <v>0</v>
      </c>
      <c r="Z528">
        <f>AND(IF(Metadata!F528="",FALSE,TRUE),exact(Metadata!F528,"UBERON:oral cavity"))</f>
        <v>0</v>
      </c>
      <c r="AA528">
        <f>AND(IF(Metadata!G528="",FALSE,TRUE),exact(Metadata!G528,"UBERON:saliva"))</f>
        <v>0</v>
      </c>
      <c r="AB528">
        <f>AND(IF(Metadata!H528="",FALSE,TRUE),exact(Metadata!H528,"UBERON:tongue"))</f>
        <v>0</v>
      </c>
      <c r="AC528">
        <f>AND(IF(Metadata!I528="",FALSE,TRUE),exact(Metadata!I528,"tongue"))</f>
        <v>0</v>
      </c>
      <c r="AD528">
        <f>AND(IF(Metadata!J528="",FALSE,TRUE),exact(Metadata!J528,"human oral metagenome"))</f>
        <v>0</v>
      </c>
      <c r="AE528">
        <f>AND(IF(Metadata!K528="",FALSE,TRUE),exact(Metadata!K528,"447426"))</f>
        <v>0</v>
      </c>
    </row>
    <row r="529" spans="1:31">
      <c r="A529" s="4">
        <f>IF(B529=" "," ",HYPERLINK(CONCATENATE("#metadata!",ADDRESS(INDEX($Q$2:$Q$1001,MATCH(ROWS($O$2:O529),$O$2:$O$1001,0),0),1)),INDEX($T$2:$T$1001,MATCH(ROWS($O$2:O529),$O$2:$O$1001,0),0)))</f>
        <v>0</v>
      </c>
      <c r="B529" s="3">
        <f>IF(OR(INDEX($P$2:$P$1001,MATCH(ROWS($O$2:O529),$O$2:$O$1001,0),1)&gt;=100000,INDEX($V$1005:$AE$1005,1,MATCH(COLUMNS($V$1006:V1006),$V$1006:$AE$1006,0))&gt;=100000), " ",IF(INDEX($V$2:$AE$1001,MATCH(ROWS($O$2:O529),$O$2:$O$1001,0),MATCH(COLUMNS($V$1006:V1006),$V$1006:$AE$1006,0)), HYPERLINK("#",""), HYPERLINK(CONCATENATE("#Metadata!", ADDRESS(INDEX($Q$2:$Q$1001,MATCH(ROWS($O$2:O529),$O$2:$O$1001,0),0), INDEX($V$1004:$AE$1004,1,MATCH(COLUMNS($V$1006:V1006),$V$1006:$AE$1006,0)))),"Fix")))</f>
        <v>0</v>
      </c>
      <c r="C529" s="3">
        <f>IF(OR(INDEX($P$2:$P$1001,MATCH(ROWS($O$2:O529),$O$2:$O$1001,0),1)&gt;=100000,INDEX($V$1005:$AE$1005,1,MATCH(COLUMNS($V$1006:W1006),$V$1006:$AE$1006,0))&gt;=100000), " ",IF(INDEX($V$2:$AE$1001,MATCH(ROWS($O$2:O529),$O$2:$O$1001,0),MATCH(COLUMNS($V$1006:W1006),$V$1006:$AE$1006,0)), HYPERLINK("#",""), HYPERLINK(CONCATENATE("#Metadata!", ADDRESS(INDEX($Q$2:$Q$1001,MATCH(ROWS($O$2:O529),$O$2:$O$1001,0),0), INDEX($V$1004:$AE$1004,1,MATCH(COLUMNS($V$1006:W1006),$V$1006:$AE$1006,0)))),"Fix")))</f>
        <v>0</v>
      </c>
      <c r="D529" s="3">
        <f>IF(OR(INDEX($P$2:$P$1001,MATCH(ROWS($O$2:O529),$O$2:$O$1001,0),1)&gt;=100000,INDEX($V$1005:$AE$1005,1,MATCH(COLUMNS($V$1006:X1006),$V$1006:$AE$1006,0))&gt;=100000), " ",IF(INDEX($V$2:$AE$1001,MATCH(ROWS($O$2:O529),$O$2:$O$1001,0),MATCH(COLUMNS($V$1006:X1006),$V$1006:$AE$1006,0)), HYPERLINK("#",""), HYPERLINK(CONCATENATE("#Metadata!", ADDRESS(INDEX($Q$2:$Q$1001,MATCH(ROWS($O$2:O529),$O$2:$O$1001,0),0), INDEX($V$1004:$AE$1004,1,MATCH(COLUMNS($V$1006:X1006),$V$1006:$AE$1006,0)))),"Fix")))</f>
        <v>0</v>
      </c>
      <c r="E529" s="3">
        <f>IF(OR(INDEX($P$2:$P$1001,MATCH(ROWS($O$2:O529),$O$2:$O$1001,0),1)&gt;=100000,INDEX($V$1005:$AE$1005,1,MATCH(COLUMNS($V$1006:Y1006),$V$1006:$AE$1006,0))&gt;=100000), " ",IF(INDEX($V$2:$AE$1001,MATCH(ROWS($O$2:O529),$O$2:$O$1001,0),MATCH(COLUMNS($V$1006:Y1006),$V$1006:$AE$1006,0)), HYPERLINK("#",""), HYPERLINK(CONCATENATE("#Metadata!", ADDRESS(INDEX($Q$2:$Q$1001,MATCH(ROWS($O$2:O529),$O$2:$O$1001,0),0), INDEX($V$1004:$AE$1004,1,MATCH(COLUMNS($V$1006:Y1006),$V$1006:$AE$1006,0)))),"Fix")))</f>
        <v>0</v>
      </c>
      <c r="F529" s="3">
        <f>IF(OR(INDEX($P$2:$P$1001,MATCH(ROWS($O$2:O529),$O$2:$O$1001,0),1)&gt;=100000,INDEX($V$1005:$AE$1005,1,MATCH(COLUMNS($V$1006:Z1006),$V$1006:$AE$1006,0))&gt;=100000), " ",IF(INDEX($V$2:$AE$1001,MATCH(ROWS($O$2:O529),$O$2:$O$1001,0),MATCH(COLUMNS($V$1006:Z1006),$V$1006:$AE$1006,0)), HYPERLINK("#",""), HYPERLINK(CONCATENATE("#Metadata!", ADDRESS(INDEX($Q$2:$Q$1001,MATCH(ROWS($O$2:O529),$O$2:$O$1001,0),0), INDEX($V$1004:$AE$1004,1,MATCH(COLUMNS($V$1006:Z1006),$V$1006:$AE$1006,0)))),"Fix")))</f>
        <v>0</v>
      </c>
      <c r="G529" s="3">
        <f>IF(OR(INDEX($P$2:$P$1001,MATCH(ROWS($O$2:O529),$O$2:$O$1001,0),1)&gt;=100000,INDEX($V$1005:$AE$1005,1,MATCH(COLUMNS($V$1006:AA1006),$V$1006:$AE$1006,0))&gt;=100000), " ",IF(INDEX($V$2:$AE$1001,MATCH(ROWS($O$2:O529),$O$2:$O$1001,0),MATCH(COLUMNS($V$1006:AA1006),$V$1006:$AE$1006,0)), HYPERLINK("#",""), HYPERLINK(CONCATENATE("#Metadata!", ADDRESS(INDEX($Q$2:$Q$1001,MATCH(ROWS($O$2:O529),$O$2:$O$1001,0),0), INDEX($V$1004:$AE$1004,1,MATCH(COLUMNS($V$1006:AA1006),$V$1006:$AE$1006,0)))),"Fix")))</f>
        <v>0</v>
      </c>
      <c r="H529" s="3">
        <f>IF(OR(INDEX($P$2:$P$1001,MATCH(ROWS($O$2:O529),$O$2:$O$1001,0),1)&gt;=100000,INDEX($V$1005:$AE$1005,1,MATCH(COLUMNS($V$1006:AB1006),$V$1006:$AE$1006,0))&gt;=100000), " ",IF(INDEX($V$2:$AE$1001,MATCH(ROWS($O$2:O529),$O$2:$O$1001,0),MATCH(COLUMNS($V$1006:AB1006),$V$1006:$AE$1006,0)), HYPERLINK("#",""), HYPERLINK(CONCATENATE("#Metadata!", ADDRESS(INDEX($Q$2:$Q$1001,MATCH(ROWS($O$2:O529),$O$2:$O$1001,0),0), INDEX($V$1004:$AE$1004,1,MATCH(COLUMNS($V$1006:AB1006),$V$1006:$AE$1006,0)))),"Fix")))</f>
        <v>0</v>
      </c>
      <c r="I529" s="3">
        <f>IF(OR(INDEX($P$2:$P$1001,MATCH(ROWS($O$2:O529),$O$2:$O$1001,0),1)&gt;=100000,INDEX($V$1005:$AE$1005,1,MATCH(COLUMNS($V$1006:AC1006),$V$1006:$AE$1006,0))&gt;=100000), " ",IF(INDEX($V$2:$AE$1001,MATCH(ROWS($O$2:O529),$O$2:$O$1001,0),MATCH(COLUMNS($V$1006:AC1006),$V$1006:$AE$1006,0)), HYPERLINK("#",""), HYPERLINK(CONCATENATE("#Metadata!", ADDRESS(INDEX($Q$2:$Q$1001,MATCH(ROWS($O$2:O529),$O$2:$O$1001,0),0), INDEX($V$1004:$AE$1004,1,MATCH(COLUMNS($V$1006:AC1006),$V$1006:$AE$1006,0)))),"Fix")))</f>
        <v>0</v>
      </c>
      <c r="J529" s="3">
        <f>IF(OR(INDEX($P$2:$P$1001,MATCH(ROWS($O$2:O529),$O$2:$O$1001,0),1)&gt;=100000,INDEX($V$1005:$AE$1005,1,MATCH(COLUMNS($V$1006:AD1006),$V$1006:$AE$1006,0))&gt;=100000), " ",IF(INDEX($V$2:$AE$1001,MATCH(ROWS($O$2:O529),$O$2:$O$1001,0),MATCH(COLUMNS($V$1006:AD1006),$V$1006:$AE$1006,0)), HYPERLINK("#",""), HYPERLINK(CONCATENATE("#Metadata!", ADDRESS(INDEX($Q$2:$Q$1001,MATCH(ROWS($O$2:O529),$O$2:$O$1001,0),0), INDEX($V$1004:$AE$1004,1,MATCH(COLUMNS($V$1006:AD1006),$V$1006:$AE$1006,0)))),"Fix")))</f>
        <v>0</v>
      </c>
      <c r="K529" s="3">
        <f>IF(OR(INDEX($P$2:$P$1001,MATCH(ROWS($O$2:O529),$O$2:$O$1001,0),1)&gt;=100000,INDEX($V$1005:$AE$1005,1,MATCH(COLUMNS($V$1006:AE1006),$V$1006:$AE$1006,0))&gt;=100000), " ",IF(INDEX($V$2:$AE$1001,MATCH(ROWS($O$2:O529),$O$2:$O$1001,0),MATCH(COLUMNS($V$1006:AE1006),$V$1006:$AE$1006,0)), HYPERLINK("#",""), HYPERLINK(CONCATENATE("#Metadata!", ADDRESS(INDEX($Q$2:$Q$1001,MATCH(ROWS($O$2:O529),$O$2:$O$1001,0),0), INDEX($V$1004:$AE$1004,1,MATCH(COLUMNS($V$1006:AE1006),$V$1006:$AE$1006,0)))),"Fix")))</f>
        <v>0</v>
      </c>
      <c r="O529">
        <v>0</v>
      </c>
      <c r="P529">
        <v>0</v>
      </c>
      <c r="Q529">
        <v>0</v>
      </c>
      <c r="R529">
        <f>IF(S529,TRUE,AND(V529:AE529))</f>
        <v>0</v>
      </c>
      <c r="S529">
        <f>COUNTBLANK(Metadata!B529:K529)=COLUMNS(Metadata!B529:K529)</f>
        <v>0</v>
      </c>
      <c r="T529">
        <v>0</v>
      </c>
      <c r="V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W529">
        <f>AND(IF(Metadata!C529="",FALSE,TRUE),exact(Metadata!C529,"animal secretion"))</f>
        <v>0</v>
      </c>
      <c r="X529">
        <f>AND(IF(Metadata!D529="",FALSE,TRUE),exact(Metadata!D529,"saliva"))</f>
        <v>0</v>
      </c>
      <c r="Y529">
        <f>AND(IF(Metadata!E529="",FALSE,TRUE),exact(Metadata!E529,"human-oral"))</f>
        <v>0</v>
      </c>
      <c r="Z529">
        <f>AND(IF(Metadata!F529="",FALSE,TRUE),exact(Metadata!F529,"UBERON:oral cavity"))</f>
        <v>0</v>
      </c>
      <c r="AA529">
        <f>AND(IF(Metadata!G529="",FALSE,TRUE),exact(Metadata!G529,"UBERON:saliva"))</f>
        <v>0</v>
      </c>
      <c r="AB529">
        <f>AND(IF(Metadata!H529="",FALSE,TRUE),exact(Metadata!H529,"UBERON:tongue"))</f>
        <v>0</v>
      </c>
      <c r="AC529">
        <f>AND(IF(Metadata!I529="",FALSE,TRUE),exact(Metadata!I529,"tongue"))</f>
        <v>0</v>
      </c>
      <c r="AD529">
        <f>AND(IF(Metadata!J529="",FALSE,TRUE),exact(Metadata!J529,"human oral metagenome"))</f>
        <v>0</v>
      </c>
      <c r="AE529">
        <f>AND(IF(Metadata!K529="",FALSE,TRUE),exact(Metadata!K529,"447426"))</f>
        <v>0</v>
      </c>
    </row>
    <row r="530" spans="1:31">
      <c r="A530" s="4">
        <f>IF(B530=" "," ",HYPERLINK(CONCATENATE("#metadata!",ADDRESS(INDEX($Q$2:$Q$1001,MATCH(ROWS($O$2:O530),$O$2:$O$1001,0),0),1)),INDEX($T$2:$T$1001,MATCH(ROWS($O$2:O530),$O$2:$O$1001,0),0)))</f>
        <v>0</v>
      </c>
      <c r="B530" s="3">
        <f>IF(OR(INDEX($P$2:$P$1001,MATCH(ROWS($O$2:O530),$O$2:$O$1001,0),1)&gt;=100000,INDEX($V$1005:$AE$1005,1,MATCH(COLUMNS($V$1006:V1006),$V$1006:$AE$1006,0))&gt;=100000), " ",IF(INDEX($V$2:$AE$1001,MATCH(ROWS($O$2:O530),$O$2:$O$1001,0),MATCH(COLUMNS($V$1006:V1006),$V$1006:$AE$1006,0)), HYPERLINK("#",""), HYPERLINK(CONCATENATE("#Metadata!", ADDRESS(INDEX($Q$2:$Q$1001,MATCH(ROWS($O$2:O530),$O$2:$O$1001,0),0), INDEX($V$1004:$AE$1004,1,MATCH(COLUMNS($V$1006:V1006),$V$1006:$AE$1006,0)))),"Fix")))</f>
        <v>0</v>
      </c>
      <c r="C530" s="3">
        <f>IF(OR(INDEX($P$2:$P$1001,MATCH(ROWS($O$2:O530),$O$2:$O$1001,0),1)&gt;=100000,INDEX($V$1005:$AE$1005,1,MATCH(COLUMNS($V$1006:W1006),$V$1006:$AE$1006,0))&gt;=100000), " ",IF(INDEX($V$2:$AE$1001,MATCH(ROWS($O$2:O530),$O$2:$O$1001,0),MATCH(COLUMNS($V$1006:W1006),$V$1006:$AE$1006,0)), HYPERLINK("#",""), HYPERLINK(CONCATENATE("#Metadata!", ADDRESS(INDEX($Q$2:$Q$1001,MATCH(ROWS($O$2:O530),$O$2:$O$1001,0),0), INDEX($V$1004:$AE$1004,1,MATCH(COLUMNS($V$1006:W1006),$V$1006:$AE$1006,0)))),"Fix")))</f>
        <v>0</v>
      </c>
      <c r="D530" s="3">
        <f>IF(OR(INDEX($P$2:$P$1001,MATCH(ROWS($O$2:O530),$O$2:$O$1001,0),1)&gt;=100000,INDEX($V$1005:$AE$1005,1,MATCH(COLUMNS($V$1006:X1006),$V$1006:$AE$1006,0))&gt;=100000), " ",IF(INDEX($V$2:$AE$1001,MATCH(ROWS($O$2:O530),$O$2:$O$1001,0),MATCH(COLUMNS($V$1006:X1006),$V$1006:$AE$1006,0)), HYPERLINK("#",""), HYPERLINK(CONCATENATE("#Metadata!", ADDRESS(INDEX($Q$2:$Q$1001,MATCH(ROWS($O$2:O530),$O$2:$O$1001,0),0), INDEX($V$1004:$AE$1004,1,MATCH(COLUMNS($V$1006:X1006),$V$1006:$AE$1006,0)))),"Fix")))</f>
        <v>0</v>
      </c>
      <c r="E530" s="3">
        <f>IF(OR(INDEX($P$2:$P$1001,MATCH(ROWS($O$2:O530),$O$2:$O$1001,0),1)&gt;=100000,INDEX($V$1005:$AE$1005,1,MATCH(COLUMNS($V$1006:Y1006),$V$1006:$AE$1006,0))&gt;=100000), " ",IF(INDEX($V$2:$AE$1001,MATCH(ROWS($O$2:O530),$O$2:$O$1001,0),MATCH(COLUMNS($V$1006:Y1006),$V$1006:$AE$1006,0)), HYPERLINK("#",""), HYPERLINK(CONCATENATE("#Metadata!", ADDRESS(INDEX($Q$2:$Q$1001,MATCH(ROWS($O$2:O530),$O$2:$O$1001,0),0), INDEX($V$1004:$AE$1004,1,MATCH(COLUMNS($V$1006:Y1006),$V$1006:$AE$1006,0)))),"Fix")))</f>
        <v>0</v>
      </c>
      <c r="F530" s="3">
        <f>IF(OR(INDEX($P$2:$P$1001,MATCH(ROWS($O$2:O530),$O$2:$O$1001,0),1)&gt;=100000,INDEX($V$1005:$AE$1005,1,MATCH(COLUMNS($V$1006:Z1006),$V$1006:$AE$1006,0))&gt;=100000), " ",IF(INDEX($V$2:$AE$1001,MATCH(ROWS($O$2:O530),$O$2:$O$1001,0),MATCH(COLUMNS($V$1006:Z1006),$V$1006:$AE$1006,0)), HYPERLINK("#",""), HYPERLINK(CONCATENATE("#Metadata!", ADDRESS(INDEX($Q$2:$Q$1001,MATCH(ROWS($O$2:O530),$O$2:$O$1001,0),0), INDEX($V$1004:$AE$1004,1,MATCH(COLUMNS($V$1006:Z1006),$V$1006:$AE$1006,0)))),"Fix")))</f>
        <v>0</v>
      </c>
      <c r="G530" s="3">
        <f>IF(OR(INDEX($P$2:$P$1001,MATCH(ROWS($O$2:O530),$O$2:$O$1001,0),1)&gt;=100000,INDEX($V$1005:$AE$1005,1,MATCH(COLUMNS($V$1006:AA1006),$V$1006:$AE$1006,0))&gt;=100000), " ",IF(INDEX($V$2:$AE$1001,MATCH(ROWS($O$2:O530),$O$2:$O$1001,0),MATCH(COLUMNS($V$1006:AA1006),$V$1006:$AE$1006,0)), HYPERLINK("#",""), HYPERLINK(CONCATENATE("#Metadata!", ADDRESS(INDEX($Q$2:$Q$1001,MATCH(ROWS($O$2:O530),$O$2:$O$1001,0),0), INDEX($V$1004:$AE$1004,1,MATCH(COLUMNS($V$1006:AA1006),$V$1006:$AE$1006,0)))),"Fix")))</f>
        <v>0</v>
      </c>
      <c r="H530" s="3">
        <f>IF(OR(INDEX($P$2:$P$1001,MATCH(ROWS($O$2:O530),$O$2:$O$1001,0),1)&gt;=100000,INDEX($V$1005:$AE$1005,1,MATCH(COLUMNS($V$1006:AB1006),$V$1006:$AE$1006,0))&gt;=100000), " ",IF(INDEX($V$2:$AE$1001,MATCH(ROWS($O$2:O530),$O$2:$O$1001,0),MATCH(COLUMNS($V$1006:AB1006),$V$1006:$AE$1006,0)), HYPERLINK("#",""), HYPERLINK(CONCATENATE("#Metadata!", ADDRESS(INDEX($Q$2:$Q$1001,MATCH(ROWS($O$2:O530),$O$2:$O$1001,0),0), INDEX($V$1004:$AE$1004,1,MATCH(COLUMNS($V$1006:AB1006),$V$1006:$AE$1006,0)))),"Fix")))</f>
        <v>0</v>
      </c>
      <c r="I530" s="3">
        <f>IF(OR(INDEX($P$2:$P$1001,MATCH(ROWS($O$2:O530),$O$2:$O$1001,0),1)&gt;=100000,INDEX($V$1005:$AE$1005,1,MATCH(COLUMNS($V$1006:AC1006),$V$1006:$AE$1006,0))&gt;=100000), " ",IF(INDEX($V$2:$AE$1001,MATCH(ROWS($O$2:O530),$O$2:$O$1001,0),MATCH(COLUMNS($V$1006:AC1006),$V$1006:$AE$1006,0)), HYPERLINK("#",""), HYPERLINK(CONCATENATE("#Metadata!", ADDRESS(INDEX($Q$2:$Q$1001,MATCH(ROWS($O$2:O530),$O$2:$O$1001,0),0), INDEX($V$1004:$AE$1004,1,MATCH(COLUMNS($V$1006:AC1006),$V$1006:$AE$1006,0)))),"Fix")))</f>
        <v>0</v>
      </c>
      <c r="J530" s="3">
        <f>IF(OR(INDEX($P$2:$P$1001,MATCH(ROWS($O$2:O530),$O$2:$O$1001,0),1)&gt;=100000,INDEX($V$1005:$AE$1005,1,MATCH(COLUMNS($V$1006:AD1006),$V$1006:$AE$1006,0))&gt;=100000), " ",IF(INDEX($V$2:$AE$1001,MATCH(ROWS($O$2:O530),$O$2:$O$1001,0),MATCH(COLUMNS($V$1006:AD1006),$V$1006:$AE$1006,0)), HYPERLINK("#",""), HYPERLINK(CONCATENATE("#Metadata!", ADDRESS(INDEX($Q$2:$Q$1001,MATCH(ROWS($O$2:O530),$O$2:$O$1001,0),0), INDEX($V$1004:$AE$1004,1,MATCH(COLUMNS($V$1006:AD1006),$V$1006:$AE$1006,0)))),"Fix")))</f>
        <v>0</v>
      </c>
      <c r="K530" s="3">
        <f>IF(OR(INDEX($P$2:$P$1001,MATCH(ROWS($O$2:O530),$O$2:$O$1001,0),1)&gt;=100000,INDEX($V$1005:$AE$1005,1,MATCH(COLUMNS($V$1006:AE1006),$V$1006:$AE$1006,0))&gt;=100000), " ",IF(INDEX($V$2:$AE$1001,MATCH(ROWS($O$2:O530),$O$2:$O$1001,0),MATCH(COLUMNS($V$1006:AE1006),$V$1006:$AE$1006,0)), HYPERLINK("#",""), HYPERLINK(CONCATENATE("#Metadata!", ADDRESS(INDEX($Q$2:$Q$1001,MATCH(ROWS($O$2:O530),$O$2:$O$1001,0),0), INDEX($V$1004:$AE$1004,1,MATCH(COLUMNS($V$1006:AE1006),$V$1006:$AE$1006,0)))),"Fix")))</f>
        <v>0</v>
      </c>
      <c r="O530">
        <v>0</v>
      </c>
      <c r="P530">
        <v>0</v>
      </c>
      <c r="Q530">
        <v>0</v>
      </c>
      <c r="R530">
        <f>IF(S530,TRUE,AND(V530:AE530))</f>
        <v>0</v>
      </c>
      <c r="S530">
        <f>COUNTBLANK(Metadata!B530:K530)=COLUMNS(Metadata!B530:K530)</f>
        <v>0</v>
      </c>
      <c r="T530">
        <v>0</v>
      </c>
      <c r="V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W530">
        <f>AND(IF(Metadata!C530="",FALSE,TRUE),exact(Metadata!C530,"animal secretion"))</f>
        <v>0</v>
      </c>
      <c r="X530">
        <f>AND(IF(Metadata!D530="",FALSE,TRUE),exact(Metadata!D530,"saliva"))</f>
        <v>0</v>
      </c>
      <c r="Y530">
        <f>AND(IF(Metadata!E530="",FALSE,TRUE),exact(Metadata!E530,"human-oral"))</f>
        <v>0</v>
      </c>
      <c r="Z530">
        <f>AND(IF(Metadata!F530="",FALSE,TRUE),exact(Metadata!F530,"UBERON:oral cavity"))</f>
        <v>0</v>
      </c>
      <c r="AA530">
        <f>AND(IF(Metadata!G530="",FALSE,TRUE),exact(Metadata!G530,"UBERON:saliva"))</f>
        <v>0</v>
      </c>
      <c r="AB530">
        <f>AND(IF(Metadata!H530="",FALSE,TRUE),exact(Metadata!H530,"UBERON:tongue"))</f>
        <v>0</v>
      </c>
      <c r="AC530">
        <f>AND(IF(Metadata!I530="",FALSE,TRUE),exact(Metadata!I530,"tongue"))</f>
        <v>0</v>
      </c>
      <c r="AD530">
        <f>AND(IF(Metadata!J530="",FALSE,TRUE),exact(Metadata!J530,"human oral metagenome"))</f>
        <v>0</v>
      </c>
      <c r="AE530">
        <f>AND(IF(Metadata!K530="",FALSE,TRUE),exact(Metadata!K530,"447426"))</f>
        <v>0</v>
      </c>
    </row>
    <row r="531" spans="1:31">
      <c r="A531" s="4">
        <f>IF(B531=" "," ",HYPERLINK(CONCATENATE("#metadata!",ADDRESS(INDEX($Q$2:$Q$1001,MATCH(ROWS($O$2:O531),$O$2:$O$1001,0),0),1)),INDEX($T$2:$T$1001,MATCH(ROWS($O$2:O531),$O$2:$O$1001,0),0)))</f>
        <v>0</v>
      </c>
      <c r="B531" s="3">
        <f>IF(OR(INDEX($P$2:$P$1001,MATCH(ROWS($O$2:O531),$O$2:$O$1001,0),1)&gt;=100000,INDEX($V$1005:$AE$1005,1,MATCH(COLUMNS($V$1006:V1006),$V$1006:$AE$1006,0))&gt;=100000), " ",IF(INDEX($V$2:$AE$1001,MATCH(ROWS($O$2:O531),$O$2:$O$1001,0),MATCH(COLUMNS($V$1006:V1006),$V$1006:$AE$1006,0)), HYPERLINK("#",""), HYPERLINK(CONCATENATE("#Metadata!", ADDRESS(INDEX($Q$2:$Q$1001,MATCH(ROWS($O$2:O531),$O$2:$O$1001,0),0), INDEX($V$1004:$AE$1004,1,MATCH(COLUMNS($V$1006:V1006),$V$1006:$AE$1006,0)))),"Fix")))</f>
        <v>0</v>
      </c>
      <c r="C531" s="3">
        <f>IF(OR(INDEX($P$2:$P$1001,MATCH(ROWS($O$2:O531),$O$2:$O$1001,0),1)&gt;=100000,INDEX($V$1005:$AE$1005,1,MATCH(COLUMNS($V$1006:W1006),$V$1006:$AE$1006,0))&gt;=100000), " ",IF(INDEX($V$2:$AE$1001,MATCH(ROWS($O$2:O531),$O$2:$O$1001,0),MATCH(COLUMNS($V$1006:W1006),$V$1006:$AE$1006,0)), HYPERLINK("#",""), HYPERLINK(CONCATENATE("#Metadata!", ADDRESS(INDEX($Q$2:$Q$1001,MATCH(ROWS($O$2:O531),$O$2:$O$1001,0),0), INDEX($V$1004:$AE$1004,1,MATCH(COLUMNS($V$1006:W1006),$V$1006:$AE$1006,0)))),"Fix")))</f>
        <v>0</v>
      </c>
      <c r="D531" s="3">
        <f>IF(OR(INDEX($P$2:$P$1001,MATCH(ROWS($O$2:O531),$O$2:$O$1001,0),1)&gt;=100000,INDEX($V$1005:$AE$1005,1,MATCH(COLUMNS($V$1006:X1006),$V$1006:$AE$1006,0))&gt;=100000), " ",IF(INDEX($V$2:$AE$1001,MATCH(ROWS($O$2:O531),$O$2:$O$1001,0),MATCH(COLUMNS($V$1006:X1006),$V$1006:$AE$1006,0)), HYPERLINK("#",""), HYPERLINK(CONCATENATE("#Metadata!", ADDRESS(INDEX($Q$2:$Q$1001,MATCH(ROWS($O$2:O531),$O$2:$O$1001,0),0), INDEX($V$1004:$AE$1004,1,MATCH(COLUMNS($V$1006:X1006),$V$1006:$AE$1006,0)))),"Fix")))</f>
        <v>0</v>
      </c>
      <c r="E531" s="3">
        <f>IF(OR(INDEX($P$2:$P$1001,MATCH(ROWS($O$2:O531),$O$2:$O$1001,0),1)&gt;=100000,INDEX($V$1005:$AE$1005,1,MATCH(COLUMNS($V$1006:Y1006),$V$1006:$AE$1006,0))&gt;=100000), " ",IF(INDEX($V$2:$AE$1001,MATCH(ROWS($O$2:O531),$O$2:$O$1001,0),MATCH(COLUMNS($V$1006:Y1006),$V$1006:$AE$1006,0)), HYPERLINK("#",""), HYPERLINK(CONCATENATE("#Metadata!", ADDRESS(INDEX($Q$2:$Q$1001,MATCH(ROWS($O$2:O531),$O$2:$O$1001,0),0), INDEX($V$1004:$AE$1004,1,MATCH(COLUMNS($V$1006:Y1006),$V$1006:$AE$1006,0)))),"Fix")))</f>
        <v>0</v>
      </c>
      <c r="F531" s="3">
        <f>IF(OR(INDEX($P$2:$P$1001,MATCH(ROWS($O$2:O531),$O$2:$O$1001,0),1)&gt;=100000,INDEX($V$1005:$AE$1005,1,MATCH(COLUMNS($V$1006:Z1006),$V$1006:$AE$1006,0))&gt;=100000), " ",IF(INDEX($V$2:$AE$1001,MATCH(ROWS($O$2:O531),$O$2:$O$1001,0),MATCH(COLUMNS($V$1006:Z1006),$V$1006:$AE$1006,0)), HYPERLINK("#",""), HYPERLINK(CONCATENATE("#Metadata!", ADDRESS(INDEX($Q$2:$Q$1001,MATCH(ROWS($O$2:O531),$O$2:$O$1001,0),0), INDEX($V$1004:$AE$1004,1,MATCH(COLUMNS($V$1006:Z1006),$V$1006:$AE$1006,0)))),"Fix")))</f>
        <v>0</v>
      </c>
      <c r="G531" s="3">
        <f>IF(OR(INDEX($P$2:$P$1001,MATCH(ROWS($O$2:O531),$O$2:$O$1001,0),1)&gt;=100000,INDEX($V$1005:$AE$1005,1,MATCH(COLUMNS($V$1006:AA1006),$V$1006:$AE$1006,0))&gt;=100000), " ",IF(INDEX($V$2:$AE$1001,MATCH(ROWS($O$2:O531),$O$2:$O$1001,0),MATCH(COLUMNS($V$1006:AA1006),$V$1006:$AE$1006,0)), HYPERLINK("#",""), HYPERLINK(CONCATENATE("#Metadata!", ADDRESS(INDEX($Q$2:$Q$1001,MATCH(ROWS($O$2:O531),$O$2:$O$1001,0),0), INDEX($V$1004:$AE$1004,1,MATCH(COLUMNS($V$1006:AA1006),$V$1006:$AE$1006,0)))),"Fix")))</f>
        <v>0</v>
      </c>
      <c r="H531" s="3">
        <f>IF(OR(INDEX($P$2:$P$1001,MATCH(ROWS($O$2:O531),$O$2:$O$1001,0),1)&gt;=100000,INDEX($V$1005:$AE$1005,1,MATCH(COLUMNS($V$1006:AB1006),$V$1006:$AE$1006,0))&gt;=100000), " ",IF(INDEX($V$2:$AE$1001,MATCH(ROWS($O$2:O531),$O$2:$O$1001,0),MATCH(COLUMNS($V$1006:AB1006),$V$1006:$AE$1006,0)), HYPERLINK("#",""), HYPERLINK(CONCATENATE("#Metadata!", ADDRESS(INDEX($Q$2:$Q$1001,MATCH(ROWS($O$2:O531),$O$2:$O$1001,0),0), INDEX($V$1004:$AE$1004,1,MATCH(COLUMNS($V$1006:AB1006),$V$1006:$AE$1006,0)))),"Fix")))</f>
        <v>0</v>
      </c>
      <c r="I531" s="3">
        <f>IF(OR(INDEX($P$2:$P$1001,MATCH(ROWS($O$2:O531),$O$2:$O$1001,0),1)&gt;=100000,INDEX($V$1005:$AE$1005,1,MATCH(COLUMNS($V$1006:AC1006),$V$1006:$AE$1006,0))&gt;=100000), " ",IF(INDEX($V$2:$AE$1001,MATCH(ROWS($O$2:O531),$O$2:$O$1001,0),MATCH(COLUMNS($V$1006:AC1006),$V$1006:$AE$1006,0)), HYPERLINK("#",""), HYPERLINK(CONCATENATE("#Metadata!", ADDRESS(INDEX($Q$2:$Q$1001,MATCH(ROWS($O$2:O531),$O$2:$O$1001,0),0), INDEX($V$1004:$AE$1004,1,MATCH(COLUMNS($V$1006:AC1006),$V$1006:$AE$1006,0)))),"Fix")))</f>
        <v>0</v>
      </c>
      <c r="J531" s="3">
        <f>IF(OR(INDEX($P$2:$P$1001,MATCH(ROWS($O$2:O531),$O$2:$O$1001,0),1)&gt;=100000,INDEX($V$1005:$AE$1005,1,MATCH(COLUMNS($V$1006:AD1006),$V$1006:$AE$1006,0))&gt;=100000), " ",IF(INDEX($V$2:$AE$1001,MATCH(ROWS($O$2:O531),$O$2:$O$1001,0),MATCH(COLUMNS($V$1006:AD1006),$V$1006:$AE$1006,0)), HYPERLINK("#",""), HYPERLINK(CONCATENATE("#Metadata!", ADDRESS(INDEX($Q$2:$Q$1001,MATCH(ROWS($O$2:O531),$O$2:$O$1001,0),0), INDEX($V$1004:$AE$1004,1,MATCH(COLUMNS($V$1006:AD1006),$V$1006:$AE$1006,0)))),"Fix")))</f>
        <v>0</v>
      </c>
      <c r="K531" s="3">
        <f>IF(OR(INDEX($P$2:$P$1001,MATCH(ROWS($O$2:O531),$O$2:$O$1001,0),1)&gt;=100000,INDEX($V$1005:$AE$1005,1,MATCH(COLUMNS($V$1006:AE1006),$V$1006:$AE$1006,0))&gt;=100000), " ",IF(INDEX($V$2:$AE$1001,MATCH(ROWS($O$2:O531),$O$2:$O$1001,0),MATCH(COLUMNS($V$1006:AE1006),$V$1006:$AE$1006,0)), HYPERLINK("#",""), HYPERLINK(CONCATENATE("#Metadata!", ADDRESS(INDEX($Q$2:$Q$1001,MATCH(ROWS($O$2:O531),$O$2:$O$1001,0),0), INDEX($V$1004:$AE$1004,1,MATCH(COLUMNS($V$1006:AE1006),$V$1006:$AE$1006,0)))),"Fix")))</f>
        <v>0</v>
      </c>
      <c r="O531">
        <v>0</v>
      </c>
      <c r="P531">
        <v>0</v>
      </c>
      <c r="Q531">
        <v>0</v>
      </c>
      <c r="R531">
        <f>IF(S531,TRUE,AND(V531:AE531))</f>
        <v>0</v>
      </c>
      <c r="S531">
        <f>COUNTBLANK(Metadata!B531:K531)=COLUMNS(Metadata!B531:K531)</f>
        <v>0</v>
      </c>
      <c r="T531">
        <v>0</v>
      </c>
      <c r="V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W531">
        <f>AND(IF(Metadata!C531="",FALSE,TRUE),exact(Metadata!C531,"animal secretion"))</f>
        <v>0</v>
      </c>
      <c r="X531">
        <f>AND(IF(Metadata!D531="",FALSE,TRUE),exact(Metadata!D531,"saliva"))</f>
        <v>0</v>
      </c>
      <c r="Y531">
        <f>AND(IF(Metadata!E531="",FALSE,TRUE),exact(Metadata!E531,"human-oral"))</f>
        <v>0</v>
      </c>
      <c r="Z531">
        <f>AND(IF(Metadata!F531="",FALSE,TRUE),exact(Metadata!F531,"UBERON:oral cavity"))</f>
        <v>0</v>
      </c>
      <c r="AA531">
        <f>AND(IF(Metadata!G531="",FALSE,TRUE),exact(Metadata!G531,"UBERON:saliva"))</f>
        <v>0</v>
      </c>
      <c r="AB531">
        <f>AND(IF(Metadata!H531="",FALSE,TRUE),exact(Metadata!H531,"UBERON:tongue"))</f>
        <v>0</v>
      </c>
      <c r="AC531">
        <f>AND(IF(Metadata!I531="",FALSE,TRUE),exact(Metadata!I531,"tongue"))</f>
        <v>0</v>
      </c>
      <c r="AD531">
        <f>AND(IF(Metadata!J531="",FALSE,TRUE),exact(Metadata!J531,"human oral metagenome"))</f>
        <v>0</v>
      </c>
      <c r="AE531">
        <f>AND(IF(Metadata!K531="",FALSE,TRUE),exact(Metadata!K531,"447426"))</f>
        <v>0</v>
      </c>
    </row>
    <row r="532" spans="1:31">
      <c r="A532" s="4">
        <f>IF(B532=" "," ",HYPERLINK(CONCATENATE("#metadata!",ADDRESS(INDEX($Q$2:$Q$1001,MATCH(ROWS($O$2:O532),$O$2:$O$1001,0),0),1)),INDEX($T$2:$T$1001,MATCH(ROWS($O$2:O532),$O$2:$O$1001,0),0)))</f>
        <v>0</v>
      </c>
      <c r="B532" s="3">
        <f>IF(OR(INDEX($P$2:$P$1001,MATCH(ROWS($O$2:O532),$O$2:$O$1001,0),1)&gt;=100000,INDEX($V$1005:$AE$1005,1,MATCH(COLUMNS($V$1006:V1006),$V$1006:$AE$1006,0))&gt;=100000), " ",IF(INDEX($V$2:$AE$1001,MATCH(ROWS($O$2:O532),$O$2:$O$1001,0),MATCH(COLUMNS($V$1006:V1006),$V$1006:$AE$1006,0)), HYPERLINK("#",""), HYPERLINK(CONCATENATE("#Metadata!", ADDRESS(INDEX($Q$2:$Q$1001,MATCH(ROWS($O$2:O532),$O$2:$O$1001,0),0), INDEX($V$1004:$AE$1004,1,MATCH(COLUMNS($V$1006:V1006),$V$1006:$AE$1006,0)))),"Fix")))</f>
        <v>0</v>
      </c>
      <c r="C532" s="3">
        <f>IF(OR(INDEX($P$2:$P$1001,MATCH(ROWS($O$2:O532),$O$2:$O$1001,0),1)&gt;=100000,INDEX($V$1005:$AE$1005,1,MATCH(COLUMNS($V$1006:W1006),$V$1006:$AE$1006,0))&gt;=100000), " ",IF(INDEX($V$2:$AE$1001,MATCH(ROWS($O$2:O532),$O$2:$O$1001,0),MATCH(COLUMNS($V$1006:W1006),$V$1006:$AE$1006,0)), HYPERLINK("#",""), HYPERLINK(CONCATENATE("#Metadata!", ADDRESS(INDEX($Q$2:$Q$1001,MATCH(ROWS($O$2:O532),$O$2:$O$1001,0),0), INDEX($V$1004:$AE$1004,1,MATCH(COLUMNS($V$1006:W1006),$V$1006:$AE$1006,0)))),"Fix")))</f>
        <v>0</v>
      </c>
      <c r="D532" s="3">
        <f>IF(OR(INDEX($P$2:$P$1001,MATCH(ROWS($O$2:O532),$O$2:$O$1001,0),1)&gt;=100000,INDEX($V$1005:$AE$1005,1,MATCH(COLUMNS($V$1006:X1006),$V$1006:$AE$1006,0))&gt;=100000), " ",IF(INDEX($V$2:$AE$1001,MATCH(ROWS($O$2:O532),$O$2:$O$1001,0),MATCH(COLUMNS($V$1006:X1006),$V$1006:$AE$1006,0)), HYPERLINK("#",""), HYPERLINK(CONCATENATE("#Metadata!", ADDRESS(INDEX($Q$2:$Q$1001,MATCH(ROWS($O$2:O532),$O$2:$O$1001,0),0), INDEX($V$1004:$AE$1004,1,MATCH(COLUMNS($V$1006:X1006),$V$1006:$AE$1006,0)))),"Fix")))</f>
        <v>0</v>
      </c>
      <c r="E532" s="3">
        <f>IF(OR(INDEX($P$2:$P$1001,MATCH(ROWS($O$2:O532),$O$2:$O$1001,0),1)&gt;=100000,INDEX($V$1005:$AE$1005,1,MATCH(COLUMNS($V$1006:Y1006),$V$1006:$AE$1006,0))&gt;=100000), " ",IF(INDEX($V$2:$AE$1001,MATCH(ROWS($O$2:O532),$O$2:$O$1001,0),MATCH(COLUMNS($V$1006:Y1006),$V$1006:$AE$1006,0)), HYPERLINK("#",""), HYPERLINK(CONCATENATE("#Metadata!", ADDRESS(INDEX($Q$2:$Q$1001,MATCH(ROWS($O$2:O532),$O$2:$O$1001,0),0), INDEX($V$1004:$AE$1004,1,MATCH(COLUMNS($V$1006:Y1006),$V$1006:$AE$1006,0)))),"Fix")))</f>
        <v>0</v>
      </c>
      <c r="F532" s="3">
        <f>IF(OR(INDEX($P$2:$P$1001,MATCH(ROWS($O$2:O532),$O$2:$O$1001,0),1)&gt;=100000,INDEX($V$1005:$AE$1005,1,MATCH(COLUMNS($V$1006:Z1006),$V$1006:$AE$1006,0))&gt;=100000), " ",IF(INDEX($V$2:$AE$1001,MATCH(ROWS($O$2:O532),$O$2:$O$1001,0),MATCH(COLUMNS($V$1006:Z1006),$V$1006:$AE$1006,0)), HYPERLINK("#",""), HYPERLINK(CONCATENATE("#Metadata!", ADDRESS(INDEX($Q$2:$Q$1001,MATCH(ROWS($O$2:O532),$O$2:$O$1001,0),0), INDEX($V$1004:$AE$1004,1,MATCH(COLUMNS($V$1006:Z1006),$V$1006:$AE$1006,0)))),"Fix")))</f>
        <v>0</v>
      </c>
      <c r="G532" s="3">
        <f>IF(OR(INDEX($P$2:$P$1001,MATCH(ROWS($O$2:O532),$O$2:$O$1001,0),1)&gt;=100000,INDEX($V$1005:$AE$1005,1,MATCH(COLUMNS($V$1006:AA1006),$V$1006:$AE$1006,0))&gt;=100000), " ",IF(INDEX($V$2:$AE$1001,MATCH(ROWS($O$2:O532),$O$2:$O$1001,0),MATCH(COLUMNS($V$1006:AA1006),$V$1006:$AE$1006,0)), HYPERLINK("#",""), HYPERLINK(CONCATENATE("#Metadata!", ADDRESS(INDEX($Q$2:$Q$1001,MATCH(ROWS($O$2:O532),$O$2:$O$1001,0),0), INDEX($V$1004:$AE$1004,1,MATCH(COLUMNS($V$1006:AA1006),$V$1006:$AE$1006,0)))),"Fix")))</f>
        <v>0</v>
      </c>
      <c r="H532" s="3">
        <f>IF(OR(INDEX($P$2:$P$1001,MATCH(ROWS($O$2:O532),$O$2:$O$1001,0),1)&gt;=100000,INDEX($V$1005:$AE$1005,1,MATCH(COLUMNS($V$1006:AB1006),$V$1006:$AE$1006,0))&gt;=100000), " ",IF(INDEX($V$2:$AE$1001,MATCH(ROWS($O$2:O532),$O$2:$O$1001,0),MATCH(COLUMNS($V$1006:AB1006),$V$1006:$AE$1006,0)), HYPERLINK("#",""), HYPERLINK(CONCATENATE("#Metadata!", ADDRESS(INDEX($Q$2:$Q$1001,MATCH(ROWS($O$2:O532),$O$2:$O$1001,0),0), INDEX($V$1004:$AE$1004,1,MATCH(COLUMNS($V$1006:AB1006),$V$1006:$AE$1006,0)))),"Fix")))</f>
        <v>0</v>
      </c>
      <c r="I532" s="3">
        <f>IF(OR(INDEX($P$2:$P$1001,MATCH(ROWS($O$2:O532),$O$2:$O$1001,0),1)&gt;=100000,INDEX($V$1005:$AE$1005,1,MATCH(COLUMNS($V$1006:AC1006),$V$1006:$AE$1006,0))&gt;=100000), " ",IF(INDEX($V$2:$AE$1001,MATCH(ROWS($O$2:O532),$O$2:$O$1001,0),MATCH(COLUMNS($V$1006:AC1006),$V$1006:$AE$1006,0)), HYPERLINK("#",""), HYPERLINK(CONCATENATE("#Metadata!", ADDRESS(INDEX($Q$2:$Q$1001,MATCH(ROWS($O$2:O532),$O$2:$O$1001,0),0), INDEX($V$1004:$AE$1004,1,MATCH(COLUMNS($V$1006:AC1006),$V$1006:$AE$1006,0)))),"Fix")))</f>
        <v>0</v>
      </c>
      <c r="J532" s="3">
        <f>IF(OR(INDEX($P$2:$P$1001,MATCH(ROWS($O$2:O532),$O$2:$O$1001,0),1)&gt;=100000,INDEX($V$1005:$AE$1005,1,MATCH(COLUMNS($V$1006:AD1006),$V$1006:$AE$1006,0))&gt;=100000), " ",IF(INDEX($V$2:$AE$1001,MATCH(ROWS($O$2:O532),$O$2:$O$1001,0),MATCH(COLUMNS($V$1006:AD1006),$V$1006:$AE$1006,0)), HYPERLINK("#",""), HYPERLINK(CONCATENATE("#Metadata!", ADDRESS(INDEX($Q$2:$Q$1001,MATCH(ROWS($O$2:O532),$O$2:$O$1001,0),0), INDEX($V$1004:$AE$1004,1,MATCH(COLUMNS($V$1006:AD1006),$V$1006:$AE$1006,0)))),"Fix")))</f>
        <v>0</v>
      </c>
      <c r="K532" s="3">
        <f>IF(OR(INDEX($P$2:$P$1001,MATCH(ROWS($O$2:O532),$O$2:$O$1001,0),1)&gt;=100000,INDEX($V$1005:$AE$1005,1,MATCH(COLUMNS($V$1006:AE1006),$V$1006:$AE$1006,0))&gt;=100000), " ",IF(INDEX($V$2:$AE$1001,MATCH(ROWS($O$2:O532),$O$2:$O$1001,0),MATCH(COLUMNS($V$1006:AE1006),$V$1006:$AE$1006,0)), HYPERLINK("#",""), HYPERLINK(CONCATENATE("#Metadata!", ADDRESS(INDEX($Q$2:$Q$1001,MATCH(ROWS($O$2:O532),$O$2:$O$1001,0),0), INDEX($V$1004:$AE$1004,1,MATCH(COLUMNS($V$1006:AE1006),$V$1006:$AE$1006,0)))),"Fix")))</f>
        <v>0</v>
      </c>
      <c r="O532">
        <v>0</v>
      </c>
      <c r="P532">
        <v>0</v>
      </c>
      <c r="Q532">
        <v>0</v>
      </c>
      <c r="R532">
        <f>IF(S532,TRUE,AND(V532:AE532))</f>
        <v>0</v>
      </c>
      <c r="S532">
        <f>COUNTBLANK(Metadata!B532:K532)=COLUMNS(Metadata!B532:K532)</f>
        <v>0</v>
      </c>
      <c r="T532">
        <v>0</v>
      </c>
      <c r="V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W532">
        <f>AND(IF(Metadata!C532="",FALSE,TRUE),exact(Metadata!C532,"animal secretion"))</f>
        <v>0</v>
      </c>
      <c r="X532">
        <f>AND(IF(Metadata!D532="",FALSE,TRUE),exact(Metadata!D532,"saliva"))</f>
        <v>0</v>
      </c>
      <c r="Y532">
        <f>AND(IF(Metadata!E532="",FALSE,TRUE),exact(Metadata!E532,"human-oral"))</f>
        <v>0</v>
      </c>
      <c r="Z532">
        <f>AND(IF(Metadata!F532="",FALSE,TRUE),exact(Metadata!F532,"UBERON:oral cavity"))</f>
        <v>0</v>
      </c>
      <c r="AA532">
        <f>AND(IF(Metadata!G532="",FALSE,TRUE),exact(Metadata!G532,"UBERON:saliva"))</f>
        <v>0</v>
      </c>
      <c r="AB532">
        <f>AND(IF(Metadata!H532="",FALSE,TRUE),exact(Metadata!H532,"UBERON:tongue"))</f>
        <v>0</v>
      </c>
      <c r="AC532">
        <f>AND(IF(Metadata!I532="",FALSE,TRUE),exact(Metadata!I532,"tongue"))</f>
        <v>0</v>
      </c>
      <c r="AD532">
        <f>AND(IF(Metadata!J532="",FALSE,TRUE),exact(Metadata!J532,"human oral metagenome"))</f>
        <v>0</v>
      </c>
      <c r="AE532">
        <f>AND(IF(Metadata!K532="",FALSE,TRUE),exact(Metadata!K532,"447426"))</f>
        <v>0</v>
      </c>
    </row>
    <row r="533" spans="1:31">
      <c r="A533" s="4">
        <f>IF(B533=" "," ",HYPERLINK(CONCATENATE("#metadata!",ADDRESS(INDEX($Q$2:$Q$1001,MATCH(ROWS($O$2:O533),$O$2:$O$1001,0),0),1)),INDEX($T$2:$T$1001,MATCH(ROWS($O$2:O533),$O$2:$O$1001,0),0)))</f>
        <v>0</v>
      </c>
      <c r="B533" s="3">
        <f>IF(OR(INDEX($P$2:$P$1001,MATCH(ROWS($O$2:O533),$O$2:$O$1001,0),1)&gt;=100000,INDEX($V$1005:$AE$1005,1,MATCH(COLUMNS($V$1006:V1006),$V$1006:$AE$1006,0))&gt;=100000), " ",IF(INDEX($V$2:$AE$1001,MATCH(ROWS($O$2:O533),$O$2:$O$1001,0),MATCH(COLUMNS($V$1006:V1006),$V$1006:$AE$1006,0)), HYPERLINK("#",""), HYPERLINK(CONCATENATE("#Metadata!", ADDRESS(INDEX($Q$2:$Q$1001,MATCH(ROWS($O$2:O533),$O$2:$O$1001,0),0), INDEX($V$1004:$AE$1004,1,MATCH(COLUMNS($V$1006:V1006),$V$1006:$AE$1006,0)))),"Fix")))</f>
        <v>0</v>
      </c>
      <c r="C533" s="3">
        <f>IF(OR(INDEX($P$2:$P$1001,MATCH(ROWS($O$2:O533),$O$2:$O$1001,0),1)&gt;=100000,INDEX($V$1005:$AE$1005,1,MATCH(COLUMNS($V$1006:W1006),$V$1006:$AE$1006,0))&gt;=100000), " ",IF(INDEX($V$2:$AE$1001,MATCH(ROWS($O$2:O533),$O$2:$O$1001,0),MATCH(COLUMNS($V$1006:W1006),$V$1006:$AE$1006,0)), HYPERLINK("#",""), HYPERLINK(CONCATENATE("#Metadata!", ADDRESS(INDEX($Q$2:$Q$1001,MATCH(ROWS($O$2:O533),$O$2:$O$1001,0),0), INDEX($V$1004:$AE$1004,1,MATCH(COLUMNS($V$1006:W1006),$V$1006:$AE$1006,0)))),"Fix")))</f>
        <v>0</v>
      </c>
      <c r="D533" s="3">
        <f>IF(OR(INDEX($P$2:$P$1001,MATCH(ROWS($O$2:O533),$O$2:$O$1001,0),1)&gt;=100000,INDEX($V$1005:$AE$1005,1,MATCH(COLUMNS($V$1006:X1006),$V$1006:$AE$1006,0))&gt;=100000), " ",IF(INDEX($V$2:$AE$1001,MATCH(ROWS($O$2:O533),$O$2:$O$1001,0),MATCH(COLUMNS($V$1006:X1006),$V$1006:$AE$1006,0)), HYPERLINK("#",""), HYPERLINK(CONCATENATE("#Metadata!", ADDRESS(INDEX($Q$2:$Q$1001,MATCH(ROWS($O$2:O533),$O$2:$O$1001,0),0), INDEX($V$1004:$AE$1004,1,MATCH(COLUMNS($V$1006:X1006),$V$1006:$AE$1006,0)))),"Fix")))</f>
        <v>0</v>
      </c>
      <c r="E533" s="3">
        <f>IF(OR(INDEX($P$2:$P$1001,MATCH(ROWS($O$2:O533),$O$2:$O$1001,0),1)&gt;=100000,INDEX($V$1005:$AE$1005,1,MATCH(COLUMNS($V$1006:Y1006),$V$1006:$AE$1006,0))&gt;=100000), " ",IF(INDEX($V$2:$AE$1001,MATCH(ROWS($O$2:O533),$O$2:$O$1001,0),MATCH(COLUMNS($V$1006:Y1006),$V$1006:$AE$1006,0)), HYPERLINK("#",""), HYPERLINK(CONCATENATE("#Metadata!", ADDRESS(INDEX($Q$2:$Q$1001,MATCH(ROWS($O$2:O533),$O$2:$O$1001,0),0), INDEX($V$1004:$AE$1004,1,MATCH(COLUMNS($V$1006:Y1006),$V$1006:$AE$1006,0)))),"Fix")))</f>
        <v>0</v>
      </c>
      <c r="F533" s="3">
        <f>IF(OR(INDEX($P$2:$P$1001,MATCH(ROWS($O$2:O533),$O$2:$O$1001,0),1)&gt;=100000,INDEX($V$1005:$AE$1005,1,MATCH(COLUMNS($V$1006:Z1006),$V$1006:$AE$1006,0))&gt;=100000), " ",IF(INDEX($V$2:$AE$1001,MATCH(ROWS($O$2:O533),$O$2:$O$1001,0),MATCH(COLUMNS($V$1006:Z1006),$V$1006:$AE$1006,0)), HYPERLINK("#",""), HYPERLINK(CONCATENATE("#Metadata!", ADDRESS(INDEX($Q$2:$Q$1001,MATCH(ROWS($O$2:O533),$O$2:$O$1001,0),0), INDEX($V$1004:$AE$1004,1,MATCH(COLUMNS($V$1006:Z1006),$V$1006:$AE$1006,0)))),"Fix")))</f>
        <v>0</v>
      </c>
      <c r="G533" s="3">
        <f>IF(OR(INDEX($P$2:$P$1001,MATCH(ROWS($O$2:O533),$O$2:$O$1001,0),1)&gt;=100000,INDEX($V$1005:$AE$1005,1,MATCH(COLUMNS($V$1006:AA1006),$V$1006:$AE$1006,0))&gt;=100000), " ",IF(INDEX($V$2:$AE$1001,MATCH(ROWS($O$2:O533),$O$2:$O$1001,0),MATCH(COLUMNS($V$1006:AA1006),$V$1006:$AE$1006,0)), HYPERLINK("#",""), HYPERLINK(CONCATENATE("#Metadata!", ADDRESS(INDEX($Q$2:$Q$1001,MATCH(ROWS($O$2:O533),$O$2:$O$1001,0),0), INDEX($V$1004:$AE$1004,1,MATCH(COLUMNS($V$1006:AA1006),$V$1006:$AE$1006,0)))),"Fix")))</f>
        <v>0</v>
      </c>
      <c r="H533" s="3">
        <f>IF(OR(INDEX($P$2:$P$1001,MATCH(ROWS($O$2:O533),$O$2:$O$1001,0),1)&gt;=100000,INDEX($V$1005:$AE$1005,1,MATCH(COLUMNS($V$1006:AB1006),$V$1006:$AE$1006,0))&gt;=100000), " ",IF(INDEX($V$2:$AE$1001,MATCH(ROWS($O$2:O533),$O$2:$O$1001,0),MATCH(COLUMNS($V$1006:AB1006),$V$1006:$AE$1006,0)), HYPERLINK("#",""), HYPERLINK(CONCATENATE("#Metadata!", ADDRESS(INDEX($Q$2:$Q$1001,MATCH(ROWS($O$2:O533),$O$2:$O$1001,0),0), INDEX($V$1004:$AE$1004,1,MATCH(COLUMNS($V$1006:AB1006),$V$1006:$AE$1006,0)))),"Fix")))</f>
        <v>0</v>
      </c>
      <c r="I533" s="3">
        <f>IF(OR(INDEX($P$2:$P$1001,MATCH(ROWS($O$2:O533),$O$2:$O$1001,0),1)&gt;=100000,INDEX($V$1005:$AE$1005,1,MATCH(COLUMNS($V$1006:AC1006),$V$1006:$AE$1006,0))&gt;=100000), " ",IF(INDEX($V$2:$AE$1001,MATCH(ROWS($O$2:O533),$O$2:$O$1001,0),MATCH(COLUMNS($V$1006:AC1006),$V$1006:$AE$1006,0)), HYPERLINK("#",""), HYPERLINK(CONCATENATE("#Metadata!", ADDRESS(INDEX($Q$2:$Q$1001,MATCH(ROWS($O$2:O533),$O$2:$O$1001,0),0), INDEX($V$1004:$AE$1004,1,MATCH(COLUMNS($V$1006:AC1006),$V$1006:$AE$1006,0)))),"Fix")))</f>
        <v>0</v>
      </c>
      <c r="J533" s="3">
        <f>IF(OR(INDEX($P$2:$P$1001,MATCH(ROWS($O$2:O533),$O$2:$O$1001,0),1)&gt;=100000,INDEX($V$1005:$AE$1005,1,MATCH(COLUMNS($V$1006:AD1006),$V$1006:$AE$1006,0))&gt;=100000), " ",IF(INDEX($V$2:$AE$1001,MATCH(ROWS($O$2:O533),$O$2:$O$1001,0),MATCH(COLUMNS($V$1006:AD1006),$V$1006:$AE$1006,0)), HYPERLINK("#",""), HYPERLINK(CONCATENATE("#Metadata!", ADDRESS(INDEX($Q$2:$Q$1001,MATCH(ROWS($O$2:O533),$O$2:$O$1001,0),0), INDEX($V$1004:$AE$1004,1,MATCH(COLUMNS($V$1006:AD1006),$V$1006:$AE$1006,0)))),"Fix")))</f>
        <v>0</v>
      </c>
      <c r="K533" s="3">
        <f>IF(OR(INDEX($P$2:$P$1001,MATCH(ROWS($O$2:O533),$O$2:$O$1001,0),1)&gt;=100000,INDEX($V$1005:$AE$1005,1,MATCH(COLUMNS($V$1006:AE1006),$V$1006:$AE$1006,0))&gt;=100000), " ",IF(INDEX($V$2:$AE$1001,MATCH(ROWS($O$2:O533),$O$2:$O$1001,0),MATCH(COLUMNS($V$1006:AE1006),$V$1006:$AE$1006,0)), HYPERLINK("#",""), HYPERLINK(CONCATENATE("#Metadata!", ADDRESS(INDEX($Q$2:$Q$1001,MATCH(ROWS($O$2:O533),$O$2:$O$1001,0),0), INDEX($V$1004:$AE$1004,1,MATCH(COLUMNS($V$1006:AE1006),$V$1006:$AE$1006,0)))),"Fix")))</f>
        <v>0</v>
      </c>
      <c r="O533">
        <v>0</v>
      </c>
      <c r="P533">
        <v>0</v>
      </c>
      <c r="Q533">
        <v>0</v>
      </c>
      <c r="R533">
        <f>IF(S533,TRUE,AND(V533:AE533))</f>
        <v>0</v>
      </c>
      <c r="S533">
        <f>COUNTBLANK(Metadata!B533:K533)=COLUMNS(Metadata!B533:K533)</f>
        <v>0</v>
      </c>
      <c r="T533">
        <v>0</v>
      </c>
      <c r="V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W533">
        <f>AND(IF(Metadata!C533="",FALSE,TRUE),exact(Metadata!C533,"animal secretion"))</f>
        <v>0</v>
      </c>
      <c r="X533">
        <f>AND(IF(Metadata!D533="",FALSE,TRUE),exact(Metadata!D533,"saliva"))</f>
        <v>0</v>
      </c>
      <c r="Y533">
        <f>AND(IF(Metadata!E533="",FALSE,TRUE),exact(Metadata!E533,"human-oral"))</f>
        <v>0</v>
      </c>
      <c r="Z533">
        <f>AND(IF(Metadata!F533="",FALSE,TRUE),exact(Metadata!F533,"UBERON:oral cavity"))</f>
        <v>0</v>
      </c>
      <c r="AA533">
        <f>AND(IF(Metadata!G533="",FALSE,TRUE),exact(Metadata!G533,"UBERON:saliva"))</f>
        <v>0</v>
      </c>
      <c r="AB533">
        <f>AND(IF(Metadata!H533="",FALSE,TRUE),exact(Metadata!H533,"UBERON:tongue"))</f>
        <v>0</v>
      </c>
      <c r="AC533">
        <f>AND(IF(Metadata!I533="",FALSE,TRUE),exact(Metadata!I533,"tongue"))</f>
        <v>0</v>
      </c>
      <c r="AD533">
        <f>AND(IF(Metadata!J533="",FALSE,TRUE),exact(Metadata!J533,"human oral metagenome"))</f>
        <v>0</v>
      </c>
      <c r="AE533">
        <f>AND(IF(Metadata!K533="",FALSE,TRUE),exact(Metadata!K533,"447426"))</f>
        <v>0</v>
      </c>
    </row>
    <row r="534" spans="1:31">
      <c r="A534" s="4">
        <f>IF(B534=" "," ",HYPERLINK(CONCATENATE("#metadata!",ADDRESS(INDEX($Q$2:$Q$1001,MATCH(ROWS($O$2:O534),$O$2:$O$1001,0),0),1)),INDEX($T$2:$T$1001,MATCH(ROWS($O$2:O534),$O$2:$O$1001,0),0)))</f>
        <v>0</v>
      </c>
      <c r="B534" s="3">
        <f>IF(OR(INDEX($P$2:$P$1001,MATCH(ROWS($O$2:O534),$O$2:$O$1001,0),1)&gt;=100000,INDEX($V$1005:$AE$1005,1,MATCH(COLUMNS($V$1006:V1006),$V$1006:$AE$1006,0))&gt;=100000), " ",IF(INDEX($V$2:$AE$1001,MATCH(ROWS($O$2:O534),$O$2:$O$1001,0),MATCH(COLUMNS($V$1006:V1006),$V$1006:$AE$1006,0)), HYPERLINK("#",""), HYPERLINK(CONCATENATE("#Metadata!", ADDRESS(INDEX($Q$2:$Q$1001,MATCH(ROWS($O$2:O534),$O$2:$O$1001,0),0), INDEX($V$1004:$AE$1004,1,MATCH(COLUMNS($V$1006:V1006),$V$1006:$AE$1006,0)))),"Fix")))</f>
        <v>0</v>
      </c>
      <c r="C534" s="3">
        <f>IF(OR(INDEX($P$2:$P$1001,MATCH(ROWS($O$2:O534),$O$2:$O$1001,0),1)&gt;=100000,INDEX($V$1005:$AE$1005,1,MATCH(COLUMNS($V$1006:W1006),$V$1006:$AE$1006,0))&gt;=100000), " ",IF(INDEX($V$2:$AE$1001,MATCH(ROWS($O$2:O534),$O$2:$O$1001,0),MATCH(COLUMNS($V$1006:W1006),$V$1006:$AE$1006,0)), HYPERLINK("#",""), HYPERLINK(CONCATENATE("#Metadata!", ADDRESS(INDEX($Q$2:$Q$1001,MATCH(ROWS($O$2:O534),$O$2:$O$1001,0),0), INDEX($V$1004:$AE$1004,1,MATCH(COLUMNS($V$1006:W1006),$V$1006:$AE$1006,0)))),"Fix")))</f>
        <v>0</v>
      </c>
      <c r="D534" s="3">
        <f>IF(OR(INDEX($P$2:$P$1001,MATCH(ROWS($O$2:O534),$O$2:$O$1001,0),1)&gt;=100000,INDEX($V$1005:$AE$1005,1,MATCH(COLUMNS($V$1006:X1006),$V$1006:$AE$1006,0))&gt;=100000), " ",IF(INDEX($V$2:$AE$1001,MATCH(ROWS($O$2:O534),$O$2:$O$1001,0),MATCH(COLUMNS($V$1006:X1006),$V$1006:$AE$1006,0)), HYPERLINK("#",""), HYPERLINK(CONCATENATE("#Metadata!", ADDRESS(INDEX($Q$2:$Q$1001,MATCH(ROWS($O$2:O534),$O$2:$O$1001,0),0), INDEX($V$1004:$AE$1004,1,MATCH(COLUMNS($V$1006:X1006),$V$1006:$AE$1006,0)))),"Fix")))</f>
        <v>0</v>
      </c>
      <c r="E534" s="3">
        <f>IF(OR(INDEX($P$2:$P$1001,MATCH(ROWS($O$2:O534),$O$2:$O$1001,0),1)&gt;=100000,INDEX($V$1005:$AE$1005,1,MATCH(COLUMNS($V$1006:Y1006),$V$1006:$AE$1006,0))&gt;=100000), " ",IF(INDEX($V$2:$AE$1001,MATCH(ROWS($O$2:O534),$O$2:$O$1001,0),MATCH(COLUMNS($V$1006:Y1006),$V$1006:$AE$1006,0)), HYPERLINK("#",""), HYPERLINK(CONCATENATE("#Metadata!", ADDRESS(INDEX($Q$2:$Q$1001,MATCH(ROWS($O$2:O534),$O$2:$O$1001,0),0), INDEX($V$1004:$AE$1004,1,MATCH(COLUMNS($V$1006:Y1006),$V$1006:$AE$1006,0)))),"Fix")))</f>
        <v>0</v>
      </c>
      <c r="F534" s="3">
        <f>IF(OR(INDEX($P$2:$P$1001,MATCH(ROWS($O$2:O534),$O$2:$O$1001,0),1)&gt;=100000,INDEX($V$1005:$AE$1005,1,MATCH(COLUMNS($V$1006:Z1006),$V$1006:$AE$1006,0))&gt;=100000), " ",IF(INDEX($V$2:$AE$1001,MATCH(ROWS($O$2:O534),$O$2:$O$1001,0),MATCH(COLUMNS($V$1006:Z1006),$V$1006:$AE$1006,0)), HYPERLINK("#",""), HYPERLINK(CONCATENATE("#Metadata!", ADDRESS(INDEX($Q$2:$Q$1001,MATCH(ROWS($O$2:O534),$O$2:$O$1001,0),0), INDEX($V$1004:$AE$1004,1,MATCH(COLUMNS($V$1006:Z1006),$V$1006:$AE$1006,0)))),"Fix")))</f>
        <v>0</v>
      </c>
      <c r="G534" s="3">
        <f>IF(OR(INDEX($P$2:$P$1001,MATCH(ROWS($O$2:O534),$O$2:$O$1001,0),1)&gt;=100000,INDEX($V$1005:$AE$1005,1,MATCH(COLUMNS($V$1006:AA1006),$V$1006:$AE$1006,0))&gt;=100000), " ",IF(INDEX($V$2:$AE$1001,MATCH(ROWS($O$2:O534),$O$2:$O$1001,0),MATCH(COLUMNS($V$1006:AA1006),$V$1006:$AE$1006,0)), HYPERLINK("#",""), HYPERLINK(CONCATENATE("#Metadata!", ADDRESS(INDEX($Q$2:$Q$1001,MATCH(ROWS($O$2:O534),$O$2:$O$1001,0),0), INDEX($V$1004:$AE$1004,1,MATCH(COLUMNS($V$1006:AA1006),$V$1006:$AE$1006,0)))),"Fix")))</f>
        <v>0</v>
      </c>
      <c r="H534" s="3">
        <f>IF(OR(INDEX($P$2:$P$1001,MATCH(ROWS($O$2:O534),$O$2:$O$1001,0),1)&gt;=100000,INDEX($V$1005:$AE$1005,1,MATCH(COLUMNS($V$1006:AB1006),$V$1006:$AE$1006,0))&gt;=100000), " ",IF(INDEX($V$2:$AE$1001,MATCH(ROWS($O$2:O534),$O$2:$O$1001,0),MATCH(COLUMNS($V$1006:AB1006),$V$1006:$AE$1006,0)), HYPERLINK("#",""), HYPERLINK(CONCATENATE("#Metadata!", ADDRESS(INDEX($Q$2:$Q$1001,MATCH(ROWS($O$2:O534),$O$2:$O$1001,0),0), INDEX($V$1004:$AE$1004,1,MATCH(COLUMNS($V$1006:AB1006),$V$1006:$AE$1006,0)))),"Fix")))</f>
        <v>0</v>
      </c>
      <c r="I534" s="3">
        <f>IF(OR(INDEX($P$2:$P$1001,MATCH(ROWS($O$2:O534),$O$2:$O$1001,0),1)&gt;=100000,INDEX($V$1005:$AE$1005,1,MATCH(COLUMNS($V$1006:AC1006),$V$1006:$AE$1006,0))&gt;=100000), " ",IF(INDEX($V$2:$AE$1001,MATCH(ROWS($O$2:O534),$O$2:$O$1001,0),MATCH(COLUMNS($V$1006:AC1006),$V$1006:$AE$1006,0)), HYPERLINK("#",""), HYPERLINK(CONCATENATE("#Metadata!", ADDRESS(INDEX($Q$2:$Q$1001,MATCH(ROWS($O$2:O534),$O$2:$O$1001,0),0), INDEX($V$1004:$AE$1004,1,MATCH(COLUMNS($V$1006:AC1006),$V$1006:$AE$1006,0)))),"Fix")))</f>
        <v>0</v>
      </c>
      <c r="J534" s="3">
        <f>IF(OR(INDEX($P$2:$P$1001,MATCH(ROWS($O$2:O534),$O$2:$O$1001,0),1)&gt;=100000,INDEX($V$1005:$AE$1005,1,MATCH(COLUMNS($V$1006:AD1006),$V$1006:$AE$1006,0))&gt;=100000), " ",IF(INDEX($V$2:$AE$1001,MATCH(ROWS($O$2:O534),$O$2:$O$1001,0),MATCH(COLUMNS($V$1006:AD1006),$V$1006:$AE$1006,0)), HYPERLINK("#",""), HYPERLINK(CONCATENATE("#Metadata!", ADDRESS(INDEX($Q$2:$Q$1001,MATCH(ROWS($O$2:O534),$O$2:$O$1001,0),0), INDEX($V$1004:$AE$1004,1,MATCH(COLUMNS($V$1006:AD1006),$V$1006:$AE$1006,0)))),"Fix")))</f>
        <v>0</v>
      </c>
      <c r="K534" s="3">
        <f>IF(OR(INDEX($P$2:$P$1001,MATCH(ROWS($O$2:O534),$O$2:$O$1001,0),1)&gt;=100000,INDEX($V$1005:$AE$1005,1,MATCH(COLUMNS($V$1006:AE1006),$V$1006:$AE$1006,0))&gt;=100000), " ",IF(INDEX($V$2:$AE$1001,MATCH(ROWS($O$2:O534),$O$2:$O$1001,0),MATCH(COLUMNS($V$1006:AE1006),$V$1006:$AE$1006,0)), HYPERLINK("#",""), HYPERLINK(CONCATENATE("#Metadata!", ADDRESS(INDEX($Q$2:$Q$1001,MATCH(ROWS($O$2:O534),$O$2:$O$1001,0),0), INDEX($V$1004:$AE$1004,1,MATCH(COLUMNS($V$1006:AE1006),$V$1006:$AE$1006,0)))),"Fix")))</f>
        <v>0</v>
      </c>
      <c r="O534">
        <v>0</v>
      </c>
      <c r="P534">
        <v>0</v>
      </c>
      <c r="Q534">
        <v>0</v>
      </c>
      <c r="R534">
        <f>IF(S534,TRUE,AND(V534:AE534))</f>
        <v>0</v>
      </c>
      <c r="S534">
        <f>COUNTBLANK(Metadata!B534:K534)=COLUMNS(Metadata!B534:K534)</f>
        <v>0</v>
      </c>
      <c r="T534">
        <v>0</v>
      </c>
      <c r="V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W534">
        <f>AND(IF(Metadata!C534="",FALSE,TRUE),exact(Metadata!C534,"animal secretion"))</f>
        <v>0</v>
      </c>
      <c r="X534">
        <f>AND(IF(Metadata!D534="",FALSE,TRUE),exact(Metadata!D534,"saliva"))</f>
        <v>0</v>
      </c>
      <c r="Y534">
        <f>AND(IF(Metadata!E534="",FALSE,TRUE),exact(Metadata!E534,"human-oral"))</f>
        <v>0</v>
      </c>
      <c r="Z534">
        <f>AND(IF(Metadata!F534="",FALSE,TRUE),exact(Metadata!F534,"UBERON:oral cavity"))</f>
        <v>0</v>
      </c>
      <c r="AA534">
        <f>AND(IF(Metadata!G534="",FALSE,TRUE),exact(Metadata!G534,"UBERON:saliva"))</f>
        <v>0</v>
      </c>
      <c r="AB534">
        <f>AND(IF(Metadata!H534="",FALSE,TRUE),exact(Metadata!H534,"UBERON:tongue"))</f>
        <v>0</v>
      </c>
      <c r="AC534">
        <f>AND(IF(Metadata!I534="",FALSE,TRUE),exact(Metadata!I534,"tongue"))</f>
        <v>0</v>
      </c>
      <c r="AD534">
        <f>AND(IF(Metadata!J534="",FALSE,TRUE),exact(Metadata!J534,"human oral metagenome"))</f>
        <v>0</v>
      </c>
      <c r="AE534">
        <f>AND(IF(Metadata!K534="",FALSE,TRUE),exact(Metadata!K534,"447426"))</f>
        <v>0</v>
      </c>
    </row>
    <row r="535" spans="1:31">
      <c r="A535" s="4">
        <f>IF(B535=" "," ",HYPERLINK(CONCATENATE("#metadata!",ADDRESS(INDEX($Q$2:$Q$1001,MATCH(ROWS($O$2:O535),$O$2:$O$1001,0),0),1)),INDEX($T$2:$T$1001,MATCH(ROWS($O$2:O535),$O$2:$O$1001,0),0)))</f>
        <v>0</v>
      </c>
      <c r="B535" s="3">
        <f>IF(OR(INDEX($P$2:$P$1001,MATCH(ROWS($O$2:O535),$O$2:$O$1001,0),1)&gt;=100000,INDEX($V$1005:$AE$1005,1,MATCH(COLUMNS($V$1006:V1006),$V$1006:$AE$1006,0))&gt;=100000), " ",IF(INDEX($V$2:$AE$1001,MATCH(ROWS($O$2:O535),$O$2:$O$1001,0),MATCH(COLUMNS($V$1006:V1006),$V$1006:$AE$1006,0)), HYPERLINK("#",""), HYPERLINK(CONCATENATE("#Metadata!", ADDRESS(INDEX($Q$2:$Q$1001,MATCH(ROWS($O$2:O535),$O$2:$O$1001,0),0), INDEX($V$1004:$AE$1004,1,MATCH(COLUMNS($V$1006:V1006),$V$1006:$AE$1006,0)))),"Fix")))</f>
        <v>0</v>
      </c>
      <c r="C535" s="3">
        <f>IF(OR(INDEX($P$2:$P$1001,MATCH(ROWS($O$2:O535),$O$2:$O$1001,0),1)&gt;=100000,INDEX($V$1005:$AE$1005,1,MATCH(COLUMNS($V$1006:W1006),$V$1006:$AE$1006,0))&gt;=100000), " ",IF(INDEX($V$2:$AE$1001,MATCH(ROWS($O$2:O535),$O$2:$O$1001,0),MATCH(COLUMNS($V$1006:W1006),$V$1006:$AE$1006,0)), HYPERLINK("#",""), HYPERLINK(CONCATENATE("#Metadata!", ADDRESS(INDEX($Q$2:$Q$1001,MATCH(ROWS($O$2:O535),$O$2:$O$1001,0),0), INDEX($V$1004:$AE$1004,1,MATCH(COLUMNS($V$1006:W1006),$V$1006:$AE$1006,0)))),"Fix")))</f>
        <v>0</v>
      </c>
      <c r="D535" s="3">
        <f>IF(OR(INDEX($P$2:$P$1001,MATCH(ROWS($O$2:O535),$O$2:$O$1001,0),1)&gt;=100000,INDEX($V$1005:$AE$1005,1,MATCH(COLUMNS($V$1006:X1006),$V$1006:$AE$1006,0))&gt;=100000), " ",IF(INDEX($V$2:$AE$1001,MATCH(ROWS($O$2:O535),$O$2:$O$1001,0),MATCH(COLUMNS($V$1006:X1006),$V$1006:$AE$1006,0)), HYPERLINK("#",""), HYPERLINK(CONCATENATE("#Metadata!", ADDRESS(INDEX($Q$2:$Q$1001,MATCH(ROWS($O$2:O535),$O$2:$O$1001,0),0), INDEX($V$1004:$AE$1004,1,MATCH(COLUMNS($V$1006:X1006),$V$1006:$AE$1006,0)))),"Fix")))</f>
        <v>0</v>
      </c>
      <c r="E535" s="3">
        <f>IF(OR(INDEX($P$2:$P$1001,MATCH(ROWS($O$2:O535),$O$2:$O$1001,0),1)&gt;=100000,INDEX($V$1005:$AE$1005,1,MATCH(COLUMNS($V$1006:Y1006),$V$1006:$AE$1006,0))&gt;=100000), " ",IF(INDEX($V$2:$AE$1001,MATCH(ROWS($O$2:O535),$O$2:$O$1001,0),MATCH(COLUMNS($V$1006:Y1006),$V$1006:$AE$1006,0)), HYPERLINK("#",""), HYPERLINK(CONCATENATE("#Metadata!", ADDRESS(INDEX($Q$2:$Q$1001,MATCH(ROWS($O$2:O535),$O$2:$O$1001,0),0), INDEX($V$1004:$AE$1004,1,MATCH(COLUMNS($V$1006:Y1006),$V$1006:$AE$1006,0)))),"Fix")))</f>
        <v>0</v>
      </c>
      <c r="F535" s="3">
        <f>IF(OR(INDEX($P$2:$P$1001,MATCH(ROWS($O$2:O535),$O$2:$O$1001,0),1)&gt;=100000,INDEX($V$1005:$AE$1005,1,MATCH(COLUMNS($V$1006:Z1006),$V$1006:$AE$1006,0))&gt;=100000), " ",IF(INDEX($V$2:$AE$1001,MATCH(ROWS($O$2:O535),$O$2:$O$1001,0),MATCH(COLUMNS($V$1006:Z1006),$V$1006:$AE$1006,0)), HYPERLINK("#",""), HYPERLINK(CONCATENATE("#Metadata!", ADDRESS(INDEX($Q$2:$Q$1001,MATCH(ROWS($O$2:O535),$O$2:$O$1001,0),0), INDEX($V$1004:$AE$1004,1,MATCH(COLUMNS($V$1006:Z1006),$V$1006:$AE$1006,0)))),"Fix")))</f>
        <v>0</v>
      </c>
      <c r="G535" s="3">
        <f>IF(OR(INDEX($P$2:$P$1001,MATCH(ROWS($O$2:O535),$O$2:$O$1001,0),1)&gt;=100000,INDEX($V$1005:$AE$1005,1,MATCH(COLUMNS($V$1006:AA1006),$V$1006:$AE$1006,0))&gt;=100000), " ",IF(INDEX($V$2:$AE$1001,MATCH(ROWS($O$2:O535),$O$2:$O$1001,0),MATCH(COLUMNS($V$1006:AA1006),$V$1006:$AE$1006,0)), HYPERLINK("#",""), HYPERLINK(CONCATENATE("#Metadata!", ADDRESS(INDEX($Q$2:$Q$1001,MATCH(ROWS($O$2:O535),$O$2:$O$1001,0),0), INDEX($V$1004:$AE$1004,1,MATCH(COLUMNS($V$1006:AA1006),$V$1006:$AE$1006,0)))),"Fix")))</f>
        <v>0</v>
      </c>
      <c r="H535" s="3">
        <f>IF(OR(INDEX($P$2:$P$1001,MATCH(ROWS($O$2:O535),$O$2:$O$1001,0),1)&gt;=100000,INDEX($V$1005:$AE$1005,1,MATCH(COLUMNS($V$1006:AB1006),$V$1006:$AE$1006,0))&gt;=100000), " ",IF(INDEX($V$2:$AE$1001,MATCH(ROWS($O$2:O535),$O$2:$O$1001,0),MATCH(COLUMNS($V$1006:AB1006),$V$1006:$AE$1006,0)), HYPERLINK("#",""), HYPERLINK(CONCATENATE("#Metadata!", ADDRESS(INDEX($Q$2:$Q$1001,MATCH(ROWS($O$2:O535),$O$2:$O$1001,0),0), INDEX($V$1004:$AE$1004,1,MATCH(COLUMNS($V$1006:AB1006),$V$1006:$AE$1006,0)))),"Fix")))</f>
        <v>0</v>
      </c>
      <c r="I535" s="3">
        <f>IF(OR(INDEX($P$2:$P$1001,MATCH(ROWS($O$2:O535),$O$2:$O$1001,0),1)&gt;=100000,INDEX($V$1005:$AE$1005,1,MATCH(COLUMNS($V$1006:AC1006),$V$1006:$AE$1006,0))&gt;=100000), " ",IF(INDEX($V$2:$AE$1001,MATCH(ROWS($O$2:O535),$O$2:$O$1001,0),MATCH(COLUMNS($V$1006:AC1006),$V$1006:$AE$1006,0)), HYPERLINK("#",""), HYPERLINK(CONCATENATE("#Metadata!", ADDRESS(INDEX($Q$2:$Q$1001,MATCH(ROWS($O$2:O535),$O$2:$O$1001,0),0), INDEX($V$1004:$AE$1004,1,MATCH(COLUMNS($V$1006:AC1006),$V$1006:$AE$1006,0)))),"Fix")))</f>
        <v>0</v>
      </c>
      <c r="J535" s="3">
        <f>IF(OR(INDEX($P$2:$P$1001,MATCH(ROWS($O$2:O535),$O$2:$O$1001,0),1)&gt;=100000,INDEX($V$1005:$AE$1005,1,MATCH(COLUMNS($V$1006:AD1006),$V$1006:$AE$1006,0))&gt;=100000), " ",IF(INDEX($V$2:$AE$1001,MATCH(ROWS($O$2:O535),$O$2:$O$1001,0),MATCH(COLUMNS($V$1006:AD1006),$V$1006:$AE$1006,0)), HYPERLINK("#",""), HYPERLINK(CONCATENATE("#Metadata!", ADDRESS(INDEX($Q$2:$Q$1001,MATCH(ROWS($O$2:O535),$O$2:$O$1001,0),0), INDEX($V$1004:$AE$1004,1,MATCH(COLUMNS($V$1006:AD1006),$V$1006:$AE$1006,0)))),"Fix")))</f>
        <v>0</v>
      </c>
      <c r="K535" s="3">
        <f>IF(OR(INDEX($P$2:$P$1001,MATCH(ROWS($O$2:O535),$O$2:$O$1001,0),1)&gt;=100000,INDEX($V$1005:$AE$1005,1,MATCH(COLUMNS($V$1006:AE1006),$V$1006:$AE$1006,0))&gt;=100000), " ",IF(INDEX($V$2:$AE$1001,MATCH(ROWS($O$2:O535),$O$2:$O$1001,0),MATCH(COLUMNS($V$1006:AE1006),$V$1006:$AE$1006,0)), HYPERLINK("#",""), HYPERLINK(CONCATENATE("#Metadata!", ADDRESS(INDEX($Q$2:$Q$1001,MATCH(ROWS($O$2:O535),$O$2:$O$1001,0),0), INDEX($V$1004:$AE$1004,1,MATCH(COLUMNS($V$1006:AE1006),$V$1006:$AE$1006,0)))),"Fix")))</f>
        <v>0</v>
      </c>
      <c r="O535">
        <v>0</v>
      </c>
      <c r="P535">
        <v>0</v>
      </c>
      <c r="Q535">
        <v>0</v>
      </c>
      <c r="R535">
        <f>IF(S535,TRUE,AND(V535:AE535))</f>
        <v>0</v>
      </c>
      <c r="S535">
        <f>COUNTBLANK(Metadata!B535:K535)=COLUMNS(Metadata!B535:K535)</f>
        <v>0</v>
      </c>
      <c r="T535">
        <v>0</v>
      </c>
      <c r="V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W535">
        <f>AND(IF(Metadata!C535="",FALSE,TRUE),exact(Metadata!C535,"animal secretion"))</f>
        <v>0</v>
      </c>
      <c r="X535">
        <f>AND(IF(Metadata!D535="",FALSE,TRUE),exact(Metadata!D535,"saliva"))</f>
        <v>0</v>
      </c>
      <c r="Y535">
        <f>AND(IF(Metadata!E535="",FALSE,TRUE),exact(Metadata!E535,"human-oral"))</f>
        <v>0</v>
      </c>
      <c r="Z535">
        <f>AND(IF(Metadata!F535="",FALSE,TRUE),exact(Metadata!F535,"UBERON:oral cavity"))</f>
        <v>0</v>
      </c>
      <c r="AA535">
        <f>AND(IF(Metadata!G535="",FALSE,TRUE),exact(Metadata!G535,"UBERON:saliva"))</f>
        <v>0</v>
      </c>
      <c r="AB535">
        <f>AND(IF(Metadata!H535="",FALSE,TRUE),exact(Metadata!H535,"UBERON:tongue"))</f>
        <v>0</v>
      </c>
      <c r="AC535">
        <f>AND(IF(Metadata!I535="",FALSE,TRUE),exact(Metadata!I535,"tongue"))</f>
        <v>0</v>
      </c>
      <c r="AD535">
        <f>AND(IF(Metadata!J535="",FALSE,TRUE),exact(Metadata!J535,"human oral metagenome"))</f>
        <v>0</v>
      </c>
      <c r="AE535">
        <f>AND(IF(Metadata!K535="",FALSE,TRUE),exact(Metadata!K535,"447426"))</f>
        <v>0</v>
      </c>
    </row>
    <row r="536" spans="1:31">
      <c r="A536" s="4">
        <f>IF(B536=" "," ",HYPERLINK(CONCATENATE("#metadata!",ADDRESS(INDEX($Q$2:$Q$1001,MATCH(ROWS($O$2:O536),$O$2:$O$1001,0),0),1)),INDEX($T$2:$T$1001,MATCH(ROWS($O$2:O536),$O$2:$O$1001,0),0)))</f>
        <v>0</v>
      </c>
      <c r="B536" s="3">
        <f>IF(OR(INDEX($P$2:$P$1001,MATCH(ROWS($O$2:O536),$O$2:$O$1001,0),1)&gt;=100000,INDEX($V$1005:$AE$1005,1,MATCH(COLUMNS($V$1006:V1006),$V$1006:$AE$1006,0))&gt;=100000), " ",IF(INDEX($V$2:$AE$1001,MATCH(ROWS($O$2:O536),$O$2:$O$1001,0),MATCH(COLUMNS($V$1006:V1006),$V$1006:$AE$1006,0)), HYPERLINK("#",""), HYPERLINK(CONCATENATE("#Metadata!", ADDRESS(INDEX($Q$2:$Q$1001,MATCH(ROWS($O$2:O536),$O$2:$O$1001,0),0), INDEX($V$1004:$AE$1004,1,MATCH(COLUMNS($V$1006:V1006),$V$1006:$AE$1006,0)))),"Fix")))</f>
        <v>0</v>
      </c>
      <c r="C536" s="3">
        <f>IF(OR(INDEX($P$2:$P$1001,MATCH(ROWS($O$2:O536),$O$2:$O$1001,0),1)&gt;=100000,INDEX($V$1005:$AE$1005,1,MATCH(COLUMNS($V$1006:W1006),$V$1006:$AE$1006,0))&gt;=100000), " ",IF(INDEX($V$2:$AE$1001,MATCH(ROWS($O$2:O536),$O$2:$O$1001,0),MATCH(COLUMNS($V$1006:W1006),$V$1006:$AE$1006,0)), HYPERLINK("#",""), HYPERLINK(CONCATENATE("#Metadata!", ADDRESS(INDEX($Q$2:$Q$1001,MATCH(ROWS($O$2:O536),$O$2:$O$1001,0),0), INDEX($V$1004:$AE$1004,1,MATCH(COLUMNS($V$1006:W1006),$V$1006:$AE$1006,0)))),"Fix")))</f>
        <v>0</v>
      </c>
      <c r="D536" s="3">
        <f>IF(OR(INDEX($P$2:$P$1001,MATCH(ROWS($O$2:O536),$O$2:$O$1001,0),1)&gt;=100000,INDEX($V$1005:$AE$1005,1,MATCH(COLUMNS($V$1006:X1006),$V$1006:$AE$1006,0))&gt;=100000), " ",IF(INDEX($V$2:$AE$1001,MATCH(ROWS($O$2:O536),$O$2:$O$1001,0),MATCH(COLUMNS($V$1006:X1006),$V$1006:$AE$1006,0)), HYPERLINK("#",""), HYPERLINK(CONCATENATE("#Metadata!", ADDRESS(INDEX($Q$2:$Q$1001,MATCH(ROWS($O$2:O536),$O$2:$O$1001,0),0), INDEX($V$1004:$AE$1004,1,MATCH(COLUMNS($V$1006:X1006),$V$1006:$AE$1006,0)))),"Fix")))</f>
        <v>0</v>
      </c>
      <c r="E536" s="3">
        <f>IF(OR(INDEX($P$2:$P$1001,MATCH(ROWS($O$2:O536),$O$2:$O$1001,0),1)&gt;=100000,INDEX($V$1005:$AE$1005,1,MATCH(COLUMNS($V$1006:Y1006),$V$1006:$AE$1006,0))&gt;=100000), " ",IF(INDEX($V$2:$AE$1001,MATCH(ROWS($O$2:O536),$O$2:$O$1001,0),MATCH(COLUMNS($V$1006:Y1006),$V$1006:$AE$1006,0)), HYPERLINK("#",""), HYPERLINK(CONCATENATE("#Metadata!", ADDRESS(INDEX($Q$2:$Q$1001,MATCH(ROWS($O$2:O536),$O$2:$O$1001,0),0), INDEX($V$1004:$AE$1004,1,MATCH(COLUMNS($V$1006:Y1006),$V$1006:$AE$1006,0)))),"Fix")))</f>
        <v>0</v>
      </c>
      <c r="F536" s="3">
        <f>IF(OR(INDEX($P$2:$P$1001,MATCH(ROWS($O$2:O536),$O$2:$O$1001,0),1)&gt;=100000,INDEX($V$1005:$AE$1005,1,MATCH(COLUMNS($V$1006:Z1006),$V$1006:$AE$1006,0))&gt;=100000), " ",IF(INDEX($V$2:$AE$1001,MATCH(ROWS($O$2:O536),$O$2:$O$1001,0),MATCH(COLUMNS($V$1006:Z1006),$V$1006:$AE$1006,0)), HYPERLINK("#",""), HYPERLINK(CONCATENATE("#Metadata!", ADDRESS(INDEX($Q$2:$Q$1001,MATCH(ROWS($O$2:O536),$O$2:$O$1001,0),0), INDEX($V$1004:$AE$1004,1,MATCH(COLUMNS($V$1006:Z1006),$V$1006:$AE$1006,0)))),"Fix")))</f>
        <v>0</v>
      </c>
      <c r="G536" s="3">
        <f>IF(OR(INDEX($P$2:$P$1001,MATCH(ROWS($O$2:O536),$O$2:$O$1001,0),1)&gt;=100000,INDEX($V$1005:$AE$1005,1,MATCH(COLUMNS($V$1006:AA1006),$V$1006:$AE$1006,0))&gt;=100000), " ",IF(INDEX($V$2:$AE$1001,MATCH(ROWS($O$2:O536),$O$2:$O$1001,0),MATCH(COLUMNS($V$1006:AA1006),$V$1006:$AE$1006,0)), HYPERLINK("#",""), HYPERLINK(CONCATENATE("#Metadata!", ADDRESS(INDEX($Q$2:$Q$1001,MATCH(ROWS($O$2:O536),$O$2:$O$1001,0),0), INDEX($V$1004:$AE$1004,1,MATCH(COLUMNS($V$1006:AA1006),$V$1006:$AE$1006,0)))),"Fix")))</f>
        <v>0</v>
      </c>
      <c r="H536" s="3">
        <f>IF(OR(INDEX($P$2:$P$1001,MATCH(ROWS($O$2:O536),$O$2:$O$1001,0),1)&gt;=100000,INDEX($V$1005:$AE$1005,1,MATCH(COLUMNS($V$1006:AB1006),$V$1006:$AE$1006,0))&gt;=100000), " ",IF(INDEX($V$2:$AE$1001,MATCH(ROWS($O$2:O536),$O$2:$O$1001,0),MATCH(COLUMNS($V$1006:AB1006),$V$1006:$AE$1006,0)), HYPERLINK("#",""), HYPERLINK(CONCATENATE("#Metadata!", ADDRESS(INDEX($Q$2:$Q$1001,MATCH(ROWS($O$2:O536),$O$2:$O$1001,0),0), INDEX($V$1004:$AE$1004,1,MATCH(COLUMNS($V$1006:AB1006),$V$1006:$AE$1006,0)))),"Fix")))</f>
        <v>0</v>
      </c>
      <c r="I536" s="3">
        <f>IF(OR(INDEX($P$2:$P$1001,MATCH(ROWS($O$2:O536),$O$2:$O$1001,0),1)&gt;=100000,INDEX($V$1005:$AE$1005,1,MATCH(COLUMNS($V$1006:AC1006),$V$1006:$AE$1006,0))&gt;=100000), " ",IF(INDEX($V$2:$AE$1001,MATCH(ROWS($O$2:O536),$O$2:$O$1001,0),MATCH(COLUMNS($V$1006:AC1006),$V$1006:$AE$1006,0)), HYPERLINK("#",""), HYPERLINK(CONCATENATE("#Metadata!", ADDRESS(INDEX($Q$2:$Q$1001,MATCH(ROWS($O$2:O536),$O$2:$O$1001,0),0), INDEX($V$1004:$AE$1004,1,MATCH(COLUMNS($V$1006:AC1006),$V$1006:$AE$1006,0)))),"Fix")))</f>
        <v>0</v>
      </c>
      <c r="J536" s="3">
        <f>IF(OR(INDEX($P$2:$P$1001,MATCH(ROWS($O$2:O536),$O$2:$O$1001,0),1)&gt;=100000,INDEX($V$1005:$AE$1005,1,MATCH(COLUMNS($V$1006:AD1006),$V$1006:$AE$1006,0))&gt;=100000), " ",IF(INDEX($V$2:$AE$1001,MATCH(ROWS($O$2:O536),$O$2:$O$1001,0),MATCH(COLUMNS($V$1006:AD1006),$V$1006:$AE$1006,0)), HYPERLINK("#",""), HYPERLINK(CONCATENATE("#Metadata!", ADDRESS(INDEX($Q$2:$Q$1001,MATCH(ROWS($O$2:O536),$O$2:$O$1001,0),0), INDEX($V$1004:$AE$1004,1,MATCH(COLUMNS($V$1006:AD1006),$V$1006:$AE$1006,0)))),"Fix")))</f>
        <v>0</v>
      </c>
      <c r="K536" s="3">
        <f>IF(OR(INDEX($P$2:$P$1001,MATCH(ROWS($O$2:O536),$O$2:$O$1001,0),1)&gt;=100000,INDEX($V$1005:$AE$1005,1,MATCH(COLUMNS($V$1006:AE1006),$V$1006:$AE$1006,0))&gt;=100000), " ",IF(INDEX($V$2:$AE$1001,MATCH(ROWS($O$2:O536),$O$2:$O$1001,0),MATCH(COLUMNS($V$1006:AE1006),$V$1006:$AE$1006,0)), HYPERLINK("#",""), HYPERLINK(CONCATENATE("#Metadata!", ADDRESS(INDEX($Q$2:$Q$1001,MATCH(ROWS($O$2:O536),$O$2:$O$1001,0),0), INDEX($V$1004:$AE$1004,1,MATCH(COLUMNS($V$1006:AE1006),$V$1006:$AE$1006,0)))),"Fix")))</f>
        <v>0</v>
      </c>
      <c r="O536">
        <v>0</v>
      </c>
      <c r="P536">
        <v>0</v>
      </c>
      <c r="Q536">
        <v>0</v>
      </c>
      <c r="R536">
        <f>IF(S536,TRUE,AND(V536:AE536))</f>
        <v>0</v>
      </c>
      <c r="S536">
        <f>COUNTBLANK(Metadata!B536:K536)=COLUMNS(Metadata!B536:K536)</f>
        <v>0</v>
      </c>
      <c r="T536">
        <v>0</v>
      </c>
      <c r="V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W536">
        <f>AND(IF(Metadata!C536="",FALSE,TRUE),exact(Metadata!C536,"animal secretion"))</f>
        <v>0</v>
      </c>
      <c r="X536">
        <f>AND(IF(Metadata!D536="",FALSE,TRUE),exact(Metadata!D536,"saliva"))</f>
        <v>0</v>
      </c>
      <c r="Y536">
        <f>AND(IF(Metadata!E536="",FALSE,TRUE),exact(Metadata!E536,"human-oral"))</f>
        <v>0</v>
      </c>
      <c r="Z536">
        <f>AND(IF(Metadata!F536="",FALSE,TRUE),exact(Metadata!F536,"UBERON:oral cavity"))</f>
        <v>0</v>
      </c>
      <c r="AA536">
        <f>AND(IF(Metadata!G536="",FALSE,TRUE),exact(Metadata!G536,"UBERON:saliva"))</f>
        <v>0</v>
      </c>
      <c r="AB536">
        <f>AND(IF(Metadata!H536="",FALSE,TRUE),exact(Metadata!H536,"UBERON:tongue"))</f>
        <v>0</v>
      </c>
      <c r="AC536">
        <f>AND(IF(Metadata!I536="",FALSE,TRUE),exact(Metadata!I536,"tongue"))</f>
        <v>0</v>
      </c>
      <c r="AD536">
        <f>AND(IF(Metadata!J536="",FALSE,TRUE),exact(Metadata!J536,"human oral metagenome"))</f>
        <v>0</v>
      </c>
      <c r="AE536">
        <f>AND(IF(Metadata!K536="",FALSE,TRUE),exact(Metadata!K536,"447426"))</f>
        <v>0</v>
      </c>
    </row>
    <row r="537" spans="1:31">
      <c r="A537" s="4">
        <f>IF(B537=" "," ",HYPERLINK(CONCATENATE("#metadata!",ADDRESS(INDEX($Q$2:$Q$1001,MATCH(ROWS($O$2:O537),$O$2:$O$1001,0),0),1)),INDEX($T$2:$T$1001,MATCH(ROWS($O$2:O537),$O$2:$O$1001,0),0)))</f>
        <v>0</v>
      </c>
      <c r="B537" s="3">
        <f>IF(OR(INDEX($P$2:$P$1001,MATCH(ROWS($O$2:O537),$O$2:$O$1001,0),1)&gt;=100000,INDEX($V$1005:$AE$1005,1,MATCH(COLUMNS($V$1006:V1006),$V$1006:$AE$1006,0))&gt;=100000), " ",IF(INDEX($V$2:$AE$1001,MATCH(ROWS($O$2:O537),$O$2:$O$1001,0),MATCH(COLUMNS($V$1006:V1006),$V$1006:$AE$1006,0)), HYPERLINK("#",""), HYPERLINK(CONCATENATE("#Metadata!", ADDRESS(INDEX($Q$2:$Q$1001,MATCH(ROWS($O$2:O537),$O$2:$O$1001,0),0), INDEX($V$1004:$AE$1004,1,MATCH(COLUMNS($V$1006:V1006),$V$1006:$AE$1006,0)))),"Fix")))</f>
        <v>0</v>
      </c>
      <c r="C537" s="3">
        <f>IF(OR(INDEX($P$2:$P$1001,MATCH(ROWS($O$2:O537),$O$2:$O$1001,0),1)&gt;=100000,INDEX($V$1005:$AE$1005,1,MATCH(COLUMNS($V$1006:W1006),$V$1006:$AE$1006,0))&gt;=100000), " ",IF(INDEX($V$2:$AE$1001,MATCH(ROWS($O$2:O537),$O$2:$O$1001,0),MATCH(COLUMNS($V$1006:W1006),$V$1006:$AE$1006,0)), HYPERLINK("#",""), HYPERLINK(CONCATENATE("#Metadata!", ADDRESS(INDEX($Q$2:$Q$1001,MATCH(ROWS($O$2:O537),$O$2:$O$1001,0),0), INDEX($V$1004:$AE$1004,1,MATCH(COLUMNS($V$1006:W1006),$V$1006:$AE$1006,0)))),"Fix")))</f>
        <v>0</v>
      </c>
      <c r="D537" s="3">
        <f>IF(OR(INDEX($P$2:$P$1001,MATCH(ROWS($O$2:O537),$O$2:$O$1001,0),1)&gt;=100000,INDEX($V$1005:$AE$1005,1,MATCH(COLUMNS($V$1006:X1006),$V$1006:$AE$1006,0))&gt;=100000), " ",IF(INDEX($V$2:$AE$1001,MATCH(ROWS($O$2:O537),$O$2:$O$1001,0),MATCH(COLUMNS($V$1006:X1006),$V$1006:$AE$1006,0)), HYPERLINK("#",""), HYPERLINK(CONCATENATE("#Metadata!", ADDRESS(INDEX($Q$2:$Q$1001,MATCH(ROWS($O$2:O537),$O$2:$O$1001,0),0), INDEX($V$1004:$AE$1004,1,MATCH(COLUMNS($V$1006:X1006),$V$1006:$AE$1006,0)))),"Fix")))</f>
        <v>0</v>
      </c>
      <c r="E537" s="3">
        <f>IF(OR(INDEX($P$2:$P$1001,MATCH(ROWS($O$2:O537),$O$2:$O$1001,0),1)&gt;=100000,INDEX($V$1005:$AE$1005,1,MATCH(COLUMNS($V$1006:Y1006),$V$1006:$AE$1006,0))&gt;=100000), " ",IF(INDEX($V$2:$AE$1001,MATCH(ROWS($O$2:O537),$O$2:$O$1001,0),MATCH(COLUMNS($V$1006:Y1006),$V$1006:$AE$1006,0)), HYPERLINK("#",""), HYPERLINK(CONCATENATE("#Metadata!", ADDRESS(INDEX($Q$2:$Q$1001,MATCH(ROWS($O$2:O537),$O$2:$O$1001,0),0), INDEX($V$1004:$AE$1004,1,MATCH(COLUMNS($V$1006:Y1006),$V$1006:$AE$1006,0)))),"Fix")))</f>
        <v>0</v>
      </c>
      <c r="F537" s="3">
        <f>IF(OR(INDEX($P$2:$P$1001,MATCH(ROWS($O$2:O537),$O$2:$O$1001,0),1)&gt;=100000,INDEX($V$1005:$AE$1005,1,MATCH(COLUMNS($V$1006:Z1006),$V$1006:$AE$1006,0))&gt;=100000), " ",IF(INDEX($V$2:$AE$1001,MATCH(ROWS($O$2:O537),$O$2:$O$1001,0),MATCH(COLUMNS($V$1006:Z1006),$V$1006:$AE$1006,0)), HYPERLINK("#",""), HYPERLINK(CONCATENATE("#Metadata!", ADDRESS(INDEX($Q$2:$Q$1001,MATCH(ROWS($O$2:O537),$O$2:$O$1001,0),0), INDEX($V$1004:$AE$1004,1,MATCH(COLUMNS($V$1006:Z1006),$V$1006:$AE$1006,0)))),"Fix")))</f>
        <v>0</v>
      </c>
      <c r="G537" s="3">
        <f>IF(OR(INDEX($P$2:$P$1001,MATCH(ROWS($O$2:O537),$O$2:$O$1001,0),1)&gt;=100000,INDEX($V$1005:$AE$1005,1,MATCH(COLUMNS($V$1006:AA1006),$V$1006:$AE$1006,0))&gt;=100000), " ",IF(INDEX($V$2:$AE$1001,MATCH(ROWS($O$2:O537),$O$2:$O$1001,0),MATCH(COLUMNS($V$1006:AA1006),$V$1006:$AE$1006,0)), HYPERLINK("#",""), HYPERLINK(CONCATENATE("#Metadata!", ADDRESS(INDEX($Q$2:$Q$1001,MATCH(ROWS($O$2:O537),$O$2:$O$1001,0),0), INDEX($V$1004:$AE$1004,1,MATCH(COLUMNS($V$1006:AA1006),$V$1006:$AE$1006,0)))),"Fix")))</f>
        <v>0</v>
      </c>
      <c r="H537" s="3">
        <f>IF(OR(INDEX($P$2:$P$1001,MATCH(ROWS($O$2:O537),$O$2:$O$1001,0),1)&gt;=100000,INDEX($V$1005:$AE$1005,1,MATCH(COLUMNS($V$1006:AB1006),$V$1006:$AE$1006,0))&gt;=100000), " ",IF(INDEX($V$2:$AE$1001,MATCH(ROWS($O$2:O537),$O$2:$O$1001,0),MATCH(COLUMNS($V$1006:AB1006),$V$1006:$AE$1006,0)), HYPERLINK("#",""), HYPERLINK(CONCATENATE("#Metadata!", ADDRESS(INDEX($Q$2:$Q$1001,MATCH(ROWS($O$2:O537),$O$2:$O$1001,0),0), INDEX($V$1004:$AE$1004,1,MATCH(COLUMNS($V$1006:AB1006),$V$1006:$AE$1006,0)))),"Fix")))</f>
        <v>0</v>
      </c>
      <c r="I537" s="3">
        <f>IF(OR(INDEX($P$2:$P$1001,MATCH(ROWS($O$2:O537),$O$2:$O$1001,0),1)&gt;=100000,INDEX($V$1005:$AE$1005,1,MATCH(COLUMNS($V$1006:AC1006),$V$1006:$AE$1006,0))&gt;=100000), " ",IF(INDEX($V$2:$AE$1001,MATCH(ROWS($O$2:O537),$O$2:$O$1001,0),MATCH(COLUMNS($V$1006:AC1006),$V$1006:$AE$1006,0)), HYPERLINK("#",""), HYPERLINK(CONCATENATE("#Metadata!", ADDRESS(INDEX($Q$2:$Q$1001,MATCH(ROWS($O$2:O537),$O$2:$O$1001,0),0), INDEX($V$1004:$AE$1004,1,MATCH(COLUMNS($V$1006:AC1006),$V$1006:$AE$1006,0)))),"Fix")))</f>
        <v>0</v>
      </c>
      <c r="J537" s="3">
        <f>IF(OR(INDEX($P$2:$P$1001,MATCH(ROWS($O$2:O537),$O$2:$O$1001,0),1)&gt;=100000,INDEX($V$1005:$AE$1005,1,MATCH(COLUMNS($V$1006:AD1006),$V$1006:$AE$1006,0))&gt;=100000), " ",IF(INDEX($V$2:$AE$1001,MATCH(ROWS($O$2:O537),$O$2:$O$1001,0),MATCH(COLUMNS($V$1006:AD1006),$V$1006:$AE$1006,0)), HYPERLINK("#",""), HYPERLINK(CONCATENATE("#Metadata!", ADDRESS(INDEX($Q$2:$Q$1001,MATCH(ROWS($O$2:O537),$O$2:$O$1001,0),0), INDEX($V$1004:$AE$1004,1,MATCH(COLUMNS($V$1006:AD1006),$V$1006:$AE$1006,0)))),"Fix")))</f>
        <v>0</v>
      </c>
      <c r="K537" s="3">
        <f>IF(OR(INDEX($P$2:$P$1001,MATCH(ROWS($O$2:O537),$O$2:$O$1001,0),1)&gt;=100000,INDEX($V$1005:$AE$1005,1,MATCH(COLUMNS($V$1006:AE1006),$V$1006:$AE$1006,0))&gt;=100000), " ",IF(INDEX($V$2:$AE$1001,MATCH(ROWS($O$2:O537),$O$2:$O$1001,0),MATCH(COLUMNS($V$1006:AE1006),$V$1006:$AE$1006,0)), HYPERLINK("#",""), HYPERLINK(CONCATENATE("#Metadata!", ADDRESS(INDEX($Q$2:$Q$1001,MATCH(ROWS($O$2:O537),$O$2:$O$1001,0),0), INDEX($V$1004:$AE$1004,1,MATCH(COLUMNS($V$1006:AE1006),$V$1006:$AE$1006,0)))),"Fix")))</f>
        <v>0</v>
      </c>
      <c r="O537">
        <v>0</v>
      </c>
      <c r="P537">
        <v>0</v>
      </c>
      <c r="Q537">
        <v>0</v>
      </c>
      <c r="R537">
        <f>IF(S537,TRUE,AND(V537:AE537))</f>
        <v>0</v>
      </c>
      <c r="S537">
        <f>COUNTBLANK(Metadata!B537:K537)=COLUMNS(Metadata!B537:K537)</f>
        <v>0</v>
      </c>
      <c r="T537">
        <v>0</v>
      </c>
      <c r="V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W537">
        <f>AND(IF(Metadata!C537="",FALSE,TRUE),exact(Metadata!C537,"animal secretion"))</f>
        <v>0</v>
      </c>
      <c r="X537">
        <f>AND(IF(Metadata!D537="",FALSE,TRUE),exact(Metadata!D537,"saliva"))</f>
        <v>0</v>
      </c>
      <c r="Y537">
        <f>AND(IF(Metadata!E537="",FALSE,TRUE),exact(Metadata!E537,"human-oral"))</f>
        <v>0</v>
      </c>
      <c r="Z537">
        <f>AND(IF(Metadata!F537="",FALSE,TRUE),exact(Metadata!F537,"UBERON:oral cavity"))</f>
        <v>0</v>
      </c>
      <c r="AA537">
        <f>AND(IF(Metadata!G537="",FALSE,TRUE),exact(Metadata!G537,"UBERON:saliva"))</f>
        <v>0</v>
      </c>
      <c r="AB537">
        <f>AND(IF(Metadata!H537="",FALSE,TRUE),exact(Metadata!H537,"UBERON:tongue"))</f>
        <v>0</v>
      </c>
      <c r="AC537">
        <f>AND(IF(Metadata!I537="",FALSE,TRUE),exact(Metadata!I537,"tongue"))</f>
        <v>0</v>
      </c>
      <c r="AD537">
        <f>AND(IF(Metadata!J537="",FALSE,TRUE),exact(Metadata!J537,"human oral metagenome"))</f>
        <v>0</v>
      </c>
      <c r="AE537">
        <f>AND(IF(Metadata!K537="",FALSE,TRUE),exact(Metadata!K537,"447426"))</f>
        <v>0</v>
      </c>
    </row>
    <row r="538" spans="1:31">
      <c r="A538" s="4">
        <f>IF(B538=" "," ",HYPERLINK(CONCATENATE("#metadata!",ADDRESS(INDEX($Q$2:$Q$1001,MATCH(ROWS($O$2:O538),$O$2:$O$1001,0),0),1)),INDEX($T$2:$T$1001,MATCH(ROWS($O$2:O538),$O$2:$O$1001,0),0)))</f>
        <v>0</v>
      </c>
      <c r="B538" s="3">
        <f>IF(OR(INDEX($P$2:$P$1001,MATCH(ROWS($O$2:O538),$O$2:$O$1001,0),1)&gt;=100000,INDEX($V$1005:$AE$1005,1,MATCH(COLUMNS($V$1006:V1006),$V$1006:$AE$1006,0))&gt;=100000), " ",IF(INDEX($V$2:$AE$1001,MATCH(ROWS($O$2:O538),$O$2:$O$1001,0),MATCH(COLUMNS($V$1006:V1006),$V$1006:$AE$1006,0)), HYPERLINK("#",""), HYPERLINK(CONCATENATE("#Metadata!", ADDRESS(INDEX($Q$2:$Q$1001,MATCH(ROWS($O$2:O538),$O$2:$O$1001,0),0), INDEX($V$1004:$AE$1004,1,MATCH(COLUMNS($V$1006:V1006),$V$1006:$AE$1006,0)))),"Fix")))</f>
        <v>0</v>
      </c>
      <c r="C538" s="3">
        <f>IF(OR(INDEX($P$2:$P$1001,MATCH(ROWS($O$2:O538),$O$2:$O$1001,0),1)&gt;=100000,INDEX($V$1005:$AE$1005,1,MATCH(COLUMNS($V$1006:W1006),$V$1006:$AE$1006,0))&gt;=100000), " ",IF(INDEX($V$2:$AE$1001,MATCH(ROWS($O$2:O538),$O$2:$O$1001,0),MATCH(COLUMNS($V$1006:W1006),$V$1006:$AE$1006,0)), HYPERLINK("#",""), HYPERLINK(CONCATENATE("#Metadata!", ADDRESS(INDEX($Q$2:$Q$1001,MATCH(ROWS($O$2:O538),$O$2:$O$1001,0),0), INDEX($V$1004:$AE$1004,1,MATCH(COLUMNS($V$1006:W1006),$V$1006:$AE$1006,0)))),"Fix")))</f>
        <v>0</v>
      </c>
      <c r="D538" s="3">
        <f>IF(OR(INDEX($P$2:$P$1001,MATCH(ROWS($O$2:O538),$O$2:$O$1001,0),1)&gt;=100000,INDEX($V$1005:$AE$1005,1,MATCH(COLUMNS($V$1006:X1006),$V$1006:$AE$1006,0))&gt;=100000), " ",IF(INDEX($V$2:$AE$1001,MATCH(ROWS($O$2:O538),$O$2:$O$1001,0),MATCH(COLUMNS($V$1006:X1006),$V$1006:$AE$1006,0)), HYPERLINK("#",""), HYPERLINK(CONCATENATE("#Metadata!", ADDRESS(INDEX($Q$2:$Q$1001,MATCH(ROWS($O$2:O538),$O$2:$O$1001,0),0), INDEX($V$1004:$AE$1004,1,MATCH(COLUMNS($V$1006:X1006),$V$1006:$AE$1006,0)))),"Fix")))</f>
        <v>0</v>
      </c>
      <c r="E538" s="3">
        <f>IF(OR(INDEX($P$2:$P$1001,MATCH(ROWS($O$2:O538),$O$2:$O$1001,0),1)&gt;=100000,INDEX($V$1005:$AE$1005,1,MATCH(COLUMNS($V$1006:Y1006),$V$1006:$AE$1006,0))&gt;=100000), " ",IF(INDEX($V$2:$AE$1001,MATCH(ROWS($O$2:O538),$O$2:$O$1001,0),MATCH(COLUMNS($V$1006:Y1006),$V$1006:$AE$1006,0)), HYPERLINK("#",""), HYPERLINK(CONCATENATE("#Metadata!", ADDRESS(INDEX($Q$2:$Q$1001,MATCH(ROWS($O$2:O538),$O$2:$O$1001,0),0), INDEX($V$1004:$AE$1004,1,MATCH(COLUMNS($V$1006:Y1006),$V$1006:$AE$1006,0)))),"Fix")))</f>
        <v>0</v>
      </c>
      <c r="F538" s="3">
        <f>IF(OR(INDEX($P$2:$P$1001,MATCH(ROWS($O$2:O538),$O$2:$O$1001,0),1)&gt;=100000,INDEX($V$1005:$AE$1005,1,MATCH(COLUMNS($V$1006:Z1006),$V$1006:$AE$1006,0))&gt;=100000), " ",IF(INDEX($V$2:$AE$1001,MATCH(ROWS($O$2:O538),$O$2:$O$1001,0),MATCH(COLUMNS($V$1006:Z1006),$V$1006:$AE$1006,0)), HYPERLINK("#",""), HYPERLINK(CONCATENATE("#Metadata!", ADDRESS(INDEX($Q$2:$Q$1001,MATCH(ROWS($O$2:O538),$O$2:$O$1001,0),0), INDEX($V$1004:$AE$1004,1,MATCH(COLUMNS($V$1006:Z1006),$V$1006:$AE$1006,0)))),"Fix")))</f>
        <v>0</v>
      </c>
      <c r="G538" s="3">
        <f>IF(OR(INDEX($P$2:$P$1001,MATCH(ROWS($O$2:O538),$O$2:$O$1001,0),1)&gt;=100000,INDEX($V$1005:$AE$1005,1,MATCH(COLUMNS($V$1006:AA1006),$V$1006:$AE$1006,0))&gt;=100000), " ",IF(INDEX($V$2:$AE$1001,MATCH(ROWS($O$2:O538),$O$2:$O$1001,0),MATCH(COLUMNS($V$1006:AA1006),$V$1006:$AE$1006,0)), HYPERLINK("#",""), HYPERLINK(CONCATENATE("#Metadata!", ADDRESS(INDEX($Q$2:$Q$1001,MATCH(ROWS($O$2:O538),$O$2:$O$1001,0),0), INDEX($V$1004:$AE$1004,1,MATCH(COLUMNS($V$1006:AA1006),$V$1006:$AE$1006,0)))),"Fix")))</f>
        <v>0</v>
      </c>
      <c r="H538" s="3">
        <f>IF(OR(INDEX($P$2:$P$1001,MATCH(ROWS($O$2:O538),$O$2:$O$1001,0),1)&gt;=100000,INDEX($V$1005:$AE$1005,1,MATCH(COLUMNS($V$1006:AB1006),$V$1006:$AE$1006,0))&gt;=100000), " ",IF(INDEX($V$2:$AE$1001,MATCH(ROWS($O$2:O538),$O$2:$O$1001,0),MATCH(COLUMNS($V$1006:AB1006),$V$1006:$AE$1006,0)), HYPERLINK("#",""), HYPERLINK(CONCATENATE("#Metadata!", ADDRESS(INDEX($Q$2:$Q$1001,MATCH(ROWS($O$2:O538),$O$2:$O$1001,0),0), INDEX($V$1004:$AE$1004,1,MATCH(COLUMNS($V$1006:AB1006),$V$1006:$AE$1006,0)))),"Fix")))</f>
        <v>0</v>
      </c>
      <c r="I538" s="3">
        <f>IF(OR(INDEX($P$2:$P$1001,MATCH(ROWS($O$2:O538),$O$2:$O$1001,0),1)&gt;=100000,INDEX($V$1005:$AE$1005,1,MATCH(COLUMNS($V$1006:AC1006),$V$1006:$AE$1006,0))&gt;=100000), " ",IF(INDEX($V$2:$AE$1001,MATCH(ROWS($O$2:O538),$O$2:$O$1001,0),MATCH(COLUMNS($V$1006:AC1006),$V$1006:$AE$1006,0)), HYPERLINK("#",""), HYPERLINK(CONCATENATE("#Metadata!", ADDRESS(INDEX($Q$2:$Q$1001,MATCH(ROWS($O$2:O538),$O$2:$O$1001,0),0), INDEX($V$1004:$AE$1004,1,MATCH(COLUMNS($V$1006:AC1006),$V$1006:$AE$1006,0)))),"Fix")))</f>
        <v>0</v>
      </c>
      <c r="J538" s="3">
        <f>IF(OR(INDEX($P$2:$P$1001,MATCH(ROWS($O$2:O538),$O$2:$O$1001,0),1)&gt;=100000,INDEX($V$1005:$AE$1005,1,MATCH(COLUMNS($V$1006:AD1006),$V$1006:$AE$1006,0))&gt;=100000), " ",IF(INDEX($V$2:$AE$1001,MATCH(ROWS($O$2:O538),$O$2:$O$1001,0),MATCH(COLUMNS($V$1006:AD1006),$V$1006:$AE$1006,0)), HYPERLINK("#",""), HYPERLINK(CONCATENATE("#Metadata!", ADDRESS(INDEX($Q$2:$Q$1001,MATCH(ROWS($O$2:O538),$O$2:$O$1001,0),0), INDEX($V$1004:$AE$1004,1,MATCH(COLUMNS($V$1006:AD1006),$V$1006:$AE$1006,0)))),"Fix")))</f>
        <v>0</v>
      </c>
      <c r="K538" s="3">
        <f>IF(OR(INDEX($P$2:$P$1001,MATCH(ROWS($O$2:O538),$O$2:$O$1001,0),1)&gt;=100000,INDEX($V$1005:$AE$1005,1,MATCH(COLUMNS($V$1006:AE1006),$V$1006:$AE$1006,0))&gt;=100000), " ",IF(INDEX($V$2:$AE$1001,MATCH(ROWS($O$2:O538),$O$2:$O$1001,0),MATCH(COLUMNS($V$1006:AE1006),$V$1006:$AE$1006,0)), HYPERLINK("#",""), HYPERLINK(CONCATENATE("#Metadata!", ADDRESS(INDEX($Q$2:$Q$1001,MATCH(ROWS($O$2:O538),$O$2:$O$1001,0),0), INDEX($V$1004:$AE$1004,1,MATCH(COLUMNS($V$1006:AE1006),$V$1006:$AE$1006,0)))),"Fix")))</f>
        <v>0</v>
      </c>
      <c r="O538">
        <v>0</v>
      </c>
      <c r="P538">
        <v>0</v>
      </c>
      <c r="Q538">
        <v>0</v>
      </c>
      <c r="R538">
        <f>IF(S538,TRUE,AND(V538:AE538))</f>
        <v>0</v>
      </c>
      <c r="S538">
        <f>COUNTBLANK(Metadata!B538:K538)=COLUMNS(Metadata!B538:K538)</f>
        <v>0</v>
      </c>
      <c r="T538">
        <v>0</v>
      </c>
      <c r="V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W538">
        <f>AND(IF(Metadata!C538="",FALSE,TRUE),exact(Metadata!C538,"animal secretion"))</f>
        <v>0</v>
      </c>
      <c r="X538">
        <f>AND(IF(Metadata!D538="",FALSE,TRUE),exact(Metadata!D538,"saliva"))</f>
        <v>0</v>
      </c>
      <c r="Y538">
        <f>AND(IF(Metadata!E538="",FALSE,TRUE),exact(Metadata!E538,"human-oral"))</f>
        <v>0</v>
      </c>
      <c r="Z538">
        <f>AND(IF(Metadata!F538="",FALSE,TRUE),exact(Metadata!F538,"UBERON:oral cavity"))</f>
        <v>0</v>
      </c>
      <c r="AA538">
        <f>AND(IF(Metadata!G538="",FALSE,TRUE),exact(Metadata!G538,"UBERON:saliva"))</f>
        <v>0</v>
      </c>
      <c r="AB538">
        <f>AND(IF(Metadata!H538="",FALSE,TRUE),exact(Metadata!H538,"UBERON:tongue"))</f>
        <v>0</v>
      </c>
      <c r="AC538">
        <f>AND(IF(Metadata!I538="",FALSE,TRUE),exact(Metadata!I538,"tongue"))</f>
        <v>0</v>
      </c>
      <c r="AD538">
        <f>AND(IF(Metadata!J538="",FALSE,TRUE),exact(Metadata!J538,"human oral metagenome"))</f>
        <v>0</v>
      </c>
      <c r="AE538">
        <f>AND(IF(Metadata!K538="",FALSE,TRUE),exact(Metadata!K538,"447426"))</f>
        <v>0</v>
      </c>
    </row>
    <row r="539" spans="1:31">
      <c r="A539" s="4">
        <f>IF(B539=" "," ",HYPERLINK(CONCATENATE("#metadata!",ADDRESS(INDEX($Q$2:$Q$1001,MATCH(ROWS($O$2:O539),$O$2:$O$1001,0),0),1)),INDEX($T$2:$T$1001,MATCH(ROWS($O$2:O539),$O$2:$O$1001,0),0)))</f>
        <v>0</v>
      </c>
      <c r="B539" s="3">
        <f>IF(OR(INDEX($P$2:$P$1001,MATCH(ROWS($O$2:O539),$O$2:$O$1001,0),1)&gt;=100000,INDEX($V$1005:$AE$1005,1,MATCH(COLUMNS($V$1006:V1006),$V$1006:$AE$1006,0))&gt;=100000), " ",IF(INDEX($V$2:$AE$1001,MATCH(ROWS($O$2:O539),$O$2:$O$1001,0),MATCH(COLUMNS($V$1006:V1006),$V$1006:$AE$1006,0)), HYPERLINK("#",""), HYPERLINK(CONCATENATE("#Metadata!", ADDRESS(INDEX($Q$2:$Q$1001,MATCH(ROWS($O$2:O539),$O$2:$O$1001,0),0), INDEX($V$1004:$AE$1004,1,MATCH(COLUMNS($V$1006:V1006),$V$1006:$AE$1006,0)))),"Fix")))</f>
        <v>0</v>
      </c>
      <c r="C539" s="3">
        <f>IF(OR(INDEX($P$2:$P$1001,MATCH(ROWS($O$2:O539),$O$2:$O$1001,0),1)&gt;=100000,INDEX($V$1005:$AE$1005,1,MATCH(COLUMNS($V$1006:W1006),$V$1006:$AE$1006,0))&gt;=100000), " ",IF(INDEX($V$2:$AE$1001,MATCH(ROWS($O$2:O539),$O$2:$O$1001,0),MATCH(COLUMNS($V$1006:W1006),$V$1006:$AE$1006,0)), HYPERLINK("#",""), HYPERLINK(CONCATENATE("#Metadata!", ADDRESS(INDEX($Q$2:$Q$1001,MATCH(ROWS($O$2:O539),$O$2:$O$1001,0),0), INDEX($V$1004:$AE$1004,1,MATCH(COLUMNS($V$1006:W1006),$V$1006:$AE$1006,0)))),"Fix")))</f>
        <v>0</v>
      </c>
      <c r="D539" s="3">
        <f>IF(OR(INDEX($P$2:$P$1001,MATCH(ROWS($O$2:O539),$O$2:$O$1001,0),1)&gt;=100000,INDEX($V$1005:$AE$1005,1,MATCH(COLUMNS($V$1006:X1006),$V$1006:$AE$1006,0))&gt;=100000), " ",IF(INDEX($V$2:$AE$1001,MATCH(ROWS($O$2:O539),$O$2:$O$1001,0),MATCH(COLUMNS($V$1006:X1006),$V$1006:$AE$1006,0)), HYPERLINK("#",""), HYPERLINK(CONCATENATE("#Metadata!", ADDRESS(INDEX($Q$2:$Q$1001,MATCH(ROWS($O$2:O539),$O$2:$O$1001,0),0), INDEX($V$1004:$AE$1004,1,MATCH(COLUMNS($V$1006:X1006),$V$1006:$AE$1006,0)))),"Fix")))</f>
        <v>0</v>
      </c>
      <c r="E539" s="3">
        <f>IF(OR(INDEX($P$2:$P$1001,MATCH(ROWS($O$2:O539),$O$2:$O$1001,0),1)&gt;=100000,INDEX($V$1005:$AE$1005,1,MATCH(COLUMNS($V$1006:Y1006),$V$1006:$AE$1006,0))&gt;=100000), " ",IF(INDEX($V$2:$AE$1001,MATCH(ROWS($O$2:O539),$O$2:$O$1001,0),MATCH(COLUMNS($V$1006:Y1006),$V$1006:$AE$1006,0)), HYPERLINK("#",""), HYPERLINK(CONCATENATE("#Metadata!", ADDRESS(INDEX($Q$2:$Q$1001,MATCH(ROWS($O$2:O539),$O$2:$O$1001,0),0), INDEX($V$1004:$AE$1004,1,MATCH(COLUMNS($V$1006:Y1006),$V$1006:$AE$1006,0)))),"Fix")))</f>
        <v>0</v>
      </c>
      <c r="F539" s="3">
        <f>IF(OR(INDEX($P$2:$P$1001,MATCH(ROWS($O$2:O539),$O$2:$O$1001,0),1)&gt;=100000,INDEX($V$1005:$AE$1005,1,MATCH(COLUMNS($V$1006:Z1006),$V$1006:$AE$1006,0))&gt;=100000), " ",IF(INDEX($V$2:$AE$1001,MATCH(ROWS($O$2:O539),$O$2:$O$1001,0),MATCH(COLUMNS($V$1006:Z1006),$V$1006:$AE$1006,0)), HYPERLINK("#",""), HYPERLINK(CONCATENATE("#Metadata!", ADDRESS(INDEX($Q$2:$Q$1001,MATCH(ROWS($O$2:O539),$O$2:$O$1001,0),0), INDEX($V$1004:$AE$1004,1,MATCH(COLUMNS($V$1006:Z1006),$V$1006:$AE$1006,0)))),"Fix")))</f>
        <v>0</v>
      </c>
      <c r="G539" s="3">
        <f>IF(OR(INDEX($P$2:$P$1001,MATCH(ROWS($O$2:O539),$O$2:$O$1001,0),1)&gt;=100000,INDEX($V$1005:$AE$1005,1,MATCH(COLUMNS($V$1006:AA1006),$V$1006:$AE$1006,0))&gt;=100000), " ",IF(INDEX($V$2:$AE$1001,MATCH(ROWS($O$2:O539),$O$2:$O$1001,0),MATCH(COLUMNS($V$1006:AA1006),$V$1006:$AE$1006,0)), HYPERLINK("#",""), HYPERLINK(CONCATENATE("#Metadata!", ADDRESS(INDEX($Q$2:$Q$1001,MATCH(ROWS($O$2:O539),$O$2:$O$1001,0),0), INDEX($V$1004:$AE$1004,1,MATCH(COLUMNS($V$1006:AA1006),$V$1006:$AE$1006,0)))),"Fix")))</f>
        <v>0</v>
      </c>
      <c r="H539" s="3">
        <f>IF(OR(INDEX($P$2:$P$1001,MATCH(ROWS($O$2:O539),$O$2:$O$1001,0),1)&gt;=100000,INDEX($V$1005:$AE$1005,1,MATCH(COLUMNS($V$1006:AB1006),$V$1006:$AE$1006,0))&gt;=100000), " ",IF(INDEX($V$2:$AE$1001,MATCH(ROWS($O$2:O539),$O$2:$O$1001,0),MATCH(COLUMNS($V$1006:AB1006),$V$1006:$AE$1006,0)), HYPERLINK("#",""), HYPERLINK(CONCATENATE("#Metadata!", ADDRESS(INDEX($Q$2:$Q$1001,MATCH(ROWS($O$2:O539),$O$2:$O$1001,0),0), INDEX($V$1004:$AE$1004,1,MATCH(COLUMNS($V$1006:AB1006),$V$1006:$AE$1006,0)))),"Fix")))</f>
        <v>0</v>
      </c>
      <c r="I539" s="3">
        <f>IF(OR(INDEX($P$2:$P$1001,MATCH(ROWS($O$2:O539),$O$2:$O$1001,0),1)&gt;=100000,INDEX($V$1005:$AE$1005,1,MATCH(COLUMNS($V$1006:AC1006),$V$1006:$AE$1006,0))&gt;=100000), " ",IF(INDEX($V$2:$AE$1001,MATCH(ROWS($O$2:O539),$O$2:$O$1001,0),MATCH(COLUMNS($V$1006:AC1006),$V$1006:$AE$1006,0)), HYPERLINK("#",""), HYPERLINK(CONCATENATE("#Metadata!", ADDRESS(INDEX($Q$2:$Q$1001,MATCH(ROWS($O$2:O539),$O$2:$O$1001,0),0), INDEX($V$1004:$AE$1004,1,MATCH(COLUMNS($V$1006:AC1006),$V$1006:$AE$1006,0)))),"Fix")))</f>
        <v>0</v>
      </c>
      <c r="J539" s="3">
        <f>IF(OR(INDEX($P$2:$P$1001,MATCH(ROWS($O$2:O539),$O$2:$O$1001,0),1)&gt;=100000,INDEX($V$1005:$AE$1005,1,MATCH(COLUMNS($V$1006:AD1006),$V$1006:$AE$1006,0))&gt;=100000), " ",IF(INDEX($V$2:$AE$1001,MATCH(ROWS($O$2:O539),$O$2:$O$1001,0),MATCH(COLUMNS($V$1006:AD1006),$V$1006:$AE$1006,0)), HYPERLINK("#",""), HYPERLINK(CONCATENATE("#Metadata!", ADDRESS(INDEX($Q$2:$Q$1001,MATCH(ROWS($O$2:O539),$O$2:$O$1001,0),0), INDEX($V$1004:$AE$1004,1,MATCH(COLUMNS($V$1006:AD1006),$V$1006:$AE$1006,0)))),"Fix")))</f>
        <v>0</v>
      </c>
      <c r="K539" s="3">
        <f>IF(OR(INDEX($P$2:$P$1001,MATCH(ROWS($O$2:O539),$O$2:$O$1001,0),1)&gt;=100000,INDEX($V$1005:$AE$1005,1,MATCH(COLUMNS($V$1006:AE1006),$V$1006:$AE$1006,0))&gt;=100000), " ",IF(INDEX($V$2:$AE$1001,MATCH(ROWS($O$2:O539),$O$2:$O$1001,0),MATCH(COLUMNS($V$1006:AE1006),$V$1006:$AE$1006,0)), HYPERLINK("#",""), HYPERLINK(CONCATENATE("#Metadata!", ADDRESS(INDEX($Q$2:$Q$1001,MATCH(ROWS($O$2:O539),$O$2:$O$1001,0),0), INDEX($V$1004:$AE$1004,1,MATCH(COLUMNS($V$1006:AE1006),$V$1006:$AE$1006,0)))),"Fix")))</f>
        <v>0</v>
      </c>
      <c r="O539">
        <v>0</v>
      </c>
      <c r="P539">
        <v>0</v>
      </c>
      <c r="Q539">
        <v>0</v>
      </c>
      <c r="R539">
        <f>IF(S539,TRUE,AND(V539:AE539))</f>
        <v>0</v>
      </c>
      <c r="S539">
        <f>COUNTBLANK(Metadata!B539:K539)=COLUMNS(Metadata!B539:K539)</f>
        <v>0</v>
      </c>
      <c r="T539">
        <v>0</v>
      </c>
      <c r="V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W539">
        <f>AND(IF(Metadata!C539="",FALSE,TRUE),exact(Metadata!C539,"animal secretion"))</f>
        <v>0</v>
      </c>
      <c r="X539">
        <f>AND(IF(Metadata!D539="",FALSE,TRUE),exact(Metadata!D539,"saliva"))</f>
        <v>0</v>
      </c>
      <c r="Y539">
        <f>AND(IF(Metadata!E539="",FALSE,TRUE),exact(Metadata!E539,"human-oral"))</f>
        <v>0</v>
      </c>
      <c r="Z539">
        <f>AND(IF(Metadata!F539="",FALSE,TRUE),exact(Metadata!F539,"UBERON:oral cavity"))</f>
        <v>0</v>
      </c>
      <c r="AA539">
        <f>AND(IF(Metadata!G539="",FALSE,TRUE),exact(Metadata!G539,"UBERON:saliva"))</f>
        <v>0</v>
      </c>
      <c r="AB539">
        <f>AND(IF(Metadata!H539="",FALSE,TRUE),exact(Metadata!H539,"UBERON:tongue"))</f>
        <v>0</v>
      </c>
      <c r="AC539">
        <f>AND(IF(Metadata!I539="",FALSE,TRUE),exact(Metadata!I539,"tongue"))</f>
        <v>0</v>
      </c>
      <c r="AD539">
        <f>AND(IF(Metadata!J539="",FALSE,TRUE),exact(Metadata!J539,"human oral metagenome"))</f>
        <v>0</v>
      </c>
      <c r="AE539">
        <f>AND(IF(Metadata!K539="",FALSE,TRUE),exact(Metadata!K539,"447426"))</f>
        <v>0</v>
      </c>
    </row>
    <row r="540" spans="1:31">
      <c r="A540" s="4">
        <f>IF(B540=" "," ",HYPERLINK(CONCATENATE("#metadata!",ADDRESS(INDEX($Q$2:$Q$1001,MATCH(ROWS($O$2:O540),$O$2:$O$1001,0),0),1)),INDEX($T$2:$T$1001,MATCH(ROWS($O$2:O540),$O$2:$O$1001,0),0)))</f>
        <v>0</v>
      </c>
      <c r="B540" s="3">
        <f>IF(OR(INDEX($P$2:$P$1001,MATCH(ROWS($O$2:O540),$O$2:$O$1001,0),1)&gt;=100000,INDEX($V$1005:$AE$1005,1,MATCH(COLUMNS($V$1006:V1006),$V$1006:$AE$1006,0))&gt;=100000), " ",IF(INDEX($V$2:$AE$1001,MATCH(ROWS($O$2:O540),$O$2:$O$1001,0),MATCH(COLUMNS($V$1006:V1006),$V$1006:$AE$1006,0)), HYPERLINK("#",""), HYPERLINK(CONCATENATE("#Metadata!", ADDRESS(INDEX($Q$2:$Q$1001,MATCH(ROWS($O$2:O540),$O$2:$O$1001,0),0), INDEX($V$1004:$AE$1004,1,MATCH(COLUMNS($V$1006:V1006),$V$1006:$AE$1006,0)))),"Fix")))</f>
        <v>0</v>
      </c>
      <c r="C540" s="3">
        <f>IF(OR(INDEX($P$2:$P$1001,MATCH(ROWS($O$2:O540),$O$2:$O$1001,0),1)&gt;=100000,INDEX($V$1005:$AE$1005,1,MATCH(COLUMNS($V$1006:W1006),$V$1006:$AE$1006,0))&gt;=100000), " ",IF(INDEX($V$2:$AE$1001,MATCH(ROWS($O$2:O540),$O$2:$O$1001,0),MATCH(COLUMNS($V$1006:W1006),$V$1006:$AE$1006,0)), HYPERLINK("#",""), HYPERLINK(CONCATENATE("#Metadata!", ADDRESS(INDEX($Q$2:$Q$1001,MATCH(ROWS($O$2:O540),$O$2:$O$1001,0),0), INDEX($V$1004:$AE$1004,1,MATCH(COLUMNS($V$1006:W1006),$V$1006:$AE$1006,0)))),"Fix")))</f>
        <v>0</v>
      </c>
      <c r="D540" s="3">
        <f>IF(OR(INDEX($P$2:$P$1001,MATCH(ROWS($O$2:O540),$O$2:$O$1001,0),1)&gt;=100000,INDEX($V$1005:$AE$1005,1,MATCH(COLUMNS($V$1006:X1006),$V$1006:$AE$1006,0))&gt;=100000), " ",IF(INDEX($V$2:$AE$1001,MATCH(ROWS($O$2:O540),$O$2:$O$1001,0),MATCH(COLUMNS($V$1006:X1006),$V$1006:$AE$1006,0)), HYPERLINK("#",""), HYPERLINK(CONCATENATE("#Metadata!", ADDRESS(INDEX($Q$2:$Q$1001,MATCH(ROWS($O$2:O540),$O$2:$O$1001,0),0), INDEX($V$1004:$AE$1004,1,MATCH(COLUMNS($V$1006:X1006),$V$1006:$AE$1006,0)))),"Fix")))</f>
        <v>0</v>
      </c>
      <c r="E540" s="3">
        <f>IF(OR(INDEX($P$2:$P$1001,MATCH(ROWS($O$2:O540),$O$2:$O$1001,0),1)&gt;=100000,INDEX($V$1005:$AE$1005,1,MATCH(COLUMNS($V$1006:Y1006),$V$1006:$AE$1006,0))&gt;=100000), " ",IF(INDEX($V$2:$AE$1001,MATCH(ROWS($O$2:O540),$O$2:$O$1001,0),MATCH(COLUMNS($V$1006:Y1006),$V$1006:$AE$1006,0)), HYPERLINK("#",""), HYPERLINK(CONCATENATE("#Metadata!", ADDRESS(INDEX($Q$2:$Q$1001,MATCH(ROWS($O$2:O540),$O$2:$O$1001,0),0), INDEX($V$1004:$AE$1004,1,MATCH(COLUMNS($V$1006:Y1006),$V$1006:$AE$1006,0)))),"Fix")))</f>
        <v>0</v>
      </c>
      <c r="F540" s="3">
        <f>IF(OR(INDEX($P$2:$P$1001,MATCH(ROWS($O$2:O540),$O$2:$O$1001,0),1)&gt;=100000,INDEX($V$1005:$AE$1005,1,MATCH(COLUMNS($V$1006:Z1006),$V$1006:$AE$1006,0))&gt;=100000), " ",IF(INDEX($V$2:$AE$1001,MATCH(ROWS($O$2:O540),$O$2:$O$1001,0),MATCH(COLUMNS($V$1006:Z1006),$V$1006:$AE$1006,0)), HYPERLINK("#",""), HYPERLINK(CONCATENATE("#Metadata!", ADDRESS(INDEX($Q$2:$Q$1001,MATCH(ROWS($O$2:O540),$O$2:$O$1001,0),0), INDEX($V$1004:$AE$1004,1,MATCH(COLUMNS($V$1006:Z1006),$V$1006:$AE$1006,0)))),"Fix")))</f>
        <v>0</v>
      </c>
      <c r="G540" s="3">
        <f>IF(OR(INDEX($P$2:$P$1001,MATCH(ROWS($O$2:O540),$O$2:$O$1001,0),1)&gt;=100000,INDEX($V$1005:$AE$1005,1,MATCH(COLUMNS($V$1006:AA1006),$V$1006:$AE$1006,0))&gt;=100000), " ",IF(INDEX($V$2:$AE$1001,MATCH(ROWS($O$2:O540),$O$2:$O$1001,0),MATCH(COLUMNS($V$1006:AA1006),$V$1006:$AE$1006,0)), HYPERLINK("#",""), HYPERLINK(CONCATENATE("#Metadata!", ADDRESS(INDEX($Q$2:$Q$1001,MATCH(ROWS($O$2:O540),$O$2:$O$1001,0),0), INDEX($V$1004:$AE$1004,1,MATCH(COLUMNS($V$1006:AA1006),$V$1006:$AE$1006,0)))),"Fix")))</f>
        <v>0</v>
      </c>
      <c r="H540" s="3">
        <f>IF(OR(INDEX($P$2:$P$1001,MATCH(ROWS($O$2:O540),$O$2:$O$1001,0),1)&gt;=100000,INDEX($V$1005:$AE$1005,1,MATCH(COLUMNS($V$1006:AB1006),$V$1006:$AE$1006,0))&gt;=100000), " ",IF(INDEX($V$2:$AE$1001,MATCH(ROWS($O$2:O540),$O$2:$O$1001,0),MATCH(COLUMNS($V$1006:AB1006),$V$1006:$AE$1006,0)), HYPERLINK("#",""), HYPERLINK(CONCATENATE("#Metadata!", ADDRESS(INDEX($Q$2:$Q$1001,MATCH(ROWS($O$2:O540),$O$2:$O$1001,0),0), INDEX($V$1004:$AE$1004,1,MATCH(COLUMNS($V$1006:AB1006),$V$1006:$AE$1006,0)))),"Fix")))</f>
        <v>0</v>
      </c>
      <c r="I540" s="3">
        <f>IF(OR(INDEX($P$2:$P$1001,MATCH(ROWS($O$2:O540),$O$2:$O$1001,0),1)&gt;=100000,INDEX($V$1005:$AE$1005,1,MATCH(COLUMNS($V$1006:AC1006),$V$1006:$AE$1006,0))&gt;=100000), " ",IF(INDEX($V$2:$AE$1001,MATCH(ROWS($O$2:O540),$O$2:$O$1001,0),MATCH(COLUMNS($V$1006:AC1006),$V$1006:$AE$1006,0)), HYPERLINK("#",""), HYPERLINK(CONCATENATE("#Metadata!", ADDRESS(INDEX($Q$2:$Q$1001,MATCH(ROWS($O$2:O540),$O$2:$O$1001,0),0), INDEX($V$1004:$AE$1004,1,MATCH(COLUMNS($V$1006:AC1006),$V$1006:$AE$1006,0)))),"Fix")))</f>
        <v>0</v>
      </c>
      <c r="J540" s="3">
        <f>IF(OR(INDEX($P$2:$P$1001,MATCH(ROWS($O$2:O540),$O$2:$O$1001,0),1)&gt;=100000,INDEX($V$1005:$AE$1005,1,MATCH(COLUMNS($V$1006:AD1006),$V$1006:$AE$1006,0))&gt;=100000), " ",IF(INDEX($V$2:$AE$1001,MATCH(ROWS($O$2:O540),$O$2:$O$1001,0),MATCH(COLUMNS($V$1006:AD1006),$V$1006:$AE$1006,0)), HYPERLINK("#",""), HYPERLINK(CONCATENATE("#Metadata!", ADDRESS(INDEX($Q$2:$Q$1001,MATCH(ROWS($O$2:O540),$O$2:$O$1001,0),0), INDEX($V$1004:$AE$1004,1,MATCH(COLUMNS($V$1006:AD1006),$V$1006:$AE$1006,0)))),"Fix")))</f>
        <v>0</v>
      </c>
      <c r="K540" s="3">
        <f>IF(OR(INDEX($P$2:$P$1001,MATCH(ROWS($O$2:O540),$O$2:$O$1001,0),1)&gt;=100000,INDEX($V$1005:$AE$1005,1,MATCH(COLUMNS($V$1006:AE1006),$V$1006:$AE$1006,0))&gt;=100000), " ",IF(INDEX($V$2:$AE$1001,MATCH(ROWS($O$2:O540),$O$2:$O$1001,0),MATCH(COLUMNS($V$1006:AE1006),$V$1006:$AE$1006,0)), HYPERLINK("#",""), HYPERLINK(CONCATENATE("#Metadata!", ADDRESS(INDEX($Q$2:$Q$1001,MATCH(ROWS($O$2:O540),$O$2:$O$1001,0),0), INDEX($V$1004:$AE$1004,1,MATCH(COLUMNS($V$1006:AE1006),$V$1006:$AE$1006,0)))),"Fix")))</f>
        <v>0</v>
      </c>
      <c r="O540">
        <v>0</v>
      </c>
      <c r="P540">
        <v>0</v>
      </c>
      <c r="Q540">
        <v>0</v>
      </c>
      <c r="R540">
        <f>IF(S540,TRUE,AND(V540:AE540))</f>
        <v>0</v>
      </c>
      <c r="S540">
        <f>COUNTBLANK(Metadata!B540:K540)=COLUMNS(Metadata!B540:K540)</f>
        <v>0</v>
      </c>
      <c r="T540">
        <v>0</v>
      </c>
      <c r="V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W540">
        <f>AND(IF(Metadata!C540="",FALSE,TRUE),exact(Metadata!C540,"animal secretion"))</f>
        <v>0</v>
      </c>
      <c r="X540">
        <f>AND(IF(Metadata!D540="",FALSE,TRUE),exact(Metadata!D540,"saliva"))</f>
        <v>0</v>
      </c>
      <c r="Y540">
        <f>AND(IF(Metadata!E540="",FALSE,TRUE),exact(Metadata!E540,"human-oral"))</f>
        <v>0</v>
      </c>
      <c r="Z540">
        <f>AND(IF(Metadata!F540="",FALSE,TRUE),exact(Metadata!F540,"UBERON:oral cavity"))</f>
        <v>0</v>
      </c>
      <c r="AA540">
        <f>AND(IF(Metadata!G540="",FALSE,TRUE),exact(Metadata!G540,"UBERON:saliva"))</f>
        <v>0</v>
      </c>
      <c r="AB540">
        <f>AND(IF(Metadata!H540="",FALSE,TRUE),exact(Metadata!H540,"UBERON:tongue"))</f>
        <v>0</v>
      </c>
      <c r="AC540">
        <f>AND(IF(Metadata!I540="",FALSE,TRUE),exact(Metadata!I540,"tongue"))</f>
        <v>0</v>
      </c>
      <c r="AD540">
        <f>AND(IF(Metadata!J540="",FALSE,TRUE),exact(Metadata!J540,"human oral metagenome"))</f>
        <v>0</v>
      </c>
      <c r="AE540">
        <f>AND(IF(Metadata!K540="",FALSE,TRUE),exact(Metadata!K540,"447426"))</f>
        <v>0</v>
      </c>
    </row>
    <row r="541" spans="1:31">
      <c r="A541" s="4">
        <f>IF(B541=" "," ",HYPERLINK(CONCATENATE("#metadata!",ADDRESS(INDEX($Q$2:$Q$1001,MATCH(ROWS($O$2:O541),$O$2:$O$1001,0),0),1)),INDEX($T$2:$T$1001,MATCH(ROWS($O$2:O541),$O$2:$O$1001,0),0)))</f>
        <v>0</v>
      </c>
      <c r="B541" s="3">
        <f>IF(OR(INDEX($P$2:$P$1001,MATCH(ROWS($O$2:O541),$O$2:$O$1001,0),1)&gt;=100000,INDEX($V$1005:$AE$1005,1,MATCH(COLUMNS($V$1006:V1006),$V$1006:$AE$1006,0))&gt;=100000), " ",IF(INDEX($V$2:$AE$1001,MATCH(ROWS($O$2:O541),$O$2:$O$1001,0),MATCH(COLUMNS($V$1006:V1006),$V$1006:$AE$1006,0)), HYPERLINK("#",""), HYPERLINK(CONCATENATE("#Metadata!", ADDRESS(INDEX($Q$2:$Q$1001,MATCH(ROWS($O$2:O541),$O$2:$O$1001,0),0), INDEX($V$1004:$AE$1004,1,MATCH(COLUMNS($V$1006:V1006),$V$1006:$AE$1006,0)))),"Fix")))</f>
        <v>0</v>
      </c>
      <c r="C541" s="3">
        <f>IF(OR(INDEX($P$2:$P$1001,MATCH(ROWS($O$2:O541),$O$2:$O$1001,0),1)&gt;=100000,INDEX($V$1005:$AE$1005,1,MATCH(COLUMNS($V$1006:W1006),$V$1006:$AE$1006,0))&gt;=100000), " ",IF(INDEX($V$2:$AE$1001,MATCH(ROWS($O$2:O541),$O$2:$O$1001,0),MATCH(COLUMNS($V$1006:W1006),$V$1006:$AE$1006,0)), HYPERLINK("#",""), HYPERLINK(CONCATENATE("#Metadata!", ADDRESS(INDEX($Q$2:$Q$1001,MATCH(ROWS($O$2:O541),$O$2:$O$1001,0),0), INDEX($V$1004:$AE$1004,1,MATCH(COLUMNS($V$1006:W1006),$V$1006:$AE$1006,0)))),"Fix")))</f>
        <v>0</v>
      </c>
      <c r="D541" s="3">
        <f>IF(OR(INDEX($P$2:$P$1001,MATCH(ROWS($O$2:O541),$O$2:$O$1001,0),1)&gt;=100000,INDEX($V$1005:$AE$1005,1,MATCH(COLUMNS($V$1006:X1006),$V$1006:$AE$1006,0))&gt;=100000), " ",IF(INDEX($V$2:$AE$1001,MATCH(ROWS($O$2:O541),$O$2:$O$1001,0),MATCH(COLUMNS($V$1006:X1006),$V$1006:$AE$1006,0)), HYPERLINK("#",""), HYPERLINK(CONCATENATE("#Metadata!", ADDRESS(INDEX($Q$2:$Q$1001,MATCH(ROWS($O$2:O541),$O$2:$O$1001,0),0), INDEX($V$1004:$AE$1004,1,MATCH(COLUMNS($V$1006:X1006),$V$1006:$AE$1006,0)))),"Fix")))</f>
        <v>0</v>
      </c>
      <c r="E541" s="3">
        <f>IF(OR(INDEX($P$2:$P$1001,MATCH(ROWS($O$2:O541),$O$2:$O$1001,0),1)&gt;=100000,INDEX($V$1005:$AE$1005,1,MATCH(COLUMNS($V$1006:Y1006),$V$1006:$AE$1006,0))&gt;=100000), " ",IF(INDEX($V$2:$AE$1001,MATCH(ROWS($O$2:O541),$O$2:$O$1001,0),MATCH(COLUMNS($V$1006:Y1006),$V$1006:$AE$1006,0)), HYPERLINK("#",""), HYPERLINK(CONCATENATE("#Metadata!", ADDRESS(INDEX($Q$2:$Q$1001,MATCH(ROWS($O$2:O541),$O$2:$O$1001,0),0), INDEX($V$1004:$AE$1004,1,MATCH(COLUMNS($V$1006:Y1006),$V$1006:$AE$1006,0)))),"Fix")))</f>
        <v>0</v>
      </c>
      <c r="F541" s="3">
        <f>IF(OR(INDEX($P$2:$P$1001,MATCH(ROWS($O$2:O541),$O$2:$O$1001,0),1)&gt;=100000,INDEX($V$1005:$AE$1005,1,MATCH(COLUMNS($V$1006:Z1006),$V$1006:$AE$1006,0))&gt;=100000), " ",IF(INDEX($V$2:$AE$1001,MATCH(ROWS($O$2:O541),$O$2:$O$1001,0),MATCH(COLUMNS($V$1006:Z1006),$V$1006:$AE$1006,0)), HYPERLINK("#",""), HYPERLINK(CONCATENATE("#Metadata!", ADDRESS(INDEX($Q$2:$Q$1001,MATCH(ROWS($O$2:O541),$O$2:$O$1001,0),0), INDEX($V$1004:$AE$1004,1,MATCH(COLUMNS($V$1006:Z1006),$V$1006:$AE$1006,0)))),"Fix")))</f>
        <v>0</v>
      </c>
      <c r="G541" s="3">
        <f>IF(OR(INDEX($P$2:$P$1001,MATCH(ROWS($O$2:O541),$O$2:$O$1001,0),1)&gt;=100000,INDEX($V$1005:$AE$1005,1,MATCH(COLUMNS($V$1006:AA1006),$V$1006:$AE$1006,0))&gt;=100000), " ",IF(INDEX($V$2:$AE$1001,MATCH(ROWS($O$2:O541),$O$2:$O$1001,0),MATCH(COLUMNS($V$1006:AA1006),$V$1006:$AE$1006,0)), HYPERLINK("#",""), HYPERLINK(CONCATENATE("#Metadata!", ADDRESS(INDEX($Q$2:$Q$1001,MATCH(ROWS($O$2:O541),$O$2:$O$1001,0),0), INDEX($V$1004:$AE$1004,1,MATCH(COLUMNS($V$1006:AA1006),$V$1006:$AE$1006,0)))),"Fix")))</f>
        <v>0</v>
      </c>
      <c r="H541" s="3">
        <f>IF(OR(INDEX($P$2:$P$1001,MATCH(ROWS($O$2:O541),$O$2:$O$1001,0),1)&gt;=100000,INDEX($V$1005:$AE$1005,1,MATCH(COLUMNS($V$1006:AB1006),$V$1006:$AE$1006,0))&gt;=100000), " ",IF(INDEX($V$2:$AE$1001,MATCH(ROWS($O$2:O541),$O$2:$O$1001,0),MATCH(COLUMNS($V$1006:AB1006),$V$1006:$AE$1006,0)), HYPERLINK("#",""), HYPERLINK(CONCATENATE("#Metadata!", ADDRESS(INDEX($Q$2:$Q$1001,MATCH(ROWS($O$2:O541),$O$2:$O$1001,0),0), INDEX($V$1004:$AE$1004,1,MATCH(COLUMNS($V$1006:AB1006),$V$1006:$AE$1006,0)))),"Fix")))</f>
        <v>0</v>
      </c>
      <c r="I541" s="3">
        <f>IF(OR(INDEX($P$2:$P$1001,MATCH(ROWS($O$2:O541),$O$2:$O$1001,0),1)&gt;=100000,INDEX($V$1005:$AE$1005,1,MATCH(COLUMNS($V$1006:AC1006),$V$1006:$AE$1006,0))&gt;=100000), " ",IF(INDEX($V$2:$AE$1001,MATCH(ROWS($O$2:O541),$O$2:$O$1001,0),MATCH(COLUMNS($V$1006:AC1006),$V$1006:$AE$1006,0)), HYPERLINK("#",""), HYPERLINK(CONCATENATE("#Metadata!", ADDRESS(INDEX($Q$2:$Q$1001,MATCH(ROWS($O$2:O541),$O$2:$O$1001,0),0), INDEX($V$1004:$AE$1004,1,MATCH(COLUMNS($V$1006:AC1006),$V$1006:$AE$1006,0)))),"Fix")))</f>
        <v>0</v>
      </c>
      <c r="J541" s="3">
        <f>IF(OR(INDEX($P$2:$P$1001,MATCH(ROWS($O$2:O541),$O$2:$O$1001,0),1)&gt;=100000,INDEX($V$1005:$AE$1005,1,MATCH(COLUMNS($V$1006:AD1006),$V$1006:$AE$1006,0))&gt;=100000), " ",IF(INDEX($V$2:$AE$1001,MATCH(ROWS($O$2:O541),$O$2:$O$1001,0),MATCH(COLUMNS($V$1006:AD1006),$V$1006:$AE$1006,0)), HYPERLINK("#",""), HYPERLINK(CONCATENATE("#Metadata!", ADDRESS(INDEX($Q$2:$Q$1001,MATCH(ROWS($O$2:O541),$O$2:$O$1001,0),0), INDEX($V$1004:$AE$1004,1,MATCH(COLUMNS($V$1006:AD1006),$V$1006:$AE$1006,0)))),"Fix")))</f>
        <v>0</v>
      </c>
      <c r="K541" s="3">
        <f>IF(OR(INDEX($P$2:$P$1001,MATCH(ROWS($O$2:O541),$O$2:$O$1001,0),1)&gt;=100000,INDEX($V$1005:$AE$1005,1,MATCH(COLUMNS($V$1006:AE1006),$V$1006:$AE$1006,0))&gt;=100000), " ",IF(INDEX($V$2:$AE$1001,MATCH(ROWS($O$2:O541),$O$2:$O$1001,0),MATCH(COLUMNS($V$1006:AE1006),$V$1006:$AE$1006,0)), HYPERLINK("#",""), HYPERLINK(CONCATENATE("#Metadata!", ADDRESS(INDEX($Q$2:$Q$1001,MATCH(ROWS($O$2:O541),$O$2:$O$1001,0),0), INDEX($V$1004:$AE$1004,1,MATCH(COLUMNS($V$1006:AE1006),$V$1006:$AE$1006,0)))),"Fix")))</f>
        <v>0</v>
      </c>
      <c r="O541">
        <v>0</v>
      </c>
      <c r="P541">
        <v>0</v>
      </c>
      <c r="Q541">
        <v>0</v>
      </c>
      <c r="R541">
        <f>IF(S541,TRUE,AND(V541:AE541))</f>
        <v>0</v>
      </c>
      <c r="S541">
        <f>COUNTBLANK(Metadata!B541:K541)=COLUMNS(Metadata!B541:K541)</f>
        <v>0</v>
      </c>
      <c r="T541">
        <v>0</v>
      </c>
      <c r="V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W541">
        <f>AND(IF(Metadata!C541="",FALSE,TRUE),exact(Metadata!C541,"animal secretion"))</f>
        <v>0</v>
      </c>
      <c r="X541">
        <f>AND(IF(Metadata!D541="",FALSE,TRUE),exact(Metadata!D541,"saliva"))</f>
        <v>0</v>
      </c>
      <c r="Y541">
        <f>AND(IF(Metadata!E541="",FALSE,TRUE),exact(Metadata!E541,"human-oral"))</f>
        <v>0</v>
      </c>
      <c r="Z541">
        <f>AND(IF(Metadata!F541="",FALSE,TRUE),exact(Metadata!F541,"UBERON:oral cavity"))</f>
        <v>0</v>
      </c>
      <c r="AA541">
        <f>AND(IF(Metadata!G541="",FALSE,TRUE),exact(Metadata!G541,"UBERON:saliva"))</f>
        <v>0</v>
      </c>
      <c r="AB541">
        <f>AND(IF(Metadata!H541="",FALSE,TRUE),exact(Metadata!H541,"UBERON:tongue"))</f>
        <v>0</v>
      </c>
      <c r="AC541">
        <f>AND(IF(Metadata!I541="",FALSE,TRUE),exact(Metadata!I541,"tongue"))</f>
        <v>0</v>
      </c>
      <c r="AD541">
        <f>AND(IF(Metadata!J541="",FALSE,TRUE),exact(Metadata!J541,"human oral metagenome"))</f>
        <v>0</v>
      </c>
      <c r="AE541">
        <f>AND(IF(Metadata!K541="",FALSE,TRUE),exact(Metadata!K541,"447426"))</f>
        <v>0</v>
      </c>
    </row>
    <row r="542" spans="1:31">
      <c r="A542" s="4">
        <f>IF(B542=" "," ",HYPERLINK(CONCATENATE("#metadata!",ADDRESS(INDEX($Q$2:$Q$1001,MATCH(ROWS($O$2:O542),$O$2:$O$1001,0),0),1)),INDEX($T$2:$T$1001,MATCH(ROWS($O$2:O542),$O$2:$O$1001,0),0)))</f>
        <v>0</v>
      </c>
      <c r="B542" s="3">
        <f>IF(OR(INDEX($P$2:$P$1001,MATCH(ROWS($O$2:O542),$O$2:$O$1001,0),1)&gt;=100000,INDEX($V$1005:$AE$1005,1,MATCH(COLUMNS($V$1006:V1006),$V$1006:$AE$1006,0))&gt;=100000), " ",IF(INDEX($V$2:$AE$1001,MATCH(ROWS($O$2:O542),$O$2:$O$1001,0),MATCH(COLUMNS($V$1006:V1006),$V$1006:$AE$1006,0)), HYPERLINK("#",""), HYPERLINK(CONCATENATE("#Metadata!", ADDRESS(INDEX($Q$2:$Q$1001,MATCH(ROWS($O$2:O542),$O$2:$O$1001,0),0), INDEX($V$1004:$AE$1004,1,MATCH(COLUMNS($V$1006:V1006),$V$1006:$AE$1006,0)))),"Fix")))</f>
        <v>0</v>
      </c>
      <c r="C542" s="3">
        <f>IF(OR(INDEX($P$2:$P$1001,MATCH(ROWS($O$2:O542),$O$2:$O$1001,0),1)&gt;=100000,INDEX($V$1005:$AE$1005,1,MATCH(COLUMNS($V$1006:W1006),$V$1006:$AE$1006,0))&gt;=100000), " ",IF(INDEX($V$2:$AE$1001,MATCH(ROWS($O$2:O542),$O$2:$O$1001,0),MATCH(COLUMNS($V$1006:W1006),$V$1006:$AE$1006,0)), HYPERLINK("#",""), HYPERLINK(CONCATENATE("#Metadata!", ADDRESS(INDEX($Q$2:$Q$1001,MATCH(ROWS($O$2:O542),$O$2:$O$1001,0),0), INDEX($V$1004:$AE$1004,1,MATCH(COLUMNS($V$1006:W1006),$V$1006:$AE$1006,0)))),"Fix")))</f>
        <v>0</v>
      </c>
      <c r="D542" s="3">
        <f>IF(OR(INDEX($P$2:$P$1001,MATCH(ROWS($O$2:O542),$O$2:$O$1001,0),1)&gt;=100000,INDEX($V$1005:$AE$1005,1,MATCH(COLUMNS($V$1006:X1006),$V$1006:$AE$1006,0))&gt;=100000), " ",IF(INDEX($V$2:$AE$1001,MATCH(ROWS($O$2:O542),$O$2:$O$1001,0),MATCH(COLUMNS($V$1006:X1006),$V$1006:$AE$1006,0)), HYPERLINK("#",""), HYPERLINK(CONCATENATE("#Metadata!", ADDRESS(INDEX($Q$2:$Q$1001,MATCH(ROWS($O$2:O542),$O$2:$O$1001,0),0), INDEX($V$1004:$AE$1004,1,MATCH(COLUMNS($V$1006:X1006),$V$1006:$AE$1006,0)))),"Fix")))</f>
        <v>0</v>
      </c>
      <c r="E542" s="3">
        <f>IF(OR(INDEX($P$2:$P$1001,MATCH(ROWS($O$2:O542),$O$2:$O$1001,0),1)&gt;=100000,INDEX($V$1005:$AE$1005,1,MATCH(COLUMNS($V$1006:Y1006),$V$1006:$AE$1006,0))&gt;=100000), " ",IF(INDEX($V$2:$AE$1001,MATCH(ROWS($O$2:O542),$O$2:$O$1001,0),MATCH(COLUMNS($V$1006:Y1006),$V$1006:$AE$1006,0)), HYPERLINK("#",""), HYPERLINK(CONCATENATE("#Metadata!", ADDRESS(INDEX($Q$2:$Q$1001,MATCH(ROWS($O$2:O542),$O$2:$O$1001,0),0), INDEX($V$1004:$AE$1004,1,MATCH(COLUMNS($V$1006:Y1006),$V$1006:$AE$1006,0)))),"Fix")))</f>
        <v>0</v>
      </c>
      <c r="F542" s="3">
        <f>IF(OR(INDEX($P$2:$P$1001,MATCH(ROWS($O$2:O542),$O$2:$O$1001,0),1)&gt;=100000,INDEX($V$1005:$AE$1005,1,MATCH(COLUMNS($V$1006:Z1006),$V$1006:$AE$1006,0))&gt;=100000), " ",IF(INDEX($V$2:$AE$1001,MATCH(ROWS($O$2:O542),$O$2:$O$1001,0),MATCH(COLUMNS($V$1006:Z1006),$V$1006:$AE$1006,0)), HYPERLINK("#",""), HYPERLINK(CONCATENATE("#Metadata!", ADDRESS(INDEX($Q$2:$Q$1001,MATCH(ROWS($O$2:O542),$O$2:$O$1001,0),0), INDEX($V$1004:$AE$1004,1,MATCH(COLUMNS($V$1006:Z1006),$V$1006:$AE$1006,0)))),"Fix")))</f>
        <v>0</v>
      </c>
      <c r="G542" s="3">
        <f>IF(OR(INDEX($P$2:$P$1001,MATCH(ROWS($O$2:O542),$O$2:$O$1001,0),1)&gt;=100000,INDEX($V$1005:$AE$1005,1,MATCH(COLUMNS($V$1006:AA1006),$V$1006:$AE$1006,0))&gt;=100000), " ",IF(INDEX($V$2:$AE$1001,MATCH(ROWS($O$2:O542),$O$2:$O$1001,0),MATCH(COLUMNS($V$1006:AA1006),$V$1006:$AE$1006,0)), HYPERLINK("#",""), HYPERLINK(CONCATENATE("#Metadata!", ADDRESS(INDEX($Q$2:$Q$1001,MATCH(ROWS($O$2:O542),$O$2:$O$1001,0),0), INDEX($V$1004:$AE$1004,1,MATCH(COLUMNS($V$1006:AA1006),$V$1006:$AE$1006,0)))),"Fix")))</f>
        <v>0</v>
      </c>
      <c r="H542" s="3">
        <f>IF(OR(INDEX($P$2:$P$1001,MATCH(ROWS($O$2:O542),$O$2:$O$1001,0),1)&gt;=100000,INDEX($V$1005:$AE$1005,1,MATCH(COLUMNS($V$1006:AB1006),$V$1006:$AE$1006,0))&gt;=100000), " ",IF(INDEX($V$2:$AE$1001,MATCH(ROWS($O$2:O542),$O$2:$O$1001,0),MATCH(COLUMNS($V$1006:AB1006),$V$1006:$AE$1006,0)), HYPERLINK("#",""), HYPERLINK(CONCATENATE("#Metadata!", ADDRESS(INDEX($Q$2:$Q$1001,MATCH(ROWS($O$2:O542),$O$2:$O$1001,0),0), INDEX($V$1004:$AE$1004,1,MATCH(COLUMNS($V$1006:AB1006),$V$1006:$AE$1006,0)))),"Fix")))</f>
        <v>0</v>
      </c>
      <c r="I542" s="3">
        <f>IF(OR(INDEX($P$2:$P$1001,MATCH(ROWS($O$2:O542),$O$2:$O$1001,0),1)&gt;=100000,INDEX($V$1005:$AE$1005,1,MATCH(COLUMNS($V$1006:AC1006),$V$1006:$AE$1006,0))&gt;=100000), " ",IF(INDEX($V$2:$AE$1001,MATCH(ROWS($O$2:O542),$O$2:$O$1001,0),MATCH(COLUMNS($V$1006:AC1006),$V$1006:$AE$1006,0)), HYPERLINK("#",""), HYPERLINK(CONCATENATE("#Metadata!", ADDRESS(INDEX($Q$2:$Q$1001,MATCH(ROWS($O$2:O542),$O$2:$O$1001,0),0), INDEX($V$1004:$AE$1004,1,MATCH(COLUMNS($V$1006:AC1006),$V$1006:$AE$1006,0)))),"Fix")))</f>
        <v>0</v>
      </c>
      <c r="J542" s="3">
        <f>IF(OR(INDEX($P$2:$P$1001,MATCH(ROWS($O$2:O542),$O$2:$O$1001,0),1)&gt;=100000,INDEX($V$1005:$AE$1005,1,MATCH(COLUMNS($V$1006:AD1006),$V$1006:$AE$1006,0))&gt;=100000), " ",IF(INDEX($V$2:$AE$1001,MATCH(ROWS($O$2:O542),$O$2:$O$1001,0),MATCH(COLUMNS($V$1006:AD1006),$V$1006:$AE$1006,0)), HYPERLINK("#",""), HYPERLINK(CONCATENATE("#Metadata!", ADDRESS(INDEX($Q$2:$Q$1001,MATCH(ROWS($O$2:O542),$O$2:$O$1001,0),0), INDEX($V$1004:$AE$1004,1,MATCH(COLUMNS($V$1006:AD1006),$V$1006:$AE$1006,0)))),"Fix")))</f>
        <v>0</v>
      </c>
      <c r="K542" s="3">
        <f>IF(OR(INDEX($P$2:$P$1001,MATCH(ROWS($O$2:O542),$O$2:$O$1001,0),1)&gt;=100000,INDEX($V$1005:$AE$1005,1,MATCH(COLUMNS($V$1006:AE1006),$V$1006:$AE$1006,0))&gt;=100000), " ",IF(INDEX($V$2:$AE$1001,MATCH(ROWS($O$2:O542),$O$2:$O$1001,0),MATCH(COLUMNS($V$1006:AE1006),$V$1006:$AE$1006,0)), HYPERLINK("#",""), HYPERLINK(CONCATENATE("#Metadata!", ADDRESS(INDEX($Q$2:$Q$1001,MATCH(ROWS($O$2:O542),$O$2:$O$1001,0),0), INDEX($V$1004:$AE$1004,1,MATCH(COLUMNS($V$1006:AE1006),$V$1006:$AE$1006,0)))),"Fix")))</f>
        <v>0</v>
      </c>
      <c r="O542">
        <v>0</v>
      </c>
      <c r="P542">
        <v>0</v>
      </c>
      <c r="Q542">
        <v>0</v>
      </c>
      <c r="R542">
        <f>IF(S542,TRUE,AND(V542:AE542))</f>
        <v>0</v>
      </c>
      <c r="S542">
        <f>COUNTBLANK(Metadata!B542:K542)=COLUMNS(Metadata!B542:K542)</f>
        <v>0</v>
      </c>
      <c r="T542">
        <v>0</v>
      </c>
      <c r="V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W542">
        <f>AND(IF(Metadata!C542="",FALSE,TRUE),exact(Metadata!C542,"animal secretion"))</f>
        <v>0</v>
      </c>
      <c r="X542">
        <f>AND(IF(Metadata!D542="",FALSE,TRUE),exact(Metadata!D542,"saliva"))</f>
        <v>0</v>
      </c>
      <c r="Y542">
        <f>AND(IF(Metadata!E542="",FALSE,TRUE),exact(Metadata!E542,"human-oral"))</f>
        <v>0</v>
      </c>
      <c r="Z542">
        <f>AND(IF(Metadata!F542="",FALSE,TRUE),exact(Metadata!F542,"UBERON:oral cavity"))</f>
        <v>0</v>
      </c>
      <c r="AA542">
        <f>AND(IF(Metadata!G542="",FALSE,TRUE),exact(Metadata!G542,"UBERON:saliva"))</f>
        <v>0</v>
      </c>
      <c r="AB542">
        <f>AND(IF(Metadata!H542="",FALSE,TRUE),exact(Metadata!H542,"UBERON:tongue"))</f>
        <v>0</v>
      </c>
      <c r="AC542">
        <f>AND(IF(Metadata!I542="",FALSE,TRUE),exact(Metadata!I542,"tongue"))</f>
        <v>0</v>
      </c>
      <c r="AD542">
        <f>AND(IF(Metadata!J542="",FALSE,TRUE),exact(Metadata!J542,"human oral metagenome"))</f>
        <v>0</v>
      </c>
      <c r="AE542">
        <f>AND(IF(Metadata!K542="",FALSE,TRUE),exact(Metadata!K542,"447426"))</f>
        <v>0</v>
      </c>
    </row>
    <row r="543" spans="1:31">
      <c r="A543" s="4">
        <f>IF(B543=" "," ",HYPERLINK(CONCATENATE("#metadata!",ADDRESS(INDEX($Q$2:$Q$1001,MATCH(ROWS($O$2:O543),$O$2:$O$1001,0),0),1)),INDEX($T$2:$T$1001,MATCH(ROWS($O$2:O543),$O$2:$O$1001,0),0)))</f>
        <v>0</v>
      </c>
      <c r="B543" s="3">
        <f>IF(OR(INDEX($P$2:$P$1001,MATCH(ROWS($O$2:O543),$O$2:$O$1001,0),1)&gt;=100000,INDEX($V$1005:$AE$1005,1,MATCH(COLUMNS($V$1006:V1006),$V$1006:$AE$1006,0))&gt;=100000), " ",IF(INDEX($V$2:$AE$1001,MATCH(ROWS($O$2:O543),$O$2:$O$1001,0),MATCH(COLUMNS($V$1006:V1006),$V$1006:$AE$1006,0)), HYPERLINK("#",""), HYPERLINK(CONCATENATE("#Metadata!", ADDRESS(INDEX($Q$2:$Q$1001,MATCH(ROWS($O$2:O543),$O$2:$O$1001,0),0), INDEX($V$1004:$AE$1004,1,MATCH(COLUMNS($V$1006:V1006),$V$1006:$AE$1006,0)))),"Fix")))</f>
        <v>0</v>
      </c>
      <c r="C543" s="3">
        <f>IF(OR(INDEX($P$2:$P$1001,MATCH(ROWS($O$2:O543),$O$2:$O$1001,0),1)&gt;=100000,INDEX($V$1005:$AE$1005,1,MATCH(COLUMNS($V$1006:W1006),$V$1006:$AE$1006,0))&gt;=100000), " ",IF(INDEX($V$2:$AE$1001,MATCH(ROWS($O$2:O543),$O$2:$O$1001,0),MATCH(COLUMNS($V$1006:W1006),$V$1006:$AE$1006,0)), HYPERLINK("#",""), HYPERLINK(CONCATENATE("#Metadata!", ADDRESS(INDEX($Q$2:$Q$1001,MATCH(ROWS($O$2:O543),$O$2:$O$1001,0),0), INDEX($V$1004:$AE$1004,1,MATCH(COLUMNS($V$1006:W1006),$V$1006:$AE$1006,0)))),"Fix")))</f>
        <v>0</v>
      </c>
      <c r="D543" s="3">
        <f>IF(OR(INDEX($P$2:$P$1001,MATCH(ROWS($O$2:O543),$O$2:$O$1001,0),1)&gt;=100000,INDEX($V$1005:$AE$1005,1,MATCH(COLUMNS($V$1006:X1006),$V$1006:$AE$1006,0))&gt;=100000), " ",IF(INDEX($V$2:$AE$1001,MATCH(ROWS($O$2:O543),$O$2:$O$1001,0),MATCH(COLUMNS($V$1006:X1006),$V$1006:$AE$1006,0)), HYPERLINK("#",""), HYPERLINK(CONCATENATE("#Metadata!", ADDRESS(INDEX($Q$2:$Q$1001,MATCH(ROWS($O$2:O543),$O$2:$O$1001,0),0), INDEX($V$1004:$AE$1004,1,MATCH(COLUMNS($V$1006:X1006),$V$1006:$AE$1006,0)))),"Fix")))</f>
        <v>0</v>
      </c>
      <c r="E543" s="3">
        <f>IF(OR(INDEX($P$2:$P$1001,MATCH(ROWS($O$2:O543),$O$2:$O$1001,0),1)&gt;=100000,INDEX($V$1005:$AE$1005,1,MATCH(COLUMNS($V$1006:Y1006),$V$1006:$AE$1006,0))&gt;=100000), " ",IF(INDEX($V$2:$AE$1001,MATCH(ROWS($O$2:O543),$O$2:$O$1001,0),MATCH(COLUMNS($V$1006:Y1006),$V$1006:$AE$1006,0)), HYPERLINK("#",""), HYPERLINK(CONCATENATE("#Metadata!", ADDRESS(INDEX($Q$2:$Q$1001,MATCH(ROWS($O$2:O543),$O$2:$O$1001,0),0), INDEX($V$1004:$AE$1004,1,MATCH(COLUMNS($V$1006:Y1006),$V$1006:$AE$1006,0)))),"Fix")))</f>
        <v>0</v>
      </c>
      <c r="F543" s="3">
        <f>IF(OR(INDEX($P$2:$P$1001,MATCH(ROWS($O$2:O543),$O$2:$O$1001,0),1)&gt;=100000,INDEX($V$1005:$AE$1005,1,MATCH(COLUMNS($V$1006:Z1006),$V$1006:$AE$1006,0))&gt;=100000), " ",IF(INDEX($V$2:$AE$1001,MATCH(ROWS($O$2:O543),$O$2:$O$1001,0),MATCH(COLUMNS($V$1006:Z1006),$V$1006:$AE$1006,0)), HYPERLINK("#",""), HYPERLINK(CONCATENATE("#Metadata!", ADDRESS(INDEX($Q$2:$Q$1001,MATCH(ROWS($O$2:O543),$O$2:$O$1001,0),0), INDEX($V$1004:$AE$1004,1,MATCH(COLUMNS($V$1006:Z1006),$V$1006:$AE$1006,0)))),"Fix")))</f>
        <v>0</v>
      </c>
      <c r="G543" s="3">
        <f>IF(OR(INDEX($P$2:$P$1001,MATCH(ROWS($O$2:O543),$O$2:$O$1001,0),1)&gt;=100000,INDEX($V$1005:$AE$1005,1,MATCH(COLUMNS($V$1006:AA1006),$V$1006:$AE$1006,0))&gt;=100000), " ",IF(INDEX($V$2:$AE$1001,MATCH(ROWS($O$2:O543),$O$2:$O$1001,0),MATCH(COLUMNS($V$1006:AA1006),$V$1006:$AE$1006,0)), HYPERLINK("#",""), HYPERLINK(CONCATENATE("#Metadata!", ADDRESS(INDEX($Q$2:$Q$1001,MATCH(ROWS($O$2:O543),$O$2:$O$1001,0),0), INDEX($V$1004:$AE$1004,1,MATCH(COLUMNS($V$1006:AA1006),$V$1006:$AE$1006,0)))),"Fix")))</f>
        <v>0</v>
      </c>
      <c r="H543" s="3">
        <f>IF(OR(INDEX($P$2:$P$1001,MATCH(ROWS($O$2:O543),$O$2:$O$1001,0),1)&gt;=100000,INDEX($V$1005:$AE$1005,1,MATCH(COLUMNS($V$1006:AB1006),$V$1006:$AE$1006,0))&gt;=100000), " ",IF(INDEX($V$2:$AE$1001,MATCH(ROWS($O$2:O543),$O$2:$O$1001,0),MATCH(COLUMNS($V$1006:AB1006),$V$1006:$AE$1006,0)), HYPERLINK("#",""), HYPERLINK(CONCATENATE("#Metadata!", ADDRESS(INDEX($Q$2:$Q$1001,MATCH(ROWS($O$2:O543),$O$2:$O$1001,0),0), INDEX($V$1004:$AE$1004,1,MATCH(COLUMNS($V$1006:AB1006),$V$1006:$AE$1006,0)))),"Fix")))</f>
        <v>0</v>
      </c>
      <c r="I543" s="3">
        <f>IF(OR(INDEX($P$2:$P$1001,MATCH(ROWS($O$2:O543),$O$2:$O$1001,0),1)&gt;=100000,INDEX($V$1005:$AE$1005,1,MATCH(COLUMNS($V$1006:AC1006),$V$1006:$AE$1006,0))&gt;=100000), " ",IF(INDEX($V$2:$AE$1001,MATCH(ROWS($O$2:O543),$O$2:$O$1001,0),MATCH(COLUMNS($V$1006:AC1006),$V$1006:$AE$1006,0)), HYPERLINK("#",""), HYPERLINK(CONCATENATE("#Metadata!", ADDRESS(INDEX($Q$2:$Q$1001,MATCH(ROWS($O$2:O543),$O$2:$O$1001,0),0), INDEX($V$1004:$AE$1004,1,MATCH(COLUMNS($V$1006:AC1006),$V$1006:$AE$1006,0)))),"Fix")))</f>
        <v>0</v>
      </c>
      <c r="J543" s="3">
        <f>IF(OR(INDEX($P$2:$P$1001,MATCH(ROWS($O$2:O543),$O$2:$O$1001,0),1)&gt;=100000,INDEX($V$1005:$AE$1005,1,MATCH(COLUMNS($V$1006:AD1006),$V$1006:$AE$1006,0))&gt;=100000), " ",IF(INDEX($V$2:$AE$1001,MATCH(ROWS($O$2:O543),$O$2:$O$1001,0),MATCH(COLUMNS($V$1006:AD1006),$V$1006:$AE$1006,0)), HYPERLINK("#",""), HYPERLINK(CONCATENATE("#Metadata!", ADDRESS(INDEX($Q$2:$Q$1001,MATCH(ROWS($O$2:O543),$O$2:$O$1001,0),0), INDEX($V$1004:$AE$1004,1,MATCH(COLUMNS($V$1006:AD1006),$V$1006:$AE$1006,0)))),"Fix")))</f>
        <v>0</v>
      </c>
      <c r="K543" s="3">
        <f>IF(OR(INDEX($P$2:$P$1001,MATCH(ROWS($O$2:O543),$O$2:$O$1001,0),1)&gt;=100000,INDEX($V$1005:$AE$1005,1,MATCH(COLUMNS($V$1006:AE1006),$V$1006:$AE$1006,0))&gt;=100000), " ",IF(INDEX($V$2:$AE$1001,MATCH(ROWS($O$2:O543),$O$2:$O$1001,0),MATCH(COLUMNS($V$1006:AE1006),$V$1006:$AE$1006,0)), HYPERLINK("#",""), HYPERLINK(CONCATENATE("#Metadata!", ADDRESS(INDEX($Q$2:$Q$1001,MATCH(ROWS($O$2:O543),$O$2:$O$1001,0),0), INDEX($V$1004:$AE$1004,1,MATCH(COLUMNS($V$1006:AE1006),$V$1006:$AE$1006,0)))),"Fix")))</f>
        <v>0</v>
      </c>
      <c r="O543">
        <v>0</v>
      </c>
      <c r="P543">
        <v>0</v>
      </c>
      <c r="Q543">
        <v>0</v>
      </c>
      <c r="R543">
        <f>IF(S543,TRUE,AND(V543:AE543))</f>
        <v>0</v>
      </c>
      <c r="S543">
        <f>COUNTBLANK(Metadata!B543:K543)=COLUMNS(Metadata!B543:K543)</f>
        <v>0</v>
      </c>
      <c r="T543">
        <v>0</v>
      </c>
      <c r="V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W543">
        <f>AND(IF(Metadata!C543="",FALSE,TRUE),exact(Metadata!C543,"animal secretion"))</f>
        <v>0</v>
      </c>
      <c r="X543">
        <f>AND(IF(Metadata!D543="",FALSE,TRUE),exact(Metadata!D543,"saliva"))</f>
        <v>0</v>
      </c>
      <c r="Y543">
        <f>AND(IF(Metadata!E543="",FALSE,TRUE),exact(Metadata!E543,"human-oral"))</f>
        <v>0</v>
      </c>
      <c r="Z543">
        <f>AND(IF(Metadata!F543="",FALSE,TRUE),exact(Metadata!F543,"UBERON:oral cavity"))</f>
        <v>0</v>
      </c>
      <c r="AA543">
        <f>AND(IF(Metadata!G543="",FALSE,TRUE),exact(Metadata!G543,"UBERON:saliva"))</f>
        <v>0</v>
      </c>
      <c r="AB543">
        <f>AND(IF(Metadata!H543="",FALSE,TRUE),exact(Metadata!H543,"UBERON:tongue"))</f>
        <v>0</v>
      </c>
      <c r="AC543">
        <f>AND(IF(Metadata!I543="",FALSE,TRUE),exact(Metadata!I543,"tongue"))</f>
        <v>0</v>
      </c>
      <c r="AD543">
        <f>AND(IF(Metadata!J543="",FALSE,TRUE),exact(Metadata!J543,"human oral metagenome"))</f>
        <v>0</v>
      </c>
      <c r="AE543">
        <f>AND(IF(Metadata!K543="",FALSE,TRUE),exact(Metadata!K543,"447426"))</f>
        <v>0</v>
      </c>
    </row>
    <row r="544" spans="1:31">
      <c r="A544" s="4">
        <f>IF(B544=" "," ",HYPERLINK(CONCATENATE("#metadata!",ADDRESS(INDEX($Q$2:$Q$1001,MATCH(ROWS($O$2:O544),$O$2:$O$1001,0),0),1)),INDEX($T$2:$T$1001,MATCH(ROWS($O$2:O544),$O$2:$O$1001,0),0)))</f>
        <v>0</v>
      </c>
      <c r="B544" s="3">
        <f>IF(OR(INDEX($P$2:$P$1001,MATCH(ROWS($O$2:O544),$O$2:$O$1001,0),1)&gt;=100000,INDEX($V$1005:$AE$1005,1,MATCH(COLUMNS($V$1006:V1006),$V$1006:$AE$1006,0))&gt;=100000), " ",IF(INDEX($V$2:$AE$1001,MATCH(ROWS($O$2:O544),$O$2:$O$1001,0),MATCH(COLUMNS($V$1006:V1006),$V$1006:$AE$1006,0)), HYPERLINK("#",""), HYPERLINK(CONCATENATE("#Metadata!", ADDRESS(INDEX($Q$2:$Q$1001,MATCH(ROWS($O$2:O544),$O$2:$O$1001,0),0), INDEX($V$1004:$AE$1004,1,MATCH(COLUMNS($V$1006:V1006),$V$1006:$AE$1006,0)))),"Fix")))</f>
        <v>0</v>
      </c>
      <c r="C544" s="3">
        <f>IF(OR(INDEX($P$2:$P$1001,MATCH(ROWS($O$2:O544),$O$2:$O$1001,0),1)&gt;=100000,INDEX($V$1005:$AE$1005,1,MATCH(COLUMNS($V$1006:W1006),$V$1006:$AE$1006,0))&gt;=100000), " ",IF(INDEX($V$2:$AE$1001,MATCH(ROWS($O$2:O544),$O$2:$O$1001,0),MATCH(COLUMNS($V$1006:W1006),$V$1006:$AE$1006,0)), HYPERLINK("#",""), HYPERLINK(CONCATENATE("#Metadata!", ADDRESS(INDEX($Q$2:$Q$1001,MATCH(ROWS($O$2:O544),$O$2:$O$1001,0),0), INDEX($V$1004:$AE$1004,1,MATCH(COLUMNS($V$1006:W1006),$V$1006:$AE$1006,0)))),"Fix")))</f>
        <v>0</v>
      </c>
      <c r="D544" s="3">
        <f>IF(OR(INDEX($P$2:$P$1001,MATCH(ROWS($O$2:O544),$O$2:$O$1001,0),1)&gt;=100000,INDEX($V$1005:$AE$1005,1,MATCH(COLUMNS($V$1006:X1006),$V$1006:$AE$1006,0))&gt;=100000), " ",IF(INDEX($V$2:$AE$1001,MATCH(ROWS($O$2:O544),$O$2:$O$1001,0),MATCH(COLUMNS($V$1006:X1006),$V$1006:$AE$1006,0)), HYPERLINK("#",""), HYPERLINK(CONCATENATE("#Metadata!", ADDRESS(INDEX($Q$2:$Q$1001,MATCH(ROWS($O$2:O544),$O$2:$O$1001,0),0), INDEX($V$1004:$AE$1004,1,MATCH(COLUMNS($V$1006:X1006),$V$1006:$AE$1006,0)))),"Fix")))</f>
        <v>0</v>
      </c>
      <c r="E544" s="3">
        <f>IF(OR(INDEX($P$2:$P$1001,MATCH(ROWS($O$2:O544),$O$2:$O$1001,0),1)&gt;=100000,INDEX($V$1005:$AE$1005,1,MATCH(COLUMNS($V$1006:Y1006),$V$1006:$AE$1006,0))&gt;=100000), " ",IF(INDEX($V$2:$AE$1001,MATCH(ROWS($O$2:O544),$O$2:$O$1001,0),MATCH(COLUMNS($V$1006:Y1006),$V$1006:$AE$1006,0)), HYPERLINK("#",""), HYPERLINK(CONCATENATE("#Metadata!", ADDRESS(INDEX($Q$2:$Q$1001,MATCH(ROWS($O$2:O544),$O$2:$O$1001,0),0), INDEX($V$1004:$AE$1004,1,MATCH(COLUMNS($V$1006:Y1006),$V$1006:$AE$1006,0)))),"Fix")))</f>
        <v>0</v>
      </c>
      <c r="F544" s="3">
        <f>IF(OR(INDEX($P$2:$P$1001,MATCH(ROWS($O$2:O544),$O$2:$O$1001,0),1)&gt;=100000,INDEX($V$1005:$AE$1005,1,MATCH(COLUMNS($V$1006:Z1006),$V$1006:$AE$1006,0))&gt;=100000), " ",IF(INDEX($V$2:$AE$1001,MATCH(ROWS($O$2:O544),$O$2:$O$1001,0),MATCH(COLUMNS($V$1006:Z1006),$V$1006:$AE$1006,0)), HYPERLINK("#",""), HYPERLINK(CONCATENATE("#Metadata!", ADDRESS(INDEX($Q$2:$Q$1001,MATCH(ROWS($O$2:O544),$O$2:$O$1001,0),0), INDEX($V$1004:$AE$1004,1,MATCH(COLUMNS($V$1006:Z1006),$V$1006:$AE$1006,0)))),"Fix")))</f>
        <v>0</v>
      </c>
      <c r="G544" s="3">
        <f>IF(OR(INDEX($P$2:$P$1001,MATCH(ROWS($O$2:O544),$O$2:$O$1001,0),1)&gt;=100000,INDEX($V$1005:$AE$1005,1,MATCH(COLUMNS($V$1006:AA1006),$V$1006:$AE$1006,0))&gt;=100000), " ",IF(INDEX($V$2:$AE$1001,MATCH(ROWS($O$2:O544),$O$2:$O$1001,0),MATCH(COLUMNS($V$1006:AA1006),$V$1006:$AE$1006,0)), HYPERLINK("#",""), HYPERLINK(CONCATENATE("#Metadata!", ADDRESS(INDEX($Q$2:$Q$1001,MATCH(ROWS($O$2:O544),$O$2:$O$1001,0),0), INDEX($V$1004:$AE$1004,1,MATCH(COLUMNS($V$1006:AA1006),$V$1006:$AE$1006,0)))),"Fix")))</f>
        <v>0</v>
      </c>
      <c r="H544" s="3">
        <f>IF(OR(INDEX($P$2:$P$1001,MATCH(ROWS($O$2:O544),$O$2:$O$1001,0),1)&gt;=100000,INDEX($V$1005:$AE$1005,1,MATCH(COLUMNS($V$1006:AB1006),$V$1006:$AE$1006,0))&gt;=100000), " ",IF(INDEX($V$2:$AE$1001,MATCH(ROWS($O$2:O544),$O$2:$O$1001,0),MATCH(COLUMNS($V$1006:AB1006),$V$1006:$AE$1006,0)), HYPERLINK("#",""), HYPERLINK(CONCATENATE("#Metadata!", ADDRESS(INDEX($Q$2:$Q$1001,MATCH(ROWS($O$2:O544),$O$2:$O$1001,0),0), INDEX($V$1004:$AE$1004,1,MATCH(COLUMNS($V$1006:AB1006),$V$1006:$AE$1006,0)))),"Fix")))</f>
        <v>0</v>
      </c>
      <c r="I544" s="3">
        <f>IF(OR(INDEX($P$2:$P$1001,MATCH(ROWS($O$2:O544),$O$2:$O$1001,0),1)&gt;=100000,INDEX($V$1005:$AE$1005,1,MATCH(COLUMNS($V$1006:AC1006),$V$1006:$AE$1006,0))&gt;=100000), " ",IF(INDEX($V$2:$AE$1001,MATCH(ROWS($O$2:O544),$O$2:$O$1001,0),MATCH(COLUMNS($V$1006:AC1006),$V$1006:$AE$1006,0)), HYPERLINK("#",""), HYPERLINK(CONCATENATE("#Metadata!", ADDRESS(INDEX($Q$2:$Q$1001,MATCH(ROWS($O$2:O544),$O$2:$O$1001,0),0), INDEX($V$1004:$AE$1004,1,MATCH(COLUMNS($V$1006:AC1006),$V$1006:$AE$1006,0)))),"Fix")))</f>
        <v>0</v>
      </c>
      <c r="J544" s="3">
        <f>IF(OR(INDEX($P$2:$P$1001,MATCH(ROWS($O$2:O544),$O$2:$O$1001,0),1)&gt;=100000,INDEX($V$1005:$AE$1005,1,MATCH(COLUMNS($V$1006:AD1006),$V$1006:$AE$1006,0))&gt;=100000), " ",IF(INDEX($V$2:$AE$1001,MATCH(ROWS($O$2:O544),$O$2:$O$1001,0),MATCH(COLUMNS($V$1006:AD1006),$V$1006:$AE$1006,0)), HYPERLINK("#",""), HYPERLINK(CONCATENATE("#Metadata!", ADDRESS(INDEX($Q$2:$Q$1001,MATCH(ROWS($O$2:O544),$O$2:$O$1001,0),0), INDEX($V$1004:$AE$1004,1,MATCH(COLUMNS($V$1006:AD1006),$V$1006:$AE$1006,0)))),"Fix")))</f>
        <v>0</v>
      </c>
      <c r="K544" s="3">
        <f>IF(OR(INDEX($P$2:$P$1001,MATCH(ROWS($O$2:O544),$O$2:$O$1001,0),1)&gt;=100000,INDEX($V$1005:$AE$1005,1,MATCH(COLUMNS($V$1006:AE1006),$V$1006:$AE$1006,0))&gt;=100000), " ",IF(INDEX($V$2:$AE$1001,MATCH(ROWS($O$2:O544),$O$2:$O$1001,0),MATCH(COLUMNS($V$1006:AE1006),$V$1006:$AE$1006,0)), HYPERLINK("#",""), HYPERLINK(CONCATENATE("#Metadata!", ADDRESS(INDEX($Q$2:$Q$1001,MATCH(ROWS($O$2:O544),$O$2:$O$1001,0),0), INDEX($V$1004:$AE$1004,1,MATCH(COLUMNS($V$1006:AE1006),$V$1006:$AE$1006,0)))),"Fix")))</f>
        <v>0</v>
      </c>
      <c r="O544">
        <v>0</v>
      </c>
      <c r="P544">
        <v>0</v>
      </c>
      <c r="Q544">
        <v>0</v>
      </c>
      <c r="R544">
        <f>IF(S544,TRUE,AND(V544:AE544))</f>
        <v>0</v>
      </c>
      <c r="S544">
        <f>COUNTBLANK(Metadata!B544:K544)=COLUMNS(Metadata!B544:K544)</f>
        <v>0</v>
      </c>
      <c r="T544">
        <v>0</v>
      </c>
      <c r="V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W544">
        <f>AND(IF(Metadata!C544="",FALSE,TRUE),exact(Metadata!C544,"animal secretion"))</f>
        <v>0</v>
      </c>
      <c r="X544">
        <f>AND(IF(Metadata!D544="",FALSE,TRUE),exact(Metadata!D544,"saliva"))</f>
        <v>0</v>
      </c>
      <c r="Y544">
        <f>AND(IF(Metadata!E544="",FALSE,TRUE),exact(Metadata!E544,"human-oral"))</f>
        <v>0</v>
      </c>
      <c r="Z544">
        <f>AND(IF(Metadata!F544="",FALSE,TRUE),exact(Metadata!F544,"UBERON:oral cavity"))</f>
        <v>0</v>
      </c>
      <c r="AA544">
        <f>AND(IF(Metadata!G544="",FALSE,TRUE),exact(Metadata!G544,"UBERON:saliva"))</f>
        <v>0</v>
      </c>
      <c r="AB544">
        <f>AND(IF(Metadata!H544="",FALSE,TRUE),exact(Metadata!H544,"UBERON:tongue"))</f>
        <v>0</v>
      </c>
      <c r="AC544">
        <f>AND(IF(Metadata!I544="",FALSE,TRUE),exact(Metadata!I544,"tongue"))</f>
        <v>0</v>
      </c>
      <c r="AD544">
        <f>AND(IF(Metadata!J544="",FALSE,TRUE),exact(Metadata!J544,"human oral metagenome"))</f>
        <v>0</v>
      </c>
      <c r="AE544">
        <f>AND(IF(Metadata!K544="",FALSE,TRUE),exact(Metadata!K544,"447426"))</f>
        <v>0</v>
      </c>
    </row>
    <row r="545" spans="1:31">
      <c r="A545" s="4">
        <f>IF(B545=" "," ",HYPERLINK(CONCATENATE("#metadata!",ADDRESS(INDEX($Q$2:$Q$1001,MATCH(ROWS($O$2:O545),$O$2:$O$1001,0),0),1)),INDEX($T$2:$T$1001,MATCH(ROWS($O$2:O545),$O$2:$O$1001,0),0)))</f>
        <v>0</v>
      </c>
      <c r="B545" s="3">
        <f>IF(OR(INDEX($P$2:$P$1001,MATCH(ROWS($O$2:O545),$O$2:$O$1001,0),1)&gt;=100000,INDEX($V$1005:$AE$1005,1,MATCH(COLUMNS($V$1006:V1006),$V$1006:$AE$1006,0))&gt;=100000), " ",IF(INDEX($V$2:$AE$1001,MATCH(ROWS($O$2:O545),$O$2:$O$1001,0),MATCH(COLUMNS($V$1006:V1006),$V$1006:$AE$1006,0)), HYPERLINK("#",""), HYPERLINK(CONCATENATE("#Metadata!", ADDRESS(INDEX($Q$2:$Q$1001,MATCH(ROWS($O$2:O545),$O$2:$O$1001,0),0), INDEX($V$1004:$AE$1004,1,MATCH(COLUMNS($V$1006:V1006),$V$1006:$AE$1006,0)))),"Fix")))</f>
        <v>0</v>
      </c>
      <c r="C545" s="3">
        <f>IF(OR(INDEX($P$2:$P$1001,MATCH(ROWS($O$2:O545),$O$2:$O$1001,0),1)&gt;=100000,INDEX($V$1005:$AE$1005,1,MATCH(COLUMNS($V$1006:W1006),$V$1006:$AE$1006,0))&gt;=100000), " ",IF(INDEX($V$2:$AE$1001,MATCH(ROWS($O$2:O545),$O$2:$O$1001,0),MATCH(COLUMNS($V$1006:W1006),$V$1006:$AE$1006,0)), HYPERLINK("#",""), HYPERLINK(CONCATENATE("#Metadata!", ADDRESS(INDEX($Q$2:$Q$1001,MATCH(ROWS($O$2:O545),$O$2:$O$1001,0),0), INDEX($V$1004:$AE$1004,1,MATCH(COLUMNS($V$1006:W1006),$V$1006:$AE$1006,0)))),"Fix")))</f>
        <v>0</v>
      </c>
      <c r="D545" s="3">
        <f>IF(OR(INDEX($P$2:$P$1001,MATCH(ROWS($O$2:O545),$O$2:$O$1001,0),1)&gt;=100000,INDEX($V$1005:$AE$1005,1,MATCH(COLUMNS($V$1006:X1006),$V$1006:$AE$1006,0))&gt;=100000), " ",IF(INDEX($V$2:$AE$1001,MATCH(ROWS($O$2:O545),$O$2:$O$1001,0),MATCH(COLUMNS($V$1006:X1006),$V$1006:$AE$1006,0)), HYPERLINK("#",""), HYPERLINK(CONCATENATE("#Metadata!", ADDRESS(INDEX($Q$2:$Q$1001,MATCH(ROWS($O$2:O545),$O$2:$O$1001,0),0), INDEX($V$1004:$AE$1004,1,MATCH(COLUMNS($V$1006:X1006),$V$1006:$AE$1006,0)))),"Fix")))</f>
        <v>0</v>
      </c>
      <c r="E545" s="3">
        <f>IF(OR(INDEX($P$2:$P$1001,MATCH(ROWS($O$2:O545),$O$2:$O$1001,0),1)&gt;=100000,INDEX($V$1005:$AE$1005,1,MATCH(COLUMNS($V$1006:Y1006),$V$1006:$AE$1006,0))&gt;=100000), " ",IF(INDEX($V$2:$AE$1001,MATCH(ROWS($O$2:O545),$O$2:$O$1001,0),MATCH(COLUMNS($V$1006:Y1006),$V$1006:$AE$1006,0)), HYPERLINK("#",""), HYPERLINK(CONCATENATE("#Metadata!", ADDRESS(INDEX($Q$2:$Q$1001,MATCH(ROWS($O$2:O545),$O$2:$O$1001,0),0), INDEX($V$1004:$AE$1004,1,MATCH(COLUMNS($V$1006:Y1006),$V$1006:$AE$1006,0)))),"Fix")))</f>
        <v>0</v>
      </c>
      <c r="F545" s="3">
        <f>IF(OR(INDEX($P$2:$P$1001,MATCH(ROWS($O$2:O545),$O$2:$O$1001,0),1)&gt;=100000,INDEX($V$1005:$AE$1005,1,MATCH(COLUMNS($V$1006:Z1006),$V$1006:$AE$1006,0))&gt;=100000), " ",IF(INDEX($V$2:$AE$1001,MATCH(ROWS($O$2:O545),$O$2:$O$1001,0),MATCH(COLUMNS($V$1006:Z1006),$V$1006:$AE$1006,0)), HYPERLINK("#",""), HYPERLINK(CONCATENATE("#Metadata!", ADDRESS(INDEX($Q$2:$Q$1001,MATCH(ROWS($O$2:O545),$O$2:$O$1001,0),0), INDEX($V$1004:$AE$1004,1,MATCH(COLUMNS($V$1006:Z1006),$V$1006:$AE$1006,0)))),"Fix")))</f>
        <v>0</v>
      </c>
      <c r="G545" s="3">
        <f>IF(OR(INDEX($P$2:$P$1001,MATCH(ROWS($O$2:O545),$O$2:$O$1001,0),1)&gt;=100000,INDEX($V$1005:$AE$1005,1,MATCH(COLUMNS($V$1006:AA1006),$V$1006:$AE$1006,0))&gt;=100000), " ",IF(INDEX($V$2:$AE$1001,MATCH(ROWS($O$2:O545),$O$2:$O$1001,0),MATCH(COLUMNS($V$1006:AA1006),$V$1006:$AE$1006,0)), HYPERLINK("#",""), HYPERLINK(CONCATENATE("#Metadata!", ADDRESS(INDEX($Q$2:$Q$1001,MATCH(ROWS($O$2:O545),$O$2:$O$1001,0),0), INDEX($V$1004:$AE$1004,1,MATCH(COLUMNS($V$1006:AA1006),$V$1006:$AE$1006,0)))),"Fix")))</f>
        <v>0</v>
      </c>
      <c r="H545" s="3">
        <f>IF(OR(INDEX($P$2:$P$1001,MATCH(ROWS($O$2:O545),$O$2:$O$1001,0),1)&gt;=100000,INDEX($V$1005:$AE$1005,1,MATCH(COLUMNS($V$1006:AB1006),$V$1006:$AE$1006,0))&gt;=100000), " ",IF(INDEX($V$2:$AE$1001,MATCH(ROWS($O$2:O545),$O$2:$O$1001,0),MATCH(COLUMNS($V$1006:AB1006),$V$1006:$AE$1006,0)), HYPERLINK("#",""), HYPERLINK(CONCATENATE("#Metadata!", ADDRESS(INDEX($Q$2:$Q$1001,MATCH(ROWS($O$2:O545),$O$2:$O$1001,0),0), INDEX($V$1004:$AE$1004,1,MATCH(COLUMNS($V$1006:AB1006),$V$1006:$AE$1006,0)))),"Fix")))</f>
        <v>0</v>
      </c>
      <c r="I545" s="3">
        <f>IF(OR(INDEX($P$2:$P$1001,MATCH(ROWS($O$2:O545),$O$2:$O$1001,0),1)&gt;=100000,INDEX($V$1005:$AE$1005,1,MATCH(COLUMNS($V$1006:AC1006),$V$1006:$AE$1006,0))&gt;=100000), " ",IF(INDEX($V$2:$AE$1001,MATCH(ROWS($O$2:O545),$O$2:$O$1001,0),MATCH(COLUMNS($V$1006:AC1006),$V$1006:$AE$1006,0)), HYPERLINK("#",""), HYPERLINK(CONCATENATE("#Metadata!", ADDRESS(INDEX($Q$2:$Q$1001,MATCH(ROWS($O$2:O545),$O$2:$O$1001,0),0), INDEX($V$1004:$AE$1004,1,MATCH(COLUMNS($V$1006:AC1006),$V$1006:$AE$1006,0)))),"Fix")))</f>
        <v>0</v>
      </c>
      <c r="J545" s="3">
        <f>IF(OR(INDEX($P$2:$P$1001,MATCH(ROWS($O$2:O545),$O$2:$O$1001,0),1)&gt;=100000,INDEX($V$1005:$AE$1005,1,MATCH(COLUMNS($V$1006:AD1006),$V$1006:$AE$1006,0))&gt;=100000), " ",IF(INDEX($V$2:$AE$1001,MATCH(ROWS($O$2:O545),$O$2:$O$1001,0),MATCH(COLUMNS($V$1006:AD1006),$V$1006:$AE$1006,0)), HYPERLINK("#",""), HYPERLINK(CONCATENATE("#Metadata!", ADDRESS(INDEX($Q$2:$Q$1001,MATCH(ROWS($O$2:O545),$O$2:$O$1001,0),0), INDEX($V$1004:$AE$1004,1,MATCH(COLUMNS($V$1006:AD1006),$V$1006:$AE$1006,0)))),"Fix")))</f>
        <v>0</v>
      </c>
      <c r="K545" s="3">
        <f>IF(OR(INDEX($P$2:$P$1001,MATCH(ROWS($O$2:O545),$O$2:$O$1001,0),1)&gt;=100000,INDEX($V$1005:$AE$1005,1,MATCH(COLUMNS($V$1006:AE1006),$V$1006:$AE$1006,0))&gt;=100000), " ",IF(INDEX($V$2:$AE$1001,MATCH(ROWS($O$2:O545),$O$2:$O$1001,0),MATCH(COLUMNS($V$1006:AE1006),$V$1006:$AE$1006,0)), HYPERLINK("#",""), HYPERLINK(CONCATENATE("#Metadata!", ADDRESS(INDEX($Q$2:$Q$1001,MATCH(ROWS($O$2:O545),$O$2:$O$1001,0),0), INDEX($V$1004:$AE$1004,1,MATCH(COLUMNS($V$1006:AE1006),$V$1006:$AE$1006,0)))),"Fix")))</f>
        <v>0</v>
      </c>
      <c r="O545">
        <v>0</v>
      </c>
      <c r="P545">
        <v>0</v>
      </c>
      <c r="Q545">
        <v>0</v>
      </c>
      <c r="R545">
        <f>IF(S545,TRUE,AND(V545:AE545))</f>
        <v>0</v>
      </c>
      <c r="S545">
        <f>COUNTBLANK(Metadata!B545:K545)=COLUMNS(Metadata!B545:K545)</f>
        <v>0</v>
      </c>
      <c r="T545">
        <v>0</v>
      </c>
      <c r="V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W545">
        <f>AND(IF(Metadata!C545="",FALSE,TRUE),exact(Metadata!C545,"animal secretion"))</f>
        <v>0</v>
      </c>
      <c r="X545">
        <f>AND(IF(Metadata!D545="",FALSE,TRUE),exact(Metadata!D545,"saliva"))</f>
        <v>0</v>
      </c>
      <c r="Y545">
        <f>AND(IF(Metadata!E545="",FALSE,TRUE),exact(Metadata!E545,"human-oral"))</f>
        <v>0</v>
      </c>
      <c r="Z545">
        <f>AND(IF(Metadata!F545="",FALSE,TRUE),exact(Metadata!F545,"UBERON:oral cavity"))</f>
        <v>0</v>
      </c>
      <c r="AA545">
        <f>AND(IF(Metadata!G545="",FALSE,TRUE),exact(Metadata!G545,"UBERON:saliva"))</f>
        <v>0</v>
      </c>
      <c r="AB545">
        <f>AND(IF(Metadata!H545="",FALSE,TRUE),exact(Metadata!H545,"UBERON:tongue"))</f>
        <v>0</v>
      </c>
      <c r="AC545">
        <f>AND(IF(Metadata!I545="",FALSE,TRUE),exact(Metadata!I545,"tongue"))</f>
        <v>0</v>
      </c>
      <c r="AD545">
        <f>AND(IF(Metadata!J545="",FALSE,TRUE),exact(Metadata!J545,"human oral metagenome"))</f>
        <v>0</v>
      </c>
      <c r="AE545">
        <f>AND(IF(Metadata!K545="",FALSE,TRUE),exact(Metadata!K545,"447426"))</f>
        <v>0</v>
      </c>
    </row>
    <row r="546" spans="1:31">
      <c r="A546" s="4">
        <f>IF(B546=" "," ",HYPERLINK(CONCATENATE("#metadata!",ADDRESS(INDEX($Q$2:$Q$1001,MATCH(ROWS($O$2:O546),$O$2:$O$1001,0),0),1)),INDEX($T$2:$T$1001,MATCH(ROWS($O$2:O546),$O$2:$O$1001,0),0)))</f>
        <v>0</v>
      </c>
      <c r="B546" s="3">
        <f>IF(OR(INDEX($P$2:$P$1001,MATCH(ROWS($O$2:O546),$O$2:$O$1001,0),1)&gt;=100000,INDEX($V$1005:$AE$1005,1,MATCH(COLUMNS($V$1006:V1006),$V$1006:$AE$1006,0))&gt;=100000), " ",IF(INDEX($V$2:$AE$1001,MATCH(ROWS($O$2:O546),$O$2:$O$1001,0),MATCH(COLUMNS($V$1006:V1006),$V$1006:$AE$1006,0)), HYPERLINK("#",""), HYPERLINK(CONCATENATE("#Metadata!", ADDRESS(INDEX($Q$2:$Q$1001,MATCH(ROWS($O$2:O546),$O$2:$O$1001,0),0), INDEX($V$1004:$AE$1004,1,MATCH(COLUMNS($V$1006:V1006),$V$1006:$AE$1006,0)))),"Fix")))</f>
        <v>0</v>
      </c>
      <c r="C546" s="3">
        <f>IF(OR(INDEX($P$2:$P$1001,MATCH(ROWS($O$2:O546),$O$2:$O$1001,0),1)&gt;=100000,INDEX($V$1005:$AE$1005,1,MATCH(COLUMNS($V$1006:W1006),$V$1006:$AE$1006,0))&gt;=100000), " ",IF(INDEX($V$2:$AE$1001,MATCH(ROWS($O$2:O546),$O$2:$O$1001,0),MATCH(COLUMNS($V$1006:W1006),$V$1006:$AE$1006,0)), HYPERLINK("#",""), HYPERLINK(CONCATENATE("#Metadata!", ADDRESS(INDEX($Q$2:$Q$1001,MATCH(ROWS($O$2:O546),$O$2:$O$1001,0),0), INDEX($V$1004:$AE$1004,1,MATCH(COLUMNS($V$1006:W1006),$V$1006:$AE$1006,0)))),"Fix")))</f>
        <v>0</v>
      </c>
      <c r="D546" s="3">
        <f>IF(OR(INDEX($P$2:$P$1001,MATCH(ROWS($O$2:O546),$O$2:$O$1001,0),1)&gt;=100000,INDEX($V$1005:$AE$1005,1,MATCH(COLUMNS($V$1006:X1006),$V$1006:$AE$1006,0))&gt;=100000), " ",IF(INDEX($V$2:$AE$1001,MATCH(ROWS($O$2:O546),$O$2:$O$1001,0),MATCH(COLUMNS($V$1006:X1006),$V$1006:$AE$1006,0)), HYPERLINK("#",""), HYPERLINK(CONCATENATE("#Metadata!", ADDRESS(INDEX($Q$2:$Q$1001,MATCH(ROWS($O$2:O546),$O$2:$O$1001,0),0), INDEX($V$1004:$AE$1004,1,MATCH(COLUMNS($V$1006:X1006),$V$1006:$AE$1006,0)))),"Fix")))</f>
        <v>0</v>
      </c>
      <c r="E546" s="3">
        <f>IF(OR(INDEX($P$2:$P$1001,MATCH(ROWS($O$2:O546),$O$2:$O$1001,0),1)&gt;=100000,INDEX($V$1005:$AE$1005,1,MATCH(COLUMNS($V$1006:Y1006),$V$1006:$AE$1006,0))&gt;=100000), " ",IF(INDEX($V$2:$AE$1001,MATCH(ROWS($O$2:O546),$O$2:$O$1001,0),MATCH(COLUMNS($V$1006:Y1006),$V$1006:$AE$1006,0)), HYPERLINK("#",""), HYPERLINK(CONCATENATE("#Metadata!", ADDRESS(INDEX($Q$2:$Q$1001,MATCH(ROWS($O$2:O546),$O$2:$O$1001,0),0), INDEX($V$1004:$AE$1004,1,MATCH(COLUMNS($V$1006:Y1006),$V$1006:$AE$1006,0)))),"Fix")))</f>
        <v>0</v>
      </c>
      <c r="F546" s="3">
        <f>IF(OR(INDEX($P$2:$P$1001,MATCH(ROWS($O$2:O546),$O$2:$O$1001,0),1)&gt;=100000,INDEX($V$1005:$AE$1005,1,MATCH(COLUMNS($V$1006:Z1006),$V$1006:$AE$1006,0))&gt;=100000), " ",IF(INDEX($V$2:$AE$1001,MATCH(ROWS($O$2:O546),$O$2:$O$1001,0),MATCH(COLUMNS($V$1006:Z1006),$V$1006:$AE$1006,0)), HYPERLINK("#",""), HYPERLINK(CONCATENATE("#Metadata!", ADDRESS(INDEX($Q$2:$Q$1001,MATCH(ROWS($O$2:O546),$O$2:$O$1001,0),0), INDEX($V$1004:$AE$1004,1,MATCH(COLUMNS($V$1006:Z1006),$V$1006:$AE$1006,0)))),"Fix")))</f>
        <v>0</v>
      </c>
      <c r="G546" s="3">
        <f>IF(OR(INDEX($P$2:$P$1001,MATCH(ROWS($O$2:O546),$O$2:$O$1001,0),1)&gt;=100000,INDEX($V$1005:$AE$1005,1,MATCH(COLUMNS($V$1006:AA1006),$V$1006:$AE$1006,0))&gt;=100000), " ",IF(INDEX($V$2:$AE$1001,MATCH(ROWS($O$2:O546),$O$2:$O$1001,0),MATCH(COLUMNS($V$1006:AA1006),$V$1006:$AE$1006,0)), HYPERLINK("#",""), HYPERLINK(CONCATENATE("#Metadata!", ADDRESS(INDEX($Q$2:$Q$1001,MATCH(ROWS($O$2:O546),$O$2:$O$1001,0),0), INDEX($V$1004:$AE$1004,1,MATCH(COLUMNS($V$1006:AA1006),$V$1006:$AE$1006,0)))),"Fix")))</f>
        <v>0</v>
      </c>
      <c r="H546" s="3">
        <f>IF(OR(INDEX($P$2:$P$1001,MATCH(ROWS($O$2:O546),$O$2:$O$1001,0),1)&gt;=100000,INDEX($V$1005:$AE$1005,1,MATCH(COLUMNS($V$1006:AB1006),$V$1006:$AE$1006,0))&gt;=100000), " ",IF(INDEX($V$2:$AE$1001,MATCH(ROWS($O$2:O546),$O$2:$O$1001,0),MATCH(COLUMNS($V$1006:AB1006),$V$1006:$AE$1006,0)), HYPERLINK("#",""), HYPERLINK(CONCATENATE("#Metadata!", ADDRESS(INDEX($Q$2:$Q$1001,MATCH(ROWS($O$2:O546),$O$2:$O$1001,0),0), INDEX($V$1004:$AE$1004,1,MATCH(COLUMNS($V$1006:AB1006),$V$1006:$AE$1006,0)))),"Fix")))</f>
        <v>0</v>
      </c>
      <c r="I546" s="3">
        <f>IF(OR(INDEX($P$2:$P$1001,MATCH(ROWS($O$2:O546),$O$2:$O$1001,0),1)&gt;=100000,INDEX($V$1005:$AE$1005,1,MATCH(COLUMNS($V$1006:AC1006),$V$1006:$AE$1006,0))&gt;=100000), " ",IF(INDEX($V$2:$AE$1001,MATCH(ROWS($O$2:O546),$O$2:$O$1001,0),MATCH(COLUMNS($V$1006:AC1006),$V$1006:$AE$1006,0)), HYPERLINK("#",""), HYPERLINK(CONCATENATE("#Metadata!", ADDRESS(INDEX($Q$2:$Q$1001,MATCH(ROWS($O$2:O546),$O$2:$O$1001,0),0), INDEX($V$1004:$AE$1004,1,MATCH(COLUMNS($V$1006:AC1006),$V$1006:$AE$1006,0)))),"Fix")))</f>
        <v>0</v>
      </c>
      <c r="J546" s="3">
        <f>IF(OR(INDEX($P$2:$P$1001,MATCH(ROWS($O$2:O546),$O$2:$O$1001,0),1)&gt;=100000,INDEX($V$1005:$AE$1005,1,MATCH(COLUMNS($V$1006:AD1006),$V$1006:$AE$1006,0))&gt;=100000), " ",IF(INDEX($V$2:$AE$1001,MATCH(ROWS($O$2:O546),$O$2:$O$1001,0),MATCH(COLUMNS($V$1006:AD1006),$V$1006:$AE$1006,0)), HYPERLINK("#",""), HYPERLINK(CONCATENATE("#Metadata!", ADDRESS(INDEX($Q$2:$Q$1001,MATCH(ROWS($O$2:O546),$O$2:$O$1001,0),0), INDEX($V$1004:$AE$1004,1,MATCH(COLUMNS($V$1006:AD1006),$V$1006:$AE$1006,0)))),"Fix")))</f>
        <v>0</v>
      </c>
      <c r="K546" s="3">
        <f>IF(OR(INDEX($P$2:$P$1001,MATCH(ROWS($O$2:O546),$O$2:$O$1001,0),1)&gt;=100000,INDEX($V$1005:$AE$1005,1,MATCH(COLUMNS($V$1006:AE1006),$V$1006:$AE$1006,0))&gt;=100000), " ",IF(INDEX($V$2:$AE$1001,MATCH(ROWS($O$2:O546),$O$2:$O$1001,0),MATCH(COLUMNS($V$1006:AE1006),$V$1006:$AE$1006,0)), HYPERLINK("#",""), HYPERLINK(CONCATENATE("#Metadata!", ADDRESS(INDEX($Q$2:$Q$1001,MATCH(ROWS($O$2:O546),$O$2:$O$1001,0),0), INDEX($V$1004:$AE$1004,1,MATCH(COLUMNS($V$1006:AE1006),$V$1006:$AE$1006,0)))),"Fix")))</f>
        <v>0</v>
      </c>
      <c r="O546">
        <v>0</v>
      </c>
      <c r="P546">
        <v>0</v>
      </c>
      <c r="Q546">
        <v>0</v>
      </c>
      <c r="R546">
        <f>IF(S546,TRUE,AND(V546:AE546))</f>
        <v>0</v>
      </c>
      <c r="S546">
        <f>COUNTBLANK(Metadata!B546:K546)=COLUMNS(Metadata!B546:K546)</f>
        <v>0</v>
      </c>
      <c r="T546">
        <v>0</v>
      </c>
      <c r="V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W546">
        <f>AND(IF(Metadata!C546="",FALSE,TRUE),exact(Metadata!C546,"animal secretion"))</f>
        <v>0</v>
      </c>
      <c r="X546">
        <f>AND(IF(Metadata!D546="",FALSE,TRUE),exact(Metadata!D546,"saliva"))</f>
        <v>0</v>
      </c>
      <c r="Y546">
        <f>AND(IF(Metadata!E546="",FALSE,TRUE),exact(Metadata!E546,"human-oral"))</f>
        <v>0</v>
      </c>
      <c r="Z546">
        <f>AND(IF(Metadata!F546="",FALSE,TRUE),exact(Metadata!F546,"UBERON:oral cavity"))</f>
        <v>0</v>
      </c>
      <c r="AA546">
        <f>AND(IF(Metadata!G546="",FALSE,TRUE),exact(Metadata!G546,"UBERON:saliva"))</f>
        <v>0</v>
      </c>
      <c r="AB546">
        <f>AND(IF(Metadata!H546="",FALSE,TRUE),exact(Metadata!H546,"UBERON:tongue"))</f>
        <v>0</v>
      </c>
      <c r="AC546">
        <f>AND(IF(Metadata!I546="",FALSE,TRUE),exact(Metadata!I546,"tongue"))</f>
        <v>0</v>
      </c>
      <c r="AD546">
        <f>AND(IF(Metadata!J546="",FALSE,TRUE),exact(Metadata!J546,"human oral metagenome"))</f>
        <v>0</v>
      </c>
      <c r="AE546">
        <f>AND(IF(Metadata!K546="",FALSE,TRUE),exact(Metadata!K546,"447426"))</f>
        <v>0</v>
      </c>
    </row>
    <row r="547" spans="1:31">
      <c r="A547" s="4">
        <f>IF(B547=" "," ",HYPERLINK(CONCATENATE("#metadata!",ADDRESS(INDEX($Q$2:$Q$1001,MATCH(ROWS($O$2:O547),$O$2:$O$1001,0),0),1)),INDEX($T$2:$T$1001,MATCH(ROWS($O$2:O547),$O$2:$O$1001,0),0)))</f>
        <v>0</v>
      </c>
      <c r="B547" s="3">
        <f>IF(OR(INDEX($P$2:$P$1001,MATCH(ROWS($O$2:O547),$O$2:$O$1001,0),1)&gt;=100000,INDEX($V$1005:$AE$1005,1,MATCH(COLUMNS($V$1006:V1006),$V$1006:$AE$1006,0))&gt;=100000), " ",IF(INDEX($V$2:$AE$1001,MATCH(ROWS($O$2:O547),$O$2:$O$1001,0),MATCH(COLUMNS($V$1006:V1006),$V$1006:$AE$1006,0)), HYPERLINK("#",""), HYPERLINK(CONCATENATE("#Metadata!", ADDRESS(INDEX($Q$2:$Q$1001,MATCH(ROWS($O$2:O547),$O$2:$O$1001,0),0), INDEX($V$1004:$AE$1004,1,MATCH(COLUMNS($V$1006:V1006),$V$1006:$AE$1006,0)))),"Fix")))</f>
        <v>0</v>
      </c>
      <c r="C547" s="3">
        <f>IF(OR(INDEX($P$2:$P$1001,MATCH(ROWS($O$2:O547),$O$2:$O$1001,0),1)&gt;=100000,INDEX($V$1005:$AE$1005,1,MATCH(COLUMNS($V$1006:W1006),$V$1006:$AE$1006,0))&gt;=100000), " ",IF(INDEX($V$2:$AE$1001,MATCH(ROWS($O$2:O547),$O$2:$O$1001,0),MATCH(COLUMNS($V$1006:W1006),$V$1006:$AE$1006,0)), HYPERLINK("#",""), HYPERLINK(CONCATENATE("#Metadata!", ADDRESS(INDEX($Q$2:$Q$1001,MATCH(ROWS($O$2:O547),$O$2:$O$1001,0),0), INDEX($V$1004:$AE$1004,1,MATCH(COLUMNS($V$1006:W1006),$V$1006:$AE$1006,0)))),"Fix")))</f>
        <v>0</v>
      </c>
      <c r="D547" s="3">
        <f>IF(OR(INDEX($P$2:$P$1001,MATCH(ROWS($O$2:O547),$O$2:$O$1001,0),1)&gt;=100000,INDEX($V$1005:$AE$1005,1,MATCH(COLUMNS($V$1006:X1006),$V$1006:$AE$1006,0))&gt;=100000), " ",IF(INDEX($V$2:$AE$1001,MATCH(ROWS($O$2:O547),$O$2:$O$1001,0),MATCH(COLUMNS($V$1006:X1006),$V$1006:$AE$1006,0)), HYPERLINK("#",""), HYPERLINK(CONCATENATE("#Metadata!", ADDRESS(INDEX($Q$2:$Q$1001,MATCH(ROWS($O$2:O547),$O$2:$O$1001,0),0), INDEX($V$1004:$AE$1004,1,MATCH(COLUMNS($V$1006:X1006),$V$1006:$AE$1006,0)))),"Fix")))</f>
        <v>0</v>
      </c>
      <c r="E547" s="3">
        <f>IF(OR(INDEX($P$2:$P$1001,MATCH(ROWS($O$2:O547),$O$2:$O$1001,0),1)&gt;=100000,INDEX($V$1005:$AE$1005,1,MATCH(COLUMNS($V$1006:Y1006),$V$1006:$AE$1006,0))&gt;=100000), " ",IF(INDEX($V$2:$AE$1001,MATCH(ROWS($O$2:O547),$O$2:$O$1001,0),MATCH(COLUMNS($V$1006:Y1006),$V$1006:$AE$1006,0)), HYPERLINK("#",""), HYPERLINK(CONCATENATE("#Metadata!", ADDRESS(INDEX($Q$2:$Q$1001,MATCH(ROWS($O$2:O547),$O$2:$O$1001,0),0), INDEX($V$1004:$AE$1004,1,MATCH(COLUMNS($V$1006:Y1006),$V$1006:$AE$1006,0)))),"Fix")))</f>
        <v>0</v>
      </c>
      <c r="F547" s="3">
        <f>IF(OR(INDEX($P$2:$P$1001,MATCH(ROWS($O$2:O547),$O$2:$O$1001,0),1)&gt;=100000,INDEX($V$1005:$AE$1005,1,MATCH(COLUMNS($V$1006:Z1006),$V$1006:$AE$1006,0))&gt;=100000), " ",IF(INDEX($V$2:$AE$1001,MATCH(ROWS($O$2:O547),$O$2:$O$1001,0),MATCH(COLUMNS($V$1006:Z1006),$V$1006:$AE$1006,0)), HYPERLINK("#",""), HYPERLINK(CONCATENATE("#Metadata!", ADDRESS(INDEX($Q$2:$Q$1001,MATCH(ROWS($O$2:O547),$O$2:$O$1001,0),0), INDEX($V$1004:$AE$1004,1,MATCH(COLUMNS($V$1006:Z1006),$V$1006:$AE$1006,0)))),"Fix")))</f>
        <v>0</v>
      </c>
      <c r="G547" s="3">
        <f>IF(OR(INDEX($P$2:$P$1001,MATCH(ROWS($O$2:O547),$O$2:$O$1001,0),1)&gt;=100000,INDEX($V$1005:$AE$1005,1,MATCH(COLUMNS($V$1006:AA1006),$V$1006:$AE$1006,0))&gt;=100000), " ",IF(INDEX($V$2:$AE$1001,MATCH(ROWS($O$2:O547),$O$2:$O$1001,0),MATCH(COLUMNS($V$1006:AA1006),$V$1006:$AE$1006,0)), HYPERLINK("#",""), HYPERLINK(CONCATENATE("#Metadata!", ADDRESS(INDEX($Q$2:$Q$1001,MATCH(ROWS($O$2:O547),$O$2:$O$1001,0),0), INDEX($V$1004:$AE$1004,1,MATCH(COLUMNS($V$1006:AA1006),$V$1006:$AE$1006,0)))),"Fix")))</f>
        <v>0</v>
      </c>
      <c r="H547" s="3">
        <f>IF(OR(INDEX($P$2:$P$1001,MATCH(ROWS($O$2:O547),$O$2:$O$1001,0),1)&gt;=100000,INDEX($V$1005:$AE$1005,1,MATCH(COLUMNS($V$1006:AB1006),$V$1006:$AE$1006,0))&gt;=100000), " ",IF(INDEX($V$2:$AE$1001,MATCH(ROWS($O$2:O547),$O$2:$O$1001,0),MATCH(COLUMNS($V$1006:AB1006),$V$1006:$AE$1006,0)), HYPERLINK("#",""), HYPERLINK(CONCATENATE("#Metadata!", ADDRESS(INDEX($Q$2:$Q$1001,MATCH(ROWS($O$2:O547),$O$2:$O$1001,0),0), INDEX($V$1004:$AE$1004,1,MATCH(COLUMNS($V$1006:AB1006),$V$1006:$AE$1006,0)))),"Fix")))</f>
        <v>0</v>
      </c>
      <c r="I547" s="3">
        <f>IF(OR(INDEX($P$2:$P$1001,MATCH(ROWS($O$2:O547),$O$2:$O$1001,0),1)&gt;=100000,INDEX($V$1005:$AE$1005,1,MATCH(COLUMNS($V$1006:AC1006),$V$1006:$AE$1006,0))&gt;=100000), " ",IF(INDEX($V$2:$AE$1001,MATCH(ROWS($O$2:O547),$O$2:$O$1001,0),MATCH(COLUMNS($V$1006:AC1006),$V$1006:$AE$1006,0)), HYPERLINK("#",""), HYPERLINK(CONCATENATE("#Metadata!", ADDRESS(INDEX($Q$2:$Q$1001,MATCH(ROWS($O$2:O547),$O$2:$O$1001,0),0), INDEX($V$1004:$AE$1004,1,MATCH(COLUMNS($V$1006:AC1006),$V$1006:$AE$1006,0)))),"Fix")))</f>
        <v>0</v>
      </c>
      <c r="J547" s="3">
        <f>IF(OR(INDEX($P$2:$P$1001,MATCH(ROWS($O$2:O547),$O$2:$O$1001,0),1)&gt;=100000,INDEX($V$1005:$AE$1005,1,MATCH(COLUMNS($V$1006:AD1006),$V$1006:$AE$1006,0))&gt;=100000), " ",IF(INDEX($V$2:$AE$1001,MATCH(ROWS($O$2:O547),$O$2:$O$1001,0),MATCH(COLUMNS($V$1006:AD1006),$V$1006:$AE$1006,0)), HYPERLINK("#",""), HYPERLINK(CONCATENATE("#Metadata!", ADDRESS(INDEX($Q$2:$Q$1001,MATCH(ROWS($O$2:O547),$O$2:$O$1001,0),0), INDEX($V$1004:$AE$1004,1,MATCH(COLUMNS($V$1006:AD1006),$V$1006:$AE$1006,0)))),"Fix")))</f>
        <v>0</v>
      </c>
      <c r="K547" s="3">
        <f>IF(OR(INDEX($P$2:$P$1001,MATCH(ROWS($O$2:O547),$O$2:$O$1001,0),1)&gt;=100000,INDEX($V$1005:$AE$1005,1,MATCH(COLUMNS($V$1006:AE1006),$V$1006:$AE$1006,0))&gt;=100000), " ",IF(INDEX($V$2:$AE$1001,MATCH(ROWS($O$2:O547),$O$2:$O$1001,0),MATCH(COLUMNS($V$1006:AE1006),$V$1006:$AE$1006,0)), HYPERLINK("#",""), HYPERLINK(CONCATENATE("#Metadata!", ADDRESS(INDEX($Q$2:$Q$1001,MATCH(ROWS($O$2:O547),$O$2:$O$1001,0),0), INDEX($V$1004:$AE$1004,1,MATCH(COLUMNS($V$1006:AE1006),$V$1006:$AE$1006,0)))),"Fix")))</f>
        <v>0</v>
      </c>
      <c r="O547">
        <v>0</v>
      </c>
      <c r="P547">
        <v>0</v>
      </c>
      <c r="Q547">
        <v>0</v>
      </c>
      <c r="R547">
        <f>IF(S547,TRUE,AND(V547:AE547))</f>
        <v>0</v>
      </c>
      <c r="S547">
        <f>COUNTBLANK(Metadata!B547:K547)=COLUMNS(Metadata!B547:K547)</f>
        <v>0</v>
      </c>
      <c r="T547">
        <v>0</v>
      </c>
      <c r="V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W547">
        <f>AND(IF(Metadata!C547="",FALSE,TRUE),exact(Metadata!C547,"animal secretion"))</f>
        <v>0</v>
      </c>
      <c r="X547">
        <f>AND(IF(Metadata!D547="",FALSE,TRUE),exact(Metadata!D547,"saliva"))</f>
        <v>0</v>
      </c>
      <c r="Y547">
        <f>AND(IF(Metadata!E547="",FALSE,TRUE),exact(Metadata!E547,"human-oral"))</f>
        <v>0</v>
      </c>
      <c r="Z547">
        <f>AND(IF(Metadata!F547="",FALSE,TRUE),exact(Metadata!F547,"UBERON:oral cavity"))</f>
        <v>0</v>
      </c>
      <c r="AA547">
        <f>AND(IF(Metadata!G547="",FALSE,TRUE),exact(Metadata!G547,"UBERON:saliva"))</f>
        <v>0</v>
      </c>
      <c r="AB547">
        <f>AND(IF(Metadata!H547="",FALSE,TRUE),exact(Metadata!H547,"UBERON:tongue"))</f>
        <v>0</v>
      </c>
      <c r="AC547">
        <f>AND(IF(Metadata!I547="",FALSE,TRUE),exact(Metadata!I547,"tongue"))</f>
        <v>0</v>
      </c>
      <c r="AD547">
        <f>AND(IF(Metadata!J547="",FALSE,TRUE),exact(Metadata!J547,"human oral metagenome"))</f>
        <v>0</v>
      </c>
      <c r="AE547">
        <f>AND(IF(Metadata!K547="",FALSE,TRUE),exact(Metadata!K547,"447426"))</f>
        <v>0</v>
      </c>
    </row>
    <row r="548" spans="1:31">
      <c r="A548" s="4">
        <f>IF(B548=" "," ",HYPERLINK(CONCATENATE("#metadata!",ADDRESS(INDEX($Q$2:$Q$1001,MATCH(ROWS($O$2:O548),$O$2:$O$1001,0),0),1)),INDEX($T$2:$T$1001,MATCH(ROWS($O$2:O548),$O$2:$O$1001,0),0)))</f>
        <v>0</v>
      </c>
      <c r="B548" s="3">
        <f>IF(OR(INDEX($P$2:$P$1001,MATCH(ROWS($O$2:O548),$O$2:$O$1001,0),1)&gt;=100000,INDEX($V$1005:$AE$1005,1,MATCH(COLUMNS($V$1006:V1006),$V$1006:$AE$1006,0))&gt;=100000), " ",IF(INDEX($V$2:$AE$1001,MATCH(ROWS($O$2:O548),$O$2:$O$1001,0),MATCH(COLUMNS($V$1006:V1006),$V$1006:$AE$1006,0)), HYPERLINK("#",""), HYPERLINK(CONCATENATE("#Metadata!", ADDRESS(INDEX($Q$2:$Q$1001,MATCH(ROWS($O$2:O548),$O$2:$O$1001,0),0), INDEX($V$1004:$AE$1004,1,MATCH(COLUMNS($V$1006:V1006),$V$1006:$AE$1006,0)))),"Fix")))</f>
        <v>0</v>
      </c>
      <c r="C548" s="3">
        <f>IF(OR(INDEX($P$2:$P$1001,MATCH(ROWS($O$2:O548),$O$2:$O$1001,0),1)&gt;=100000,INDEX($V$1005:$AE$1005,1,MATCH(COLUMNS($V$1006:W1006),$V$1006:$AE$1006,0))&gt;=100000), " ",IF(INDEX($V$2:$AE$1001,MATCH(ROWS($O$2:O548),$O$2:$O$1001,0),MATCH(COLUMNS($V$1006:W1006),$V$1006:$AE$1006,0)), HYPERLINK("#",""), HYPERLINK(CONCATENATE("#Metadata!", ADDRESS(INDEX($Q$2:$Q$1001,MATCH(ROWS($O$2:O548),$O$2:$O$1001,0),0), INDEX($V$1004:$AE$1004,1,MATCH(COLUMNS($V$1006:W1006),$V$1006:$AE$1006,0)))),"Fix")))</f>
        <v>0</v>
      </c>
      <c r="D548" s="3">
        <f>IF(OR(INDEX($P$2:$P$1001,MATCH(ROWS($O$2:O548),$O$2:$O$1001,0),1)&gt;=100000,INDEX($V$1005:$AE$1005,1,MATCH(COLUMNS($V$1006:X1006),$V$1006:$AE$1006,0))&gt;=100000), " ",IF(INDEX($V$2:$AE$1001,MATCH(ROWS($O$2:O548),$O$2:$O$1001,0),MATCH(COLUMNS($V$1006:X1006),$V$1006:$AE$1006,0)), HYPERLINK("#",""), HYPERLINK(CONCATENATE("#Metadata!", ADDRESS(INDEX($Q$2:$Q$1001,MATCH(ROWS($O$2:O548),$O$2:$O$1001,0),0), INDEX($V$1004:$AE$1004,1,MATCH(COLUMNS($V$1006:X1006),$V$1006:$AE$1006,0)))),"Fix")))</f>
        <v>0</v>
      </c>
      <c r="E548" s="3">
        <f>IF(OR(INDEX($P$2:$P$1001,MATCH(ROWS($O$2:O548),$O$2:$O$1001,0),1)&gt;=100000,INDEX($V$1005:$AE$1005,1,MATCH(COLUMNS($V$1006:Y1006),$V$1006:$AE$1006,0))&gt;=100000), " ",IF(INDEX($V$2:$AE$1001,MATCH(ROWS($O$2:O548),$O$2:$O$1001,0),MATCH(COLUMNS($V$1006:Y1006),$V$1006:$AE$1006,0)), HYPERLINK("#",""), HYPERLINK(CONCATENATE("#Metadata!", ADDRESS(INDEX($Q$2:$Q$1001,MATCH(ROWS($O$2:O548),$O$2:$O$1001,0),0), INDEX($V$1004:$AE$1004,1,MATCH(COLUMNS($V$1006:Y1006),$V$1006:$AE$1006,0)))),"Fix")))</f>
        <v>0</v>
      </c>
      <c r="F548" s="3">
        <f>IF(OR(INDEX($P$2:$P$1001,MATCH(ROWS($O$2:O548),$O$2:$O$1001,0),1)&gt;=100000,INDEX($V$1005:$AE$1005,1,MATCH(COLUMNS($V$1006:Z1006),$V$1006:$AE$1006,0))&gt;=100000), " ",IF(INDEX($V$2:$AE$1001,MATCH(ROWS($O$2:O548),$O$2:$O$1001,0),MATCH(COLUMNS($V$1006:Z1006),$V$1006:$AE$1006,0)), HYPERLINK("#",""), HYPERLINK(CONCATENATE("#Metadata!", ADDRESS(INDEX($Q$2:$Q$1001,MATCH(ROWS($O$2:O548),$O$2:$O$1001,0),0), INDEX($V$1004:$AE$1004,1,MATCH(COLUMNS($V$1006:Z1006),$V$1006:$AE$1006,0)))),"Fix")))</f>
        <v>0</v>
      </c>
      <c r="G548" s="3">
        <f>IF(OR(INDEX($P$2:$P$1001,MATCH(ROWS($O$2:O548),$O$2:$O$1001,0),1)&gt;=100000,INDEX($V$1005:$AE$1005,1,MATCH(COLUMNS($V$1006:AA1006),$V$1006:$AE$1006,0))&gt;=100000), " ",IF(INDEX($V$2:$AE$1001,MATCH(ROWS($O$2:O548),$O$2:$O$1001,0),MATCH(COLUMNS($V$1006:AA1006),$V$1006:$AE$1006,0)), HYPERLINK("#",""), HYPERLINK(CONCATENATE("#Metadata!", ADDRESS(INDEX($Q$2:$Q$1001,MATCH(ROWS($O$2:O548),$O$2:$O$1001,0),0), INDEX($V$1004:$AE$1004,1,MATCH(COLUMNS($V$1006:AA1006),$V$1006:$AE$1006,0)))),"Fix")))</f>
        <v>0</v>
      </c>
      <c r="H548" s="3">
        <f>IF(OR(INDEX($P$2:$P$1001,MATCH(ROWS($O$2:O548),$O$2:$O$1001,0),1)&gt;=100000,INDEX($V$1005:$AE$1005,1,MATCH(COLUMNS($V$1006:AB1006),$V$1006:$AE$1006,0))&gt;=100000), " ",IF(INDEX($V$2:$AE$1001,MATCH(ROWS($O$2:O548),$O$2:$O$1001,0),MATCH(COLUMNS($V$1006:AB1006),$V$1006:$AE$1006,0)), HYPERLINK("#",""), HYPERLINK(CONCATENATE("#Metadata!", ADDRESS(INDEX($Q$2:$Q$1001,MATCH(ROWS($O$2:O548),$O$2:$O$1001,0),0), INDEX($V$1004:$AE$1004,1,MATCH(COLUMNS($V$1006:AB1006),$V$1006:$AE$1006,0)))),"Fix")))</f>
        <v>0</v>
      </c>
      <c r="I548" s="3">
        <f>IF(OR(INDEX($P$2:$P$1001,MATCH(ROWS($O$2:O548),$O$2:$O$1001,0),1)&gt;=100000,INDEX($V$1005:$AE$1005,1,MATCH(COLUMNS($V$1006:AC1006),$V$1006:$AE$1006,0))&gt;=100000), " ",IF(INDEX($V$2:$AE$1001,MATCH(ROWS($O$2:O548),$O$2:$O$1001,0),MATCH(COLUMNS($V$1006:AC1006),$V$1006:$AE$1006,0)), HYPERLINK("#",""), HYPERLINK(CONCATENATE("#Metadata!", ADDRESS(INDEX($Q$2:$Q$1001,MATCH(ROWS($O$2:O548),$O$2:$O$1001,0),0), INDEX($V$1004:$AE$1004,1,MATCH(COLUMNS($V$1006:AC1006),$V$1006:$AE$1006,0)))),"Fix")))</f>
        <v>0</v>
      </c>
      <c r="J548" s="3">
        <f>IF(OR(INDEX($P$2:$P$1001,MATCH(ROWS($O$2:O548),$O$2:$O$1001,0),1)&gt;=100000,INDEX($V$1005:$AE$1005,1,MATCH(COLUMNS($V$1006:AD1006),$V$1006:$AE$1006,0))&gt;=100000), " ",IF(INDEX($V$2:$AE$1001,MATCH(ROWS($O$2:O548),$O$2:$O$1001,0),MATCH(COLUMNS($V$1006:AD1006),$V$1006:$AE$1006,0)), HYPERLINK("#",""), HYPERLINK(CONCATENATE("#Metadata!", ADDRESS(INDEX($Q$2:$Q$1001,MATCH(ROWS($O$2:O548),$O$2:$O$1001,0),0), INDEX($V$1004:$AE$1004,1,MATCH(COLUMNS($V$1006:AD1006),$V$1006:$AE$1006,0)))),"Fix")))</f>
        <v>0</v>
      </c>
      <c r="K548" s="3">
        <f>IF(OR(INDEX($P$2:$P$1001,MATCH(ROWS($O$2:O548),$O$2:$O$1001,0),1)&gt;=100000,INDEX($V$1005:$AE$1005,1,MATCH(COLUMNS($V$1006:AE1006),$V$1006:$AE$1006,0))&gt;=100000), " ",IF(INDEX($V$2:$AE$1001,MATCH(ROWS($O$2:O548),$O$2:$O$1001,0),MATCH(COLUMNS($V$1006:AE1006),$V$1006:$AE$1006,0)), HYPERLINK("#",""), HYPERLINK(CONCATENATE("#Metadata!", ADDRESS(INDEX($Q$2:$Q$1001,MATCH(ROWS($O$2:O548),$O$2:$O$1001,0),0), INDEX($V$1004:$AE$1004,1,MATCH(COLUMNS($V$1006:AE1006),$V$1006:$AE$1006,0)))),"Fix")))</f>
        <v>0</v>
      </c>
      <c r="O548">
        <v>0</v>
      </c>
      <c r="P548">
        <v>0</v>
      </c>
      <c r="Q548">
        <v>0</v>
      </c>
      <c r="R548">
        <f>IF(S548,TRUE,AND(V548:AE548))</f>
        <v>0</v>
      </c>
      <c r="S548">
        <f>COUNTBLANK(Metadata!B548:K548)=COLUMNS(Metadata!B548:K548)</f>
        <v>0</v>
      </c>
      <c r="T548">
        <v>0</v>
      </c>
      <c r="V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W548">
        <f>AND(IF(Metadata!C548="",FALSE,TRUE),exact(Metadata!C548,"animal secretion"))</f>
        <v>0</v>
      </c>
      <c r="X548">
        <f>AND(IF(Metadata!D548="",FALSE,TRUE),exact(Metadata!D548,"saliva"))</f>
        <v>0</v>
      </c>
      <c r="Y548">
        <f>AND(IF(Metadata!E548="",FALSE,TRUE),exact(Metadata!E548,"human-oral"))</f>
        <v>0</v>
      </c>
      <c r="Z548">
        <f>AND(IF(Metadata!F548="",FALSE,TRUE),exact(Metadata!F548,"UBERON:oral cavity"))</f>
        <v>0</v>
      </c>
      <c r="AA548">
        <f>AND(IF(Metadata!G548="",FALSE,TRUE),exact(Metadata!G548,"UBERON:saliva"))</f>
        <v>0</v>
      </c>
      <c r="AB548">
        <f>AND(IF(Metadata!H548="",FALSE,TRUE),exact(Metadata!H548,"UBERON:tongue"))</f>
        <v>0</v>
      </c>
      <c r="AC548">
        <f>AND(IF(Metadata!I548="",FALSE,TRUE),exact(Metadata!I548,"tongue"))</f>
        <v>0</v>
      </c>
      <c r="AD548">
        <f>AND(IF(Metadata!J548="",FALSE,TRUE),exact(Metadata!J548,"human oral metagenome"))</f>
        <v>0</v>
      </c>
      <c r="AE548">
        <f>AND(IF(Metadata!K548="",FALSE,TRUE),exact(Metadata!K548,"447426"))</f>
        <v>0</v>
      </c>
    </row>
    <row r="549" spans="1:31">
      <c r="A549" s="4">
        <f>IF(B549=" "," ",HYPERLINK(CONCATENATE("#metadata!",ADDRESS(INDEX($Q$2:$Q$1001,MATCH(ROWS($O$2:O549),$O$2:$O$1001,0),0),1)),INDEX($T$2:$T$1001,MATCH(ROWS($O$2:O549),$O$2:$O$1001,0),0)))</f>
        <v>0</v>
      </c>
      <c r="B549" s="3">
        <f>IF(OR(INDEX($P$2:$P$1001,MATCH(ROWS($O$2:O549),$O$2:$O$1001,0),1)&gt;=100000,INDEX($V$1005:$AE$1005,1,MATCH(COLUMNS($V$1006:V1006),$V$1006:$AE$1006,0))&gt;=100000), " ",IF(INDEX($V$2:$AE$1001,MATCH(ROWS($O$2:O549),$O$2:$O$1001,0),MATCH(COLUMNS($V$1006:V1006),$V$1006:$AE$1006,0)), HYPERLINK("#",""), HYPERLINK(CONCATENATE("#Metadata!", ADDRESS(INDEX($Q$2:$Q$1001,MATCH(ROWS($O$2:O549),$O$2:$O$1001,0),0), INDEX($V$1004:$AE$1004,1,MATCH(COLUMNS($V$1006:V1006),$V$1006:$AE$1006,0)))),"Fix")))</f>
        <v>0</v>
      </c>
      <c r="C549" s="3">
        <f>IF(OR(INDEX($P$2:$P$1001,MATCH(ROWS($O$2:O549),$O$2:$O$1001,0),1)&gt;=100000,INDEX($V$1005:$AE$1005,1,MATCH(COLUMNS($V$1006:W1006),$V$1006:$AE$1006,0))&gt;=100000), " ",IF(INDEX($V$2:$AE$1001,MATCH(ROWS($O$2:O549),$O$2:$O$1001,0),MATCH(COLUMNS($V$1006:W1006),$V$1006:$AE$1006,0)), HYPERLINK("#",""), HYPERLINK(CONCATENATE("#Metadata!", ADDRESS(INDEX($Q$2:$Q$1001,MATCH(ROWS($O$2:O549),$O$2:$O$1001,0),0), INDEX($V$1004:$AE$1004,1,MATCH(COLUMNS($V$1006:W1006),$V$1006:$AE$1006,0)))),"Fix")))</f>
        <v>0</v>
      </c>
      <c r="D549" s="3">
        <f>IF(OR(INDEX($P$2:$P$1001,MATCH(ROWS($O$2:O549),$O$2:$O$1001,0),1)&gt;=100000,INDEX($V$1005:$AE$1005,1,MATCH(COLUMNS($V$1006:X1006),$V$1006:$AE$1006,0))&gt;=100000), " ",IF(INDEX($V$2:$AE$1001,MATCH(ROWS($O$2:O549),$O$2:$O$1001,0),MATCH(COLUMNS($V$1006:X1006),$V$1006:$AE$1006,0)), HYPERLINK("#",""), HYPERLINK(CONCATENATE("#Metadata!", ADDRESS(INDEX($Q$2:$Q$1001,MATCH(ROWS($O$2:O549),$O$2:$O$1001,0),0), INDEX($V$1004:$AE$1004,1,MATCH(COLUMNS($V$1006:X1006),$V$1006:$AE$1006,0)))),"Fix")))</f>
        <v>0</v>
      </c>
      <c r="E549" s="3">
        <f>IF(OR(INDEX($P$2:$P$1001,MATCH(ROWS($O$2:O549),$O$2:$O$1001,0),1)&gt;=100000,INDEX($V$1005:$AE$1005,1,MATCH(COLUMNS($V$1006:Y1006),$V$1006:$AE$1006,0))&gt;=100000), " ",IF(INDEX($V$2:$AE$1001,MATCH(ROWS($O$2:O549),$O$2:$O$1001,0),MATCH(COLUMNS($V$1006:Y1006),$V$1006:$AE$1006,0)), HYPERLINK("#",""), HYPERLINK(CONCATENATE("#Metadata!", ADDRESS(INDEX($Q$2:$Q$1001,MATCH(ROWS($O$2:O549),$O$2:$O$1001,0),0), INDEX($V$1004:$AE$1004,1,MATCH(COLUMNS($V$1006:Y1006),$V$1006:$AE$1006,0)))),"Fix")))</f>
        <v>0</v>
      </c>
      <c r="F549" s="3">
        <f>IF(OR(INDEX($P$2:$P$1001,MATCH(ROWS($O$2:O549),$O$2:$O$1001,0),1)&gt;=100000,INDEX($V$1005:$AE$1005,1,MATCH(COLUMNS($V$1006:Z1006),$V$1006:$AE$1006,0))&gt;=100000), " ",IF(INDEX($V$2:$AE$1001,MATCH(ROWS($O$2:O549),$O$2:$O$1001,0),MATCH(COLUMNS($V$1006:Z1006),$V$1006:$AE$1006,0)), HYPERLINK("#",""), HYPERLINK(CONCATENATE("#Metadata!", ADDRESS(INDEX($Q$2:$Q$1001,MATCH(ROWS($O$2:O549),$O$2:$O$1001,0),0), INDEX($V$1004:$AE$1004,1,MATCH(COLUMNS($V$1006:Z1006),$V$1006:$AE$1006,0)))),"Fix")))</f>
        <v>0</v>
      </c>
      <c r="G549" s="3">
        <f>IF(OR(INDEX($P$2:$P$1001,MATCH(ROWS($O$2:O549),$O$2:$O$1001,0),1)&gt;=100000,INDEX($V$1005:$AE$1005,1,MATCH(COLUMNS($V$1006:AA1006),$V$1006:$AE$1006,0))&gt;=100000), " ",IF(INDEX($V$2:$AE$1001,MATCH(ROWS($O$2:O549),$O$2:$O$1001,0),MATCH(COLUMNS($V$1006:AA1006),$V$1006:$AE$1006,0)), HYPERLINK("#",""), HYPERLINK(CONCATENATE("#Metadata!", ADDRESS(INDEX($Q$2:$Q$1001,MATCH(ROWS($O$2:O549),$O$2:$O$1001,0),0), INDEX($V$1004:$AE$1004,1,MATCH(COLUMNS($V$1006:AA1006),$V$1006:$AE$1006,0)))),"Fix")))</f>
        <v>0</v>
      </c>
      <c r="H549" s="3">
        <f>IF(OR(INDEX($P$2:$P$1001,MATCH(ROWS($O$2:O549),$O$2:$O$1001,0),1)&gt;=100000,INDEX($V$1005:$AE$1005,1,MATCH(COLUMNS($V$1006:AB1006),$V$1006:$AE$1006,0))&gt;=100000), " ",IF(INDEX($V$2:$AE$1001,MATCH(ROWS($O$2:O549),$O$2:$O$1001,0),MATCH(COLUMNS($V$1006:AB1006),$V$1006:$AE$1006,0)), HYPERLINK("#",""), HYPERLINK(CONCATENATE("#Metadata!", ADDRESS(INDEX($Q$2:$Q$1001,MATCH(ROWS($O$2:O549),$O$2:$O$1001,0),0), INDEX($V$1004:$AE$1004,1,MATCH(COLUMNS($V$1006:AB1006),$V$1006:$AE$1006,0)))),"Fix")))</f>
        <v>0</v>
      </c>
      <c r="I549" s="3">
        <f>IF(OR(INDEX($P$2:$P$1001,MATCH(ROWS($O$2:O549),$O$2:$O$1001,0),1)&gt;=100000,INDEX($V$1005:$AE$1005,1,MATCH(COLUMNS($V$1006:AC1006),$V$1006:$AE$1006,0))&gt;=100000), " ",IF(INDEX($V$2:$AE$1001,MATCH(ROWS($O$2:O549),$O$2:$O$1001,0),MATCH(COLUMNS($V$1006:AC1006),$V$1006:$AE$1006,0)), HYPERLINK("#",""), HYPERLINK(CONCATENATE("#Metadata!", ADDRESS(INDEX($Q$2:$Q$1001,MATCH(ROWS($O$2:O549),$O$2:$O$1001,0),0), INDEX($V$1004:$AE$1004,1,MATCH(COLUMNS($V$1006:AC1006),$V$1006:$AE$1006,0)))),"Fix")))</f>
        <v>0</v>
      </c>
      <c r="J549" s="3">
        <f>IF(OR(INDEX($P$2:$P$1001,MATCH(ROWS($O$2:O549),$O$2:$O$1001,0),1)&gt;=100000,INDEX($V$1005:$AE$1005,1,MATCH(COLUMNS($V$1006:AD1006),$V$1006:$AE$1006,0))&gt;=100000), " ",IF(INDEX($V$2:$AE$1001,MATCH(ROWS($O$2:O549),$O$2:$O$1001,0),MATCH(COLUMNS($V$1006:AD1006),$V$1006:$AE$1006,0)), HYPERLINK("#",""), HYPERLINK(CONCATENATE("#Metadata!", ADDRESS(INDEX($Q$2:$Q$1001,MATCH(ROWS($O$2:O549),$O$2:$O$1001,0),0), INDEX($V$1004:$AE$1004,1,MATCH(COLUMNS($V$1006:AD1006),$V$1006:$AE$1006,0)))),"Fix")))</f>
        <v>0</v>
      </c>
      <c r="K549" s="3">
        <f>IF(OR(INDEX($P$2:$P$1001,MATCH(ROWS($O$2:O549),$O$2:$O$1001,0),1)&gt;=100000,INDEX($V$1005:$AE$1005,1,MATCH(COLUMNS($V$1006:AE1006),$V$1006:$AE$1006,0))&gt;=100000), " ",IF(INDEX($V$2:$AE$1001,MATCH(ROWS($O$2:O549),$O$2:$O$1001,0),MATCH(COLUMNS($V$1006:AE1006),$V$1006:$AE$1006,0)), HYPERLINK("#",""), HYPERLINK(CONCATENATE("#Metadata!", ADDRESS(INDEX($Q$2:$Q$1001,MATCH(ROWS($O$2:O549),$O$2:$O$1001,0),0), INDEX($V$1004:$AE$1004,1,MATCH(COLUMNS($V$1006:AE1006),$V$1006:$AE$1006,0)))),"Fix")))</f>
        <v>0</v>
      </c>
      <c r="O549">
        <v>0</v>
      </c>
      <c r="P549">
        <v>0</v>
      </c>
      <c r="Q549">
        <v>0</v>
      </c>
      <c r="R549">
        <f>IF(S549,TRUE,AND(V549:AE549))</f>
        <v>0</v>
      </c>
      <c r="S549">
        <f>COUNTBLANK(Metadata!B549:K549)=COLUMNS(Metadata!B549:K549)</f>
        <v>0</v>
      </c>
      <c r="T549">
        <v>0</v>
      </c>
      <c r="V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W549">
        <f>AND(IF(Metadata!C549="",FALSE,TRUE),exact(Metadata!C549,"animal secretion"))</f>
        <v>0</v>
      </c>
      <c r="X549">
        <f>AND(IF(Metadata!D549="",FALSE,TRUE),exact(Metadata!D549,"saliva"))</f>
        <v>0</v>
      </c>
      <c r="Y549">
        <f>AND(IF(Metadata!E549="",FALSE,TRUE),exact(Metadata!E549,"human-oral"))</f>
        <v>0</v>
      </c>
      <c r="Z549">
        <f>AND(IF(Metadata!F549="",FALSE,TRUE),exact(Metadata!F549,"UBERON:oral cavity"))</f>
        <v>0</v>
      </c>
      <c r="AA549">
        <f>AND(IF(Metadata!G549="",FALSE,TRUE),exact(Metadata!G549,"UBERON:saliva"))</f>
        <v>0</v>
      </c>
      <c r="AB549">
        <f>AND(IF(Metadata!H549="",FALSE,TRUE),exact(Metadata!H549,"UBERON:tongue"))</f>
        <v>0</v>
      </c>
      <c r="AC549">
        <f>AND(IF(Metadata!I549="",FALSE,TRUE),exact(Metadata!I549,"tongue"))</f>
        <v>0</v>
      </c>
      <c r="AD549">
        <f>AND(IF(Metadata!J549="",FALSE,TRUE),exact(Metadata!J549,"human oral metagenome"))</f>
        <v>0</v>
      </c>
      <c r="AE549">
        <f>AND(IF(Metadata!K549="",FALSE,TRUE),exact(Metadata!K549,"447426"))</f>
        <v>0</v>
      </c>
    </row>
    <row r="550" spans="1:31">
      <c r="A550" s="4">
        <f>IF(B550=" "," ",HYPERLINK(CONCATENATE("#metadata!",ADDRESS(INDEX($Q$2:$Q$1001,MATCH(ROWS($O$2:O550),$O$2:$O$1001,0),0),1)),INDEX($T$2:$T$1001,MATCH(ROWS($O$2:O550),$O$2:$O$1001,0),0)))</f>
        <v>0</v>
      </c>
      <c r="B550" s="3">
        <f>IF(OR(INDEX($P$2:$P$1001,MATCH(ROWS($O$2:O550),$O$2:$O$1001,0),1)&gt;=100000,INDEX($V$1005:$AE$1005,1,MATCH(COLUMNS($V$1006:V1006),$V$1006:$AE$1006,0))&gt;=100000), " ",IF(INDEX($V$2:$AE$1001,MATCH(ROWS($O$2:O550),$O$2:$O$1001,0),MATCH(COLUMNS($V$1006:V1006),$V$1006:$AE$1006,0)), HYPERLINK("#",""), HYPERLINK(CONCATENATE("#Metadata!", ADDRESS(INDEX($Q$2:$Q$1001,MATCH(ROWS($O$2:O550),$O$2:$O$1001,0),0), INDEX($V$1004:$AE$1004,1,MATCH(COLUMNS($V$1006:V1006),$V$1006:$AE$1006,0)))),"Fix")))</f>
        <v>0</v>
      </c>
      <c r="C550" s="3">
        <f>IF(OR(INDEX($P$2:$P$1001,MATCH(ROWS($O$2:O550),$O$2:$O$1001,0),1)&gt;=100000,INDEX($V$1005:$AE$1005,1,MATCH(COLUMNS($V$1006:W1006),$V$1006:$AE$1006,0))&gt;=100000), " ",IF(INDEX($V$2:$AE$1001,MATCH(ROWS($O$2:O550),$O$2:$O$1001,0),MATCH(COLUMNS($V$1006:W1006),$V$1006:$AE$1006,0)), HYPERLINK("#",""), HYPERLINK(CONCATENATE("#Metadata!", ADDRESS(INDEX($Q$2:$Q$1001,MATCH(ROWS($O$2:O550),$O$2:$O$1001,0),0), INDEX($V$1004:$AE$1004,1,MATCH(COLUMNS($V$1006:W1006),$V$1006:$AE$1006,0)))),"Fix")))</f>
        <v>0</v>
      </c>
      <c r="D550" s="3">
        <f>IF(OR(INDEX($P$2:$P$1001,MATCH(ROWS($O$2:O550),$O$2:$O$1001,0),1)&gt;=100000,INDEX($V$1005:$AE$1005,1,MATCH(COLUMNS($V$1006:X1006),$V$1006:$AE$1006,0))&gt;=100000), " ",IF(INDEX($V$2:$AE$1001,MATCH(ROWS($O$2:O550),$O$2:$O$1001,0),MATCH(COLUMNS($V$1006:X1006),$V$1006:$AE$1006,0)), HYPERLINK("#",""), HYPERLINK(CONCATENATE("#Metadata!", ADDRESS(INDEX($Q$2:$Q$1001,MATCH(ROWS($O$2:O550),$O$2:$O$1001,0),0), INDEX($V$1004:$AE$1004,1,MATCH(COLUMNS($V$1006:X1006),$V$1006:$AE$1006,0)))),"Fix")))</f>
        <v>0</v>
      </c>
      <c r="E550" s="3">
        <f>IF(OR(INDEX($P$2:$P$1001,MATCH(ROWS($O$2:O550),$O$2:$O$1001,0),1)&gt;=100000,INDEX($V$1005:$AE$1005,1,MATCH(COLUMNS($V$1006:Y1006),$V$1006:$AE$1006,0))&gt;=100000), " ",IF(INDEX($V$2:$AE$1001,MATCH(ROWS($O$2:O550),$O$2:$O$1001,0),MATCH(COLUMNS($V$1006:Y1006),$V$1006:$AE$1006,0)), HYPERLINK("#",""), HYPERLINK(CONCATENATE("#Metadata!", ADDRESS(INDEX($Q$2:$Q$1001,MATCH(ROWS($O$2:O550),$O$2:$O$1001,0),0), INDEX($V$1004:$AE$1004,1,MATCH(COLUMNS($V$1006:Y1006),$V$1006:$AE$1006,0)))),"Fix")))</f>
        <v>0</v>
      </c>
      <c r="F550" s="3">
        <f>IF(OR(INDEX($P$2:$P$1001,MATCH(ROWS($O$2:O550),$O$2:$O$1001,0),1)&gt;=100000,INDEX($V$1005:$AE$1005,1,MATCH(COLUMNS($V$1006:Z1006),$V$1006:$AE$1006,0))&gt;=100000), " ",IF(INDEX($V$2:$AE$1001,MATCH(ROWS($O$2:O550),$O$2:$O$1001,0),MATCH(COLUMNS($V$1006:Z1006),$V$1006:$AE$1006,0)), HYPERLINK("#",""), HYPERLINK(CONCATENATE("#Metadata!", ADDRESS(INDEX($Q$2:$Q$1001,MATCH(ROWS($O$2:O550),$O$2:$O$1001,0),0), INDEX($V$1004:$AE$1004,1,MATCH(COLUMNS($V$1006:Z1006),$V$1006:$AE$1006,0)))),"Fix")))</f>
        <v>0</v>
      </c>
      <c r="G550" s="3">
        <f>IF(OR(INDEX($P$2:$P$1001,MATCH(ROWS($O$2:O550),$O$2:$O$1001,0),1)&gt;=100000,INDEX($V$1005:$AE$1005,1,MATCH(COLUMNS($V$1006:AA1006),$V$1006:$AE$1006,0))&gt;=100000), " ",IF(INDEX($V$2:$AE$1001,MATCH(ROWS($O$2:O550),$O$2:$O$1001,0),MATCH(COLUMNS($V$1006:AA1006),$V$1006:$AE$1006,0)), HYPERLINK("#",""), HYPERLINK(CONCATENATE("#Metadata!", ADDRESS(INDEX($Q$2:$Q$1001,MATCH(ROWS($O$2:O550),$O$2:$O$1001,0),0), INDEX($V$1004:$AE$1004,1,MATCH(COLUMNS($V$1006:AA1006),$V$1006:$AE$1006,0)))),"Fix")))</f>
        <v>0</v>
      </c>
      <c r="H550" s="3">
        <f>IF(OR(INDEX($P$2:$P$1001,MATCH(ROWS($O$2:O550),$O$2:$O$1001,0),1)&gt;=100000,INDEX($V$1005:$AE$1005,1,MATCH(COLUMNS($V$1006:AB1006),$V$1006:$AE$1006,0))&gt;=100000), " ",IF(INDEX($V$2:$AE$1001,MATCH(ROWS($O$2:O550),$O$2:$O$1001,0),MATCH(COLUMNS($V$1006:AB1006),$V$1006:$AE$1006,0)), HYPERLINK("#",""), HYPERLINK(CONCATENATE("#Metadata!", ADDRESS(INDEX($Q$2:$Q$1001,MATCH(ROWS($O$2:O550),$O$2:$O$1001,0),0), INDEX($V$1004:$AE$1004,1,MATCH(COLUMNS($V$1006:AB1006),$V$1006:$AE$1006,0)))),"Fix")))</f>
        <v>0</v>
      </c>
      <c r="I550" s="3">
        <f>IF(OR(INDEX($P$2:$P$1001,MATCH(ROWS($O$2:O550),$O$2:$O$1001,0),1)&gt;=100000,INDEX($V$1005:$AE$1005,1,MATCH(COLUMNS($V$1006:AC1006),$V$1006:$AE$1006,0))&gt;=100000), " ",IF(INDEX($V$2:$AE$1001,MATCH(ROWS($O$2:O550),$O$2:$O$1001,0),MATCH(COLUMNS($V$1006:AC1006),$V$1006:$AE$1006,0)), HYPERLINK("#",""), HYPERLINK(CONCATENATE("#Metadata!", ADDRESS(INDEX($Q$2:$Q$1001,MATCH(ROWS($O$2:O550),$O$2:$O$1001,0),0), INDEX($V$1004:$AE$1004,1,MATCH(COLUMNS($V$1006:AC1006),$V$1006:$AE$1006,0)))),"Fix")))</f>
        <v>0</v>
      </c>
      <c r="J550" s="3">
        <f>IF(OR(INDEX($P$2:$P$1001,MATCH(ROWS($O$2:O550),$O$2:$O$1001,0),1)&gt;=100000,INDEX($V$1005:$AE$1005,1,MATCH(COLUMNS($V$1006:AD1006),$V$1006:$AE$1006,0))&gt;=100000), " ",IF(INDEX($V$2:$AE$1001,MATCH(ROWS($O$2:O550),$O$2:$O$1001,0),MATCH(COLUMNS($V$1006:AD1006),$V$1006:$AE$1006,0)), HYPERLINK("#",""), HYPERLINK(CONCATENATE("#Metadata!", ADDRESS(INDEX($Q$2:$Q$1001,MATCH(ROWS($O$2:O550),$O$2:$O$1001,0),0), INDEX($V$1004:$AE$1004,1,MATCH(COLUMNS($V$1006:AD1006),$V$1006:$AE$1006,0)))),"Fix")))</f>
        <v>0</v>
      </c>
      <c r="K550" s="3">
        <f>IF(OR(INDEX($P$2:$P$1001,MATCH(ROWS($O$2:O550),$O$2:$O$1001,0),1)&gt;=100000,INDEX($V$1005:$AE$1005,1,MATCH(COLUMNS($V$1006:AE1006),$V$1006:$AE$1006,0))&gt;=100000), " ",IF(INDEX($V$2:$AE$1001,MATCH(ROWS($O$2:O550),$O$2:$O$1001,0),MATCH(COLUMNS($V$1006:AE1006),$V$1006:$AE$1006,0)), HYPERLINK("#",""), HYPERLINK(CONCATENATE("#Metadata!", ADDRESS(INDEX($Q$2:$Q$1001,MATCH(ROWS($O$2:O550),$O$2:$O$1001,0),0), INDEX($V$1004:$AE$1004,1,MATCH(COLUMNS($V$1006:AE1006),$V$1006:$AE$1006,0)))),"Fix")))</f>
        <v>0</v>
      </c>
      <c r="O550">
        <v>0</v>
      </c>
      <c r="P550">
        <v>0</v>
      </c>
      <c r="Q550">
        <v>0</v>
      </c>
      <c r="R550">
        <f>IF(S550,TRUE,AND(V550:AE550))</f>
        <v>0</v>
      </c>
      <c r="S550">
        <f>COUNTBLANK(Metadata!B550:K550)=COLUMNS(Metadata!B550:K550)</f>
        <v>0</v>
      </c>
      <c r="T550">
        <v>0</v>
      </c>
      <c r="V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W550">
        <f>AND(IF(Metadata!C550="",FALSE,TRUE),exact(Metadata!C550,"animal secretion"))</f>
        <v>0</v>
      </c>
      <c r="X550">
        <f>AND(IF(Metadata!D550="",FALSE,TRUE),exact(Metadata!D550,"saliva"))</f>
        <v>0</v>
      </c>
      <c r="Y550">
        <f>AND(IF(Metadata!E550="",FALSE,TRUE),exact(Metadata!E550,"human-oral"))</f>
        <v>0</v>
      </c>
      <c r="Z550">
        <f>AND(IF(Metadata!F550="",FALSE,TRUE),exact(Metadata!F550,"UBERON:oral cavity"))</f>
        <v>0</v>
      </c>
      <c r="AA550">
        <f>AND(IF(Metadata!G550="",FALSE,TRUE),exact(Metadata!G550,"UBERON:saliva"))</f>
        <v>0</v>
      </c>
      <c r="AB550">
        <f>AND(IF(Metadata!H550="",FALSE,TRUE),exact(Metadata!H550,"UBERON:tongue"))</f>
        <v>0</v>
      </c>
      <c r="AC550">
        <f>AND(IF(Metadata!I550="",FALSE,TRUE),exact(Metadata!I550,"tongue"))</f>
        <v>0</v>
      </c>
      <c r="AD550">
        <f>AND(IF(Metadata!J550="",FALSE,TRUE),exact(Metadata!J550,"human oral metagenome"))</f>
        <v>0</v>
      </c>
      <c r="AE550">
        <f>AND(IF(Metadata!K550="",FALSE,TRUE),exact(Metadata!K550,"447426"))</f>
        <v>0</v>
      </c>
    </row>
    <row r="551" spans="1:31">
      <c r="A551" s="4">
        <f>IF(B551=" "," ",HYPERLINK(CONCATENATE("#metadata!",ADDRESS(INDEX($Q$2:$Q$1001,MATCH(ROWS($O$2:O551),$O$2:$O$1001,0),0),1)),INDEX($T$2:$T$1001,MATCH(ROWS($O$2:O551),$O$2:$O$1001,0),0)))</f>
        <v>0</v>
      </c>
      <c r="B551" s="3">
        <f>IF(OR(INDEX($P$2:$P$1001,MATCH(ROWS($O$2:O551),$O$2:$O$1001,0),1)&gt;=100000,INDEX($V$1005:$AE$1005,1,MATCH(COLUMNS($V$1006:V1006),$V$1006:$AE$1006,0))&gt;=100000), " ",IF(INDEX($V$2:$AE$1001,MATCH(ROWS($O$2:O551),$O$2:$O$1001,0),MATCH(COLUMNS($V$1006:V1006),$V$1006:$AE$1006,0)), HYPERLINK("#",""), HYPERLINK(CONCATENATE("#Metadata!", ADDRESS(INDEX($Q$2:$Q$1001,MATCH(ROWS($O$2:O551),$O$2:$O$1001,0),0), INDEX($V$1004:$AE$1004,1,MATCH(COLUMNS($V$1006:V1006),$V$1006:$AE$1006,0)))),"Fix")))</f>
        <v>0</v>
      </c>
      <c r="C551" s="3">
        <f>IF(OR(INDEX($P$2:$P$1001,MATCH(ROWS($O$2:O551),$O$2:$O$1001,0),1)&gt;=100000,INDEX($V$1005:$AE$1005,1,MATCH(COLUMNS($V$1006:W1006),$V$1006:$AE$1006,0))&gt;=100000), " ",IF(INDEX($V$2:$AE$1001,MATCH(ROWS($O$2:O551),$O$2:$O$1001,0),MATCH(COLUMNS($V$1006:W1006),$V$1006:$AE$1006,0)), HYPERLINK("#",""), HYPERLINK(CONCATENATE("#Metadata!", ADDRESS(INDEX($Q$2:$Q$1001,MATCH(ROWS($O$2:O551),$O$2:$O$1001,0),0), INDEX($V$1004:$AE$1004,1,MATCH(COLUMNS($V$1006:W1006),$V$1006:$AE$1006,0)))),"Fix")))</f>
        <v>0</v>
      </c>
      <c r="D551" s="3">
        <f>IF(OR(INDEX($P$2:$P$1001,MATCH(ROWS($O$2:O551),$O$2:$O$1001,0),1)&gt;=100000,INDEX($V$1005:$AE$1005,1,MATCH(COLUMNS($V$1006:X1006),$V$1006:$AE$1006,0))&gt;=100000), " ",IF(INDEX($V$2:$AE$1001,MATCH(ROWS($O$2:O551),$O$2:$O$1001,0),MATCH(COLUMNS($V$1006:X1006),$V$1006:$AE$1006,0)), HYPERLINK("#",""), HYPERLINK(CONCATENATE("#Metadata!", ADDRESS(INDEX($Q$2:$Q$1001,MATCH(ROWS($O$2:O551),$O$2:$O$1001,0),0), INDEX($V$1004:$AE$1004,1,MATCH(COLUMNS($V$1006:X1006),$V$1006:$AE$1006,0)))),"Fix")))</f>
        <v>0</v>
      </c>
      <c r="E551" s="3">
        <f>IF(OR(INDEX($P$2:$P$1001,MATCH(ROWS($O$2:O551),$O$2:$O$1001,0),1)&gt;=100000,INDEX($V$1005:$AE$1005,1,MATCH(COLUMNS($V$1006:Y1006),$V$1006:$AE$1006,0))&gt;=100000), " ",IF(INDEX($V$2:$AE$1001,MATCH(ROWS($O$2:O551),$O$2:$O$1001,0),MATCH(COLUMNS($V$1006:Y1006),$V$1006:$AE$1006,0)), HYPERLINK("#",""), HYPERLINK(CONCATENATE("#Metadata!", ADDRESS(INDEX($Q$2:$Q$1001,MATCH(ROWS($O$2:O551),$O$2:$O$1001,0),0), INDEX($V$1004:$AE$1004,1,MATCH(COLUMNS($V$1006:Y1006),$V$1006:$AE$1006,0)))),"Fix")))</f>
        <v>0</v>
      </c>
      <c r="F551" s="3">
        <f>IF(OR(INDEX($P$2:$P$1001,MATCH(ROWS($O$2:O551),$O$2:$O$1001,0),1)&gt;=100000,INDEX($V$1005:$AE$1005,1,MATCH(COLUMNS($V$1006:Z1006),$V$1006:$AE$1006,0))&gt;=100000), " ",IF(INDEX($V$2:$AE$1001,MATCH(ROWS($O$2:O551),$O$2:$O$1001,0),MATCH(COLUMNS($V$1006:Z1006),$V$1006:$AE$1006,0)), HYPERLINK("#",""), HYPERLINK(CONCATENATE("#Metadata!", ADDRESS(INDEX($Q$2:$Q$1001,MATCH(ROWS($O$2:O551),$O$2:$O$1001,0),0), INDEX($V$1004:$AE$1004,1,MATCH(COLUMNS($V$1006:Z1006),$V$1006:$AE$1006,0)))),"Fix")))</f>
        <v>0</v>
      </c>
      <c r="G551" s="3">
        <f>IF(OR(INDEX($P$2:$P$1001,MATCH(ROWS($O$2:O551),$O$2:$O$1001,0),1)&gt;=100000,INDEX($V$1005:$AE$1005,1,MATCH(COLUMNS($V$1006:AA1006),$V$1006:$AE$1006,0))&gt;=100000), " ",IF(INDEX($V$2:$AE$1001,MATCH(ROWS($O$2:O551),$O$2:$O$1001,0),MATCH(COLUMNS($V$1006:AA1006),$V$1006:$AE$1006,0)), HYPERLINK("#",""), HYPERLINK(CONCATENATE("#Metadata!", ADDRESS(INDEX($Q$2:$Q$1001,MATCH(ROWS($O$2:O551),$O$2:$O$1001,0),0), INDEX($V$1004:$AE$1004,1,MATCH(COLUMNS($V$1006:AA1006),$V$1006:$AE$1006,0)))),"Fix")))</f>
        <v>0</v>
      </c>
      <c r="H551" s="3">
        <f>IF(OR(INDEX($P$2:$P$1001,MATCH(ROWS($O$2:O551),$O$2:$O$1001,0),1)&gt;=100000,INDEX($V$1005:$AE$1005,1,MATCH(COLUMNS($V$1006:AB1006),$V$1006:$AE$1006,0))&gt;=100000), " ",IF(INDEX($V$2:$AE$1001,MATCH(ROWS($O$2:O551),$O$2:$O$1001,0),MATCH(COLUMNS($V$1006:AB1006),$V$1006:$AE$1006,0)), HYPERLINK("#",""), HYPERLINK(CONCATENATE("#Metadata!", ADDRESS(INDEX($Q$2:$Q$1001,MATCH(ROWS($O$2:O551),$O$2:$O$1001,0),0), INDEX($V$1004:$AE$1004,1,MATCH(COLUMNS($V$1006:AB1006),$V$1006:$AE$1006,0)))),"Fix")))</f>
        <v>0</v>
      </c>
      <c r="I551" s="3">
        <f>IF(OR(INDEX($P$2:$P$1001,MATCH(ROWS($O$2:O551),$O$2:$O$1001,0),1)&gt;=100000,INDEX($V$1005:$AE$1005,1,MATCH(COLUMNS($V$1006:AC1006),$V$1006:$AE$1006,0))&gt;=100000), " ",IF(INDEX($V$2:$AE$1001,MATCH(ROWS($O$2:O551),$O$2:$O$1001,0),MATCH(COLUMNS($V$1006:AC1006),$V$1006:$AE$1006,0)), HYPERLINK("#",""), HYPERLINK(CONCATENATE("#Metadata!", ADDRESS(INDEX($Q$2:$Q$1001,MATCH(ROWS($O$2:O551),$O$2:$O$1001,0),0), INDEX($V$1004:$AE$1004,1,MATCH(COLUMNS($V$1006:AC1006),$V$1006:$AE$1006,0)))),"Fix")))</f>
        <v>0</v>
      </c>
      <c r="J551" s="3">
        <f>IF(OR(INDEX($P$2:$P$1001,MATCH(ROWS($O$2:O551),$O$2:$O$1001,0),1)&gt;=100000,INDEX($V$1005:$AE$1005,1,MATCH(COLUMNS($V$1006:AD1006),$V$1006:$AE$1006,0))&gt;=100000), " ",IF(INDEX($V$2:$AE$1001,MATCH(ROWS($O$2:O551),$O$2:$O$1001,0),MATCH(COLUMNS($V$1006:AD1006),$V$1006:$AE$1006,0)), HYPERLINK("#",""), HYPERLINK(CONCATENATE("#Metadata!", ADDRESS(INDEX($Q$2:$Q$1001,MATCH(ROWS($O$2:O551),$O$2:$O$1001,0),0), INDEX($V$1004:$AE$1004,1,MATCH(COLUMNS($V$1006:AD1006),$V$1006:$AE$1006,0)))),"Fix")))</f>
        <v>0</v>
      </c>
      <c r="K551" s="3">
        <f>IF(OR(INDEX($P$2:$P$1001,MATCH(ROWS($O$2:O551),$O$2:$O$1001,0),1)&gt;=100000,INDEX($V$1005:$AE$1005,1,MATCH(COLUMNS($V$1006:AE1006),$V$1006:$AE$1006,0))&gt;=100000), " ",IF(INDEX($V$2:$AE$1001,MATCH(ROWS($O$2:O551),$O$2:$O$1001,0),MATCH(COLUMNS($V$1006:AE1006),$V$1006:$AE$1006,0)), HYPERLINK("#",""), HYPERLINK(CONCATENATE("#Metadata!", ADDRESS(INDEX($Q$2:$Q$1001,MATCH(ROWS($O$2:O551),$O$2:$O$1001,0),0), INDEX($V$1004:$AE$1004,1,MATCH(COLUMNS($V$1006:AE1006),$V$1006:$AE$1006,0)))),"Fix")))</f>
        <v>0</v>
      </c>
      <c r="O551">
        <v>0</v>
      </c>
      <c r="P551">
        <v>0</v>
      </c>
      <c r="Q551">
        <v>0</v>
      </c>
      <c r="R551">
        <f>IF(S551,TRUE,AND(V551:AE551))</f>
        <v>0</v>
      </c>
      <c r="S551">
        <f>COUNTBLANK(Metadata!B551:K551)=COLUMNS(Metadata!B551:K551)</f>
        <v>0</v>
      </c>
      <c r="T551">
        <v>0</v>
      </c>
      <c r="V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W551">
        <f>AND(IF(Metadata!C551="",FALSE,TRUE),exact(Metadata!C551,"animal secretion"))</f>
        <v>0</v>
      </c>
      <c r="X551">
        <f>AND(IF(Metadata!D551="",FALSE,TRUE),exact(Metadata!D551,"saliva"))</f>
        <v>0</v>
      </c>
      <c r="Y551">
        <f>AND(IF(Metadata!E551="",FALSE,TRUE),exact(Metadata!E551,"human-oral"))</f>
        <v>0</v>
      </c>
      <c r="Z551">
        <f>AND(IF(Metadata!F551="",FALSE,TRUE),exact(Metadata!F551,"UBERON:oral cavity"))</f>
        <v>0</v>
      </c>
      <c r="AA551">
        <f>AND(IF(Metadata!G551="",FALSE,TRUE),exact(Metadata!G551,"UBERON:saliva"))</f>
        <v>0</v>
      </c>
      <c r="AB551">
        <f>AND(IF(Metadata!H551="",FALSE,TRUE),exact(Metadata!H551,"UBERON:tongue"))</f>
        <v>0</v>
      </c>
      <c r="AC551">
        <f>AND(IF(Metadata!I551="",FALSE,TRUE),exact(Metadata!I551,"tongue"))</f>
        <v>0</v>
      </c>
      <c r="AD551">
        <f>AND(IF(Metadata!J551="",FALSE,TRUE),exact(Metadata!J551,"human oral metagenome"))</f>
        <v>0</v>
      </c>
      <c r="AE551">
        <f>AND(IF(Metadata!K551="",FALSE,TRUE),exact(Metadata!K551,"447426"))</f>
        <v>0</v>
      </c>
    </row>
    <row r="552" spans="1:31">
      <c r="A552" s="4">
        <f>IF(B552=" "," ",HYPERLINK(CONCATENATE("#metadata!",ADDRESS(INDEX($Q$2:$Q$1001,MATCH(ROWS($O$2:O552),$O$2:$O$1001,0),0),1)),INDEX($T$2:$T$1001,MATCH(ROWS($O$2:O552),$O$2:$O$1001,0),0)))</f>
        <v>0</v>
      </c>
      <c r="B552" s="3">
        <f>IF(OR(INDEX($P$2:$P$1001,MATCH(ROWS($O$2:O552),$O$2:$O$1001,0),1)&gt;=100000,INDEX($V$1005:$AE$1005,1,MATCH(COLUMNS($V$1006:V1006),$V$1006:$AE$1006,0))&gt;=100000), " ",IF(INDEX($V$2:$AE$1001,MATCH(ROWS($O$2:O552),$O$2:$O$1001,0),MATCH(COLUMNS($V$1006:V1006),$V$1006:$AE$1006,0)), HYPERLINK("#",""), HYPERLINK(CONCATENATE("#Metadata!", ADDRESS(INDEX($Q$2:$Q$1001,MATCH(ROWS($O$2:O552),$O$2:$O$1001,0),0), INDEX($V$1004:$AE$1004,1,MATCH(COLUMNS($V$1006:V1006),$V$1006:$AE$1006,0)))),"Fix")))</f>
        <v>0</v>
      </c>
      <c r="C552" s="3">
        <f>IF(OR(INDEX($P$2:$P$1001,MATCH(ROWS($O$2:O552),$O$2:$O$1001,0),1)&gt;=100000,INDEX($V$1005:$AE$1005,1,MATCH(COLUMNS($V$1006:W1006),$V$1006:$AE$1006,0))&gt;=100000), " ",IF(INDEX($V$2:$AE$1001,MATCH(ROWS($O$2:O552),$O$2:$O$1001,0),MATCH(COLUMNS($V$1006:W1006),$V$1006:$AE$1006,0)), HYPERLINK("#",""), HYPERLINK(CONCATENATE("#Metadata!", ADDRESS(INDEX($Q$2:$Q$1001,MATCH(ROWS($O$2:O552),$O$2:$O$1001,0),0), INDEX($V$1004:$AE$1004,1,MATCH(COLUMNS($V$1006:W1006),$V$1006:$AE$1006,0)))),"Fix")))</f>
        <v>0</v>
      </c>
      <c r="D552" s="3">
        <f>IF(OR(INDEX($P$2:$P$1001,MATCH(ROWS($O$2:O552),$O$2:$O$1001,0),1)&gt;=100000,INDEX($V$1005:$AE$1005,1,MATCH(COLUMNS($V$1006:X1006),$V$1006:$AE$1006,0))&gt;=100000), " ",IF(INDEX($V$2:$AE$1001,MATCH(ROWS($O$2:O552),$O$2:$O$1001,0),MATCH(COLUMNS($V$1006:X1006),$V$1006:$AE$1006,0)), HYPERLINK("#",""), HYPERLINK(CONCATENATE("#Metadata!", ADDRESS(INDEX($Q$2:$Q$1001,MATCH(ROWS($O$2:O552),$O$2:$O$1001,0),0), INDEX($V$1004:$AE$1004,1,MATCH(COLUMNS($V$1006:X1006),$V$1006:$AE$1006,0)))),"Fix")))</f>
        <v>0</v>
      </c>
      <c r="E552" s="3">
        <f>IF(OR(INDEX($P$2:$P$1001,MATCH(ROWS($O$2:O552),$O$2:$O$1001,0),1)&gt;=100000,INDEX($V$1005:$AE$1005,1,MATCH(COLUMNS($V$1006:Y1006),$V$1006:$AE$1006,0))&gt;=100000), " ",IF(INDEX($V$2:$AE$1001,MATCH(ROWS($O$2:O552),$O$2:$O$1001,0),MATCH(COLUMNS($V$1006:Y1006),$V$1006:$AE$1006,0)), HYPERLINK("#",""), HYPERLINK(CONCATENATE("#Metadata!", ADDRESS(INDEX($Q$2:$Q$1001,MATCH(ROWS($O$2:O552),$O$2:$O$1001,0),0), INDEX($V$1004:$AE$1004,1,MATCH(COLUMNS($V$1006:Y1006),$V$1006:$AE$1006,0)))),"Fix")))</f>
        <v>0</v>
      </c>
      <c r="F552" s="3">
        <f>IF(OR(INDEX($P$2:$P$1001,MATCH(ROWS($O$2:O552),$O$2:$O$1001,0),1)&gt;=100000,INDEX($V$1005:$AE$1005,1,MATCH(COLUMNS($V$1006:Z1006),$V$1006:$AE$1006,0))&gt;=100000), " ",IF(INDEX($V$2:$AE$1001,MATCH(ROWS($O$2:O552),$O$2:$O$1001,0),MATCH(COLUMNS($V$1006:Z1006),$V$1006:$AE$1006,0)), HYPERLINK("#",""), HYPERLINK(CONCATENATE("#Metadata!", ADDRESS(INDEX($Q$2:$Q$1001,MATCH(ROWS($O$2:O552),$O$2:$O$1001,0),0), INDEX($V$1004:$AE$1004,1,MATCH(COLUMNS($V$1006:Z1006),$V$1006:$AE$1006,0)))),"Fix")))</f>
        <v>0</v>
      </c>
      <c r="G552" s="3">
        <f>IF(OR(INDEX($P$2:$P$1001,MATCH(ROWS($O$2:O552),$O$2:$O$1001,0),1)&gt;=100000,INDEX($V$1005:$AE$1005,1,MATCH(COLUMNS($V$1006:AA1006),$V$1006:$AE$1006,0))&gt;=100000), " ",IF(INDEX($V$2:$AE$1001,MATCH(ROWS($O$2:O552),$O$2:$O$1001,0),MATCH(COLUMNS($V$1006:AA1006),$V$1006:$AE$1006,0)), HYPERLINK("#",""), HYPERLINK(CONCATENATE("#Metadata!", ADDRESS(INDEX($Q$2:$Q$1001,MATCH(ROWS($O$2:O552),$O$2:$O$1001,0),0), INDEX($V$1004:$AE$1004,1,MATCH(COLUMNS($V$1006:AA1006),$V$1006:$AE$1006,0)))),"Fix")))</f>
        <v>0</v>
      </c>
      <c r="H552" s="3">
        <f>IF(OR(INDEX($P$2:$P$1001,MATCH(ROWS($O$2:O552),$O$2:$O$1001,0),1)&gt;=100000,INDEX($V$1005:$AE$1005,1,MATCH(COLUMNS($V$1006:AB1006),$V$1006:$AE$1006,0))&gt;=100000), " ",IF(INDEX($V$2:$AE$1001,MATCH(ROWS($O$2:O552),$O$2:$O$1001,0),MATCH(COLUMNS($V$1006:AB1006),$V$1006:$AE$1006,0)), HYPERLINK("#",""), HYPERLINK(CONCATENATE("#Metadata!", ADDRESS(INDEX($Q$2:$Q$1001,MATCH(ROWS($O$2:O552),$O$2:$O$1001,0),0), INDEX($V$1004:$AE$1004,1,MATCH(COLUMNS($V$1006:AB1006),$V$1006:$AE$1006,0)))),"Fix")))</f>
        <v>0</v>
      </c>
      <c r="I552" s="3">
        <f>IF(OR(INDEX($P$2:$P$1001,MATCH(ROWS($O$2:O552),$O$2:$O$1001,0),1)&gt;=100000,INDEX($V$1005:$AE$1005,1,MATCH(COLUMNS($V$1006:AC1006),$V$1006:$AE$1006,0))&gt;=100000), " ",IF(INDEX($V$2:$AE$1001,MATCH(ROWS($O$2:O552),$O$2:$O$1001,0),MATCH(COLUMNS($V$1006:AC1006),$V$1006:$AE$1006,0)), HYPERLINK("#",""), HYPERLINK(CONCATENATE("#Metadata!", ADDRESS(INDEX($Q$2:$Q$1001,MATCH(ROWS($O$2:O552),$O$2:$O$1001,0),0), INDEX($V$1004:$AE$1004,1,MATCH(COLUMNS($V$1006:AC1006),$V$1006:$AE$1006,0)))),"Fix")))</f>
        <v>0</v>
      </c>
      <c r="J552" s="3">
        <f>IF(OR(INDEX($P$2:$P$1001,MATCH(ROWS($O$2:O552),$O$2:$O$1001,0),1)&gt;=100000,INDEX($V$1005:$AE$1005,1,MATCH(COLUMNS($V$1006:AD1006),$V$1006:$AE$1006,0))&gt;=100000), " ",IF(INDEX($V$2:$AE$1001,MATCH(ROWS($O$2:O552),$O$2:$O$1001,0),MATCH(COLUMNS($V$1006:AD1006),$V$1006:$AE$1006,0)), HYPERLINK("#",""), HYPERLINK(CONCATENATE("#Metadata!", ADDRESS(INDEX($Q$2:$Q$1001,MATCH(ROWS($O$2:O552),$O$2:$O$1001,0),0), INDEX($V$1004:$AE$1004,1,MATCH(COLUMNS($V$1006:AD1006),$V$1006:$AE$1006,0)))),"Fix")))</f>
        <v>0</v>
      </c>
      <c r="K552" s="3">
        <f>IF(OR(INDEX($P$2:$P$1001,MATCH(ROWS($O$2:O552),$O$2:$O$1001,0),1)&gt;=100000,INDEX($V$1005:$AE$1005,1,MATCH(COLUMNS($V$1006:AE1006),$V$1006:$AE$1006,0))&gt;=100000), " ",IF(INDEX($V$2:$AE$1001,MATCH(ROWS($O$2:O552),$O$2:$O$1001,0),MATCH(COLUMNS($V$1006:AE1006),$V$1006:$AE$1006,0)), HYPERLINK("#",""), HYPERLINK(CONCATENATE("#Metadata!", ADDRESS(INDEX($Q$2:$Q$1001,MATCH(ROWS($O$2:O552),$O$2:$O$1001,0),0), INDEX($V$1004:$AE$1004,1,MATCH(COLUMNS($V$1006:AE1006),$V$1006:$AE$1006,0)))),"Fix")))</f>
        <v>0</v>
      </c>
      <c r="O552">
        <v>0</v>
      </c>
      <c r="P552">
        <v>0</v>
      </c>
      <c r="Q552">
        <v>0</v>
      </c>
      <c r="R552">
        <f>IF(S552,TRUE,AND(V552:AE552))</f>
        <v>0</v>
      </c>
      <c r="S552">
        <f>COUNTBLANK(Metadata!B552:K552)=COLUMNS(Metadata!B552:K552)</f>
        <v>0</v>
      </c>
      <c r="T552">
        <v>0</v>
      </c>
      <c r="V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W552">
        <f>AND(IF(Metadata!C552="",FALSE,TRUE),exact(Metadata!C552,"animal secretion"))</f>
        <v>0</v>
      </c>
      <c r="X552">
        <f>AND(IF(Metadata!D552="",FALSE,TRUE),exact(Metadata!D552,"saliva"))</f>
        <v>0</v>
      </c>
      <c r="Y552">
        <f>AND(IF(Metadata!E552="",FALSE,TRUE),exact(Metadata!E552,"human-oral"))</f>
        <v>0</v>
      </c>
      <c r="Z552">
        <f>AND(IF(Metadata!F552="",FALSE,TRUE),exact(Metadata!F552,"UBERON:oral cavity"))</f>
        <v>0</v>
      </c>
      <c r="AA552">
        <f>AND(IF(Metadata!G552="",FALSE,TRUE),exact(Metadata!G552,"UBERON:saliva"))</f>
        <v>0</v>
      </c>
      <c r="AB552">
        <f>AND(IF(Metadata!H552="",FALSE,TRUE),exact(Metadata!H552,"UBERON:tongue"))</f>
        <v>0</v>
      </c>
      <c r="AC552">
        <f>AND(IF(Metadata!I552="",FALSE,TRUE),exact(Metadata!I552,"tongue"))</f>
        <v>0</v>
      </c>
      <c r="AD552">
        <f>AND(IF(Metadata!J552="",FALSE,TRUE),exact(Metadata!J552,"human oral metagenome"))</f>
        <v>0</v>
      </c>
      <c r="AE552">
        <f>AND(IF(Metadata!K552="",FALSE,TRUE),exact(Metadata!K552,"447426"))</f>
        <v>0</v>
      </c>
    </row>
    <row r="553" spans="1:31">
      <c r="A553" s="4">
        <f>IF(B553=" "," ",HYPERLINK(CONCATENATE("#metadata!",ADDRESS(INDEX($Q$2:$Q$1001,MATCH(ROWS($O$2:O553),$O$2:$O$1001,0),0),1)),INDEX($T$2:$T$1001,MATCH(ROWS($O$2:O553),$O$2:$O$1001,0),0)))</f>
        <v>0</v>
      </c>
      <c r="B553" s="3">
        <f>IF(OR(INDEX($P$2:$P$1001,MATCH(ROWS($O$2:O553),$O$2:$O$1001,0),1)&gt;=100000,INDEX($V$1005:$AE$1005,1,MATCH(COLUMNS($V$1006:V1006),$V$1006:$AE$1006,0))&gt;=100000), " ",IF(INDEX($V$2:$AE$1001,MATCH(ROWS($O$2:O553),$O$2:$O$1001,0),MATCH(COLUMNS($V$1006:V1006),$V$1006:$AE$1006,0)), HYPERLINK("#",""), HYPERLINK(CONCATENATE("#Metadata!", ADDRESS(INDEX($Q$2:$Q$1001,MATCH(ROWS($O$2:O553),$O$2:$O$1001,0),0), INDEX($V$1004:$AE$1004,1,MATCH(COLUMNS($V$1006:V1006),$V$1006:$AE$1006,0)))),"Fix")))</f>
        <v>0</v>
      </c>
      <c r="C553" s="3">
        <f>IF(OR(INDEX($P$2:$P$1001,MATCH(ROWS($O$2:O553),$O$2:$O$1001,0),1)&gt;=100000,INDEX($V$1005:$AE$1005,1,MATCH(COLUMNS($V$1006:W1006),$V$1006:$AE$1006,0))&gt;=100000), " ",IF(INDEX($V$2:$AE$1001,MATCH(ROWS($O$2:O553),$O$2:$O$1001,0),MATCH(COLUMNS($V$1006:W1006),$V$1006:$AE$1006,0)), HYPERLINK("#",""), HYPERLINK(CONCATENATE("#Metadata!", ADDRESS(INDEX($Q$2:$Q$1001,MATCH(ROWS($O$2:O553),$O$2:$O$1001,0),0), INDEX($V$1004:$AE$1004,1,MATCH(COLUMNS($V$1006:W1006),$V$1006:$AE$1006,0)))),"Fix")))</f>
        <v>0</v>
      </c>
      <c r="D553" s="3">
        <f>IF(OR(INDEX($P$2:$P$1001,MATCH(ROWS($O$2:O553),$O$2:$O$1001,0),1)&gt;=100000,INDEX($V$1005:$AE$1005,1,MATCH(COLUMNS($V$1006:X1006),$V$1006:$AE$1006,0))&gt;=100000), " ",IF(INDEX($V$2:$AE$1001,MATCH(ROWS($O$2:O553),$O$2:$O$1001,0),MATCH(COLUMNS($V$1006:X1006),$V$1006:$AE$1006,0)), HYPERLINK("#",""), HYPERLINK(CONCATENATE("#Metadata!", ADDRESS(INDEX($Q$2:$Q$1001,MATCH(ROWS($O$2:O553),$O$2:$O$1001,0),0), INDEX($V$1004:$AE$1004,1,MATCH(COLUMNS($V$1006:X1006),$V$1006:$AE$1006,0)))),"Fix")))</f>
        <v>0</v>
      </c>
      <c r="E553" s="3">
        <f>IF(OR(INDEX($P$2:$P$1001,MATCH(ROWS($O$2:O553),$O$2:$O$1001,0),1)&gt;=100000,INDEX($V$1005:$AE$1005,1,MATCH(COLUMNS($V$1006:Y1006),$V$1006:$AE$1006,0))&gt;=100000), " ",IF(INDEX($V$2:$AE$1001,MATCH(ROWS($O$2:O553),$O$2:$O$1001,0),MATCH(COLUMNS($V$1006:Y1006),$V$1006:$AE$1006,0)), HYPERLINK("#",""), HYPERLINK(CONCATENATE("#Metadata!", ADDRESS(INDEX($Q$2:$Q$1001,MATCH(ROWS($O$2:O553),$O$2:$O$1001,0),0), INDEX($V$1004:$AE$1004,1,MATCH(COLUMNS($V$1006:Y1006),$V$1006:$AE$1006,0)))),"Fix")))</f>
        <v>0</v>
      </c>
      <c r="F553" s="3">
        <f>IF(OR(INDEX($P$2:$P$1001,MATCH(ROWS($O$2:O553),$O$2:$O$1001,0),1)&gt;=100000,INDEX($V$1005:$AE$1005,1,MATCH(COLUMNS($V$1006:Z1006),$V$1006:$AE$1006,0))&gt;=100000), " ",IF(INDEX($V$2:$AE$1001,MATCH(ROWS($O$2:O553),$O$2:$O$1001,0),MATCH(COLUMNS($V$1006:Z1006),$V$1006:$AE$1006,0)), HYPERLINK("#",""), HYPERLINK(CONCATENATE("#Metadata!", ADDRESS(INDEX($Q$2:$Q$1001,MATCH(ROWS($O$2:O553),$O$2:$O$1001,0),0), INDEX($V$1004:$AE$1004,1,MATCH(COLUMNS($V$1006:Z1006),$V$1006:$AE$1006,0)))),"Fix")))</f>
        <v>0</v>
      </c>
      <c r="G553" s="3">
        <f>IF(OR(INDEX($P$2:$P$1001,MATCH(ROWS($O$2:O553),$O$2:$O$1001,0),1)&gt;=100000,INDEX($V$1005:$AE$1005,1,MATCH(COLUMNS($V$1006:AA1006),$V$1006:$AE$1006,0))&gt;=100000), " ",IF(INDEX($V$2:$AE$1001,MATCH(ROWS($O$2:O553),$O$2:$O$1001,0),MATCH(COLUMNS($V$1006:AA1006),$V$1006:$AE$1006,0)), HYPERLINK("#",""), HYPERLINK(CONCATENATE("#Metadata!", ADDRESS(INDEX($Q$2:$Q$1001,MATCH(ROWS($O$2:O553),$O$2:$O$1001,0),0), INDEX($V$1004:$AE$1004,1,MATCH(COLUMNS($V$1006:AA1006),$V$1006:$AE$1006,0)))),"Fix")))</f>
        <v>0</v>
      </c>
      <c r="H553" s="3">
        <f>IF(OR(INDEX($P$2:$P$1001,MATCH(ROWS($O$2:O553),$O$2:$O$1001,0),1)&gt;=100000,INDEX($V$1005:$AE$1005,1,MATCH(COLUMNS($V$1006:AB1006),$V$1006:$AE$1006,0))&gt;=100000), " ",IF(INDEX($V$2:$AE$1001,MATCH(ROWS($O$2:O553),$O$2:$O$1001,0),MATCH(COLUMNS($V$1006:AB1006),$V$1006:$AE$1006,0)), HYPERLINK("#",""), HYPERLINK(CONCATENATE("#Metadata!", ADDRESS(INDEX($Q$2:$Q$1001,MATCH(ROWS($O$2:O553),$O$2:$O$1001,0),0), INDEX($V$1004:$AE$1004,1,MATCH(COLUMNS($V$1006:AB1006),$V$1006:$AE$1006,0)))),"Fix")))</f>
        <v>0</v>
      </c>
      <c r="I553" s="3">
        <f>IF(OR(INDEX($P$2:$P$1001,MATCH(ROWS($O$2:O553),$O$2:$O$1001,0),1)&gt;=100000,INDEX($V$1005:$AE$1005,1,MATCH(COLUMNS($V$1006:AC1006),$V$1006:$AE$1006,0))&gt;=100000), " ",IF(INDEX($V$2:$AE$1001,MATCH(ROWS($O$2:O553),$O$2:$O$1001,0),MATCH(COLUMNS($V$1006:AC1006),$V$1006:$AE$1006,0)), HYPERLINK("#",""), HYPERLINK(CONCATENATE("#Metadata!", ADDRESS(INDEX($Q$2:$Q$1001,MATCH(ROWS($O$2:O553),$O$2:$O$1001,0),0), INDEX($V$1004:$AE$1004,1,MATCH(COLUMNS($V$1006:AC1006),$V$1006:$AE$1006,0)))),"Fix")))</f>
        <v>0</v>
      </c>
      <c r="J553" s="3">
        <f>IF(OR(INDEX($P$2:$P$1001,MATCH(ROWS($O$2:O553),$O$2:$O$1001,0),1)&gt;=100000,INDEX($V$1005:$AE$1005,1,MATCH(COLUMNS($V$1006:AD1006),$V$1006:$AE$1006,0))&gt;=100000), " ",IF(INDEX($V$2:$AE$1001,MATCH(ROWS($O$2:O553),$O$2:$O$1001,0),MATCH(COLUMNS($V$1006:AD1006),$V$1006:$AE$1006,0)), HYPERLINK("#",""), HYPERLINK(CONCATENATE("#Metadata!", ADDRESS(INDEX($Q$2:$Q$1001,MATCH(ROWS($O$2:O553),$O$2:$O$1001,0),0), INDEX($V$1004:$AE$1004,1,MATCH(COLUMNS($V$1006:AD1006),$V$1006:$AE$1006,0)))),"Fix")))</f>
        <v>0</v>
      </c>
      <c r="K553" s="3">
        <f>IF(OR(INDEX($P$2:$P$1001,MATCH(ROWS($O$2:O553),$O$2:$O$1001,0),1)&gt;=100000,INDEX($V$1005:$AE$1005,1,MATCH(COLUMNS($V$1006:AE1006),$V$1006:$AE$1006,0))&gt;=100000), " ",IF(INDEX($V$2:$AE$1001,MATCH(ROWS($O$2:O553),$O$2:$O$1001,0),MATCH(COLUMNS($V$1006:AE1006),$V$1006:$AE$1006,0)), HYPERLINK("#",""), HYPERLINK(CONCATENATE("#Metadata!", ADDRESS(INDEX($Q$2:$Q$1001,MATCH(ROWS($O$2:O553),$O$2:$O$1001,0),0), INDEX($V$1004:$AE$1004,1,MATCH(COLUMNS($V$1006:AE1006),$V$1006:$AE$1006,0)))),"Fix")))</f>
        <v>0</v>
      </c>
      <c r="O553">
        <v>0</v>
      </c>
      <c r="P553">
        <v>0</v>
      </c>
      <c r="Q553">
        <v>0</v>
      </c>
      <c r="R553">
        <f>IF(S553,TRUE,AND(V553:AE553))</f>
        <v>0</v>
      </c>
      <c r="S553">
        <f>COUNTBLANK(Metadata!B553:K553)=COLUMNS(Metadata!B553:K553)</f>
        <v>0</v>
      </c>
      <c r="T553">
        <v>0</v>
      </c>
      <c r="V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W553">
        <f>AND(IF(Metadata!C553="",FALSE,TRUE),exact(Metadata!C553,"animal secretion"))</f>
        <v>0</v>
      </c>
      <c r="X553">
        <f>AND(IF(Metadata!D553="",FALSE,TRUE),exact(Metadata!D553,"saliva"))</f>
        <v>0</v>
      </c>
      <c r="Y553">
        <f>AND(IF(Metadata!E553="",FALSE,TRUE),exact(Metadata!E553,"human-oral"))</f>
        <v>0</v>
      </c>
      <c r="Z553">
        <f>AND(IF(Metadata!F553="",FALSE,TRUE),exact(Metadata!F553,"UBERON:oral cavity"))</f>
        <v>0</v>
      </c>
      <c r="AA553">
        <f>AND(IF(Metadata!G553="",FALSE,TRUE),exact(Metadata!G553,"UBERON:saliva"))</f>
        <v>0</v>
      </c>
      <c r="AB553">
        <f>AND(IF(Metadata!H553="",FALSE,TRUE),exact(Metadata!H553,"UBERON:tongue"))</f>
        <v>0</v>
      </c>
      <c r="AC553">
        <f>AND(IF(Metadata!I553="",FALSE,TRUE),exact(Metadata!I553,"tongue"))</f>
        <v>0</v>
      </c>
      <c r="AD553">
        <f>AND(IF(Metadata!J553="",FALSE,TRUE),exact(Metadata!J553,"human oral metagenome"))</f>
        <v>0</v>
      </c>
      <c r="AE553">
        <f>AND(IF(Metadata!K553="",FALSE,TRUE),exact(Metadata!K553,"447426"))</f>
        <v>0</v>
      </c>
    </row>
    <row r="554" spans="1:31">
      <c r="A554" s="4">
        <f>IF(B554=" "," ",HYPERLINK(CONCATENATE("#metadata!",ADDRESS(INDEX($Q$2:$Q$1001,MATCH(ROWS($O$2:O554),$O$2:$O$1001,0),0),1)),INDEX($T$2:$T$1001,MATCH(ROWS($O$2:O554),$O$2:$O$1001,0),0)))</f>
        <v>0</v>
      </c>
      <c r="B554" s="3">
        <f>IF(OR(INDEX($P$2:$P$1001,MATCH(ROWS($O$2:O554),$O$2:$O$1001,0),1)&gt;=100000,INDEX($V$1005:$AE$1005,1,MATCH(COLUMNS($V$1006:V1006),$V$1006:$AE$1006,0))&gt;=100000), " ",IF(INDEX($V$2:$AE$1001,MATCH(ROWS($O$2:O554),$O$2:$O$1001,0),MATCH(COLUMNS($V$1006:V1006),$V$1006:$AE$1006,0)), HYPERLINK("#",""), HYPERLINK(CONCATENATE("#Metadata!", ADDRESS(INDEX($Q$2:$Q$1001,MATCH(ROWS($O$2:O554),$O$2:$O$1001,0),0), INDEX($V$1004:$AE$1004,1,MATCH(COLUMNS($V$1006:V1006),$V$1006:$AE$1006,0)))),"Fix")))</f>
        <v>0</v>
      </c>
      <c r="C554" s="3">
        <f>IF(OR(INDEX($P$2:$P$1001,MATCH(ROWS($O$2:O554),$O$2:$O$1001,0),1)&gt;=100000,INDEX($V$1005:$AE$1005,1,MATCH(COLUMNS($V$1006:W1006),$V$1006:$AE$1006,0))&gt;=100000), " ",IF(INDEX($V$2:$AE$1001,MATCH(ROWS($O$2:O554),$O$2:$O$1001,0),MATCH(COLUMNS($V$1006:W1006),$V$1006:$AE$1006,0)), HYPERLINK("#",""), HYPERLINK(CONCATENATE("#Metadata!", ADDRESS(INDEX($Q$2:$Q$1001,MATCH(ROWS($O$2:O554),$O$2:$O$1001,0),0), INDEX($V$1004:$AE$1004,1,MATCH(COLUMNS($V$1006:W1006),$V$1006:$AE$1006,0)))),"Fix")))</f>
        <v>0</v>
      </c>
      <c r="D554" s="3">
        <f>IF(OR(INDEX($P$2:$P$1001,MATCH(ROWS($O$2:O554),$O$2:$O$1001,0),1)&gt;=100000,INDEX($V$1005:$AE$1005,1,MATCH(COLUMNS($V$1006:X1006),$V$1006:$AE$1006,0))&gt;=100000), " ",IF(INDEX($V$2:$AE$1001,MATCH(ROWS($O$2:O554),$O$2:$O$1001,0),MATCH(COLUMNS($V$1006:X1006),$V$1006:$AE$1006,0)), HYPERLINK("#",""), HYPERLINK(CONCATENATE("#Metadata!", ADDRESS(INDEX($Q$2:$Q$1001,MATCH(ROWS($O$2:O554),$O$2:$O$1001,0),0), INDEX($V$1004:$AE$1004,1,MATCH(COLUMNS($V$1006:X1006),$V$1006:$AE$1006,0)))),"Fix")))</f>
        <v>0</v>
      </c>
      <c r="E554" s="3">
        <f>IF(OR(INDEX($P$2:$P$1001,MATCH(ROWS($O$2:O554),$O$2:$O$1001,0),1)&gt;=100000,INDEX($V$1005:$AE$1005,1,MATCH(COLUMNS($V$1006:Y1006),$V$1006:$AE$1006,0))&gt;=100000), " ",IF(INDEX($V$2:$AE$1001,MATCH(ROWS($O$2:O554),$O$2:$O$1001,0),MATCH(COLUMNS($V$1006:Y1006),$V$1006:$AE$1006,0)), HYPERLINK("#",""), HYPERLINK(CONCATENATE("#Metadata!", ADDRESS(INDEX($Q$2:$Q$1001,MATCH(ROWS($O$2:O554),$O$2:$O$1001,0),0), INDEX($V$1004:$AE$1004,1,MATCH(COLUMNS($V$1006:Y1006),$V$1006:$AE$1006,0)))),"Fix")))</f>
        <v>0</v>
      </c>
      <c r="F554" s="3">
        <f>IF(OR(INDEX($P$2:$P$1001,MATCH(ROWS($O$2:O554),$O$2:$O$1001,0),1)&gt;=100000,INDEX($V$1005:$AE$1005,1,MATCH(COLUMNS($V$1006:Z1006),$V$1006:$AE$1006,0))&gt;=100000), " ",IF(INDEX($V$2:$AE$1001,MATCH(ROWS($O$2:O554),$O$2:$O$1001,0),MATCH(COLUMNS($V$1006:Z1006),$V$1006:$AE$1006,0)), HYPERLINK("#",""), HYPERLINK(CONCATENATE("#Metadata!", ADDRESS(INDEX($Q$2:$Q$1001,MATCH(ROWS($O$2:O554),$O$2:$O$1001,0),0), INDEX($V$1004:$AE$1004,1,MATCH(COLUMNS($V$1006:Z1006),$V$1006:$AE$1006,0)))),"Fix")))</f>
        <v>0</v>
      </c>
      <c r="G554" s="3">
        <f>IF(OR(INDEX($P$2:$P$1001,MATCH(ROWS($O$2:O554),$O$2:$O$1001,0),1)&gt;=100000,INDEX($V$1005:$AE$1005,1,MATCH(COLUMNS($V$1006:AA1006),$V$1006:$AE$1006,0))&gt;=100000), " ",IF(INDEX($V$2:$AE$1001,MATCH(ROWS($O$2:O554),$O$2:$O$1001,0),MATCH(COLUMNS($V$1006:AA1006),$V$1006:$AE$1006,0)), HYPERLINK("#",""), HYPERLINK(CONCATENATE("#Metadata!", ADDRESS(INDEX($Q$2:$Q$1001,MATCH(ROWS($O$2:O554),$O$2:$O$1001,0),0), INDEX($V$1004:$AE$1004,1,MATCH(COLUMNS($V$1006:AA1006),$V$1006:$AE$1006,0)))),"Fix")))</f>
        <v>0</v>
      </c>
      <c r="H554" s="3">
        <f>IF(OR(INDEX($P$2:$P$1001,MATCH(ROWS($O$2:O554),$O$2:$O$1001,0),1)&gt;=100000,INDEX($V$1005:$AE$1005,1,MATCH(COLUMNS($V$1006:AB1006),$V$1006:$AE$1006,0))&gt;=100000), " ",IF(INDEX($V$2:$AE$1001,MATCH(ROWS($O$2:O554),$O$2:$O$1001,0),MATCH(COLUMNS($V$1006:AB1006),$V$1006:$AE$1006,0)), HYPERLINK("#",""), HYPERLINK(CONCATENATE("#Metadata!", ADDRESS(INDEX($Q$2:$Q$1001,MATCH(ROWS($O$2:O554),$O$2:$O$1001,0),0), INDEX($V$1004:$AE$1004,1,MATCH(COLUMNS($V$1006:AB1006),$V$1006:$AE$1006,0)))),"Fix")))</f>
        <v>0</v>
      </c>
      <c r="I554" s="3">
        <f>IF(OR(INDEX($P$2:$P$1001,MATCH(ROWS($O$2:O554),$O$2:$O$1001,0),1)&gt;=100000,INDEX($V$1005:$AE$1005,1,MATCH(COLUMNS($V$1006:AC1006),$V$1006:$AE$1006,0))&gt;=100000), " ",IF(INDEX($V$2:$AE$1001,MATCH(ROWS($O$2:O554),$O$2:$O$1001,0),MATCH(COLUMNS($V$1006:AC1006),$V$1006:$AE$1006,0)), HYPERLINK("#",""), HYPERLINK(CONCATENATE("#Metadata!", ADDRESS(INDEX($Q$2:$Q$1001,MATCH(ROWS($O$2:O554),$O$2:$O$1001,0),0), INDEX($V$1004:$AE$1004,1,MATCH(COLUMNS($V$1006:AC1006),$V$1006:$AE$1006,0)))),"Fix")))</f>
        <v>0</v>
      </c>
      <c r="J554" s="3">
        <f>IF(OR(INDEX($P$2:$P$1001,MATCH(ROWS($O$2:O554),$O$2:$O$1001,0),1)&gt;=100000,INDEX($V$1005:$AE$1005,1,MATCH(COLUMNS($V$1006:AD1006),$V$1006:$AE$1006,0))&gt;=100000), " ",IF(INDEX($V$2:$AE$1001,MATCH(ROWS($O$2:O554),$O$2:$O$1001,0),MATCH(COLUMNS($V$1006:AD1006),$V$1006:$AE$1006,0)), HYPERLINK("#",""), HYPERLINK(CONCATENATE("#Metadata!", ADDRESS(INDEX($Q$2:$Q$1001,MATCH(ROWS($O$2:O554),$O$2:$O$1001,0),0), INDEX($V$1004:$AE$1004,1,MATCH(COLUMNS($V$1006:AD1006),$V$1006:$AE$1006,0)))),"Fix")))</f>
        <v>0</v>
      </c>
      <c r="K554" s="3">
        <f>IF(OR(INDEX($P$2:$P$1001,MATCH(ROWS($O$2:O554),$O$2:$O$1001,0),1)&gt;=100000,INDEX($V$1005:$AE$1005,1,MATCH(COLUMNS($V$1006:AE1006),$V$1006:$AE$1006,0))&gt;=100000), " ",IF(INDEX($V$2:$AE$1001,MATCH(ROWS($O$2:O554),$O$2:$O$1001,0),MATCH(COLUMNS($V$1006:AE1006),$V$1006:$AE$1006,0)), HYPERLINK("#",""), HYPERLINK(CONCATENATE("#Metadata!", ADDRESS(INDEX($Q$2:$Q$1001,MATCH(ROWS($O$2:O554),$O$2:$O$1001,0),0), INDEX($V$1004:$AE$1004,1,MATCH(COLUMNS($V$1006:AE1006),$V$1006:$AE$1006,0)))),"Fix")))</f>
        <v>0</v>
      </c>
      <c r="O554">
        <v>0</v>
      </c>
      <c r="P554">
        <v>0</v>
      </c>
      <c r="Q554">
        <v>0</v>
      </c>
      <c r="R554">
        <f>IF(S554,TRUE,AND(V554:AE554))</f>
        <v>0</v>
      </c>
      <c r="S554">
        <f>COUNTBLANK(Metadata!B554:K554)=COLUMNS(Metadata!B554:K554)</f>
        <v>0</v>
      </c>
      <c r="T554">
        <v>0</v>
      </c>
      <c r="V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W554">
        <f>AND(IF(Metadata!C554="",FALSE,TRUE),exact(Metadata!C554,"animal secretion"))</f>
        <v>0</v>
      </c>
      <c r="X554">
        <f>AND(IF(Metadata!D554="",FALSE,TRUE),exact(Metadata!D554,"saliva"))</f>
        <v>0</v>
      </c>
      <c r="Y554">
        <f>AND(IF(Metadata!E554="",FALSE,TRUE),exact(Metadata!E554,"human-oral"))</f>
        <v>0</v>
      </c>
      <c r="Z554">
        <f>AND(IF(Metadata!F554="",FALSE,TRUE),exact(Metadata!F554,"UBERON:oral cavity"))</f>
        <v>0</v>
      </c>
      <c r="AA554">
        <f>AND(IF(Metadata!G554="",FALSE,TRUE),exact(Metadata!G554,"UBERON:saliva"))</f>
        <v>0</v>
      </c>
      <c r="AB554">
        <f>AND(IF(Metadata!H554="",FALSE,TRUE),exact(Metadata!H554,"UBERON:tongue"))</f>
        <v>0</v>
      </c>
      <c r="AC554">
        <f>AND(IF(Metadata!I554="",FALSE,TRUE),exact(Metadata!I554,"tongue"))</f>
        <v>0</v>
      </c>
      <c r="AD554">
        <f>AND(IF(Metadata!J554="",FALSE,TRUE),exact(Metadata!J554,"human oral metagenome"))</f>
        <v>0</v>
      </c>
      <c r="AE554">
        <f>AND(IF(Metadata!K554="",FALSE,TRUE),exact(Metadata!K554,"447426"))</f>
        <v>0</v>
      </c>
    </row>
    <row r="555" spans="1:31">
      <c r="A555" s="4">
        <f>IF(B555=" "," ",HYPERLINK(CONCATENATE("#metadata!",ADDRESS(INDEX($Q$2:$Q$1001,MATCH(ROWS($O$2:O555),$O$2:$O$1001,0),0),1)),INDEX($T$2:$T$1001,MATCH(ROWS($O$2:O555),$O$2:$O$1001,0),0)))</f>
        <v>0</v>
      </c>
      <c r="B555" s="3">
        <f>IF(OR(INDEX($P$2:$P$1001,MATCH(ROWS($O$2:O555),$O$2:$O$1001,0),1)&gt;=100000,INDEX($V$1005:$AE$1005,1,MATCH(COLUMNS($V$1006:V1006),$V$1006:$AE$1006,0))&gt;=100000), " ",IF(INDEX($V$2:$AE$1001,MATCH(ROWS($O$2:O555),$O$2:$O$1001,0),MATCH(COLUMNS($V$1006:V1006),$V$1006:$AE$1006,0)), HYPERLINK("#",""), HYPERLINK(CONCATENATE("#Metadata!", ADDRESS(INDEX($Q$2:$Q$1001,MATCH(ROWS($O$2:O555),$O$2:$O$1001,0),0), INDEX($V$1004:$AE$1004,1,MATCH(COLUMNS($V$1006:V1006),$V$1006:$AE$1006,0)))),"Fix")))</f>
        <v>0</v>
      </c>
      <c r="C555" s="3">
        <f>IF(OR(INDEX($P$2:$P$1001,MATCH(ROWS($O$2:O555),$O$2:$O$1001,0),1)&gt;=100000,INDEX($V$1005:$AE$1005,1,MATCH(COLUMNS($V$1006:W1006),$V$1006:$AE$1006,0))&gt;=100000), " ",IF(INDEX($V$2:$AE$1001,MATCH(ROWS($O$2:O555),$O$2:$O$1001,0),MATCH(COLUMNS($V$1006:W1006),$V$1006:$AE$1006,0)), HYPERLINK("#",""), HYPERLINK(CONCATENATE("#Metadata!", ADDRESS(INDEX($Q$2:$Q$1001,MATCH(ROWS($O$2:O555),$O$2:$O$1001,0),0), INDEX($V$1004:$AE$1004,1,MATCH(COLUMNS($V$1006:W1006),$V$1006:$AE$1006,0)))),"Fix")))</f>
        <v>0</v>
      </c>
      <c r="D555" s="3">
        <f>IF(OR(INDEX($P$2:$P$1001,MATCH(ROWS($O$2:O555),$O$2:$O$1001,0),1)&gt;=100000,INDEX($V$1005:$AE$1005,1,MATCH(COLUMNS($V$1006:X1006),$V$1006:$AE$1006,0))&gt;=100000), " ",IF(INDEX($V$2:$AE$1001,MATCH(ROWS($O$2:O555),$O$2:$O$1001,0),MATCH(COLUMNS($V$1006:X1006),$V$1006:$AE$1006,0)), HYPERLINK("#",""), HYPERLINK(CONCATENATE("#Metadata!", ADDRESS(INDEX($Q$2:$Q$1001,MATCH(ROWS($O$2:O555),$O$2:$O$1001,0),0), INDEX($V$1004:$AE$1004,1,MATCH(COLUMNS($V$1006:X1006),$V$1006:$AE$1006,0)))),"Fix")))</f>
        <v>0</v>
      </c>
      <c r="E555" s="3">
        <f>IF(OR(INDEX($P$2:$P$1001,MATCH(ROWS($O$2:O555),$O$2:$O$1001,0),1)&gt;=100000,INDEX($V$1005:$AE$1005,1,MATCH(COLUMNS($V$1006:Y1006),$V$1006:$AE$1006,0))&gt;=100000), " ",IF(INDEX($V$2:$AE$1001,MATCH(ROWS($O$2:O555),$O$2:$O$1001,0),MATCH(COLUMNS($V$1006:Y1006),$V$1006:$AE$1006,0)), HYPERLINK("#",""), HYPERLINK(CONCATENATE("#Metadata!", ADDRESS(INDEX($Q$2:$Q$1001,MATCH(ROWS($O$2:O555),$O$2:$O$1001,0),0), INDEX($V$1004:$AE$1004,1,MATCH(COLUMNS($V$1006:Y1006),$V$1006:$AE$1006,0)))),"Fix")))</f>
        <v>0</v>
      </c>
      <c r="F555" s="3">
        <f>IF(OR(INDEX($P$2:$P$1001,MATCH(ROWS($O$2:O555),$O$2:$O$1001,0),1)&gt;=100000,INDEX($V$1005:$AE$1005,1,MATCH(COLUMNS($V$1006:Z1006),$V$1006:$AE$1006,0))&gt;=100000), " ",IF(INDEX($V$2:$AE$1001,MATCH(ROWS($O$2:O555),$O$2:$O$1001,0),MATCH(COLUMNS($V$1006:Z1006),$V$1006:$AE$1006,0)), HYPERLINK("#",""), HYPERLINK(CONCATENATE("#Metadata!", ADDRESS(INDEX($Q$2:$Q$1001,MATCH(ROWS($O$2:O555),$O$2:$O$1001,0),0), INDEX($V$1004:$AE$1004,1,MATCH(COLUMNS($V$1006:Z1006),$V$1006:$AE$1006,0)))),"Fix")))</f>
        <v>0</v>
      </c>
      <c r="G555" s="3">
        <f>IF(OR(INDEX($P$2:$P$1001,MATCH(ROWS($O$2:O555),$O$2:$O$1001,0),1)&gt;=100000,INDEX($V$1005:$AE$1005,1,MATCH(COLUMNS($V$1006:AA1006),$V$1006:$AE$1006,0))&gt;=100000), " ",IF(INDEX($V$2:$AE$1001,MATCH(ROWS($O$2:O555),$O$2:$O$1001,0),MATCH(COLUMNS($V$1006:AA1006),$V$1006:$AE$1006,0)), HYPERLINK("#",""), HYPERLINK(CONCATENATE("#Metadata!", ADDRESS(INDEX($Q$2:$Q$1001,MATCH(ROWS($O$2:O555),$O$2:$O$1001,0),0), INDEX($V$1004:$AE$1004,1,MATCH(COLUMNS($V$1006:AA1006),$V$1006:$AE$1006,0)))),"Fix")))</f>
        <v>0</v>
      </c>
      <c r="H555" s="3">
        <f>IF(OR(INDEX($P$2:$P$1001,MATCH(ROWS($O$2:O555),$O$2:$O$1001,0),1)&gt;=100000,INDEX($V$1005:$AE$1005,1,MATCH(COLUMNS($V$1006:AB1006),$V$1006:$AE$1006,0))&gt;=100000), " ",IF(INDEX($V$2:$AE$1001,MATCH(ROWS($O$2:O555),$O$2:$O$1001,0),MATCH(COLUMNS($V$1006:AB1006),$V$1006:$AE$1006,0)), HYPERLINK("#",""), HYPERLINK(CONCATENATE("#Metadata!", ADDRESS(INDEX($Q$2:$Q$1001,MATCH(ROWS($O$2:O555),$O$2:$O$1001,0),0), INDEX($V$1004:$AE$1004,1,MATCH(COLUMNS($V$1006:AB1006),$V$1006:$AE$1006,0)))),"Fix")))</f>
        <v>0</v>
      </c>
      <c r="I555" s="3">
        <f>IF(OR(INDEX($P$2:$P$1001,MATCH(ROWS($O$2:O555),$O$2:$O$1001,0),1)&gt;=100000,INDEX($V$1005:$AE$1005,1,MATCH(COLUMNS($V$1006:AC1006),$V$1006:$AE$1006,0))&gt;=100000), " ",IF(INDEX($V$2:$AE$1001,MATCH(ROWS($O$2:O555),$O$2:$O$1001,0),MATCH(COLUMNS($V$1006:AC1006),$V$1006:$AE$1006,0)), HYPERLINK("#",""), HYPERLINK(CONCATENATE("#Metadata!", ADDRESS(INDEX($Q$2:$Q$1001,MATCH(ROWS($O$2:O555),$O$2:$O$1001,0),0), INDEX($V$1004:$AE$1004,1,MATCH(COLUMNS($V$1006:AC1006),$V$1006:$AE$1006,0)))),"Fix")))</f>
        <v>0</v>
      </c>
      <c r="J555" s="3">
        <f>IF(OR(INDEX($P$2:$P$1001,MATCH(ROWS($O$2:O555),$O$2:$O$1001,0),1)&gt;=100000,INDEX($V$1005:$AE$1005,1,MATCH(COLUMNS($V$1006:AD1006),$V$1006:$AE$1006,0))&gt;=100000), " ",IF(INDEX($V$2:$AE$1001,MATCH(ROWS($O$2:O555),$O$2:$O$1001,0),MATCH(COLUMNS($V$1006:AD1006),$V$1006:$AE$1006,0)), HYPERLINK("#",""), HYPERLINK(CONCATENATE("#Metadata!", ADDRESS(INDEX($Q$2:$Q$1001,MATCH(ROWS($O$2:O555),$O$2:$O$1001,0),0), INDEX($V$1004:$AE$1004,1,MATCH(COLUMNS($V$1006:AD1006),$V$1006:$AE$1006,0)))),"Fix")))</f>
        <v>0</v>
      </c>
      <c r="K555" s="3">
        <f>IF(OR(INDEX($P$2:$P$1001,MATCH(ROWS($O$2:O555),$O$2:$O$1001,0),1)&gt;=100000,INDEX($V$1005:$AE$1005,1,MATCH(COLUMNS($V$1006:AE1006),$V$1006:$AE$1006,0))&gt;=100000), " ",IF(INDEX($V$2:$AE$1001,MATCH(ROWS($O$2:O555),$O$2:$O$1001,0),MATCH(COLUMNS($V$1006:AE1006),$V$1006:$AE$1006,0)), HYPERLINK("#",""), HYPERLINK(CONCATENATE("#Metadata!", ADDRESS(INDEX($Q$2:$Q$1001,MATCH(ROWS($O$2:O555),$O$2:$O$1001,0),0), INDEX($V$1004:$AE$1004,1,MATCH(COLUMNS($V$1006:AE1006),$V$1006:$AE$1006,0)))),"Fix")))</f>
        <v>0</v>
      </c>
      <c r="O555">
        <v>0</v>
      </c>
      <c r="P555">
        <v>0</v>
      </c>
      <c r="Q555">
        <v>0</v>
      </c>
      <c r="R555">
        <f>IF(S555,TRUE,AND(V555:AE555))</f>
        <v>0</v>
      </c>
      <c r="S555">
        <f>COUNTBLANK(Metadata!B555:K555)=COLUMNS(Metadata!B555:K555)</f>
        <v>0</v>
      </c>
      <c r="T555">
        <v>0</v>
      </c>
      <c r="V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W555">
        <f>AND(IF(Metadata!C555="",FALSE,TRUE),exact(Metadata!C555,"animal secretion"))</f>
        <v>0</v>
      </c>
      <c r="X555">
        <f>AND(IF(Metadata!D555="",FALSE,TRUE),exact(Metadata!D555,"saliva"))</f>
        <v>0</v>
      </c>
      <c r="Y555">
        <f>AND(IF(Metadata!E555="",FALSE,TRUE),exact(Metadata!E555,"human-oral"))</f>
        <v>0</v>
      </c>
      <c r="Z555">
        <f>AND(IF(Metadata!F555="",FALSE,TRUE),exact(Metadata!F555,"UBERON:oral cavity"))</f>
        <v>0</v>
      </c>
      <c r="AA555">
        <f>AND(IF(Metadata!G555="",FALSE,TRUE),exact(Metadata!G555,"UBERON:saliva"))</f>
        <v>0</v>
      </c>
      <c r="AB555">
        <f>AND(IF(Metadata!H555="",FALSE,TRUE),exact(Metadata!H555,"UBERON:tongue"))</f>
        <v>0</v>
      </c>
      <c r="AC555">
        <f>AND(IF(Metadata!I555="",FALSE,TRUE),exact(Metadata!I555,"tongue"))</f>
        <v>0</v>
      </c>
      <c r="AD555">
        <f>AND(IF(Metadata!J555="",FALSE,TRUE),exact(Metadata!J555,"human oral metagenome"))</f>
        <v>0</v>
      </c>
      <c r="AE555">
        <f>AND(IF(Metadata!K555="",FALSE,TRUE),exact(Metadata!K555,"447426"))</f>
        <v>0</v>
      </c>
    </row>
    <row r="556" spans="1:31">
      <c r="A556" s="4">
        <f>IF(B556=" "," ",HYPERLINK(CONCATENATE("#metadata!",ADDRESS(INDEX($Q$2:$Q$1001,MATCH(ROWS($O$2:O556),$O$2:$O$1001,0),0),1)),INDEX($T$2:$T$1001,MATCH(ROWS($O$2:O556),$O$2:$O$1001,0),0)))</f>
        <v>0</v>
      </c>
      <c r="B556" s="3">
        <f>IF(OR(INDEX($P$2:$P$1001,MATCH(ROWS($O$2:O556),$O$2:$O$1001,0),1)&gt;=100000,INDEX($V$1005:$AE$1005,1,MATCH(COLUMNS($V$1006:V1006),$V$1006:$AE$1006,0))&gt;=100000), " ",IF(INDEX($V$2:$AE$1001,MATCH(ROWS($O$2:O556),$O$2:$O$1001,0),MATCH(COLUMNS($V$1006:V1006),$V$1006:$AE$1006,0)), HYPERLINK("#",""), HYPERLINK(CONCATENATE("#Metadata!", ADDRESS(INDEX($Q$2:$Q$1001,MATCH(ROWS($O$2:O556),$O$2:$O$1001,0),0), INDEX($V$1004:$AE$1004,1,MATCH(COLUMNS($V$1006:V1006),$V$1006:$AE$1006,0)))),"Fix")))</f>
        <v>0</v>
      </c>
      <c r="C556" s="3">
        <f>IF(OR(INDEX($P$2:$P$1001,MATCH(ROWS($O$2:O556),$O$2:$O$1001,0),1)&gt;=100000,INDEX($V$1005:$AE$1005,1,MATCH(COLUMNS($V$1006:W1006),$V$1006:$AE$1006,0))&gt;=100000), " ",IF(INDEX($V$2:$AE$1001,MATCH(ROWS($O$2:O556),$O$2:$O$1001,0),MATCH(COLUMNS($V$1006:W1006),$V$1006:$AE$1006,0)), HYPERLINK("#",""), HYPERLINK(CONCATENATE("#Metadata!", ADDRESS(INDEX($Q$2:$Q$1001,MATCH(ROWS($O$2:O556),$O$2:$O$1001,0),0), INDEX($V$1004:$AE$1004,1,MATCH(COLUMNS($V$1006:W1006),$V$1006:$AE$1006,0)))),"Fix")))</f>
        <v>0</v>
      </c>
      <c r="D556" s="3">
        <f>IF(OR(INDEX($P$2:$P$1001,MATCH(ROWS($O$2:O556),$O$2:$O$1001,0),1)&gt;=100000,INDEX($V$1005:$AE$1005,1,MATCH(COLUMNS($V$1006:X1006),$V$1006:$AE$1006,0))&gt;=100000), " ",IF(INDEX($V$2:$AE$1001,MATCH(ROWS($O$2:O556),$O$2:$O$1001,0),MATCH(COLUMNS($V$1006:X1006),$V$1006:$AE$1006,0)), HYPERLINK("#",""), HYPERLINK(CONCATENATE("#Metadata!", ADDRESS(INDEX($Q$2:$Q$1001,MATCH(ROWS($O$2:O556),$O$2:$O$1001,0),0), INDEX($V$1004:$AE$1004,1,MATCH(COLUMNS($V$1006:X1006),$V$1006:$AE$1006,0)))),"Fix")))</f>
        <v>0</v>
      </c>
      <c r="E556" s="3">
        <f>IF(OR(INDEX($P$2:$P$1001,MATCH(ROWS($O$2:O556),$O$2:$O$1001,0),1)&gt;=100000,INDEX($V$1005:$AE$1005,1,MATCH(COLUMNS($V$1006:Y1006),$V$1006:$AE$1006,0))&gt;=100000), " ",IF(INDEX($V$2:$AE$1001,MATCH(ROWS($O$2:O556),$O$2:$O$1001,0),MATCH(COLUMNS($V$1006:Y1006),$V$1006:$AE$1006,0)), HYPERLINK("#",""), HYPERLINK(CONCATENATE("#Metadata!", ADDRESS(INDEX($Q$2:$Q$1001,MATCH(ROWS($O$2:O556),$O$2:$O$1001,0),0), INDEX($V$1004:$AE$1004,1,MATCH(COLUMNS($V$1006:Y1006),$V$1006:$AE$1006,0)))),"Fix")))</f>
        <v>0</v>
      </c>
      <c r="F556" s="3">
        <f>IF(OR(INDEX($P$2:$P$1001,MATCH(ROWS($O$2:O556),$O$2:$O$1001,0),1)&gt;=100000,INDEX($V$1005:$AE$1005,1,MATCH(COLUMNS($V$1006:Z1006),$V$1006:$AE$1006,0))&gt;=100000), " ",IF(INDEX($V$2:$AE$1001,MATCH(ROWS($O$2:O556),$O$2:$O$1001,0),MATCH(COLUMNS($V$1006:Z1006),$V$1006:$AE$1006,0)), HYPERLINK("#",""), HYPERLINK(CONCATENATE("#Metadata!", ADDRESS(INDEX($Q$2:$Q$1001,MATCH(ROWS($O$2:O556),$O$2:$O$1001,0),0), INDEX($V$1004:$AE$1004,1,MATCH(COLUMNS($V$1006:Z1006),$V$1006:$AE$1006,0)))),"Fix")))</f>
        <v>0</v>
      </c>
      <c r="G556" s="3">
        <f>IF(OR(INDEX($P$2:$P$1001,MATCH(ROWS($O$2:O556),$O$2:$O$1001,0),1)&gt;=100000,INDEX($V$1005:$AE$1005,1,MATCH(COLUMNS($V$1006:AA1006),$V$1006:$AE$1006,0))&gt;=100000), " ",IF(INDEX($V$2:$AE$1001,MATCH(ROWS($O$2:O556),$O$2:$O$1001,0),MATCH(COLUMNS($V$1006:AA1006),$V$1006:$AE$1006,0)), HYPERLINK("#",""), HYPERLINK(CONCATENATE("#Metadata!", ADDRESS(INDEX($Q$2:$Q$1001,MATCH(ROWS($O$2:O556),$O$2:$O$1001,0),0), INDEX($V$1004:$AE$1004,1,MATCH(COLUMNS($V$1006:AA1006),$V$1006:$AE$1006,0)))),"Fix")))</f>
        <v>0</v>
      </c>
      <c r="H556" s="3">
        <f>IF(OR(INDEX($P$2:$P$1001,MATCH(ROWS($O$2:O556),$O$2:$O$1001,0),1)&gt;=100000,INDEX($V$1005:$AE$1005,1,MATCH(COLUMNS($V$1006:AB1006),$V$1006:$AE$1006,0))&gt;=100000), " ",IF(INDEX($V$2:$AE$1001,MATCH(ROWS($O$2:O556),$O$2:$O$1001,0),MATCH(COLUMNS($V$1006:AB1006),$V$1006:$AE$1006,0)), HYPERLINK("#",""), HYPERLINK(CONCATENATE("#Metadata!", ADDRESS(INDEX($Q$2:$Q$1001,MATCH(ROWS($O$2:O556),$O$2:$O$1001,0),0), INDEX($V$1004:$AE$1004,1,MATCH(COLUMNS($V$1006:AB1006),$V$1006:$AE$1006,0)))),"Fix")))</f>
        <v>0</v>
      </c>
      <c r="I556" s="3">
        <f>IF(OR(INDEX($P$2:$P$1001,MATCH(ROWS($O$2:O556),$O$2:$O$1001,0),1)&gt;=100000,INDEX($V$1005:$AE$1005,1,MATCH(COLUMNS($V$1006:AC1006),$V$1006:$AE$1006,0))&gt;=100000), " ",IF(INDEX($V$2:$AE$1001,MATCH(ROWS($O$2:O556),$O$2:$O$1001,0),MATCH(COLUMNS($V$1006:AC1006),$V$1006:$AE$1006,0)), HYPERLINK("#",""), HYPERLINK(CONCATENATE("#Metadata!", ADDRESS(INDEX($Q$2:$Q$1001,MATCH(ROWS($O$2:O556),$O$2:$O$1001,0),0), INDEX($V$1004:$AE$1004,1,MATCH(COLUMNS($V$1006:AC1006),$V$1006:$AE$1006,0)))),"Fix")))</f>
        <v>0</v>
      </c>
      <c r="J556" s="3">
        <f>IF(OR(INDEX($P$2:$P$1001,MATCH(ROWS($O$2:O556),$O$2:$O$1001,0),1)&gt;=100000,INDEX($V$1005:$AE$1005,1,MATCH(COLUMNS($V$1006:AD1006),$V$1006:$AE$1006,0))&gt;=100000), " ",IF(INDEX($V$2:$AE$1001,MATCH(ROWS($O$2:O556),$O$2:$O$1001,0),MATCH(COLUMNS($V$1006:AD1006),$V$1006:$AE$1006,0)), HYPERLINK("#",""), HYPERLINK(CONCATENATE("#Metadata!", ADDRESS(INDEX($Q$2:$Q$1001,MATCH(ROWS($O$2:O556),$O$2:$O$1001,0),0), INDEX($V$1004:$AE$1004,1,MATCH(COLUMNS($V$1006:AD1006),$V$1006:$AE$1006,0)))),"Fix")))</f>
        <v>0</v>
      </c>
      <c r="K556" s="3">
        <f>IF(OR(INDEX($P$2:$P$1001,MATCH(ROWS($O$2:O556),$O$2:$O$1001,0),1)&gt;=100000,INDEX($V$1005:$AE$1005,1,MATCH(COLUMNS($V$1006:AE1006),$V$1006:$AE$1006,0))&gt;=100000), " ",IF(INDEX($V$2:$AE$1001,MATCH(ROWS($O$2:O556),$O$2:$O$1001,0),MATCH(COLUMNS($V$1006:AE1006),$V$1006:$AE$1006,0)), HYPERLINK("#",""), HYPERLINK(CONCATENATE("#Metadata!", ADDRESS(INDEX($Q$2:$Q$1001,MATCH(ROWS($O$2:O556),$O$2:$O$1001,0),0), INDEX($V$1004:$AE$1004,1,MATCH(COLUMNS($V$1006:AE1006),$V$1006:$AE$1006,0)))),"Fix")))</f>
        <v>0</v>
      </c>
      <c r="O556">
        <v>0</v>
      </c>
      <c r="P556">
        <v>0</v>
      </c>
      <c r="Q556">
        <v>0</v>
      </c>
      <c r="R556">
        <f>IF(S556,TRUE,AND(V556:AE556))</f>
        <v>0</v>
      </c>
      <c r="S556">
        <f>COUNTBLANK(Metadata!B556:K556)=COLUMNS(Metadata!B556:K556)</f>
        <v>0</v>
      </c>
      <c r="T556">
        <v>0</v>
      </c>
      <c r="V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W556">
        <f>AND(IF(Metadata!C556="",FALSE,TRUE),exact(Metadata!C556,"animal secretion"))</f>
        <v>0</v>
      </c>
      <c r="X556">
        <f>AND(IF(Metadata!D556="",FALSE,TRUE),exact(Metadata!D556,"saliva"))</f>
        <v>0</v>
      </c>
      <c r="Y556">
        <f>AND(IF(Metadata!E556="",FALSE,TRUE),exact(Metadata!E556,"human-oral"))</f>
        <v>0</v>
      </c>
      <c r="Z556">
        <f>AND(IF(Metadata!F556="",FALSE,TRUE),exact(Metadata!F556,"UBERON:oral cavity"))</f>
        <v>0</v>
      </c>
      <c r="AA556">
        <f>AND(IF(Metadata!G556="",FALSE,TRUE),exact(Metadata!G556,"UBERON:saliva"))</f>
        <v>0</v>
      </c>
      <c r="AB556">
        <f>AND(IF(Metadata!H556="",FALSE,TRUE),exact(Metadata!H556,"UBERON:tongue"))</f>
        <v>0</v>
      </c>
      <c r="AC556">
        <f>AND(IF(Metadata!I556="",FALSE,TRUE),exact(Metadata!I556,"tongue"))</f>
        <v>0</v>
      </c>
      <c r="AD556">
        <f>AND(IF(Metadata!J556="",FALSE,TRUE),exact(Metadata!J556,"human oral metagenome"))</f>
        <v>0</v>
      </c>
      <c r="AE556">
        <f>AND(IF(Metadata!K556="",FALSE,TRUE),exact(Metadata!K556,"447426"))</f>
        <v>0</v>
      </c>
    </row>
    <row r="557" spans="1:31">
      <c r="A557" s="4">
        <f>IF(B557=" "," ",HYPERLINK(CONCATENATE("#metadata!",ADDRESS(INDEX($Q$2:$Q$1001,MATCH(ROWS($O$2:O557),$O$2:$O$1001,0),0),1)),INDEX($T$2:$T$1001,MATCH(ROWS($O$2:O557),$O$2:$O$1001,0),0)))</f>
        <v>0</v>
      </c>
      <c r="B557" s="3">
        <f>IF(OR(INDEX($P$2:$P$1001,MATCH(ROWS($O$2:O557),$O$2:$O$1001,0),1)&gt;=100000,INDEX($V$1005:$AE$1005,1,MATCH(COLUMNS($V$1006:V1006),$V$1006:$AE$1006,0))&gt;=100000), " ",IF(INDEX($V$2:$AE$1001,MATCH(ROWS($O$2:O557),$O$2:$O$1001,0),MATCH(COLUMNS($V$1006:V1006),$V$1006:$AE$1006,0)), HYPERLINK("#",""), HYPERLINK(CONCATENATE("#Metadata!", ADDRESS(INDEX($Q$2:$Q$1001,MATCH(ROWS($O$2:O557),$O$2:$O$1001,0),0), INDEX($V$1004:$AE$1004,1,MATCH(COLUMNS($V$1006:V1006),$V$1006:$AE$1006,0)))),"Fix")))</f>
        <v>0</v>
      </c>
      <c r="C557" s="3">
        <f>IF(OR(INDEX($P$2:$P$1001,MATCH(ROWS($O$2:O557),$O$2:$O$1001,0),1)&gt;=100000,INDEX($V$1005:$AE$1005,1,MATCH(COLUMNS($V$1006:W1006),$V$1006:$AE$1006,0))&gt;=100000), " ",IF(INDEX($V$2:$AE$1001,MATCH(ROWS($O$2:O557),$O$2:$O$1001,0),MATCH(COLUMNS($V$1006:W1006),$V$1006:$AE$1006,0)), HYPERLINK("#",""), HYPERLINK(CONCATENATE("#Metadata!", ADDRESS(INDEX($Q$2:$Q$1001,MATCH(ROWS($O$2:O557),$O$2:$O$1001,0),0), INDEX($V$1004:$AE$1004,1,MATCH(COLUMNS($V$1006:W1006),$V$1006:$AE$1006,0)))),"Fix")))</f>
        <v>0</v>
      </c>
      <c r="D557" s="3">
        <f>IF(OR(INDEX($P$2:$P$1001,MATCH(ROWS($O$2:O557),$O$2:$O$1001,0),1)&gt;=100000,INDEX($V$1005:$AE$1005,1,MATCH(COLUMNS($V$1006:X1006),$V$1006:$AE$1006,0))&gt;=100000), " ",IF(INDEX($V$2:$AE$1001,MATCH(ROWS($O$2:O557),$O$2:$O$1001,0),MATCH(COLUMNS($V$1006:X1006),$V$1006:$AE$1006,0)), HYPERLINK("#",""), HYPERLINK(CONCATENATE("#Metadata!", ADDRESS(INDEX($Q$2:$Q$1001,MATCH(ROWS($O$2:O557),$O$2:$O$1001,0),0), INDEX($V$1004:$AE$1004,1,MATCH(COLUMNS($V$1006:X1006),$V$1006:$AE$1006,0)))),"Fix")))</f>
        <v>0</v>
      </c>
      <c r="E557" s="3">
        <f>IF(OR(INDEX($P$2:$P$1001,MATCH(ROWS($O$2:O557),$O$2:$O$1001,0),1)&gt;=100000,INDEX($V$1005:$AE$1005,1,MATCH(COLUMNS($V$1006:Y1006),$V$1006:$AE$1006,0))&gt;=100000), " ",IF(INDEX($V$2:$AE$1001,MATCH(ROWS($O$2:O557),$O$2:$O$1001,0),MATCH(COLUMNS($V$1006:Y1006),$V$1006:$AE$1006,0)), HYPERLINK("#",""), HYPERLINK(CONCATENATE("#Metadata!", ADDRESS(INDEX($Q$2:$Q$1001,MATCH(ROWS($O$2:O557),$O$2:$O$1001,0),0), INDEX($V$1004:$AE$1004,1,MATCH(COLUMNS($V$1006:Y1006),$V$1006:$AE$1006,0)))),"Fix")))</f>
        <v>0</v>
      </c>
      <c r="F557" s="3">
        <f>IF(OR(INDEX($P$2:$P$1001,MATCH(ROWS($O$2:O557),$O$2:$O$1001,0),1)&gt;=100000,INDEX($V$1005:$AE$1005,1,MATCH(COLUMNS($V$1006:Z1006),$V$1006:$AE$1006,0))&gt;=100000), " ",IF(INDEX($V$2:$AE$1001,MATCH(ROWS($O$2:O557),$O$2:$O$1001,0),MATCH(COLUMNS($V$1006:Z1006),$V$1006:$AE$1006,0)), HYPERLINK("#",""), HYPERLINK(CONCATENATE("#Metadata!", ADDRESS(INDEX($Q$2:$Q$1001,MATCH(ROWS($O$2:O557),$O$2:$O$1001,0),0), INDEX($V$1004:$AE$1004,1,MATCH(COLUMNS($V$1006:Z1006),$V$1006:$AE$1006,0)))),"Fix")))</f>
        <v>0</v>
      </c>
      <c r="G557" s="3">
        <f>IF(OR(INDEX($P$2:$P$1001,MATCH(ROWS($O$2:O557),$O$2:$O$1001,0),1)&gt;=100000,INDEX($V$1005:$AE$1005,1,MATCH(COLUMNS($V$1006:AA1006),$V$1006:$AE$1006,0))&gt;=100000), " ",IF(INDEX($V$2:$AE$1001,MATCH(ROWS($O$2:O557),$O$2:$O$1001,0),MATCH(COLUMNS($V$1006:AA1006),$V$1006:$AE$1006,0)), HYPERLINK("#",""), HYPERLINK(CONCATENATE("#Metadata!", ADDRESS(INDEX($Q$2:$Q$1001,MATCH(ROWS($O$2:O557),$O$2:$O$1001,0),0), INDEX($V$1004:$AE$1004,1,MATCH(COLUMNS($V$1006:AA1006),$V$1006:$AE$1006,0)))),"Fix")))</f>
        <v>0</v>
      </c>
      <c r="H557" s="3">
        <f>IF(OR(INDEX($P$2:$P$1001,MATCH(ROWS($O$2:O557),$O$2:$O$1001,0),1)&gt;=100000,INDEX($V$1005:$AE$1005,1,MATCH(COLUMNS($V$1006:AB1006),$V$1006:$AE$1006,0))&gt;=100000), " ",IF(INDEX($V$2:$AE$1001,MATCH(ROWS($O$2:O557),$O$2:$O$1001,0),MATCH(COLUMNS($V$1006:AB1006),$V$1006:$AE$1006,0)), HYPERLINK("#",""), HYPERLINK(CONCATENATE("#Metadata!", ADDRESS(INDEX($Q$2:$Q$1001,MATCH(ROWS($O$2:O557),$O$2:$O$1001,0),0), INDEX($V$1004:$AE$1004,1,MATCH(COLUMNS($V$1006:AB1006),$V$1006:$AE$1006,0)))),"Fix")))</f>
        <v>0</v>
      </c>
      <c r="I557" s="3">
        <f>IF(OR(INDEX($P$2:$P$1001,MATCH(ROWS($O$2:O557),$O$2:$O$1001,0),1)&gt;=100000,INDEX($V$1005:$AE$1005,1,MATCH(COLUMNS($V$1006:AC1006),$V$1006:$AE$1006,0))&gt;=100000), " ",IF(INDEX($V$2:$AE$1001,MATCH(ROWS($O$2:O557),$O$2:$O$1001,0),MATCH(COLUMNS($V$1006:AC1006),$V$1006:$AE$1006,0)), HYPERLINK("#",""), HYPERLINK(CONCATENATE("#Metadata!", ADDRESS(INDEX($Q$2:$Q$1001,MATCH(ROWS($O$2:O557),$O$2:$O$1001,0),0), INDEX($V$1004:$AE$1004,1,MATCH(COLUMNS($V$1006:AC1006),$V$1006:$AE$1006,0)))),"Fix")))</f>
        <v>0</v>
      </c>
      <c r="J557" s="3">
        <f>IF(OR(INDEX($P$2:$P$1001,MATCH(ROWS($O$2:O557),$O$2:$O$1001,0),1)&gt;=100000,INDEX($V$1005:$AE$1005,1,MATCH(COLUMNS($V$1006:AD1006),$V$1006:$AE$1006,0))&gt;=100000), " ",IF(INDEX($V$2:$AE$1001,MATCH(ROWS($O$2:O557),$O$2:$O$1001,0),MATCH(COLUMNS($V$1006:AD1006),$V$1006:$AE$1006,0)), HYPERLINK("#",""), HYPERLINK(CONCATENATE("#Metadata!", ADDRESS(INDEX($Q$2:$Q$1001,MATCH(ROWS($O$2:O557),$O$2:$O$1001,0),0), INDEX($V$1004:$AE$1004,1,MATCH(COLUMNS($V$1006:AD1006),$V$1006:$AE$1006,0)))),"Fix")))</f>
        <v>0</v>
      </c>
      <c r="K557" s="3">
        <f>IF(OR(INDEX($P$2:$P$1001,MATCH(ROWS($O$2:O557),$O$2:$O$1001,0),1)&gt;=100000,INDEX($V$1005:$AE$1005,1,MATCH(COLUMNS($V$1006:AE1006),$V$1006:$AE$1006,0))&gt;=100000), " ",IF(INDEX($V$2:$AE$1001,MATCH(ROWS($O$2:O557),$O$2:$O$1001,0),MATCH(COLUMNS($V$1006:AE1006),$V$1006:$AE$1006,0)), HYPERLINK("#",""), HYPERLINK(CONCATENATE("#Metadata!", ADDRESS(INDEX($Q$2:$Q$1001,MATCH(ROWS($O$2:O557),$O$2:$O$1001,0),0), INDEX($V$1004:$AE$1004,1,MATCH(COLUMNS($V$1006:AE1006),$V$1006:$AE$1006,0)))),"Fix")))</f>
        <v>0</v>
      </c>
      <c r="O557">
        <v>0</v>
      </c>
      <c r="P557">
        <v>0</v>
      </c>
      <c r="Q557">
        <v>0</v>
      </c>
      <c r="R557">
        <f>IF(S557,TRUE,AND(V557:AE557))</f>
        <v>0</v>
      </c>
      <c r="S557">
        <f>COUNTBLANK(Metadata!B557:K557)=COLUMNS(Metadata!B557:K557)</f>
        <v>0</v>
      </c>
      <c r="T557">
        <v>0</v>
      </c>
      <c r="V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W557">
        <f>AND(IF(Metadata!C557="",FALSE,TRUE),exact(Metadata!C557,"animal secretion"))</f>
        <v>0</v>
      </c>
      <c r="X557">
        <f>AND(IF(Metadata!D557="",FALSE,TRUE),exact(Metadata!D557,"saliva"))</f>
        <v>0</v>
      </c>
      <c r="Y557">
        <f>AND(IF(Metadata!E557="",FALSE,TRUE),exact(Metadata!E557,"human-oral"))</f>
        <v>0</v>
      </c>
      <c r="Z557">
        <f>AND(IF(Metadata!F557="",FALSE,TRUE),exact(Metadata!F557,"UBERON:oral cavity"))</f>
        <v>0</v>
      </c>
      <c r="AA557">
        <f>AND(IF(Metadata!G557="",FALSE,TRUE),exact(Metadata!G557,"UBERON:saliva"))</f>
        <v>0</v>
      </c>
      <c r="AB557">
        <f>AND(IF(Metadata!H557="",FALSE,TRUE),exact(Metadata!H557,"UBERON:tongue"))</f>
        <v>0</v>
      </c>
      <c r="AC557">
        <f>AND(IF(Metadata!I557="",FALSE,TRUE),exact(Metadata!I557,"tongue"))</f>
        <v>0</v>
      </c>
      <c r="AD557">
        <f>AND(IF(Metadata!J557="",FALSE,TRUE),exact(Metadata!J557,"human oral metagenome"))</f>
        <v>0</v>
      </c>
      <c r="AE557">
        <f>AND(IF(Metadata!K557="",FALSE,TRUE),exact(Metadata!K557,"447426"))</f>
        <v>0</v>
      </c>
    </row>
    <row r="558" spans="1:31">
      <c r="A558" s="4">
        <f>IF(B558=" "," ",HYPERLINK(CONCATENATE("#metadata!",ADDRESS(INDEX($Q$2:$Q$1001,MATCH(ROWS($O$2:O558),$O$2:$O$1001,0),0),1)),INDEX($T$2:$T$1001,MATCH(ROWS($O$2:O558),$O$2:$O$1001,0),0)))</f>
        <v>0</v>
      </c>
      <c r="B558" s="3">
        <f>IF(OR(INDEX($P$2:$P$1001,MATCH(ROWS($O$2:O558),$O$2:$O$1001,0),1)&gt;=100000,INDEX($V$1005:$AE$1005,1,MATCH(COLUMNS($V$1006:V1006),$V$1006:$AE$1006,0))&gt;=100000), " ",IF(INDEX($V$2:$AE$1001,MATCH(ROWS($O$2:O558),$O$2:$O$1001,0),MATCH(COLUMNS($V$1006:V1006),$V$1006:$AE$1006,0)), HYPERLINK("#",""), HYPERLINK(CONCATENATE("#Metadata!", ADDRESS(INDEX($Q$2:$Q$1001,MATCH(ROWS($O$2:O558),$O$2:$O$1001,0),0), INDEX($V$1004:$AE$1004,1,MATCH(COLUMNS($V$1006:V1006),$V$1006:$AE$1006,0)))),"Fix")))</f>
        <v>0</v>
      </c>
      <c r="C558" s="3">
        <f>IF(OR(INDEX($P$2:$P$1001,MATCH(ROWS($O$2:O558),$O$2:$O$1001,0),1)&gt;=100000,INDEX($V$1005:$AE$1005,1,MATCH(COLUMNS($V$1006:W1006),$V$1006:$AE$1006,0))&gt;=100000), " ",IF(INDEX($V$2:$AE$1001,MATCH(ROWS($O$2:O558),$O$2:$O$1001,0),MATCH(COLUMNS($V$1006:W1006),$V$1006:$AE$1006,0)), HYPERLINK("#",""), HYPERLINK(CONCATENATE("#Metadata!", ADDRESS(INDEX($Q$2:$Q$1001,MATCH(ROWS($O$2:O558),$O$2:$O$1001,0),0), INDEX($V$1004:$AE$1004,1,MATCH(COLUMNS($V$1006:W1006),$V$1006:$AE$1006,0)))),"Fix")))</f>
        <v>0</v>
      </c>
      <c r="D558" s="3">
        <f>IF(OR(INDEX($P$2:$P$1001,MATCH(ROWS($O$2:O558),$O$2:$O$1001,0),1)&gt;=100000,INDEX($V$1005:$AE$1005,1,MATCH(COLUMNS($V$1006:X1006),$V$1006:$AE$1006,0))&gt;=100000), " ",IF(INDEX($V$2:$AE$1001,MATCH(ROWS($O$2:O558),$O$2:$O$1001,0),MATCH(COLUMNS($V$1006:X1006),$V$1006:$AE$1006,0)), HYPERLINK("#",""), HYPERLINK(CONCATENATE("#Metadata!", ADDRESS(INDEX($Q$2:$Q$1001,MATCH(ROWS($O$2:O558),$O$2:$O$1001,0),0), INDEX($V$1004:$AE$1004,1,MATCH(COLUMNS($V$1006:X1006),$V$1006:$AE$1006,0)))),"Fix")))</f>
        <v>0</v>
      </c>
      <c r="E558" s="3">
        <f>IF(OR(INDEX($P$2:$P$1001,MATCH(ROWS($O$2:O558),$O$2:$O$1001,0),1)&gt;=100000,INDEX($V$1005:$AE$1005,1,MATCH(COLUMNS($V$1006:Y1006),$V$1006:$AE$1006,0))&gt;=100000), " ",IF(INDEX($V$2:$AE$1001,MATCH(ROWS($O$2:O558),$O$2:$O$1001,0),MATCH(COLUMNS($V$1006:Y1006),$V$1006:$AE$1006,0)), HYPERLINK("#",""), HYPERLINK(CONCATENATE("#Metadata!", ADDRESS(INDEX($Q$2:$Q$1001,MATCH(ROWS($O$2:O558),$O$2:$O$1001,0),0), INDEX($V$1004:$AE$1004,1,MATCH(COLUMNS($V$1006:Y1006),$V$1006:$AE$1006,0)))),"Fix")))</f>
        <v>0</v>
      </c>
      <c r="F558" s="3">
        <f>IF(OR(INDEX($P$2:$P$1001,MATCH(ROWS($O$2:O558),$O$2:$O$1001,0),1)&gt;=100000,INDEX($V$1005:$AE$1005,1,MATCH(COLUMNS($V$1006:Z1006),$V$1006:$AE$1006,0))&gt;=100000), " ",IF(INDEX($V$2:$AE$1001,MATCH(ROWS($O$2:O558),$O$2:$O$1001,0),MATCH(COLUMNS($V$1006:Z1006),$V$1006:$AE$1006,0)), HYPERLINK("#",""), HYPERLINK(CONCATENATE("#Metadata!", ADDRESS(INDEX($Q$2:$Q$1001,MATCH(ROWS($O$2:O558),$O$2:$O$1001,0),0), INDEX($V$1004:$AE$1004,1,MATCH(COLUMNS($V$1006:Z1006),$V$1006:$AE$1006,0)))),"Fix")))</f>
        <v>0</v>
      </c>
      <c r="G558" s="3">
        <f>IF(OR(INDEX($P$2:$P$1001,MATCH(ROWS($O$2:O558),$O$2:$O$1001,0),1)&gt;=100000,INDEX($V$1005:$AE$1005,1,MATCH(COLUMNS($V$1006:AA1006),$V$1006:$AE$1006,0))&gt;=100000), " ",IF(INDEX($V$2:$AE$1001,MATCH(ROWS($O$2:O558),$O$2:$O$1001,0),MATCH(COLUMNS($V$1006:AA1006),$V$1006:$AE$1006,0)), HYPERLINK("#",""), HYPERLINK(CONCATENATE("#Metadata!", ADDRESS(INDEX($Q$2:$Q$1001,MATCH(ROWS($O$2:O558),$O$2:$O$1001,0),0), INDEX($V$1004:$AE$1004,1,MATCH(COLUMNS($V$1006:AA1006),$V$1006:$AE$1006,0)))),"Fix")))</f>
        <v>0</v>
      </c>
      <c r="H558" s="3">
        <f>IF(OR(INDEX($P$2:$P$1001,MATCH(ROWS($O$2:O558),$O$2:$O$1001,0),1)&gt;=100000,INDEX($V$1005:$AE$1005,1,MATCH(COLUMNS($V$1006:AB1006),$V$1006:$AE$1006,0))&gt;=100000), " ",IF(INDEX($V$2:$AE$1001,MATCH(ROWS($O$2:O558),$O$2:$O$1001,0),MATCH(COLUMNS($V$1006:AB1006),$V$1006:$AE$1006,0)), HYPERLINK("#",""), HYPERLINK(CONCATENATE("#Metadata!", ADDRESS(INDEX($Q$2:$Q$1001,MATCH(ROWS($O$2:O558),$O$2:$O$1001,0),0), INDEX($V$1004:$AE$1004,1,MATCH(COLUMNS($V$1006:AB1006),$V$1006:$AE$1006,0)))),"Fix")))</f>
        <v>0</v>
      </c>
      <c r="I558" s="3">
        <f>IF(OR(INDEX($P$2:$P$1001,MATCH(ROWS($O$2:O558),$O$2:$O$1001,0),1)&gt;=100000,INDEX($V$1005:$AE$1005,1,MATCH(COLUMNS($V$1006:AC1006),$V$1006:$AE$1006,0))&gt;=100000), " ",IF(INDEX($V$2:$AE$1001,MATCH(ROWS($O$2:O558),$O$2:$O$1001,0),MATCH(COLUMNS($V$1006:AC1006),$V$1006:$AE$1006,0)), HYPERLINK("#",""), HYPERLINK(CONCATENATE("#Metadata!", ADDRESS(INDEX($Q$2:$Q$1001,MATCH(ROWS($O$2:O558),$O$2:$O$1001,0),0), INDEX($V$1004:$AE$1004,1,MATCH(COLUMNS($V$1006:AC1006),$V$1006:$AE$1006,0)))),"Fix")))</f>
        <v>0</v>
      </c>
      <c r="J558" s="3">
        <f>IF(OR(INDEX($P$2:$P$1001,MATCH(ROWS($O$2:O558),$O$2:$O$1001,0),1)&gt;=100000,INDEX($V$1005:$AE$1005,1,MATCH(COLUMNS($V$1006:AD1006),$V$1006:$AE$1006,0))&gt;=100000), " ",IF(INDEX($V$2:$AE$1001,MATCH(ROWS($O$2:O558),$O$2:$O$1001,0),MATCH(COLUMNS($V$1006:AD1006),$V$1006:$AE$1006,0)), HYPERLINK("#",""), HYPERLINK(CONCATENATE("#Metadata!", ADDRESS(INDEX($Q$2:$Q$1001,MATCH(ROWS($O$2:O558),$O$2:$O$1001,0),0), INDEX($V$1004:$AE$1004,1,MATCH(COLUMNS($V$1006:AD1006),$V$1006:$AE$1006,0)))),"Fix")))</f>
        <v>0</v>
      </c>
      <c r="K558" s="3">
        <f>IF(OR(INDEX($P$2:$P$1001,MATCH(ROWS($O$2:O558),$O$2:$O$1001,0),1)&gt;=100000,INDEX($V$1005:$AE$1005,1,MATCH(COLUMNS($V$1006:AE1006),$V$1006:$AE$1006,0))&gt;=100000), " ",IF(INDEX($V$2:$AE$1001,MATCH(ROWS($O$2:O558),$O$2:$O$1001,0),MATCH(COLUMNS($V$1006:AE1006),$V$1006:$AE$1006,0)), HYPERLINK("#",""), HYPERLINK(CONCATENATE("#Metadata!", ADDRESS(INDEX($Q$2:$Q$1001,MATCH(ROWS($O$2:O558),$O$2:$O$1001,0),0), INDEX($V$1004:$AE$1004,1,MATCH(COLUMNS($V$1006:AE1006),$V$1006:$AE$1006,0)))),"Fix")))</f>
        <v>0</v>
      </c>
      <c r="O558">
        <v>0</v>
      </c>
      <c r="P558">
        <v>0</v>
      </c>
      <c r="Q558">
        <v>0</v>
      </c>
      <c r="R558">
        <f>IF(S558,TRUE,AND(V558:AE558))</f>
        <v>0</v>
      </c>
      <c r="S558">
        <f>COUNTBLANK(Metadata!B558:K558)=COLUMNS(Metadata!B558:K558)</f>
        <v>0</v>
      </c>
      <c r="T558">
        <v>0</v>
      </c>
      <c r="V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W558">
        <f>AND(IF(Metadata!C558="",FALSE,TRUE),exact(Metadata!C558,"animal secretion"))</f>
        <v>0</v>
      </c>
      <c r="X558">
        <f>AND(IF(Metadata!D558="",FALSE,TRUE),exact(Metadata!D558,"saliva"))</f>
        <v>0</v>
      </c>
      <c r="Y558">
        <f>AND(IF(Metadata!E558="",FALSE,TRUE),exact(Metadata!E558,"human-oral"))</f>
        <v>0</v>
      </c>
      <c r="Z558">
        <f>AND(IF(Metadata!F558="",FALSE,TRUE),exact(Metadata!F558,"UBERON:oral cavity"))</f>
        <v>0</v>
      </c>
      <c r="AA558">
        <f>AND(IF(Metadata!G558="",FALSE,TRUE),exact(Metadata!G558,"UBERON:saliva"))</f>
        <v>0</v>
      </c>
      <c r="AB558">
        <f>AND(IF(Metadata!H558="",FALSE,TRUE),exact(Metadata!H558,"UBERON:tongue"))</f>
        <v>0</v>
      </c>
      <c r="AC558">
        <f>AND(IF(Metadata!I558="",FALSE,TRUE),exact(Metadata!I558,"tongue"))</f>
        <v>0</v>
      </c>
      <c r="AD558">
        <f>AND(IF(Metadata!J558="",FALSE,TRUE),exact(Metadata!J558,"human oral metagenome"))</f>
        <v>0</v>
      </c>
      <c r="AE558">
        <f>AND(IF(Metadata!K558="",FALSE,TRUE),exact(Metadata!K558,"447426"))</f>
        <v>0</v>
      </c>
    </row>
    <row r="559" spans="1:31">
      <c r="A559" s="4">
        <f>IF(B559=" "," ",HYPERLINK(CONCATENATE("#metadata!",ADDRESS(INDEX($Q$2:$Q$1001,MATCH(ROWS($O$2:O559),$O$2:$O$1001,0),0),1)),INDEX($T$2:$T$1001,MATCH(ROWS($O$2:O559),$O$2:$O$1001,0),0)))</f>
        <v>0</v>
      </c>
      <c r="B559" s="3">
        <f>IF(OR(INDEX($P$2:$P$1001,MATCH(ROWS($O$2:O559),$O$2:$O$1001,0),1)&gt;=100000,INDEX($V$1005:$AE$1005,1,MATCH(COLUMNS($V$1006:V1006),$V$1006:$AE$1006,0))&gt;=100000), " ",IF(INDEX($V$2:$AE$1001,MATCH(ROWS($O$2:O559),$O$2:$O$1001,0),MATCH(COLUMNS($V$1006:V1006),$V$1006:$AE$1006,0)), HYPERLINK("#",""), HYPERLINK(CONCATENATE("#Metadata!", ADDRESS(INDEX($Q$2:$Q$1001,MATCH(ROWS($O$2:O559),$O$2:$O$1001,0),0), INDEX($V$1004:$AE$1004,1,MATCH(COLUMNS($V$1006:V1006),$V$1006:$AE$1006,0)))),"Fix")))</f>
        <v>0</v>
      </c>
      <c r="C559" s="3">
        <f>IF(OR(INDEX($P$2:$P$1001,MATCH(ROWS($O$2:O559),$O$2:$O$1001,0),1)&gt;=100000,INDEX($V$1005:$AE$1005,1,MATCH(COLUMNS($V$1006:W1006),$V$1006:$AE$1006,0))&gt;=100000), " ",IF(INDEX($V$2:$AE$1001,MATCH(ROWS($O$2:O559),$O$2:$O$1001,0),MATCH(COLUMNS($V$1006:W1006),$V$1006:$AE$1006,0)), HYPERLINK("#",""), HYPERLINK(CONCATENATE("#Metadata!", ADDRESS(INDEX($Q$2:$Q$1001,MATCH(ROWS($O$2:O559),$O$2:$O$1001,0),0), INDEX($V$1004:$AE$1004,1,MATCH(COLUMNS($V$1006:W1006),$V$1006:$AE$1006,0)))),"Fix")))</f>
        <v>0</v>
      </c>
      <c r="D559" s="3">
        <f>IF(OR(INDEX($P$2:$P$1001,MATCH(ROWS($O$2:O559),$O$2:$O$1001,0),1)&gt;=100000,INDEX($V$1005:$AE$1005,1,MATCH(COLUMNS($V$1006:X1006),$V$1006:$AE$1006,0))&gt;=100000), " ",IF(INDEX($V$2:$AE$1001,MATCH(ROWS($O$2:O559),$O$2:$O$1001,0),MATCH(COLUMNS($V$1006:X1006),$V$1006:$AE$1006,0)), HYPERLINK("#",""), HYPERLINK(CONCATENATE("#Metadata!", ADDRESS(INDEX($Q$2:$Q$1001,MATCH(ROWS($O$2:O559),$O$2:$O$1001,0),0), INDEX($V$1004:$AE$1004,1,MATCH(COLUMNS($V$1006:X1006),$V$1006:$AE$1006,0)))),"Fix")))</f>
        <v>0</v>
      </c>
      <c r="E559" s="3">
        <f>IF(OR(INDEX($P$2:$P$1001,MATCH(ROWS($O$2:O559),$O$2:$O$1001,0),1)&gt;=100000,INDEX($V$1005:$AE$1005,1,MATCH(COLUMNS($V$1006:Y1006),$V$1006:$AE$1006,0))&gt;=100000), " ",IF(INDEX($V$2:$AE$1001,MATCH(ROWS($O$2:O559),$O$2:$O$1001,0),MATCH(COLUMNS($V$1006:Y1006),$V$1006:$AE$1006,0)), HYPERLINK("#",""), HYPERLINK(CONCATENATE("#Metadata!", ADDRESS(INDEX($Q$2:$Q$1001,MATCH(ROWS($O$2:O559),$O$2:$O$1001,0),0), INDEX($V$1004:$AE$1004,1,MATCH(COLUMNS($V$1006:Y1006),$V$1006:$AE$1006,0)))),"Fix")))</f>
        <v>0</v>
      </c>
      <c r="F559" s="3">
        <f>IF(OR(INDEX($P$2:$P$1001,MATCH(ROWS($O$2:O559),$O$2:$O$1001,0),1)&gt;=100000,INDEX($V$1005:$AE$1005,1,MATCH(COLUMNS($V$1006:Z1006),$V$1006:$AE$1006,0))&gt;=100000), " ",IF(INDEX($V$2:$AE$1001,MATCH(ROWS($O$2:O559),$O$2:$O$1001,0),MATCH(COLUMNS($V$1006:Z1006),$V$1006:$AE$1006,0)), HYPERLINK("#",""), HYPERLINK(CONCATENATE("#Metadata!", ADDRESS(INDEX($Q$2:$Q$1001,MATCH(ROWS($O$2:O559),$O$2:$O$1001,0),0), INDEX($V$1004:$AE$1004,1,MATCH(COLUMNS($V$1006:Z1006),$V$1006:$AE$1006,0)))),"Fix")))</f>
        <v>0</v>
      </c>
      <c r="G559" s="3">
        <f>IF(OR(INDEX($P$2:$P$1001,MATCH(ROWS($O$2:O559),$O$2:$O$1001,0),1)&gt;=100000,INDEX($V$1005:$AE$1005,1,MATCH(COLUMNS($V$1006:AA1006),$V$1006:$AE$1006,0))&gt;=100000), " ",IF(INDEX($V$2:$AE$1001,MATCH(ROWS($O$2:O559),$O$2:$O$1001,0),MATCH(COLUMNS($V$1006:AA1006),$V$1006:$AE$1006,0)), HYPERLINK("#",""), HYPERLINK(CONCATENATE("#Metadata!", ADDRESS(INDEX($Q$2:$Q$1001,MATCH(ROWS($O$2:O559),$O$2:$O$1001,0),0), INDEX($V$1004:$AE$1004,1,MATCH(COLUMNS($V$1006:AA1006),$V$1006:$AE$1006,0)))),"Fix")))</f>
        <v>0</v>
      </c>
      <c r="H559" s="3">
        <f>IF(OR(INDEX($P$2:$P$1001,MATCH(ROWS($O$2:O559),$O$2:$O$1001,0),1)&gt;=100000,INDEX($V$1005:$AE$1005,1,MATCH(COLUMNS($V$1006:AB1006),$V$1006:$AE$1006,0))&gt;=100000), " ",IF(INDEX($V$2:$AE$1001,MATCH(ROWS($O$2:O559),$O$2:$O$1001,0),MATCH(COLUMNS($V$1006:AB1006),$V$1006:$AE$1006,0)), HYPERLINK("#",""), HYPERLINK(CONCATENATE("#Metadata!", ADDRESS(INDEX($Q$2:$Q$1001,MATCH(ROWS($O$2:O559),$O$2:$O$1001,0),0), INDEX($V$1004:$AE$1004,1,MATCH(COLUMNS($V$1006:AB1006),$V$1006:$AE$1006,0)))),"Fix")))</f>
        <v>0</v>
      </c>
      <c r="I559" s="3">
        <f>IF(OR(INDEX($P$2:$P$1001,MATCH(ROWS($O$2:O559),$O$2:$O$1001,0),1)&gt;=100000,INDEX($V$1005:$AE$1005,1,MATCH(COLUMNS($V$1006:AC1006),$V$1006:$AE$1006,0))&gt;=100000), " ",IF(INDEX($V$2:$AE$1001,MATCH(ROWS($O$2:O559),$O$2:$O$1001,0),MATCH(COLUMNS($V$1006:AC1006),$V$1006:$AE$1006,0)), HYPERLINK("#",""), HYPERLINK(CONCATENATE("#Metadata!", ADDRESS(INDEX($Q$2:$Q$1001,MATCH(ROWS($O$2:O559),$O$2:$O$1001,0),0), INDEX($V$1004:$AE$1004,1,MATCH(COLUMNS($V$1006:AC1006),$V$1006:$AE$1006,0)))),"Fix")))</f>
        <v>0</v>
      </c>
      <c r="J559" s="3">
        <f>IF(OR(INDEX($P$2:$P$1001,MATCH(ROWS($O$2:O559),$O$2:$O$1001,0),1)&gt;=100000,INDEX($V$1005:$AE$1005,1,MATCH(COLUMNS($V$1006:AD1006),$V$1006:$AE$1006,0))&gt;=100000), " ",IF(INDEX($V$2:$AE$1001,MATCH(ROWS($O$2:O559),$O$2:$O$1001,0),MATCH(COLUMNS($V$1006:AD1006),$V$1006:$AE$1006,0)), HYPERLINK("#",""), HYPERLINK(CONCATENATE("#Metadata!", ADDRESS(INDEX($Q$2:$Q$1001,MATCH(ROWS($O$2:O559),$O$2:$O$1001,0),0), INDEX($V$1004:$AE$1004,1,MATCH(COLUMNS($V$1006:AD1006),$V$1006:$AE$1006,0)))),"Fix")))</f>
        <v>0</v>
      </c>
      <c r="K559" s="3">
        <f>IF(OR(INDEX($P$2:$P$1001,MATCH(ROWS($O$2:O559),$O$2:$O$1001,0),1)&gt;=100000,INDEX($V$1005:$AE$1005,1,MATCH(COLUMNS($V$1006:AE1006),$V$1006:$AE$1006,0))&gt;=100000), " ",IF(INDEX($V$2:$AE$1001,MATCH(ROWS($O$2:O559),$O$2:$O$1001,0),MATCH(COLUMNS($V$1006:AE1006),$V$1006:$AE$1006,0)), HYPERLINK("#",""), HYPERLINK(CONCATENATE("#Metadata!", ADDRESS(INDEX($Q$2:$Q$1001,MATCH(ROWS($O$2:O559),$O$2:$O$1001,0),0), INDEX($V$1004:$AE$1004,1,MATCH(COLUMNS($V$1006:AE1006),$V$1006:$AE$1006,0)))),"Fix")))</f>
        <v>0</v>
      </c>
      <c r="O559">
        <v>0</v>
      </c>
      <c r="P559">
        <v>0</v>
      </c>
      <c r="Q559">
        <v>0</v>
      </c>
      <c r="R559">
        <f>IF(S559,TRUE,AND(V559:AE559))</f>
        <v>0</v>
      </c>
      <c r="S559">
        <f>COUNTBLANK(Metadata!B559:K559)=COLUMNS(Metadata!B559:K559)</f>
        <v>0</v>
      </c>
      <c r="T559">
        <v>0</v>
      </c>
      <c r="V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W559">
        <f>AND(IF(Metadata!C559="",FALSE,TRUE),exact(Metadata!C559,"animal secretion"))</f>
        <v>0</v>
      </c>
      <c r="X559">
        <f>AND(IF(Metadata!D559="",FALSE,TRUE),exact(Metadata!D559,"saliva"))</f>
        <v>0</v>
      </c>
      <c r="Y559">
        <f>AND(IF(Metadata!E559="",FALSE,TRUE),exact(Metadata!E559,"human-oral"))</f>
        <v>0</v>
      </c>
      <c r="Z559">
        <f>AND(IF(Metadata!F559="",FALSE,TRUE),exact(Metadata!F559,"UBERON:oral cavity"))</f>
        <v>0</v>
      </c>
      <c r="AA559">
        <f>AND(IF(Metadata!G559="",FALSE,TRUE),exact(Metadata!G559,"UBERON:saliva"))</f>
        <v>0</v>
      </c>
      <c r="AB559">
        <f>AND(IF(Metadata!H559="",FALSE,TRUE),exact(Metadata!H559,"UBERON:tongue"))</f>
        <v>0</v>
      </c>
      <c r="AC559">
        <f>AND(IF(Metadata!I559="",FALSE,TRUE),exact(Metadata!I559,"tongue"))</f>
        <v>0</v>
      </c>
      <c r="AD559">
        <f>AND(IF(Metadata!J559="",FALSE,TRUE),exact(Metadata!J559,"human oral metagenome"))</f>
        <v>0</v>
      </c>
      <c r="AE559">
        <f>AND(IF(Metadata!K559="",FALSE,TRUE),exact(Metadata!K559,"447426"))</f>
        <v>0</v>
      </c>
    </row>
    <row r="560" spans="1:31">
      <c r="A560" s="4">
        <f>IF(B560=" "," ",HYPERLINK(CONCATENATE("#metadata!",ADDRESS(INDEX($Q$2:$Q$1001,MATCH(ROWS($O$2:O560),$O$2:$O$1001,0),0),1)),INDEX($T$2:$T$1001,MATCH(ROWS($O$2:O560),$O$2:$O$1001,0),0)))</f>
        <v>0</v>
      </c>
      <c r="B560" s="3">
        <f>IF(OR(INDEX($P$2:$P$1001,MATCH(ROWS($O$2:O560),$O$2:$O$1001,0),1)&gt;=100000,INDEX($V$1005:$AE$1005,1,MATCH(COLUMNS($V$1006:V1006),$V$1006:$AE$1006,0))&gt;=100000), " ",IF(INDEX($V$2:$AE$1001,MATCH(ROWS($O$2:O560),$O$2:$O$1001,0),MATCH(COLUMNS($V$1006:V1006),$V$1006:$AE$1006,0)), HYPERLINK("#",""), HYPERLINK(CONCATENATE("#Metadata!", ADDRESS(INDEX($Q$2:$Q$1001,MATCH(ROWS($O$2:O560),$O$2:$O$1001,0),0), INDEX($V$1004:$AE$1004,1,MATCH(COLUMNS($V$1006:V1006),$V$1006:$AE$1006,0)))),"Fix")))</f>
        <v>0</v>
      </c>
      <c r="C560" s="3">
        <f>IF(OR(INDEX($P$2:$P$1001,MATCH(ROWS($O$2:O560),$O$2:$O$1001,0),1)&gt;=100000,INDEX($V$1005:$AE$1005,1,MATCH(COLUMNS($V$1006:W1006),$V$1006:$AE$1006,0))&gt;=100000), " ",IF(INDEX($V$2:$AE$1001,MATCH(ROWS($O$2:O560),$O$2:$O$1001,0),MATCH(COLUMNS($V$1006:W1006),$V$1006:$AE$1006,0)), HYPERLINK("#",""), HYPERLINK(CONCATENATE("#Metadata!", ADDRESS(INDEX($Q$2:$Q$1001,MATCH(ROWS($O$2:O560),$O$2:$O$1001,0),0), INDEX($V$1004:$AE$1004,1,MATCH(COLUMNS($V$1006:W1006),$V$1006:$AE$1006,0)))),"Fix")))</f>
        <v>0</v>
      </c>
      <c r="D560" s="3">
        <f>IF(OR(INDEX($P$2:$P$1001,MATCH(ROWS($O$2:O560),$O$2:$O$1001,0),1)&gt;=100000,INDEX($V$1005:$AE$1005,1,MATCH(COLUMNS($V$1006:X1006),$V$1006:$AE$1006,0))&gt;=100000), " ",IF(INDEX($V$2:$AE$1001,MATCH(ROWS($O$2:O560),$O$2:$O$1001,0),MATCH(COLUMNS($V$1006:X1006),$V$1006:$AE$1006,0)), HYPERLINK("#",""), HYPERLINK(CONCATENATE("#Metadata!", ADDRESS(INDEX($Q$2:$Q$1001,MATCH(ROWS($O$2:O560),$O$2:$O$1001,0),0), INDEX($V$1004:$AE$1004,1,MATCH(COLUMNS($V$1006:X1006),$V$1006:$AE$1006,0)))),"Fix")))</f>
        <v>0</v>
      </c>
      <c r="E560" s="3">
        <f>IF(OR(INDEX($P$2:$P$1001,MATCH(ROWS($O$2:O560),$O$2:$O$1001,0),1)&gt;=100000,INDEX($V$1005:$AE$1005,1,MATCH(COLUMNS($V$1006:Y1006),$V$1006:$AE$1006,0))&gt;=100000), " ",IF(INDEX($V$2:$AE$1001,MATCH(ROWS($O$2:O560),$O$2:$O$1001,0),MATCH(COLUMNS($V$1006:Y1006),$V$1006:$AE$1006,0)), HYPERLINK("#",""), HYPERLINK(CONCATENATE("#Metadata!", ADDRESS(INDEX($Q$2:$Q$1001,MATCH(ROWS($O$2:O560),$O$2:$O$1001,0),0), INDEX($V$1004:$AE$1004,1,MATCH(COLUMNS($V$1006:Y1006),$V$1006:$AE$1006,0)))),"Fix")))</f>
        <v>0</v>
      </c>
      <c r="F560" s="3">
        <f>IF(OR(INDEX($P$2:$P$1001,MATCH(ROWS($O$2:O560),$O$2:$O$1001,0),1)&gt;=100000,INDEX($V$1005:$AE$1005,1,MATCH(COLUMNS($V$1006:Z1006),$V$1006:$AE$1006,0))&gt;=100000), " ",IF(INDEX($V$2:$AE$1001,MATCH(ROWS($O$2:O560),$O$2:$O$1001,0),MATCH(COLUMNS($V$1006:Z1006),$V$1006:$AE$1006,0)), HYPERLINK("#",""), HYPERLINK(CONCATENATE("#Metadata!", ADDRESS(INDEX($Q$2:$Q$1001,MATCH(ROWS($O$2:O560),$O$2:$O$1001,0),0), INDEX($V$1004:$AE$1004,1,MATCH(COLUMNS($V$1006:Z1006),$V$1006:$AE$1006,0)))),"Fix")))</f>
        <v>0</v>
      </c>
      <c r="G560" s="3">
        <f>IF(OR(INDEX($P$2:$P$1001,MATCH(ROWS($O$2:O560),$O$2:$O$1001,0),1)&gt;=100000,INDEX($V$1005:$AE$1005,1,MATCH(COLUMNS($V$1006:AA1006),$V$1006:$AE$1006,0))&gt;=100000), " ",IF(INDEX($V$2:$AE$1001,MATCH(ROWS($O$2:O560),$O$2:$O$1001,0),MATCH(COLUMNS($V$1006:AA1006),$V$1006:$AE$1006,0)), HYPERLINK("#",""), HYPERLINK(CONCATENATE("#Metadata!", ADDRESS(INDEX($Q$2:$Q$1001,MATCH(ROWS($O$2:O560),$O$2:$O$1001,0),0), INDEX($V$1004:$AE$1004,1,MATCH(COLUMNS($V$1006:AA1006),$V$1006:$AE$1006,0)))),"Fix")))</f>
        <v>0</v>
      </c>
      <c r="H560" s="3">
        <f>IF(OR(INDEX($P$2:$P$1001,MATCH(ROWS($O$2:O560),$O$2:$O$1001,0),1)&gt;=100000,INDEX($V$1005:$AE$1005,1,MATCH(COLUMNS($V$1006:AB1006),$V$1006:$AE$1006,0))&gt;=100000), " ",IF(INDEX($V$2:$AE$1001,MATCH(ROWS($O$2:O560),$O$2:$O$1001,0),MATCH(COLUMNS($V$1006:AB1006),$V$1006:$AE$1006,0)), HYPERLINK("#",""), HYPERLINK(CONCATENATE("#Metadata!", ADDRESS(INDEX($Q$2:$Q$1001,MATCH(ROWS($O$2:O560),$O$2:$O$1001,0),0), INDEX($V$1004:$AE$1004,1,MATCH(COLUMNS($V$1006:AB1006),$V$1006:$AE$1006,0)))),"Fix")))</f>
        <v>0</v>
      </c>
      <c r="I560" s="3">
        <f>IF(OR(INDEX($P$2:$P$1001,MATCH(ROWS($O$2:O560),$O$2:$O$1001,0),1)&gt;=100000,INDEX($V$1005:$AE$1005,1,MATCH(COLUMNS($V$1006:AC1006),$V$1006:$AE$1006,0))&gt;=100000), " ",IF(INDEX($V$2:$AE$1001,MATCH(ROWS($O$2:O560),$O$2:$O$1001,0),MATCH(COLUMNS($V$1006:AC1006),$V$1006:$AE$1006,0)), HYPERLINK("#",""), HYPERLINK(CONCATENATE("#Metadata!", ADDRESS(INDEX($Q$2:$Q$1001,MATCH(ROWS($O$2:O560),$O$2:$O$1001,0),0), INDEX($V$1004:$AE$1004,1,MATCH(COLUMNS($V$1006:AC1006),$V$1006:$AE$1006,0)))),"Fix")))</f>
        <v>0</v>
      </c>
      <c r="J560" s="3">
        <f>IF(OR(INDEX($P$2:$P$1001,MATCH(ROWS($O$2:O560),$O$2:$O$1001,0),1)&gt;=100000,INDEX($V$1005:$AE$1005,1,MATCH(COLUMNS($V$1006:AD1006),$V$1006:$AE$1006,0))&gt;=100000), " ",IF(INDEX($V$2:$AE$1001,MATCH(ROWS($O$2:O560),$O$2:$O$1001,0),MATCH(COLUMNS($V$1006:AD1006),$V$1006:$AE$1006,0)), HYPERLINK("#",""), HYPERLINK(CONCATENATE("#Metadata!", ADDRESS(INDEX($Q$2:$Q$1001,MATCH(ROWS($O$2:O560),$O$2:$O$1001,0),0), INDEX($V$1004:$AE$1004,1,MATCH(COLUMNS($V$1006:AD1006),$V$1006:$AE$1006,0)))),"Fix")))</f>
        <v>0</v>
      </c>
      <c r="K560" s="3">
        <f>IF(OR(INDEX($P$2:$P$1001,MATCH(ROWS($O$2:O560),$O$2:$O$1001,0),1)&gt;=100000,INDEX($V$1005:$AE$1005,1,MATCH(COLUMNS($V$1006:AE1006),$V$1006:$AE$1006,0))&gt;=100000), " ",IF(INDEX($V$2:$AE$1001,MATCH(ROWS($O$2:O560),$O$2:$O$1001,0),MATCH(COLUMNS($V$1006:AE1006),$V$1006:$AE$1006,0)), HYPERLINK("#",""), HYPERLINK(CONCATENATE("#Metadata!", ADDRESS(INDEX($Q$2:$Q$1001,MATCH(ROWS($O$2:O560),$O$2:$O$1001,0),0), INDEX($V$1004:$AE$1004,1,MATCH(COLUMNS($V$1006:AE1006),$V$1006:$AE$1006,0)))),"Fix")))</f>
        <v>0</v>
      </c>
      <c r="O560">
        <v>0</v>
      </c>
      <c r="P560">
        <v>0</v>
      </c>
      <c r="Q560">
        <v>0</v>
      </c>
      <c r="R560">
        <f>IF(S560,TRUE,AND(V560:AE560))</f>
        <v>0</v>
      </c>
      <c r="S560">
        <f>COUNTBLANK(Metadata!B560:K560)=COLUMNS(Metadata!B560:K560)</f>
        <v>0</v>
      </c>
      <c r="T560">
        <v>0</v>
      </c>
      <c r="V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W560">
        <f>AND(IF(Metadata!C560="",FALSE,TRUE),exact(Metadata!C560,"animal secretion"))</f>
        <v>0</v>
      </c>
      <c r="X560">
        <f>AND(IF(Metadata!D560="",FALSE,TRUE),exact(Metadata!D560,"saliva"))</f>
        <v>0</v>
      </c>
      <c r="Y560">
        <f>AND(IF(Metadata!E560="",FALSE,TRUE),exact(Metadata!E560,"human-oral"))</f>
        <v>0</v>
      </c>
      <c r="Z560">
        <f>AND(IF(Metadata!F560="",FALSE,TRUE),exact(Metadata!F560,"UBERON:oral cavity"))</f>
        <v>0</v>
      </c>
      <c r="AA560">
        <f>AND(IF(Metadata!G560="",FALSE,TRUE),exact(Metadata!G560,"UBERON:saliva"))</f>
        <v>0</v>
      </c>
      <c r="AB560">
        <f>AND(IF(Metadata!H560="",FALSE,TRUE),exact(Metadata!H560,"UBERON:tongue"))</f>
        <v>0</v>
      </c>
      <c r="AC560">
        <f>AND(IF(Metadata!I560="",FALSE,TRUE),exact(Metadata!I560,"tongue"))</f>
        <v>0</v>
      </c>
      <c r="AD560">
        <f>AND(IF(Metadata!J560="",FALSE,TRUE),exact(Metadata!J560,"human oral metagenome"))</f>
        <v>0</v>
      </c>
      <c r="AE560">
        <f>AND(IF(Metadata!K560="",FALSE,TRUE),exact(Metadata!K560,"447426"))</f>
        <v>0</v>
      </c>
    </row>
    <row r="561" spans="1:31">
      <c r="A561" s="4">
        <f>IF(B561=" "," ",HYPERLINK(CONCATENATE("#metadata!",ADDRESS(INDEX($Q$2:$Q$1001,MATCH(ROWS($O$2:O561),$O$2:$O$1001,0),0),1)),INDEX($T$2:$T$1001,MATCH(ROWS($O$2:O561),$O$2:$O$1001,0),0)))</f>
        <v>0</v>
      </c>
      <c r="B561" s="3">
        <f>IF(OR(INDEX($P$2:$P$1001,MATCH(ROWS($O$2:O561),$O$2:$O$1001,0),1)&gt;=100000,INDEX($V$1005:$AE$1005,1,MATCH(COLUMNS($V$1006:V1006),$V$1006:$AE$1006,0))&gt;=100000), " ",IF(INDEX($V$2:$AE$1001,MATCH(ROWS($O$2:O561),$O$2:$O$1001,0),MATCH(COLUMNS($V$1006:V1006),$V$1006:$AE$1006,0)), HYPERLINK("#",""), HYPERLINK(CONCATENATE("#Metadata!", ADDRESS(INDEX($Q$2:$Q$1001,MATCH(ROWS($O$2:O561),$O$2:$O$1001,0),0), INDEX($V$1004:$AE$1004,1,MATCH(COLUMNS($V$1006:V1006),$V$1006:$AE$1006,0)))),"Fix")))</f>
        <v>0</v>
      </c>
      <c r="C561" s="3">
        <f>IF(OR(INDEX($P$2:$P$1001,MATCH(ROWS($O$2:O561),$O$2:$O$1001,0),1)&gt;=100000,INDEX($V$1005:$AE$1005,1,MATCH(COLUMNS($V$1006:W1006),$V$1006:$AE$1006,0))&gt;=100000), " ",IF(INDEX($V$2:$AE$1001,MATCH(ROWS($O$2:O561),$O$2:$O$1001,0),MATCH(COLUMNS($V$1006:W1006),$V$1006:$AE$1006,0)), HYPERLINK("#",""), HYPERLINK(CONCATENATE("#Metadata!", ADDRESS(INDEX($Q$2:$Q$1001,MATCH(ROWS($O$2:O561),$O$2:$O$1001,0),0), INDEX($V$1004:$AE$1004,1,MATCH(COLUMNS($V$1006:W1006),$V$1006:$AE$1006,0)))),"Fix")))</f>
        <v>0</v>
      </c>
      <c r="D561" s="3">
        <f>IF(OR(INDEX($P$2:$P$1001,MATCH(ROWS($O$2:O561),$O$2:$O$1001,0),1)&gt;=100000,INDEX($V$1005:$AE$1005,1,MATCH(COLUMNS($V$1006:X1006),$V$1006:$AE$1006,0))&gt;=100000), " ",IF(INDEX($V$2:$AE$1001,MATCH(ROWS($O$2:O561),$O$2:$O$1001,0),MATCH(COLUMNS($V$1006:X1006),$V$1006:$AE$1006,0)), HYPERLINK("#",""), HYPERLINK(CONCATENATE("#Metadata!", ADDRESS(INDEX($Q$2:$Q$1001,MATCH(ROWS($O$2:O561),$O$2:$O$1001,0),0), INDEX($V$1004:$AE$1004,1,MATCH(COLUMNS($V$1006:X1006),$V$1006:$AE$1006,0)))),"Fix")))</f>
        <v>0</v>
      </c>
      <c r="E561" s="3">
        <f>IF(OR(INDEX($P$2:$P$1001,MATCH(ROWS($O$2:O561),$O$2:$O$1001,0),1)&gt;=100000,INDEX($V$1005:$AE$1005,1,MATCH(COLUMNS($V$1006:Y1006),$V$1006:$AE$1006,0))&gt;=100000), " ",IF(INDEX($V$2:$AE$1001,MATCH(ROWS($O$2:O561),$O$2:$O$1001,0),MATCH(COLUMNS($V$1006:Y1006),$V$1006:$AE$1006,0)), HYPERLINK("#",""), HYPERLINK(CONCATENATE("#Metadata!", ADDRESS(INDEX($Q$2:$Q$1001,MATCH(ROWS($O$2:O561),$O$2:$O$1001,0),0), INDEX($V$1004:$AE$1004,1,MATCH(COLUMNS($V$1006:Y1006),$V$1006:$AE$1006,0)))),"Fix")))</f>
        <v>0</v>
      </c>
      <c r="F561" s="3">
        <f>IF(OR(INDEX($P$2:$P$1001,MATCH(ROWS($O$2:O561),$O$2:$O$1001,0),1)&gt;=100000,INDEX($V$1005:$AE$1005,1,MATCH(COLUMNS($V$1006:Z1006),$V$1006:$AE$1006,0))&gt;=100000), " ",IF(INDEX($V$2:$AE$1001,MATCH(ROWS($O$2:O561),$O$2:$O$1001,0),MATCH(COLUMNS($V$1006:Z1006),$V$1006:$AE$1006,0)), HYPERLINK("#",""), HYPERLINK(CONCATENATE("#Metadata!", ADDRESS(INDEX($Q$2:$Q$1001,MATCH(ROWS($O$2:O561),$O$2:$O$1001,0),0), INDEX($V$1004:$AE$1004,1,MATCH(COLUMNS($V$1006:Z1006),$V$1006:$AE$1006,0)))),"Fix")))</f>
        <v>0</v>
      </c>
      <c r="G561" s="3">
        <f>IF(OR(INDEX($P$2:$P$1001,MATCH(ROWS($O$2:O561),$O$2:$O$1001,0),1)&gt;=100000,INDEX($V$1005:$AE$1005,1,MATCH(COLUMNS($V$1006:AA1006),$V$1006:$AE$1006,0))&gt;=100000), " ",IF(INDEX($V$2:$AE$1001,MATCH(ROWS($O$2:O561),$O$2:$O$1001,0),MATCH(COLUMNS($V$1006:AA1006),$V$1006:$AE$1006,0)), HYPERLINK("#",""), HYPERLINK(CONCATENATE("#Metadata!", ADDRESS(INDEX($Q$2:$Q$1001,MATCH(ROWS($O$2:O561),$O$2:$O$1001,0),0), INDEX($V$1004:$AE$1004,1,MATCH(COLUMNS($V$1006:AA1006),$V$1006:$AE$1006,0)))),"Fix")))</f>
        <v>0</v>
      </c>
      <c r="H561" s="3">
        <f>IF(OR(INDEX($P$2:$P$1001,MATCH(ROWS($O$2:O561),$O$2:$O$1001,0),1)&gt;=100000,INDEX($V$1005:$AE$1005,1,MATCH(COLUMNS($V$1006:AB1006),$V$1006:$AE$1006,0))&gt;=100000), " ",IF(INDEX($V$2:$AE$1001,MATCH(ROWS($O$2:O561),$O$2:$O$1001,0),MATCH(COLUMNS($V$1006:AB1006),$V$1006:$AE$1006,0)), HYPERLINK("#",""), HYPERLINK(CONCATENATE("#Metadata!", ADDRESS(INDEX($Q$2:$Q$1001,MATCH(ROWS($O$2:O561),$O$2:$O$1001,0),0), INDEX($V$1004:$AE$1004,1,MATCH(COLUMNS($V$1006:AB1006),$V$1006:$AE$1006,0)))),"Fix")))</f>
        <v>0</v>
      </c>
      <c r="I561" s="3">
        <f>IF(OR(INDEX($P$2:$P$1001,MATCH(ROWS($O$2:O561),$O$2:$O$1001,0),1)&gt;=100000,INDEX($V$1005:$AE$1005,1,MATCH(COLUMNS($V$1006:AC1006),$V$1006:$AE$1006,0))&gt;=100000), " ",IF(INDEX($V$2:$AE$1001,MATCH(ROWS($O$2:O561),$O$2:$O$1001,0),MATCH(COLUMNS($V$1006:AC1006),$V$1006:$AE$1006,0)), HYPERLINK("#",""), HYPERLINK(CONCATENATE("#Metadata!", ADDRESS(INDEX($Q$2:$Q$1001,MATCH(ROWS($O$2:O561),$O$2:$O$1001,0),0), INDEX($V$1004:$AE$1004,1,MATCH(COLUMNS($V$1006:AC1006),$V$1006:$AE$1006,0)))),"Fix")))</f>
        <v>0</v>
      </c>
      <c r="J561" s="3">
        <f>IF(OR(INDEX($P$2:$P$1001,MATCH(ROWS($O$2:O561),$O$2:$O$1001,0),1)&gt;=100000,INDEX($V$1005:$AE$1005,1,MATCH(COLUMNS($V$1006:AD1006),$V$1006:$AE$1006,0))&gt;=100000), " ",IF(INDEX($V$2:$AE$1001,MATCH(ROWS($O$2:O561),$O$2:$O$1001,0),MATCH(COLUMNS($V$1006:AD1006),$V$1006:$AE$1006,0)), HYPERLINK("#",""), HYPERLINK(CONCATENATE("#Metadata!", ADDRESS(INDEX($Q$2:$Q$1001,MATCH(ROWS($O$2:O561),$O$2:$O$1001,0),0), INDEX($V$1004:$AE$1004,1,MATCH(COLUMNS($V$1006:AD1006),$V$1006:$AE$1006,0)))),"Fix")))</f>
        <v>0</v>
      </c>
      <c r="K561" s="3">
        <f>IF(OR(INDEX($P$2:$P$1001,MATCH(ROWS($O$2:O561),$O$2:$O$1001,0),1)&gt;=100000,INDEX($V$1005:$AE$1005,1,MATCH(COLUMNS($V$1006:AE1006),$V$1006:$AE$1006,0))&gt;=100000), " ",IF(INDEX($V$2:$AE$1001,MATCH(ROWS($O$2:O561),$O$2:$O$1001,0),MATCH(COLUMNS($V$1006:AE1006),$V$1006:$AE$1006,0)), HYPERLINK("#",""), HYPERLINK(CONCATENATE("#Metadata!", ADDRESS(INDEX($Q$2:$Q$1001,MATCH(ROWS($O$2:O561),$O$2:$O$1001,0),0), INDEX($V$1004:$AE$1004,1,MATCH(COLUMNS($V$1006:AE1006),$V$1006:$AE$1006,0)))),"Fix")))</f>
        <v>0</v>
      </c>
      <c r="O561">
        <v>0</v>
      </c>
      <c r="P561">
        <v>0</v>
      </c>
      <c r="Q561">
        <v>0</v>
      </c>
      <c r="R561">
        <f>IF(S561,TRUE,AND(V561:AE561))</f>
        <v>0</v>
      </c>
      <c r="S561">
        <f>COUNTBLANK(Metadata!B561:K561)=COLUMNS(Metadata!B561:K561)</f>
        <v>0</v>
      </c>
      <c r="T561">
        <v>0</v>
      </c>
      <c r="V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W561">
        <f>AND(IF(Metadata!C561="",FALSE,TRUE),exact(Metadata!C561,"animal secretion"))</f>
        <v>0</v>
      </c>
      <c r="X561">
        <f>AND(IF(Metadata!D561="",FALSE,TRUE),exact(Metadata!D561,"saliva"))</f>
        <v>0</v>
      </c>
      <c r="Y561">
        <f>AND(IF(Metadata!E561="",FALSE,TRUE),exact(Metadata!E561,"human-oral"))</f>
        <v>0</v>
      </c>
      <c r="Z561">
        <f>AND(IF(Metadata!F561="",FALSE,TRUE),exact(Metadata!F561,"UBERON:oral cavity"))</f>
        <v>0</v>
      </c>
      <c r="AA561">
        <f>AND(IF(Metadata!G561="",FALSE,TRUE),exact(Metadata!G561,"UBERON:saliva"))</f>
        <v>0</v>
      </c>
      <c r="AB561">
        <f>AND(IF(Metadata!H561="",FALSE,TRUE),exact(Metadata!H561,"UBERON:tongue"))</f>
        <v>0</v>
      </c>
      <c r="AC561">
        <f>AND(IF(Metadata!I561="",FALSE,TRUE),exact(Metadata!I561,"tongue"))</f>
        <v>0</v>
      </c>
      <c r="AD561">
        <f>AND(IF(Metadata!J561="",FALSE,TRUE),exact(Metadata!J561,"human oral metagenome"))</f>
        <v>0</v>
      </c>
      <c r="AE561">
        <f>AND(IF(Metadata!K561="",FALSE,TRUE),exact(Metadata!K561,"447426"))</f>
        <v>0</v>
      </c>
    </row>
    <row r="562" spans="1:31">
      <c r="A562" s="4">
        <f>IF(B562=" "," ",HYPERLINK(CONCATENATE("#metadata!",ADDRESS(INDEX($Q$2:$Q$1001,MATCH(ROWS($O$2:O562),$O$2:$O$1001,0),0),1)),INDEX($T$2:$T$1001,MATCH(ROWS($O$2:O562),$O$2:$O$1001,0),0)))</f>
        <v>0</v>
      </c>
      <c r="B562" s="3">
        <f>IF(OR(INDEX($P$2:$P$1001,MATCH(ROWS($O$2:O562),$O$2:$O$1001,0),1)&gt;=100000,INDEX($V$1005:$AE$1005,1,MATCH(COLUMNS($V$1006:V1006),$V$1006:$AE$1006,0))&gt;=100000), " ",IF(INDEX($V$2:$AE$1001,MATCH(ROWS($O$2:O562),$O$2:$O$1001,0),MATCH(COLUMNS($V$1006:V1006),$V$1006:$AE$1006,0)), HYPERLINK("#",""), HYPERLINK(CONCATENATE("#Metadata!", ADDRESS(INDEX($Q$2:$Q$1001,MATCH(ROWS($O$2:O562),$O$2:$O$1001,0),0), INDEX($V$1004:$AE$1004,1,MATCH(COLUMNS($V$1006:V1006),$V$1006:$AE$1006,0)))),"Fix")))</f>
        <v>0</v>
      </c>
      <c r="C562" s="3">
        <f>IF(OR(INDEX($P$2:$P$1001,MATCH(ROWS($O$2:O562),$O$2:$O$1001,0),1)&gt;=100000,INDEX($V$1005:$AE$1005,1,MATCH(COLUMNS($V$1006:W1006),$V$1006:$AE$1006,0))&gt;=100000), " ",IF(INDEX($V$2:$AE$1001,MATCH(ROWS($O$2:O562),$O$2:$O$1001,0),MATCH(COLUMNS($V$1006:W1006),$V$1006:$AE$1006,0)), HYPERLINK("#",""), HYPERLINK(CONCATENATE("#Metadata!", ADDRESS(INDEX($Q$2:$Q$1001,MATCH(ROWS($O$2:O562),$O$2:$O$1001,0),0), INDEX($V$1004:$AE$1004,1,MATCH(COLUMNS($V$1006:W1006),$V$1006:$AE$1006,0)))),"Fix")))</f>
        <v>0</v>
      </c>
      <c r="D562" s="3">
        <f>IF(OR(INDEX($P$2:$P$1001,MATCH(ROWS($O$2:O562),$O$2:$O$1001,0),1)&gt;=100000,INDEX($V$1005:$AE$1005,1,MATCH(COLUMNS($V$1006:X1006),$V$1006:$AE$1006,0))&gt;=100000), " ",IF(INDEX($V$2:$AE$1001,MATCH(ROWS($O$2:O562),$O$2:$O$1001,0),MATCH(COLUMNS($V$1006:X1006),$V$1006:$AE$1006,0)), HYPERLINK("#",""), HYPERLINK(CONCATENATE("#Metadata!", ADDRESS(INDEX($Q$2:$Q$1001,MATCH(ROWS($O$2:O562),$O$2:$O$1001,0),0), INDEX($V$1004:$AE$1004,1,MATCH(COLUMNS($V$1006:X1006),$V$1006:$AE$1006,0)))),"Fix")))</f>
        <v>0</v>
      </c>
      <c r="E562" s="3">
        <f>IF(OR(INDEX($P$2:$P$1001,MATCH(ROWS($O$2:O562),$O$2:$O$1001,0),1)&gt;=100000,INDEX($V$1005:$AE$1005,1,MATCH(COLUMNS($V$1006:Y1006),$V$1006:$AE$1006,0))&gt;=100000), " ",IF(INDEX($V$2:$AE$1001,MATCH(ROWS($O$2:O562),$O$2:$O$1001,0),MATCH(COLUMNS($V$1006:Y1006),$V$1006:$AE$1006,0)), HYPERLINK("#",""), HYPERLINK(CONCATENATE("#Metadata!", ADDRESS(INDEX($Q$2:$Q$1001,MATCH(ROWS($O$2:O562),$O$2:$O$1001,0),0), INDEX($V$1004:$AE$1004,1,MATCH(COLUMNS($V$1006:Y1006),$V$1006:$AE$1006,0)))),"Fix")))</f>
        <v>0</v>
      </c>
      <c r="F562" s="3">
        <f>IF(OR(INDEX($P$2:$P$1001,MATCH(ROWS($O$2:O562),$O$2:$O$1001,0),1)&gt;=100000,INDEX($V$1005:$AE$1005,1,MATCH(COLUMNS($V$1006:Z1006),$V$1006:$AE$1006,0))&gt;=100000), " ",IF(INDEX($V$2:$AE$1001,MATCH(ROWS($O$2:O562),$O$2:$O$1001,0),MATCH(COLUMNS($V$1006:Z1006),$V$1006:$AE$1006,0)), HYPERLINK("#",""), HYPERLINK(CONCATENATE("#Metadata!", ADDRESS(INDEX($Q$2:$Q$1001,MATCH(ROWS($O$2:O562),$O$2:$O$1001,0),0), INDEX($V$1004:$AE$1004,1,MATCH(COLUMNS($V$1006:Z1006),$V$1006:$AE$1006,0)))),"Fix")))</f>
        <v>0</v>
      </c>
      <c r="G562" s="3">
        <f>IF(OR(INDEX($P$2:$P$1001,MATCH(ROWS($O$2:O562),$O$2:$O$1001,0),1)&gt;=100000,INDEX($V$1005:$AE$1005,1,MATCH(COLUMNS($V$1006:AA1006),$V$1006:$AE$1006,0))&gt;=100000), " ",IF(INDEX($V$2:$AE$1001,MATCH(ROWS($O$2:O562),$O$2:$O$1001,0),MATCH(COLUMNS($V$1006:AA1006),$V$1006:$AE$1006,0)), HYPERLINK("#",""), HYPERLINK(CONCATENATE("#Metadata!", ADDRESS(INDEX($Q$2:$Q$1001,MATCH(ROWS($O$2:O562),$O$2:$O$1001,0),0), INDEX($V$1004:$AE$1004,1,MATCH(COLUMNS($V$1006:AA1006),$V$1006:$AE$1006,0)))),"Fix")))</f>
        <v>0</v>
      </c>
      <c r="H562" s="3">
        <f>IF(OR(INDEX($P$2:$P$1001,MATCH(ROWS($O$2:O562),$O$2:$O$1001,0),1)&gt;=100000,INDEX($V$1005:$AE$1005,1,MATCH(COLUMNS($V$1006:AB1006),$V$1006:$AE$1006,0))&gt;=100000), " ",IF(INDEX($V$2:$AE$1001,MATCH(ROWS($O$2:O562),$O$2:$O$1001,0),MATCH(COLUMNS($V$1006:AB1006),$V$1006:$AE$1006,0)), HYPERLINK("#",""), HYPERLINK(CONCATENATE("#Metadata!", ADDRESS(INDEX($Q$2:$Q$1001,MATCH(ROWS($O$2:O562),$O$2:$O$1001,0),0), INDEX($V$1004:$AE$1004,1,MATCH(COLUMNS($V$1006:AB1006),$V$1006:$AE$1006,0)))),"Fix")))</f>
        <v>0</v>
      </c>
      <c r="I562" s="3">
        <f>IF(OR(INDEX($P$2:$P$1001,MATCH(ROWS($O$2:O562),$O$2:$O$1001,0),1)&gt;=100000,INDEX($V$1005:$AE$1005,1,MATCH(COLUMNS($V$1006:AC1006),$V$1006:$AE$1006,0))&gt;=100000), " ",IF(INDEX($V$2:$AE$1001,MATCH(ROWS($O$2:O562),$O$2:$O$1001,0),MATCH(COLUMNS($V$1006:AC1006),$V$1006:$AE$1006,0)), HYPERLINK("#",""), HYPERLINK(CONCATENATE("#Metadata!", ADDRESS(INDEX($Q$2:$Q$1001,MATCH(ROWS($O$2:O562),$O$2:$O$1001,0),0), INDEX($V$1004:$AE$1004,1,MATCH(COLUMNS($V$1006:AC1006),$V$1006:$AE$1006,0)))),"Fix")))</f>
        <v>0</v>
      </c>
      <c r="J562" s="3">
        <f>IF(OR(INDEX($P$2:$P$1001,MATCH(ROWS($O$2:O562),$O$2:$O$1001,0),1)&gt;=100000,INDEX($V$1005:$AE$1005,1,MATCH(COLUMNS($V$1006:AD1006),$V$1006:$AE$1006,0))&gt;=100000), " ",IF(INDEX($V$2:$AE$1001,MATCH(ROWS($O$2:O562),$O$2:$O$1001,0),MATCH(COLUMNS($V$1006:AD1006),$V$1006:$AE$1006,0)), HYPERLINK("#",""), HYPERLINK(CONCATENATE("#Metadata!", ADDRESS(INDEX($Q$2:$Q$1001,MATCH(ROWS($O$2:O562),$O$2:$O$1001,0),0), INDEX($V$1004:$AE$1004,1,MATCH(COLUMNS($V$1006:AD1006),$V$1006:$AE$1006,0)))),"Fix")))</f>
        <v>0</v>
      </c>
      <c r="K562" s="3">
        <f>IF(OR(INDEX($P$2:$P$1001,MATCH(ROWS($O$2:O562),$O$2:$O$1001,0),1)&gt;=100000,INDEX($V$1005:$AE$1005,1,MATCH(COLUMNS($V$1006:AE1006),$V$1006:$AE$1006,0))&gt;=100000), " ",IF(INDEX($V$2:$AE$1001,MATCH(ROWS($O$2:O562),$O$2:$O$1001,0),MATCH(COLUMNS($V$1006:AE1006),$V$1006:$AE$1006,0)), HYPERLINK("#",""), HYPERLINK(CONCATENATE("#Metadata!", ADDRESS(INDEX($Q$2:$Q$1001,MATCH(ROWS($O$2:O562),$O$2:$O$1001,0),0), INDEX($V$1004:$AE$1004,1,MATCH(COLUMNS($V$1006:AE1006),$V$1006:$AE$1006,0)))),"Fix")))</f>
        <v>0</v>
      </c>
      <c r="O562">
        <v>0</v>
      </c>
      <c r="P562">
        <v>0</v>
      </c>
      <c r="Q562">
        <v>0</v>
      </c>
      <c r="R562">
        <f>IF(S562,TRUE,AND(V562:AE562))</f>
        <v>0</v>
      </c>
      <c r="S562">
        <f>COUNTBLANK(Metadata!B562:K562)=COLUMNS(Metadata!B562:K562)</f>
        <v>0</v>
      </c>
      <c r="T562">
        <v>0</v>
      </c>
      <c r="V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W562">
        <f>AND(IF(Metadata!C562="",FALSE,TRUE),exact(Metadata!C562,"animal secretion"))</f>
        <v>0</v>
      </c>
      <c r="X562">
        <f>AND(IF(Metadata!D562="",FALSE,TRUE),exact(Metadata!D562,"saliva"))</f>
        <v>0</v>
      </c>
      <c r="Y562">
        <f>AND(IF(Metadata!E562="",FALSE,TRUE),exact(Metadata!E562,"human-oral"))</f>
        <v>0</v>
      </c>
      <c r="Z562">
        <f>AND(IF(Metadata!F562="",FALSE,TRUE),exact(Metadata!F562,"UBERON:oral cavity"))</f>
        <v>0</v>
      </c>
      <c r="AA562">
        <f>AND(IF(Metadata!G562="",FALSE,TRUE),exact(Metadata!G562,"UBERON:saliva"))</f>
        <v>0</v>
      </c>
      <c r="AB562">
        <f>AND(IF(Metadata!H562="",FALSE,TRUE),exact(Metadata!H562,"UBERON:tongue"))</f>
        <v>0</v>
      </c>
      <c r="AC562">
        <f>AND(IF(Metadata!I562="",FALSE,TRUE),exact(Metadata!I562,"tongue"))</f>
        <v>0</v>
      </c>
      <c r="AD562">
        <f>AND(IF(Metadata!J562="",FALSE,TRUE),exact(Metadata!J562,"human oral metagenome"))</f>
        <v>0</v>
      </c>
      <c r="AE562">
        <f>AND(IF(Metadata!K562="",FALSE,TRUE),exact(Metadata!K562,"447426"))</f>
        <v>0</v>
      </c>
    </row>
    <row r="563" spans="1:31">
      <c r="A563" s="4">
        <f>IF(B563=" "," ",HYPERLINK(CONCATENATE("#metadata!",ADDRESS(INDEX($Q$2:$Q$1001,MATCH(ROWS($O$2:O563),$O$2:$O$1001,0),0),1)),INDEX($T$2:$T$1001,MATCH(ROWS($O$2:O563),$O$2:$O$1001,0),0)))</f>
        <v>0</v>
      </c>
      <c r="B563" s="3">
        <f>IF(OR(INDEX($P$2:$P$1001,MATCH(ROWS($O$2:O563),$O$2:$O$1001,0),1)&gt;=100000,INDEX($V$1005:$AE$1005,1,MATCH(COLUMNS($V$1006:V1006),$V$1006:$AE$1006,0))&gt;=100000), " ",IF(INDEX($V$2:$AE$1001,MATCH(ROWS($O$2:O563),$O$2:$O$1001,0),MATCH(COLUMNS($V$1006:V1006),$V$1006:$AE$1006,0)), HYPERLINK("#",""), HYPERLINK(CONCATENATE("#Metadata!", ADDRESS(INDEX($Q$2:$Q$1001,MATCH(ROWS($O$2:O563),$O$2:$O$1001,0),0), INDEX($V$1004:$AE$1004,1,MATCH(COLUMNS($V$1006:V1006),$V$1006:$AE$1006,0)))),"Fix")))</f>
        <v>0</v>
      </c>
      <c r="C563" s="3">
        <f>IF(OR(INDEX($P$2:$P$1001,MATCH(ROWS($O$2:O563),$O$2:$O$1001,0),1)&gt;=100000,INDEX($V$1005:$AE$1005,1,MATCH(COLUMNS($V$1006:W1006),$V$1006:$AE$1006,0))&gt;=100000), " ",IF(INDEX($V$2:$AE$1001,MATCH(ROWS($O$2:O563),$O$2:$O$1001,0),MATCH(COLUMNS($V$1006:W1006),$V$1006:$AE$1006,0)), HYPERLINK("#",""), HYPERLINK(CONCATENATE("#Metadata!", ADDRESS(INDEX($Q$2:$Q$1001,MATCH(ROWS($O$2:O563),$O$2:$O$1001,0),0), INDEX($V$1004:$AE$1004,1,MATCH(COLUMNS($V$1006:W1006),$V$1006:$AE$1006,0)))),"Fix")))</f>
        <v>0</v>
      </c>
      <c r="D563" s="3">
        <f>IF(OR(INDEX($P$2:$P$1001,MATCH(ROWS($O$2:O563),$O$2:$O$1001,0),1)&gt;=100000,INDEX($V$1005:$AE$1005,1,MATCH(COLUMNS($V$1006:X1006),$V$1006:$AE$1006,0))&gt;=100000), " ",IF(INDEX($V$2:$AE$1001,MATCH(ROWS($O$2:O563),$O$2:$O$1001,0),MATCH(COLUMNS($V$1006:X1006),$V$1006:$AE$1006,0)), HYPERLINK("#",""), HYPERLINK(CONCATENATE("#Metadata!", ADDRESS(INDEX($Q$2:$Q$1001,MATCH(ROWS($O$2:O563),$O$2:$O$1001,0),0), INDEX($V$1004:$AE$1004,1,MATCH(COLUMNS($V$1006:X1006),$V$1006:$AE$1006,0)))),"Fix")))</f>
        <v>0</v>
      </c>
      <c r="E563" s="3">
        <f>IF(OR(INDEX($P$2:$P$1001,MATCH(ROWS($O$2:O563),$O$2:$O$1001,0),1)&gt;=100000,INDEX($V$1005:$AE$1005,1,MATCH(COLUMNS($V$1006:Y1006),$V$1006:$AE$1006,0))&gt;=100000), " ",IF(INDEX($V$2:$AE$1001,MATCH(ROWS($O$2:O563),$O$2:$O$1001,0),MATCH(COLUMNS($V$1006:Y1006),$V$1006:$AE$1006,0)), HYPERLINK("#",""), HYPERLINK(CONCATENATE("#Metadata!", ADDRESS(INDEX($Q$2:$Q$1001,MATCH(ROWS($O$2:O563),$O$2:$O$1001,0),0), INDEX($V$1004:$AE$1004,1,MATCH(COLUMNS($V$1006:Y1006),$V$1006:$AE$1006,0)))),"Fix")))</f>
        <v>0</v>
      </c>
      <c r="F563" s="3">
        <f>IF(OR(INDEX($P$2:$P$1001,MATCH(ROWS($O$2:O563),$O$2:$O$1001,0),1)&gt;=100000,INDEX($V$1005:$AE$1005,1,MATCH(COLUMNS($V$1006:Z1006),$V$1006:$AE$1006,0))&gt;=100000), " ",IF(INDEX($V$2:$AE$1001,MATCH(ROWS($O$2:O563),$O$2:$O$1001,0),MATCH(COLUMNS($V$1006:Z1006),$V$1006:$AE$1006,0)), HYPERLINK("#",""), HYPERLINK(CONCATENATE("#Metadata!", ADDRESS(INDEX($Q$2:$Q$1001,MATCH(ROWS($O$2:O563),$O$2:$O$1001,0),0), INDEX($V$1004:$AE$1004,1,MATCH(COLUMNS($V$1006:Z1006),$V$1006:$AE$1006,0)))),"Fix")))</f>
        <v>0</v>
      </c>
      <c r="G563" s="3">
        <f>IF(OR(INDEX($P$2:$P$1001,MATCH(ROWS($O$2:O563),$O$2:$O$1001,0),1)&gt;=100000,INDEX($V$1005:$AE$1005,1,MATCH(COLUMNS($V$1006:AA1006),$V$1006:$AE$1006,0))&gt;=100000), " ",IF(INDEX($V$2:$AE$1001,MATCH(ROWS($O$2:O563),$O$2:$O$1001,0),MATCH(COLUMNS($V$1006:AA1006),$V$1006:$AE$1006,0)), HYPERLINK("#",""), HYPERLINK(CONCATENATE("#Metadata!", ADDRESS(INDEX($Q$2:$Q$1001,MATCH(ROWS($O$2:O563),$O$2:$O$1001,0),0), INDEX($V$1004:$AE$1004,1,MATCH(COLUMNS($V$1006:AA1006),$V$1006:$AE$1006,0)))),"Fix")))</f>
        <v>0</v>
      </c>
      <c r="H563" s="3">
        <f>IF(OR(INDEX($P$2:$P$1001,MATCH(ROWS($O$2:O563),$O$2:$O$1001,0),1)&gt;=100000,INDEX($V$1005:$AE$1005,1,MATCH(COLUMNS($V$1006:AB1006),$V$1006:$AE$1006,0))&gt;=100000), " ",IF(INDEX($V$2:$AE$1001,MATCH(ROWS($O$2:O563),$O$2:$O$1001,0),MATCH(COLUMNS($V$1006:AB1006),$V$1006:$AE$1006,0)), HYPERLINK("#",""), HYPERLINK(CONCATENATE("#Metadata!", ADDRESS(INDEX($Q$2:$Q$1001,MATCH(ROWS($O$2:O563),$O$2:$O$1001,0),0), INDEX($V$1004:$AE$1004,1,MATCH(COLUMNS($V$1006:AB1006),$V$1006:$AE$1006,0)))),"Fix")))</f>
        <v>0</v>
      </c>
      <c r="I563" s="3">
        <f>IF(OR(INDEX($P$2:$P$1001,MATCH(ROWS($O$2:O563),$O$2:$O$1001,0),1)&gt;=100000,INDEX($V$1005:$AE$1005,1,MATCH(COLUMNS($V$1006:AC1006),$V$1006:$AE$1006,0))&gt;=100000), " ",IF(INDEX($V$2:$AE$1001,MATCH(ROWS($O$2:O563),$O$2:$O$1001,0),MATCH(COLUMNS($V$1006:AC1006),$V$1006:$AE$1006,0)), HYPERLINK("#",""), HYPERLINK(CONCATENATE("#Metadata!", ADDRESS(INDEX($Q$2:$Q$1001,MATCH(ROWS($O$2:O563),$O$2:$O$1001,0),0), INDEX($V$1004:$AE$1004,1,MATCH(COLUMNS($V$1006:AC1006),$V$1006:$AE$1006,0)))),"Fix")))</f>
        <v>0</v>
      </c>
      <c r="J563" s="3">
        <f>IF(OR(INDEX($P$2:$P$1001,MATCH(ROWS($O$2:O563),$O$2:$O$1001,0),1)&gt;=100000,INDEX($V$1005:$AE$1005,1,MATCH(COLUMNS($V$1006:AD1006),$V$1006:$AE$1006,0))&gt;=100000), " ",IF(INDEX($V$2:$AE$1001,MATCH(ROWS($O$2:O563),$O$2:$O$1001,0),MATCH(COLUMNS($V$1006:AD1006),$V$1006:$AE$1006,0)), HYPERLINK("#",""), HYPERLINK(CONCATENATE("#Metadata!", ADDRESS(INDEX($Q$2:$Q$1001,MATCH(ROWS($O$2:O563),$O$2:$O$1001,0),0), INDEX($V$1004:$AE$1004,1,MATCH(COLUMNS($V$1006:AD1006),$V$1006:$AE$1006,0)))),"Fix")))</f>
        <v>0</v>
      </c>
      <c r="K563" s="3">
        <f>IF(OR(INDEX($P$2:$P$1001,MATCH(ROWS($O$2:O563),$O$2:$O$1001,0),1)&gt;=100000,INDEX($V$1005:$AE$1005,1,MATCH(COLUMNS($V$1006:AE1006),$V$1006:$AE$1006,0))&gt;=100000), " ",IF(INDEX($V$2:$AE$1001,MATCH(ROWS($O$2:O563),$O$2:$O$1001,0),MATCH(COLUMNS($V$1006:AE1006),$V$1006:$AE$1006,0)), HYPERLINK("#",""), HYPERLINK(CONCATENATE("#Metadata!", ADDRESS(INDEX($Q$2:$Q$1001,MATCH(ROWS($O$2:O563),$O$2:$O$1001,0),0), INDEX($V$1004:$AE$1004,1,MATCH(COLUMNS($V$1006:AE1006),$V$1006:$AE$1006,0)))),"Fix")))</f>
        <v>0</v>
      </c>
      <c r="O563">
        <v>0</v>
      </c>
      <c r="P563">
        <v>0</v>
      </c>
      <c r="Q563">
        <v>0</v>
      </c>
      <c r="R563">
        <f>IF(S563,TRUE,AND(V563:AE563))</f>
        <v>0</v>
      </c>
      <c r="S563">
        <f>COUNTBLANK(Metadata!B563:K563)=COLUMNS(Metadata!B563:K563)</f>
        <v>0</v>
      </c>
      <c r="T563">
        <v>0</v>
      </c>
      <c r="V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W563">
        <f>AND(IF(Metadata!C563="",FALSE,TRUE),exact(Metadata!C563,"animal secretion"))</f>
        <v>0</v>
      </c>
      <c r="X563">
        <f>AND(IF(Metadata!D563="",FALSE,TRUE),exact(Metadata!D563,"saliva"))</f>
        <v>0</v>
      </c>
      <c r="Y563">
        <f>AND(IF(Metadata!E563="",FALSE,TRUE),exact(Metadata!E563,"human-oral"))</f>
        <v>0</v>
      </c>
      <c r="Z563">
        <f>AND(IF(Metadata!F563="",FALSE,TRUE),exact(Metadata!F563,"UBERON:oral cavity"))</f>
        <v>0</v>
      </c>
      <c r="AA563">
        <f>AND(IF(Metadata!G563="",FALSE,TRUE),exact(Metadata!G563,"UBERON:saliva"))</f>
        <v>0</v>
      </c>
      <c r="AB563">
        <f>AND(IF(Metadata!H563="",FALSE,TRUE),exact(Metadata!H563,"UBERON:tongue"))</f>
        <v>0</v>
      </c>
      <c r="AC563">
        <f>AND(IF(Metadata!I563="",FALSE,TRUE),exact(Metadata!I563,"tongue"))</f>
        <v>0</v>
      </c>
      <c r="AD563">
        <f>AND(IF(Metadata!J563="",FALSE,TRUE),exact(Metadata!J563,"human oral metagenome"))</f>
        <v>0</v>
      </c>
      <c r="AE563">
        <f>AND(IF(Metadata!K563="",FALSE,TRUE),exact(Metadata!K563,"447426"))</f>
        <v>0</v>
      </c>
    </row>
    <row r="564" spans="1:31">
      <c r="A564" s="4">
        <f>IF(B564=" "," ",HYPERLINK(CONCATENATE("#metadata!",ADDRESS(INDEX($Q$2:$Q$1001,MATCH(ROWS($O$2:O564),$O$2:$O$1001,0),0),1)),INDEX($T$2:$T$1001,MATCH(ROWS($O$2:O564),$O$2:$O$1001,0),0)))</f>
        <v>0</v>
      </c>
      <c r="B564" s="3">
        <f>IF(OR(INDEX($P$2:$P$1001,MATCH(ROWS($O$2:O564),$O$2:$O$1001,0),1)&gt;=100000,INDEX($V$1005:$AE$1005,1,MATCH(COLUMNS($V$1006:V1006),$V$1006:$AE$1006,0))&gt;=100000), " ",IF(INDEX($V$2:$AE$1001,MATCH(ROWS($O$2:O564),$O$2:$O$1001,0),MATCH(COLUMNS($V$1006:V1006),$V$1006:$AE$1006,0)), HYPERLINK("#",""), HYPERLINK(CONCATENATE("#Metadata!", ADDRESS(INDEX($Q$2:$Q$1001,MATCH(ROWS($O$2:O564),$O$2:$O$1001,0),0), INDEX($V$1004:$AE$1004,1,MATCH(COLUMNS($V$1006:V1006),$V$1006:$AE$1006,0)))),"Fix")))</f>
        <v>0</v>
      </c>
      <c r="C564" s="3">
        <f>IF(OR(INDEX($P$2:$P$1001,MATCH(ROWS($O$2:O564),$O$2:$O$1001,0),1)&gt;=100000,INDEX($V$1005:$AE$1005,1,MATCH(COLUMNS($V$1006:W1006),$V$1006:$AE$1006,0))&gt;=100000), " ",IF(INDEX($V$2:$AE$1001,MATCH(ROWS($O$2:O564),$O$2:$O$1001,0),MATCH(COLUMNS($V$1006:W1006),$V$1006:$AE$1006,0)), HYPERLINK("#",""), HYPERLINK(CONCATENATE("#Metadata!", ADDRESS(INDEX($Q$2:$Q$1001,MATCH(ROWS($O$2:O564),$O$2:$O$1001,0),0), INDEX($V$1004:$AE$1004,1,MATCH(COLUMNS($V$1006:W1006),$V$1006:$AE$1006,0)))),"Fix")))</f>
        <v>0</v>
      </c>
      <c r="D564" s="3">
        <f>IF(OR(INDEX($P$2:$P$1001,MATCH(ROWS($O$2:O564),$O$2:$O$1001,0),1)&gt;=100000,INDEX($V$1005:$AE$1005,1,MATCH(COLUMNS($V$1006:X1006),$V$1006:$AE$1006,0))&gt;=100000), " ",IF(INDEX($V$2:$AE$1001,MATCH(ROWS($O$2:O564),$O$2:$O$1001,0),MATCH(COLUMNS($V$1006:X1006),$V$1006:$AE$1006,0)), HYPERLINK("#",""), HYPERLINK(CONCATENATE("#Metadata!", ADDRESS(INDEX($Q$2:$Q$1001,MATCH(ROWS($O$2:O564),$O$2:$O$1001,0),0), INDEX($V$1004:$AE$1004,1,MATCH(COLUMNS($V$1006:X1006),$V$1006:$AE$1006,0)))),"Fix")))</f>
        <v>0</v>
      </c>
      <c r="E564" s="3">
        <f>IF(OR(INDEX($P$2:$P$1001,MATCH(ROWS($O$2:O564),$O$2:$O$1001,0),1)&gt;=100000,INDEX($V$1005:$AE$1005,1,MATCH(COLUMNS($V$1006:Y1006),$V$1006:$AE$1006,0))&gt;=100000), " ",IF(INDEX($V$2:$AE$1001,MATCH(ROWS($O$2:O564),$O$2:$O$1001,0),MATCH(COLUMNS($V$1006:Y1006),$V$1006:$AE$1006,0)), HYPERLINK("#",""), HYPERLINK(CONCATENATE("#Metadata!", ADDRESS(INDEX($Q$2:$Q$1001,MATCH(ROWS($O$2:O564),$O$2:$O$1001,0),0), INDEX($V$1004:$AE$1004,1,MATCH(COLUMNS($V$1006:Y1006),$V$1006:$AE$1006,0)))),"Fix")))</f>
        <v>0</v>
      </c>
      <c r="F564" s="3">
        <f>IF(OR(INDEX($P$2:$P$1001,MATCH(ROWS($O$2:O564),$O$2:$O$1001,0),1)&gt;=100000,INDEX($V$1005:$AE$1005,1,MATCH(COLUMNS($V$1006:Z1006),$V$1006:$AE$1006,0))&gt;=100000), " ",IF(INDEX($V$2:$AE$1001,MATCH(ROWS($O$2:O564),$O$2:$O$1001,0),MATCH(COLUMNS($V$1006:Z1006),$V$1006:$AE$1006,0)), HYPERLINK("#",""), HYPERLINK(CONCATENATE("#Metadata!", ADDRESS(INDEX($Q$2:$Q$1001,MATCH(ROWS($O$2:O564),$O$2:$O$1001,0),0), INDEX($V$1004:$AE$1004,1,MATCH(COLUMNS($V$1006:Z1006),$V$1006:$AE$1006,0)))),"Fix")))</f>
        <v>0</v>
      </c>
      <c r="G564" s="3">
        <f>IF(OR(INDEX($P$2:$P$1001,MATCH(ROWS($O$2:O564),$O$2:$O$1001,0),1)&gt;=100000,INDEX($V$1005:$AE$1005,1,MATCH(COLUMNS($V$1006:AA1006),$V$1006:$AE$1006,0))&gt;=100000), " ",IF(INDEX($V$2:$AE$1001,MATCH(ROWS($O$2:O564),$O$2:$O$1001,0),MATCH(COLUMNS($V$1006:AA1006),$V$1006:$AE$1006,0)), HYPERLINK("#",""), HYPERLINK(CONCATENATE("#Metadata!", ADDRESS(INDEX($Q$2:$Q$1001,MATCH(ROWS($O$2:O564),$O$2:$O$1001,0),0), INDEX($V$1004:$AE$1004,1,MATCH(COLUMNS($V$1006:AA1006),$V$1006:$AE$1006,0)))),"Fix")))</f>
        <v>0</v>
      </c>
      <c r="H564" s="3">
        <f>IF(OR(INDEX($P$2:$P$1001,MATCH(ROWS($O$2:O564),$O$2:$O$1001,0),1)&gt;=100000,INDEX($V$1005:$AE$1005,1,MATCH(COLUMNS($V$1006:AB1006),$V$1006:$AE$1006,0))&gt;=100000), " ",IF(INDEX($V$2:$AE$1001,MATCH(ROWS($O$2:O564),$O$2:$O$1001,0),MATCH(COLUMNS($V$1006:AB1006),$V$1006:$AE$1006,0)), HYPERLINK("#",""), HYPERLINK(CONCATENATE("#Metadata!", ADDRESS(INDEX($Q$2:$Q$1001,MATCH(ROWS($O$2:O564),$O$2:$O$1001,0),0), INDEX($V$1004:$AE$1004,1,MATCH(COLUMNS($V$1006:AB1006),$V$1006:$AE$1006,0)))),"Fix")))</f>
        <v>0</v>
      </c>
      <c r="I564" s="3">
        <f>IF(OR(INDEX($P$2:$P$1001,MATCH(ROWS($O$2:O564),$O$2:$O$1001,0),1)&gt;=100000,INDEX($V$1005:$AE$1005,1,MATCH(COLUMNS($V$1006:AC1006),$V$1006:$AE$1006,0))&gt;=100000), " ",IF(INDEX($V$2:$AE$1001,MATCH(ROWS($O$2:O564),$O$2:$O$1001,0),MATCH(COLUMNS($V$1006:AC1006),$V$1006:$AE$1006,0)), HYPERLINK("#",""), HYPERLINK(CONCATENATE("#Metadata!", ADDRESS(INDEX($Q$2:$Q$1001,MATCH(ROWS($O$2:O564),$O$2:$O$1001,0),0), INDEX($V$1004:$AE$1004,1,MATCH(COLUMNS($V$1006:AC1006),$V$1006:$AE$1006,0)))),"Fix")))</f>
        <v>0</v>
      </c>
      <c r="J564" s="3">
        <f>IF(OR(INDEX($P$2:$P$1001,MATCH(ROWS($O$2:O564),$O$2:$O$1001,0),1)&gt;=100000,INDEX($V$1005:$AE$1005,1,MATCH(COLUMNS($V$1006:AD1006),$V$1006:$AE$1006,0))&gt;=100000), " ",IF(INDEX($V$2:$AE$1001,MATCH(ROWS($O$2:O564),$O$2:$O$1001,0),MATCH(COLUMNS($V$1006:AD1006),$V$1006:$AE$1006,0)), HYPERLINK("#",""), HYPERLINK(CONCATENATE("#Metadata!", ADDRESS(INDEX($Q$2:$Q$1001,MATCH(ROWS($O$2:O564),$O$2:$O$1001,0),0), INDEX($V$1004:$AE$1004,1,MATCH(COLUMNS($V$1006:AD1006),$V$1006:$AE$1006,0)))),"Fix")))</f>
        <v>0</v>
      </c>
      <c r="K564" s="3">
        <f>IF(OR(INDEX($P$2:$P$1001,MATCH(ROWS($O$2:O564),$O$2:$O$1001,0),1)&gt;=100000,INDEX($V$1005:$AE$1005,1,MATCH(COLUMNS($V$1006:AE1006),$V$1006:$AE$1006,0))&gt;=100000), " ",IF(INDEX($V$2:$AE$1001,MATCH(ROWS($O$2:O564),$O$2:$O$1001,0),MATCH(COLUMNS($V$1006:AE1006),$V$1006:$AE$1006,0)), HYPERLINK("#",""), HYPERLINK(CONCATENATE("#Metadata!", ADDRESS(INDEX($Q$2:$Q$1001,MATCH(ROWS($O$2:O564),$O$2:$O$1001,0),0), INDEX($V$1004:$AE$1004,1,MATCH(COLUMNS($V$1006:AE1006),$V$1006:$AE$1006,0)))),"Fix")))</f>
        <v>0</v>
      </c>
      <c r="O564">
        <v>0</v>
      </c>
      <c r="P564">
        <v>0</v>
      </c>
      <c r="Q564">
        <v>0</v>
      </c>
      <c r="R564">
        <f>IF(S564,TRUE,AND(V564:AE564))</f>
        <v>0</v>
      </c>
      <c r="S564">
        <f>COUNTBLANK(Metadata!B564:K564)=COLUMNS(Metadata!B564:K564)</f>
        <v>0</v>
      </c>
      <c r="T564">
        <v>0</v>
      </c>
      <c r="V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W564">
        <f>AND(IF(Metadata!C564="",FALSE,TRUE),exact(Metadata!C564,"animal secretion"))</f>
        <v>0</v>
      </c>
      <c r="X564">
        <f>AND(IF(Metadata!D564="",FALSE,TRUE),exact(Metadata!D564,"saliva"))</f>
        <v>0</v>
      </c>
      <c r="Y564">
        <f>AND(IF(Metadata!E564="",FALSE,TRUE),exact(Metadata!E564,"human-oral"))</f>
        <v>0</v>
      </c>
      <c r="Z564">
        <f>AND(IF(Metadata!F564="",FALSE,TRUE),exact(Metadata!F564,"UBERON:oral cavity"))</f>
        <v>0</v>
      </c>
      <c r="AA564">
        <f>AND(IF(Metadata!G564="",FALSE,TRUE),exact(Metadata!G564,"UBERON:saliva"))</f>
        <v>0</v>
      </c>
      <c r="AB564">
        <f>AND(IF(Metadata!H564="",FALSE,TRUE),exact(Metadata!H564,"UBERON:tongue"))</f>
        <v>0</v>
      </c>
      <c r="AC564">
        <f>AND(IF(Metadata!I564="",FALSE,TRUE),exact(Metadata!I564,"tongue"))</f>
        <v>0</v>
      </c>
      <c r="AD564">
        <f>AND(IF(Metadata!J564="",FALSE,TRUE),exact(Metadata!J564,"human oral metagenome"))</f>
        <v>0</v>
      </c>
      <c r="AE564">
        <f>AND(IF(Metadata!K564="",FALSE,TRUE),exact(Metadata!K564,"447426"))</f>
        <v>0</v>
      </c>
    </row>
    <row r="565" spans="1:31">
      <c r="A565" s="4">
        <f>IF(B565=" "," ",HYPERLINK(CONCATENATE("#metadata!",ADDRESS(INDEX($Q$2:$Q$1001,MATCH(ROWS($O$2:O565),$O$2:$O$1001,0),0),1)),INDEX($T$2:$T$1001,MATCH(ROWS($O$2:O565),$O$2:$O$1001,0),0)))</f>
        <v>0</v>
      </c>
      <c r="B565" s="3">
        <f>IF(OR(INDEX($P$2:$P$1001,MATCH(ROWS($O$2:O565),$O$2:$O$1001,0),1)&gt;=100000,INDEX($V$1005:$AE$1005,1,MATCH(COLUMNS($V$1006:V1006),$V$1006:$AE$1006,0))&gt;=100000), " ",IF(INDEX($V$2:$AE$1001,MATCH(ROWS($O$2:O565),$O$2:$O$1001,0),MATCH(COLUMNS($V$1006:V1006),$V$1006:$AE$1006,0)), HYPERLINK("#",""), HYPERLINK(CONCATENATE("#Metadata!", ADDRESS(INDEX($Q$2:$Q$1001,MATCH(ROWS($O$2:O565),$O$2:$O$1001,0),0), INDEX($V$1004:$AE$1004,1,MATCH(COLUMNS($V$1006:V1006),$V$1006:$AE$1006,0)))),"Fix")))</f>
        <v>0</v>
      </c>
      <c r="C565" s="3">
        <f>IF(OR(INDEX($P$2:$P$1001,MATCH(ROWS($O$2:O565),$O$2:$O$1001,0),1)&gt;=100000,INDEX($V$1005:$AE$1005,1,MATCH(COLUMNS($V$1006:W1006),$V$1006:$AE$1006,0))&gt;=100000), " ",IF(INDEX($V$2:$AE$1001,MATCH(ROWS($O$2:O565),$O$2:$O$1001,0),MATCH(COLUMNS($V$1006:W1006),$V$1006:$AE$1006,0)), HYPERLINK("#",""), HYPERLINK(CONCATENATE("#Metadata!", ADDRESS(INDEX($Q$2:$Q$1001,MATCH(ROWS($O$2:O565),$O$2:$O$1001,0),0), INDEX($V$1004:$AE$1004,1,MATCH(COLUMNS($V$1006:W1006),$V$1006:$AE$1006,0)))),"Fix")))</f>
        <v>0</v>
      </c>
      <c r="D565" s="3">
        <f>IF(OR(INDEX($P$2:$P$1001,MATCH(ROWS($O$2:O565),$O$2:$O$1001,0),1)&gt;=100000,INDEX($V$1005:$AE$1005,1,MATCH(COLUMNS($V$1006:X1006),$V$1006:$AE$1006,0))&gt;=100000), " ",IF(INDEX($V$2:$AE$1001,MATCH(ROWS($O$2:O565),$O$2:$O$1001,0),MATCH(COLUMNS($V$1006:X1006),$V$1006:$AE$1006,0)), HYPERLINK("#",""), HYPERLINK(CONCATENATE("#Metadata!", ADDRESS(INDEX($Q$2:$Q$1001,MATCH(ROWS($O$2:O565),$O$2:$O$1001,0),0), INDEX($V$1004:$AE$1004,1,MATCH(COLUMNS($V$1006:X1006),$V$1006:$AE$1006,0)))),"Fix")))</f>
        <v>0</v>
      </c>
      <c r="E565" s="3">
        <f>IF(OR(INDEX($P$2:$P$1001,MATCH(ROWS($O$2:O565),$O$2:$O$1001,0),1)&gt;=100000,INDEX($V$1005:$AE$1005,1,MATCH(COLUMNS($V$1006:Y1006),$V$1006:$AE$1006,0))&gt;=100000), " ",IF(INDEX($V$2:$AE$1001,MATCH(ROWS($O$2:O565),$O$2:$O$1001,0),MATCH(COLUMNS($V$1006:Y1006),$V$1006:$AE$1006,0)), HYPERLINK("#",""), HYPERLINK(CONCATENATE("#Metadata!", ADDRESS(INDEX($Q$2:$Q$1001,MATCH(ROWS($O$2:O565),$O$2:$O$1001,0),0), INDEX($V$1004:$AE$1004,1,MATCH(COLUMNS($V$1006:Y1006),$V$1006:$AE$1006,0)))),"Fix")))</f>
        <v>0</v>
      </c>
      <c r="F565" s="3">
        <f>IF(OR(INDEX($P$2:$P$1001,MATCH(ROWS($O$2:O565),$O$2:$O$1001,0),1)&gt;=100000,INDEX($V$1005:$AE$1005,1,MATCH(COLUMNS($V$1006:Z1006),$V$1006:$AE$1006,0))&gt;=100000), " ",IF(INDEX($V$2:$AE$1001,MATCH(ROWS($O$2:O565),$O$2:$O$1001,0),MATCH(COLUMNS($V$1006:Z1006),$V$1006:$AE$1006,0)), HYPERLINK("#",""), HYPERLINK(CONCATENATE("#Metadata!", ADDRESS(INDEX($Q$2:$Q$1001,MATCH(ROWS($O$2:O565),$O$2:$O$1001,0),0), INDEX($V$1004:$AE$1004,1,MATCH(COLUMNS($V$1006:Z1006),$V$1006:$AE$1006,0)))),"Fix")))</f>
        <v>0</v>
      </c>
      <c r="G565" s="3">
        <f>IF(OR(INDEX($P$2:$P$1001,MATCH(ROWS($O$2:O565),$O$2:$O$1001,0),1)&gt;=100000,INDEX($V$1005:$AE$1005,1,MATCH(COLUMNS($V$1006:AA1006),$V$1006:$AE$1006,0))&gt;=100000), " ",IF(INDEX($V$2:$AE$1001,MATCH(ROWS($O$2:O565),$O$2:$O$1001,0),MATCH(COLUMNS($V$1006:AA1006),$V$1006:$AE$1006,0)), HYPERLINK("#",""), HYPERLINK(CONCATENATE("#Metadata!", ADDRESS(INDEX($Q$2:$Q$1001,MATCH(ROWS($O$2:O565),$O$2:$O$1001,0),0), INDEX($V$1004:$AE$1004,1,MATCH(COLUMNS($V$1006:AA1006),$V$1006:$AE$1006,0)))),"Fix")))</f>
        <v>0</v>
      </c>
      <c r="H565" s="3">
        <f>IF(OR(INDEX($P$2:$P$1001,MATCH(ROWS($O$2:O565),$O$2:$O$1001,0),1)&gt;=100000,INDEX($V$1005:$AE$1005,1,MATCH(COLUMNS($V$1006:AB1006),$V$1006:$AE$1006,0))&gt;=100000), " ",IF(INDEX($V$2:$AE$1001,MATCH(ROWS($O$2:O565),$O$2:$O$1001,0),MATCH(COLUMNS($V$1006:AB1006),$V$1006:$AE$1006,0)), HYPERLINK("#",""), HYPERLINK(CONCATENATE("#Metadata!", ADDRESS(INDEX($Q$2:$Q$1001,MATCH(ROWS($O$2:O565),$O$2:$O$1001,0),0), INDEX($V$1004:$AE$1004,1,MATCH(COLUMNS($V$1006:AB1006),$V$1006:$AE$1006,0)))),"Fix")))</f>
        <v>0</v>
      </c>
      <c r="I565" s="3">
        <f>IF(OR(INDEX($P$2:$P$1001,MATCH(ROWS($O$2:O565),$O$2:$O$1001,0),1)&gt;=100000,INDEX($V$1005:$AE$1005,1,MATCH(COLUMNS($V$1006:AC1006),$V$1006:$AE$1006,0))&gt;=100000), " ",IF(INDEX($V$2:$AE$1001,MATCH(ROWS($O$2:O565),$O$2:$O$1001,0),MATCH(COLUMNS($V$1006:AC1006),$V$1006:$AE$1006,0)), HYPERLINK("#",""), HYPERLINK(CONCATENATE("#Metadata!", ADDRESS(INDEX($Q$2:$Q$1001,MATCH(ROWS($O$2:O565),$O$2:$O$1001,0),0), INDEX($V$1004:$AE$1004,1,MATCH(COLUMNS($V$1006:AC1006),$V$1006:$AE$1006,0)))),"Fix")))</f>
        <v>0</v>
      </c>
      <c r="J565" s="3">
        <f>IF(OR(INDEX($P$2:$P$1001,MATCH(ROWS($O$2:O565),$O$2:$O$1001,0),1)&gt;=100000,INDEX($V$1005:$AE$1005,1,MATCH(COLUMNS($V$1006:AD1006),$V$1006:$AE$1006,0))&gt;=100000), " ",IF(INDEX($V$2:$AE$1001,MATCH(ROWS($O$2:O565),$O$2:$O$1001,0),MATCH(COLUMNS($V$1006:AD1006),$V$1006:$AE$1006,0)), HYPERLINK("#",""), HYPERLINK(CONCATENATE("#Metadata!", ADDRESS(INDEX($Q$2:$Q$1001,MATCH(ROWS($O$2:O565),$O$2:$O$1001,0),0), INDEX($V$1004:$AE$1004,1,MATCH(COLUMNS($V$1006:AD1006),$V$1006:$AE$1006,0)))),"Fix")))</f>
        <v>0</v>
      </c>
      <c r="K565" s="3">
        <f>IF(OR(INDEX($P$2:$P$1001,MATCH(ROWS($O$2:O565),$O$2:$O$1001,0),1)&gt;=100000,INDEX($V$1005:$AE$1005,1,MATCH(COLUMNS($V$1006:AE1006),$V$1006:$AE$1006,0))&gt;=100000), " ",IF(INDEX($V$2:$AE$1001,MATCH(ROWS($O$2:O565),$O$2:$O$1001,0),MATCH(COLUMNS($V$1006:AE1006),$V$1006:$AE$1006,0)), HYPERLINK("#",""), HYPERLINK(CONCATENATE("#Metadata!", ADDRESS(INDEX($Q$2:$Q$1001,MATCH(ROWS($O$2:O565),$O$2:$O$1001,0),0), INDEX($V$1004:$AE$1004,1,MATCH(COLUMNS($V$1006:AE1006),$V$1006:$AE$1006,0)))),"Fix")))</f>
        <v>0</v>
      </c>
      <c r="O565">
        <v>0</v>
      </c>
      <c r="P565">
        <v>0</v>
      </c>
      <c r="Q565">
        <v>0</v>
      </c>
      <c r="R565">
        <f>IF(S565,TRUE,AND(V565:AE565))</f>
        <v>0</v>
      </c>
      <c r="S565">
        <f>COUNTBLANK(Metadata!B565:K565)=COLUMNS(Metadata!B565:K565)</f>
        <v>0</v>
      </c>
      <c r="T565">
        <v>0</v>
      </c>
      <c r="V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W565">
        <f>AND(IF(Metadata!C565="",FALSE,TRUE),exact(Metadata!C565,"animal secretion"))</f>
        <v>0</v>
      </c>
      <c r="X565">
        <f>AND(IF(Metadata!D565="",FALSE,TRUE),exact(Metadata!D565,"saliva"))</f>
        <v>0</v>
      </c>
      <c r="Y565">
        <f>AND(IF(Metadata!E565="",FALSE,TRUE),exact(Metadata!E565,"human-oral"))</f>
        <v>0</v>
      </c>
      <c r="Z565">
        <f>AND(IF(Metadata!F565="",FALSE,TRUE),exact(Metadata!F565,"UBERON:oral cavity"))</f>
        <v>0</v>
      </c>
      <c r="AA565">
        <f>AND(IF(Metadata!G565="",FALSE,TRUE),exact(Metadata!G565,"UBERON:saliva"))</f>
        <v>0</v>
      </c>
      <c r="AB565">
        <f>AND(IF(Metadata!H565="",FALSE,TRUE),exact(Metadata!H565,"UBERON:tongue"))</f>
        <v>0</v>
      </c>
      <c r="AC565">
        <f>AND(IF(Metadata!I565="",FALSE,TRUE),exact(Metadata!I565,"tongue"))</f>
        <v>0</v>
      </c>
      <c r="AD565">
        <f>AND(IF(Metadata!J565="",FALSE,TRUE),exact(Metadata!J565,"human oral metagenome"))</f>
        <v>0</v>
      </c>
      <c r="AE565">
        <f>AND(IF(Metadata!K565="",FALSE,TRUE),exact(Metadata!K565,"447426"))</f>
        <v>0</v>
      </c>
    </row>
    <row r="566" spans="1:31">
      <c r="A566" s="4">
        <f>IF(B566=" "," ",HYPERLINK(CONCATENATE("#metadata!",ADDRESS(INDEX($Q$2:$Q$1001,MATCH(ROWS($O$2:O566),$O$2:$O$1001,0),0),1)),INDEX($T$2:$T$1001,MATCH(ROWS($O$2:O566),$O$2:$O$1001,0),0)))</f>
        <v>0</v>
      </c>
      <c r="B566" s="3">
        <f>IF(OR(INDEX($P$2:$P$1001,MATCH(ROWS($O$2:O566),$O$2:$O$1001,0),1)&gt;=100000,INDEX($V$1005:$AE$1005,1,MATCH(COLUMNS($V$1006:V1006),$V$1006:$AE$1006,0))&gt;=100000), " ",IF(INDEX($V$2:$AE$1001,MATCH(ROWS($O$2:O566),$O$2:$O$1001,0),MATCH(COLUMNS($V$1006:V1006),$V$1006:$AE$1006,0)), HYPERLINK("#",""), HYPERLINK(CONCATENATE("#Metadata!", ADDRESS(INDEX($Q$2:$Q$1001,MATCH(ROWS($O$2:O566),$O$2:$O$1001,0),0), INDEX($V$1004:$AE$1004,1,MATCH(COLUMNS($V$1006:V1006),$V$1006:$AE$1006,0)))),"Fix")))</f>
        <v>0</v>
      </c>
      <c r="C566" s="3">
        <f>IF(OR(INDEX($P$2:$P$1001,MATCH(ROWS($O$2:O566),$O$2:$O$1001,0),1)&gt;=100000,INDEX($V$1005:$AE$1005,1,MATCH(COLUMNS($V$1006:W1006),$V$1006:$AE$1006,0))&gt;=100000), " ",IF(INDEX($V$2:$AE$1001,MATCH(ROWS($O$2:O566),$O$2:$O$1001,0),MATCH(COLUMNS($V$1006:W1006),$V$1006:$AE$1006,0)), HYPERLINK("#",""), HYPERLINK(CONCATENATE("#Metadata!", ADDRESS(INDEX($Q$2:$Q$1001,MATCH(ROWS($O$2:O566),$O$2:$O$1001,0),0), INDEX($V$1004:$AE$1004,1,MATCH(COLUMNS($V$1006:W1006),$V$1006:$AE$1006,0)))),"Fix")))</f>
        <v>0</v>
      </c>
      <c r="D566" s="3">
        <f>IF(OR(INDEX($P$2:$P$1001,MATCH(ROWS($O$2:O566),$O$2:$O$1001,0),1)&gt;=100000,INDEX($V$1005:$AE$1005,1,MATCH(COLUMNS($V$1006:X1006),$V$1006:$AE$1006,0))&gt;=100000), " ",IF(INDEX($V$2:$AE$1001,MATCH(ROWS($O$2:O566),$O$2:$O$1001,0),MATCH(COLUMNS($V$1006:X1006),$V$1006:$AE$1006,0)), HYPERLINK("#",""), HYPERLINK(CONCATENATE("#Metadata!", ADDRESS(INDEX($Q$2:$Q$1001,MATCH(ROWS($O$2:O566),$O$2:$O$1001,0),0), INDEX($V$1004:$AE$1004,1,MATCH(COLUMNS($V$1006:X1006),$V$1006:$AE$1006,0)))),"Fix")))</f>
        <v>0</v>
      </c>
      <c r="E566" s="3">
        <f>IF(OR(INDEX($P$2:$P$1001,MATCH(ROWS($O$2:O566),$O$2:$O$1001,0),1)&gt;=100000,INDEX($V$1005:$AE$1005,1,MATCH(COLUMNS($V$1006:Y1006),$V$1006:$AE$1006,0))&gt;=100000), " ",IF(INDEX($V$2:$AE$1001,MATCH(ROWS($O$2:O566),$O$2:$O$1001,0),MATCH(COLUMNS($V$1006:Y1006),$V$1006:$AE$1006,0)), HYPERLINK("#",""), HYPERLINK(CONCATENATE("#Metadata!", ADDRESS(INDEX($Q$2:$Q$1001,MATCH(ROWS($O$2:O566),$O$2:$O$1001,0),0), INDEX($V$1004:$AE$1004,1,MATCH(COLUMNS($V$1006:Y1006),$V$1006:$AE$1006,0)))),"Fix")))</f>
        <v>0</v>
      </c>
      <c r="F566" s="3">
        <f>IF(OR(INDEX($P$2:$P$1001,MATCH(ROWS($O$2:O566),$O$2:$O$1001,0),1)&gt;=100000,INDEX($V$1005:$AE$1005,1,MATCH(COLUMNS($V$1006:Z1006),$V$1006:$AE$1006,0))&gt;=100000), " ",IF(INDEX($V$2:$AE$1001,MATCH(ROWS($O$2:O566),$O$2:$O$1001,0),MATCH(COLUMNS($V$1006:Z1006),$V$1006:$AE$1006,0)), HYPERLINK("#",""), HYPERLINK(CONCATENATE("#Metadata!", ADDRESS(INDEX($Q$2:$Q$1001,MATCH(ROWS($O$2:O566),$O$2:$O$1001,0),0), INDEX($V$1004:$AE$1004,1,MATCH(COLUMNS($V$1006:Z1006),$V$1006:$AE$1006,0)))),"Fix")))</f>
        <v>0</v>
      </c>
      <c r="G566" s="3">
        <f>IF(OR(INDEX($P$2:$P$1001,MATCH(ROWS($O$2:O566),$O$2:$O$1001,0),1)&gt;=100000,INDEX($V$1005:$AE$1005,1,MATCH(COLUMNS($V$1006:AA1006),$V$1006:$AE$1006,0))&gt;=100000), " ",IF(INDEX($V$2:$AE$1001,MATCH(ROWS($O$2:O566),$O$2:$O$1001,0),MATCH(COLUMNS($V$1006:AA1006),$V$1006:$AE$1006,0)), HYPERLINK("#",""), HYPERLINK(CONCATENATE("#Metadata!", ADDRESS(INDEX($Q$2:$Q$1001,MATCH(ROWS($O$2:O566),$O$2:$O$1001,0),0), INDEX($V$1004:$AE$1004,1,MATCH(COLUMNS($V$1006:AA1006),$V$1006:$AE$1006,0)))),"Fix")))</f>
        <v>0</v>
      </c>
      <c r="H566" s="3">
        <f>IF(OR(INDEX($P$2:$P$1001,MATCH(ROWS($O$2:O566),$O$2:$O$1001,0),1)&gt;=100000,INDEX($V$1005:$AE$1005,1,MATCH(COLUMNS($V$1006:AB1006),$V$1006:$AE$1006,0))&gt;=100000), " ",IF(INDEX($V$2:$AE$1001,MATCH(ROWS($O$2:O566),$O$2:$O$1001,0),MATCH(COLUMNS($V$1006:AB1006),$V$1006:$AE$1006,0)), HYPERLINK("#",""), HYPERLINK(CONCATENATE("#Metadata!", ADDRESS(INDEX($Q$2:$Q$1001,MATCH(ROWS($O$2:O566),$O$2:$O$1001,0),0), INDEX($V$1004:$AE$1004,1,MATCH(COLUMNS($V$1006:AB1006),$V$1006:$AE$1006,0)))),"Fix")))</f>
        <v>0</v>
      </c>
      <c r="I566" s="3">
        <f>IF(OR(INDEX($P$2:$P$1001,MATCH(ROWS($O$2:O566),$O$2:$O$1001,0),1)&gt;=100000,INDEX($V$1005:$AE$1005,1,MATCH(COLUMNS($V$1006:AC1006),$V$1006:$AE$1006,0))&gt;=100000), " ",IF(INDEX($V$2:$AE$1001,MATCH(ROWS($O$2:O566),$O$2:$O$1001,0),MATCH(COLUMNS($V$1006:AC1006),$V$1006:$AE$1006,0)), HYPERLINK("#",""), HYPERLINK(CONCATENATE("#Metadata!", ADDRESS(INDEX($Q$2:$Q$1001,MATCH(ROWS($O$2:O566),$O$2:$O$1001,0),0), INDEX($V$1004:$AE$1004,1,MATCH(COLUMNS($V$1006:AC1006),$V$1006:$AE$1006,0)))),"Fix")))</f>
        <v>0</v>
      </c>
      <c r="J566" s="3">
        <f>IF(OR(INDEX($P$2:$P$1001,MATCH(ROWS($O$2:O566),$O$2:$O$1001,0),1)&gt;=100000,INDEX($V$1005:$AE$1005,1,MATCH(COLUMNS($V$1006:AD1006),$V$1006:$AE$1006,0))&gt;=100000), " ",IF(INDEX($V$2:$AE$1001,MATCH(ROWS($O$2:O566),$O$2:$O$1001,0),MATCH(COLUMNS($V$1006:AD1006),$V$1006:$AE$1006,0)), HYPERLINK("#",""), HYPERLINK(CONCATENATE("#Metadata!", ADDRESS(INDEX($Q$2:$Q$1001,MATCH(ROWS($O$2:O566),$O$2:$O$1001,0),0), INDEX($V$1004:$AE$1004,1,MATCH(COLUMNS($V$1006:AD1006),$V$1006:$AE$1006,0)))),"Fix")))</f>
        <v>0</v>
      </c>
      <c r="K566" s="3">
        <f>IF(OR(INDEX($P$2:$P$1001,MATCH(ROWS($O$2:O566),$O$2:$O$1001,0),1)&gt;=100000,INDEX($V$1005:$AE$1005,1,MATCH(COLUMNS($V$1006:AE1006),$V$1006:$AE$1006,0))&gt;=100000), " ",IF(INDEX($V$2:$AE$1001,MATCH(ROWS($O$2:O566),$O$2:$O$1001,0),MATCH(COLUMNS($V$1006:AE1006),$V$1006:$AE$1006,0)), HYPERLINK("#",""), HYPERLINK(CONCATENATE("#Metadata!", ADDRESS(INDEX($Q$2:$Q$1001,MATCH(ROWS($O$2:O566),$O$2:$O$1001,0),0), INDEX($V$1004:$AE$1004,1,MATCH(COLUMNS($V$1006:AE1006),$V$1006:$AE$1006,0)))),"Fix")))</f>
        <v>0</v>
      </c>
      <c r="O566">
        <v>0</v>
      </c>
      <c r="P566">
        <v>0</v>
      </c>
      <c r="Q566">
        <v>0</v>
      </c>
      <c r="R566">
        <f>IF(S566,TRUE,AND(V566:AE566))</f>
        <v>0</v>
      </c>
      <c r="S566">
        <f>COUNTBLANK(Metadata!B566:K566)=COLUMNS(Metadata!B566:K566)</f>
        <v>0</v>
      </c>
      <c r="T566">
        <v>0</v>
      </c>
      <c r="V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W566">
        <f>AND(IF(Metadata!C566="",FALSE,TRUE),exact(Metadata!C566,"animal secretion"))</f>
        <v>0</v>
      </c>
      <c r="X566">
        <f>AND(IF(Metadata!D566="",FALSE,TRUE),exact(Metadata!D566,"saliva"))</f>
        <v>0</v>
      </c>
      <c r="Y566">
        <f>AND(IF(Metadata!E566="",FALSE,TRUE),exact(Metadata!E566,"human-oral"))</f>
        <v>0</v>
      </c>
      <c r="Z566">
        <f>AND(IF(Metadata!F566="",FALSE,TRUE),exact(Metadata!F566,"UBERON:oral cavity"))</f>
        <v>0</v>
      </c>
      <c r="AA566">
        <f>AND(IF(Metadata!G566="",FALSE,TRUE),exact(Metadata!G566,"UBERON:saliva"))</f>
        <v>0</v>
      </c>
      <c r="AB566">
        <f>AND(IF(Metadata!H566="",FALSE,TRUE),exact(Metadata!H566,"UBERON:tongue"))</f>
        <v>0</v>
      </c>
      <c r="AC566">
        <f>AND(IF(Metadata!I566="",FALSE,TRUE),exact(Metadata!I566,"tongue"))</f>
        <v>0</v>
      </c>
      <c r="AD566">
        <f>AND(IF(Metadata!J566="",FALSE,TRUE),exact(Metadata!J566,"human oral metagenome"))</f>
        <v>0</v>
      </c>
      <c r="AE566">
        <f>AND(IF(Metadata!K566="",FALSE,TRUE),exact(Metadata!K566,"447426"))</f>
        <v>0</v>
      </c>
    </row>
    <row r="567" spans="1:31">
      <c r="A567" s="4">
        <f>IF(B567=" "," ",HYPERLINK(CONCATENATE("#metadata!",ADDRESS(INDEX($Q$2:$Q$1001,MATCH(ROWS($O$2:O567),$O$2:$O$1001,0),0),1)),INDEX($T$2:$T$1001,MATCH(ROWS($O$2:O567),$O$2:$O$1001,0),0)))</f>
        <v>0</v>
      </c>
      <c r="B567" s="3">
        <f>IF(OR(INDEX($P$2:$P$1001,MATCH(ROWS($O$2:O567),$O$2:$O$1001,0),1)&gt;=100000,INDEX($V$1005:$AE$1005,1,MATCH(COLUMNS($V$1006:V1006),$V$1006:$AE$1006,0))&gt;=100000), " ",IF(INDEX($V$2:$AE$1001,MATCH(ROWS($O$2:O567),$O$2:$O$1001,0),MATCH(COLUMNS($V$1006:V1006),$V$1006:$AE$1006,0)), HYPERLINK("#",""), HYPERLINK(CONCATENATE("#Metadata!", ADDRESS(INDEX($Q$2:$Q$1001,MATCH(ROWS($O$2:O567),$O$2:$O$1001,0),0), INDEX($V$1004:$AE$1004,1,MATCH(COLUMNS($V$1006:V1006),$V$1006:$AE$1006,0)))),"Fix")))</f>
        <v>0</v>
      </c>
      <c r="C567" s="3">
        <f>IF(OR(INDEX($P$2:$P$1001,MATCH(ROWS($O$2:O567),$O$2:$O$1001,0),1)&gt;=100000,INDEX($V$1005:$AE$1005,1,MATCH(COLUMNS($V$1006:W1006),$V$1006:$AE$1006,0))&gt;=100000), " ",IF(INDEX($V$2:$AE$1001,MATCH(ROWS($O$2:O567),$O$2:$O$1001,0),MATCH(COLUMNS($V$1006:W1006),$V$1006:$AE$1006,0)), HYPERLINK("#",""), HYPERLINK(CONCATENATE("#Metadata!", ADDRESS(INDEX($Q$2:$Q$1001,MATCH(ROWS($O$2:O567),$O$2:$O$1001,0),0), INDEX($V$1004:$AE$1004,1,MATCH(COLUMNS($V$1006:W1006),$V$1006:$AE$1006,0)))),"Fix")))</f>
        <v>0</v>
      </c>
      <c r="D567" s="3">
        <f>IF(OR(INDEX($P$2:$P$1001,MATCH(ROWS($O$2:O567),$O$2:$O$1001,0),1)&gt;=100000,INDEX($V$1005:$AE$1005,1,MATCH(COLUMNS($V$1006:X1006),$V$1006:$AE$1006,0))&gt;=100000), " ",IF(INDEX($V$2:$AE$1001,MATCH(ROWS($O$2:O567),$O$2:$O$1001,0),MATCH(COLUMNS($V$1006:X1006),$V$1006:$AE$1006,0)), HYPERLINK("#",""), HYPERLINK(CONCATENATE("#Metadata!", ADDRESS(INDEX($Q$2:$Q$1001,MATCH(ROWS($O$2:O567),$O$2:$O$1001,0),0), INDEX($V$1004:$AE$1004,1,MATCH(COLUMNS($V$1006:X1006),$V$1006:$AE$1006,0)))),"Fix")))</f>
        <v>0</v>
      </c>
      <c r="E567" s="3">
        <f>IF(OR(INDEX($P$2:$P$1001,MATCH(ROWS($O$2:O567),$O$2:$O$1001,0),1)&gt;=100000,INDEX($V$1005:$AE$1005,1,MATCH(COLUMNS($V$1006:Y1006),$V$1006:$AE$1006,0))&gt;=100000), " ",IF(INDEX($V$2:$AE$1001,MATCH(ROWS($O$2:O567),$O$2:$O$1001,0),MATCH(COLUMNS($V$1006:Y1006),$V$1006:$AE$1006,0)), HYPERLINK("#",""), HYPERLINK(CONCATENATE("#Metadata!", ADDRESS(INDEX($Q$2:$Q$1001,MATCH(ROWS($O$2:O567),$O$2:$O$1001,0),0), INDEX($V$1004:$AE$1004,1,MATCH(COLUMNS($V$1006:Y1006),$V$1006:$AE$1006,0)))),"Fix")))</f>
        <v>0</v>
      </c>
      <c r="F567" s="3">
        <f>IF(OR(INDEX($P$2:$P$1001,MATCH(ROWS($O$2:O567),$O$2:$O$1001,0),1)&gt;=100000,INDEX($V$1005:$AE$1005,1,MATCH(COLUMNS($V$1006:Z1006),$V$1006:$AE$1006,0))&gt;=100000), " ",IF(INDEX($V$2:$AE$1001,MATCH(ROWS($O$2:O567),$O$2:$O$1001,0),MATCH(COLUMNS($V$1006:Z1006),$V$1006:$AE$1006,0)), HYPERLINK("#",""), HYPERLINK(CONCATENATE("#Metadata!", ADDRESS(INDEX($Q$2:$Q$1001,MATCH(ROWS($O$2:O567),$O$2:$O$1001,0),0), INDEX($V$1004:$AE$1004,1,MATCH(COLUMNS($V$1006:Z1006),$V$1006:$AE$1006,0)))),"Fix")))</f>
        <v>0</v>
      </c>
      <c r="G567" s="3">
        <f>IF(OR(INDEX($P$2:$P$1001,MATCH(ROWS($O$2:O567),$O$2:$O$1001,0),1)&gt;=100000,INDEX($V$1005:$AE$1005,1,MATCH(COLUMNS($V$1006:AA1006),$V$1006:$AE$1006,0))&gt;=100000), " ",IF(INDEX($V$2:$AE$1001,MATCH(ROWS($O$2:O567),$O$2:$O$1001,0),MATCH(COLUMNS($V$1006:AA1006),$V$1006:$AE$1006,0)), HYPERLINK("#",""), HYPERLINK(CONCATENATE("#Metadata!", ADDRESS(INDEX($Q$2:$Q$1001,MATCH(ROWS($O$2:O567),$O$2:$O$1001,0),0), INDEX($V$1004:$AE$1004,1,MATCH(COLUMNS($V$1006:AA1006),$V$1006:$AE$1006,0)))),"Fix")))</f>
        <v>0</v>
      </c>
      <c r="H567" s="3">
        <f>IF(OR(INDEX($P$2:$P$1001,MATCH(ROWS($O$2:O567),$O$2:$O$1001,0),1)&gt;=100000,INDEX($V$1005:$AE$1005,1,MATCH(COLUMNS($V$1006:AB1006),$V$1006:$AE$1006,0))&gt;=100000), " ",IF(INDEX($V$2:$AE$1001,MATCH(ROWS($O$2:O567),$O$2:$O$1001,0),MATCH(COLUMNS($V$1006:AB1006),$V$1006:$AE$1006,0)), HYPERLINK("#",""), HYPERLINK(CONCATENATE("#Metadata!", ADDRESS(INDEX($Q$2:$Q$1001,MATCH(ROWS($O$2:O567),$O$2:$O$1001,0),0), INDEX($V$1004:$AE$1004,1,MATCH(COLUMNS($V$1006:AB1006),$V$1006:$AE$1006,0)))),"Fix")))</f>
        <v>0</v>
      </c>
      <c r="I567" s="3">
        <f>IF(OR(INDEX($P$2:$P$1001,MATCH(ROWS($O$2:O567),$O$2:$O$1001,0),1)&gt;=100000,INDEX($V$1005:$AE$1005,1,MATCH(COLUMNS($V$1006:AC1006),$V$1006:$AE$1006,0))&gt;=100000), " ",IF(INDEX($V$2:$AE$1001,MATCH(ROWS($O$2:O567),$O$2:$O$1001,0),MATCH(COLUMNS($V$1006:AC1006),$V$1006:$AE$1006,0)), HYPERLINK("#",""), HYPERLINK(CONCATENATE("#Metadata!", ADDRESS(INDEX($Q$2:$Q$1001,MATCH(ROWS($O$2:O567),$O$2:$O$1001,0),0), INDEX($V$1004:$AE$1004,1,MATCH(COLUMNS($V$1006:AC1006),$V$1006:$AE$1006,0)))),"Fix")))</f>
        <v>0</v>
      </c>
      <c r="J567" s="3">
        <f>IF(OR(INDEX($P$2:$P$1001,MATCH(ROWS($O$2:O567),$O$2:$O$1001,0),1)&gt;=100000,INDEX($V$1005:$AE$1005,1,MATCH(COLUMNS($V$1006:AD1006),$V$1006:$AE$1006,0))&gt;=100000), " ",IF(INDEX($V$2:$AE$1001,MATCH(ROWS($O$2:O567),$O$2:$O$1001,0),MATCH(COLUMNS($V$1006:AD1006),$V$1006:$AE$1006,0)), HYPERLINK("#",""), HYPERLINK(CONCATENATE("#Metadata!", ADDRESS(INDEX($Q$2:$Q$1001,MATCH(ROWS($O$2:O567),$O$2:$O$1001,0),0), INDEX($V$1004:$AE$1004,1,MATCH(COLUMNS($V$1006:AD1006),$V$1006:$AE$1006,0)))),"Fix")))</f>
        <v>0</v>
      </c>
      <c r="K567" s="3">
        <f>IF(OR(INDEX($P$2:$P$1001,MATCH(ROWS($O$2:O567),$O$2:$O$1001,0),1)&gt;=100000,INDEX($V$1005:$AE$1005,1,MATCH(COLUMNS($V$1006:AE1006),$V$1006:$AE$1006,0))&gt;=100000), " ",IF(INDEX($V$2:$AE$1001,MATCH(ROWS($O$2:O567),$O$2:$O$1001,0),MATCH(COLUMNS($V$1006:AE1006),$V$1006:$AE$1006,0)), HYPERLINK("#",""), HYPERLINK(CONCATENATE("#Metadata!", ADDRESS(INDEX($Q$2:$Q$1001,MATCH(ROWS($O$2:O567),$O$2:$O$1001,0),0), INDEX($V$1004:$AE$1004,1,MATCH(COLUMNS($V$1006:AE1006),$V$1006:$AE$1006,0)))),"Fix")))</f>
        <v>0</v>
      </c>
      <c r="O567">
        <v>0</v>
      </c>
      <c r="P567">
        <v>0</v>
      </c>
      <c r="Q567">
        <v>0</v>
      </c>
      <c r="R567">
        <f>IF(S567,TRUE,AND(V567:AE567))</f>
        <v>0</v>
      </c>
      <c r="S567">
        <f>COUNTBLANK(Metadata!B567:K567)=COLUMNS(Metadata!B567:K567)</f>
        <v>0</v>
      </c>
      <c r="T567">
        <v>0</v>
      </c>
      <c r="V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W567">
        <f>AND(IF(Metadata!C567="",FALSE,TRUE),exact(Metadata!C567,"animal secretion"))</f>
        <v>0</v>
      </c>
      <c r="X567">
        <f>AND(IF(Metadata!D567="",FALSE,TRUE),exact(Metadata!D567,"saliva"))</f>
        <v>0</v>
      </c>
      <c r="Y567">
        <f>AND(IF(Metadata!E567="",FALSE,TRUE),exact(Metadata!E567,"human-oral"))</f>
        <v>0</v>
      </c>
      <c r="Z567">
        <f>AND(IF(Metadata!F567="",FALSE,TRUE),exact(Metadata!F567,"UBERON:oral cavity"))</f>
        <v>0</v>
      </c>
      <c r="AA567">
        <f>AND(IF(Metadata!G567="",FALSE,TRUE),exact(Metadata!G567,"UBERON:saliva"))</f>
        <v>0</v>
      </c>
      <c r="AB567">
        <f>AND(IF(Metadata!H567="",FALSE,TRUE),exact(Metadata!H567,"UBERON:tongue"))</f>
        <v>0</v>
      </c>
      <c r="AC567">
        <f>AND(IF(Metadata!I567="",FALSE,TRUE),exact(Metadata!I567,"tongue"))</f>
        <v>0</v>
      </c>
      <c r="AD567">
        <f>AND(IF(Metadata!J567="",FALSE,TRUE),exact(Metadata!J567,"human oral metagenome"))</f>
        <v>0</v>
      </c>
      <c r="AE567">
        <f>AND(IF(Metadata!K567="",FALSE,TRUE),exact(Metadata!K567,"447426"))</f>
        <v>0</v>
      </c>
    </row>
    <row r="568" spans="1:31">
      <c r="A568" s="4">
        <f>IF(B568=" "," ",HYPERLINK(CONCATENATE("#metadata!",ADDRESS(INDEX($Q$2:$Q$1001,MATCH(ROWS($O$2:O568),$O$2:$O$1001,0),0),1)),INDEX($T$2:$T$1001,MATCH(ROWS($O$2:O568),$O$2:$O$1001,0),0)))</f>
        <v>0</v>
      </c>
      <c r="B568" s="3">
        <f>IF(OR(INDEX($P$2:$P$1001,MATCH(ROWS($O$2:O568),$O$2:$O$1001,0),1)&gt;=100000,INDEX($V$1005:$AE$1005,1,MATCH(COLUMNS($V$1006:V1006),$V$1006:$AE$1006,0))&gt;=100000), " ",IF(INDEX($V$2:$AE$1001,MATCH(ROWS($O$2:O568),$O$2:$O$1001,0),MATCH(COLUMNS($V$1006:V1006),$V$1006:$AE$1006,0)), HYPERLINK("#",""), HYPERLINK(CONCATENATE("#Metadata!", ADDRESS(INDEX($Q$2:$Q$1001,MATCH(ROWS($O$2:O568),$O$2:$O$1001,0),0), INDEX($V$1004:$AE$1004,1,MATCH(COLUMNS($V$1006:V1006),$V$1006:$AE$1006,0)))),"Fix")))</f>
        <v>0</v>
      </c>
      <c r="C568" s="3">
        <f>IF(OR(INDEX($P$2:$P$1001,MATCH(ROWS($O$2:O568),$O$2:$O$1001,0),1)&gt;=100000,INDEX($V$1005:$AE$1005,1,MATCH(COLUMNS($V$1006:W1006),$V$1006:$AE$1006,0))&gt;=100000), " ",IF(INDEX($V$2:$AE$1001,MATCH(ROWS($O$2:O568),$O$2:$O$1001,0),MATCH(COLUMNS($V$1006:W1006),$V$1006:$AE$1006,0)), HYPERLINK("#",""), HYPERLINK(CONCATENATE("#Metadata!", ADDRESS(INDEX($Q$2:$Q$1001,MATCH(ROWS($O$2:O568),$O$2:$O$1001,0),0), INDEX($V$1004:$AE$1004,1,MATCH(COLUMNS($V$1006:W1006),$V$1006:$AE$1006,0)))),"Fix")))</f>
        <v>0</v>
      </c>
      <c r="D568" s="3">
        <f>IF(OR(INDEX($P$2:$P$1001,MATCH(ROWS($O$2:O568),$O$2:$O$1001,0),1)&gt;=100000,INDEX($V$1005:$AE$1005,1,MATCH(COLUMNS($V$1006:X1006),$V$1006:$AE$1006,0))&gt;=100000), " ",IF(INDEX($V$2:$AE$1001,MATCH(ROWS($O$2:O568),$O$2:$O$1001,0),MATCH(COLUMNS($V$1006:X1006),$V$1006:$AE$1006,0)), HYPERLINK("#",""), HYPERLINK(CONCATENATE("#Metadata!", ADDRESS(INDEX($Q$2:$Q$1001,MATCH(ROWS($O$2:O568),$O$2:$O$1001,0),0), INDEX($V$1004:$AE$1004,1,MATCH(COLUMNS($V$1006:X1006),$V$1006:$AE$1006,0)))),"Fix")))</f>
        <v>0</v>
      </c>
      <c r="E568" s="3">
        <f>IF(OR(INDEX($P$2:$P$1001,MATCH(ROWS($O$2:O568),$O$2:$O$1001,0),1)&gt;=100000,INDEX($V$1005:$AE$1005,1,MATCH(COLUMNS($V$1006:Y1006),$V$1006:$AE$1006,0))&gt;=100000), " ",IF(INDEX($V$2:$AE$1001,MATCH(ROWS($O$2:O568),$O$2:$O$1001,0),MATCH(COLUMNS($V$1006:Y1006),$V$1006:$AE$1006,0)), HYPERLINK("#",""), HYPERLINK(CONCATENATE("#Metadata!", ADDRESS(INDEX($Q$2:$Q$1001,MATCH(ROWS($O$2:O568),$O$2:$O$1001,0),0), INDEX($V$1004:$AE$1004,1,MATCH(COLUMNS($V$1006:Y1006),$V$1006:$AE$1006,0)))),"Fix")))</f>
        <v>0</v>
      </c>
      <c r="F568" s="3">
        <f>IF(OR(INDEX($P$2:$P$1001,MATCH(ROWS($O$2:O568),$O$2:$O$1001,0),1)&gt;=100000,INDEX($V$1005:$AE$1005,1,MATCH(COLUMNS($V$1006:Z1006),$V$1006:$AE$1006,0))&gt;=100000), " ",IF(INDEX($V$2:$AE$1001,MATCH(ROWS($O$2:O568),$O$2:$O$1001,0),MATCH(COLUMNS($V$1006:Z1006),$V$1006:$AE$1006,0)), HYPERLINK("#",""), HYPERLINK(CONCATENATE("#Metadata!", ADDRESS(INDEX($Q$2:$Q$1001,MATCH(ROWS($O$2:O568),$O$2:$O$1001,0),0), INDEX($V$1004:$AE$1004,1,MATCH(COLUMNS($V$1006:Z1006),$V$1006:$AE$1006,0)))),"Fix")))</f>
        <v>0</v>
      </c>
      <c r="G568" s="3">
        <f>IF(OR(INDEX($P$2:$P$1001,MATCH(ROWS($O$2:O568),$O$2:$O$1001,0),1)&gt;=100000,INDEX($V$1005:$AE$1005,1,MATCH(COLUMNS($V$1006:AA1006),$V$1006:$AE$1006,0))&gt;=100000), " ",IF(INDEX($V$2:$AE$1001,MATCH(ROWS($O$2:O568),$O$2:$O$1001,0),MATCH(COLUMNS($V$1006:AA1006),$V$1006:$AE$1006,0)), HYPERLINK("#",""), HYPERLINK(CONCATENATE("#Metadata!", ADDRESS(INDEX($Q$2:$Q$1001,MATCH(ROWS($O$2:O568),$O$2:$O$1001,0),0), INDEX($V$1004:$AE$1004,1,MATCH(COLUMNS($V$1006:AA1006),$V$1006:$AE$1006,0)))),"Fix")))</f>
        <v>0</v>
      </c>
      <c r="H568" s="3">
        <f>IF(OR(INDEX($P$2:$P$1001,MATCH(ROWS($O$2:O568),$O$2:$O$1001,0),1)&gt;=100000,INDEX($V$1005:$AE$1005,1,MATCH(COLUMNS($V$1006:AB1006),$V$1006:$AE$1006,0))&gt;=100000), " ",IF(INDEX($V$2:$AE$1001,MATCH(ROWS($O$2:O568),$O$2:$O$1001,0),MATCH(COLUMNS($V$1006:AB1006),$V$1006:$AE$1006,0)), HYPERLINK("#",""), HYPERLINK(CONCATENATE("#Metadata!", ADDRESS(INDEX($Q$2:$Q$1001,MATCH(ROWS($O$2:O568),$O$2:$O$1001,0),0), INDEX($V$1004:$AE$1004,1,MATCH(COLUMNS($V$1006:AB1006),$V$1006:$AE$1006,0)))),"Fix")))</f>
        <v>0</v>
      </c>
      <c r="I568" s="3">
        <f>IF(OR(INDEX($P$2:$P$1001,MATCH(ROWS($O$2:O568),$O$2:$O$1001,0),1)&gt;=100000,INDEX($V$1005:$AE$1005,1,MATCH(COLUMNS($V$1006:AC1006),$V$1006:$AE$1006,0))&gt;=100000), " ",IF(INDEX($V$2:$AE$1001,MATCH(ROWS($O$2:O568),$O$2:$O$1001,0),MATCH(COLUMNS($V$1006:AC1006),$V$1006:$AE$1006,0)), HYPERLINK("#",""), HYPERLINK(CONCATENATE("#Metadata!", ADDRESS(INDEX($Q$2:$Q$1001,MATCH(ROWS($O$2:O568),$O$2:$O$1001,0),0), INDEX($V$1004:$AE$1004,1,MATCH(COLUMNS($V$1006:AC1006),$V$1006:$AE$1006,0)))),"Fix")))</f>
        <v>0</v>
      </c>
      <c r="J568" s="3">
        <f>IF(OR(INDEX($P$2:$P$1001,MATCH(ROWS($O$2:O568),$O$2:$O$1001,0),1)&gt;=100000,INDEX($V$1005:$AE$1005,1,MATCH(COLUMNS($V$1006:AD1006),$V$1006:$AE$1006,0))&gt;=100000), " ",IF(INDEX($V$2:$AE$1001,MATCH(ROWS($O$2:O568),$O$2:$O$1001,0),MATCH(COLUMNS($V$1006:AD1006),$V$1006:$AE$1006,0)), HYPERLINK("#",""), HYPERLINK(CONCATENATE("#Metadata!", ADDRESS(INDEX($Q$2:$Q$1001,MATCH(ROWS($O$2:O568),$O$2:$O$1001,0),0), INDEX($V$1004:$AE$1004,1,MATCH(COLUMNS($V$1006:AD1006),$V$1006:$AE$1006,0)))),"Fix")))</f>
        <v>0</v>
      </c>
      <c r="K568" s="3">
        <f>IF(OR(INDEX($P$2:$P$1001,MATCH(ROWS($O$2:O568),$O$2:$O$1001,0),1)&gt;=100000,INDEX($V$1005:$AE$1005,1,MATCH(COLUMNS($V$1006:AE1006),$V$1006:$AE$1006,0))&gt;=100000), " ",IF(INDEX($V$2:$AE$1001,MATCH(ROWS($O$2:O568),$O$2:$O$1001,0),MATCH(COLUMNS($V$1006:AE1006),$V$1006:$AE$1006,0)), HYPERLINK("#",""), HYPERLINK(CONCATENATE("#Metadata!", ADDRESS(INDEX($Q$2:$Q$1001,MATCH(ROWS($O$2:O568),$O$2:$O$1001,0),0), INDEX($V$1004:$AE$1004,1,MATCH(COLUMNS($V$1006:AE1006),$V$1006:$AE$1006,0)))),"Fix")))</f>
        <v>0</v>
      </c>
      <c r="O568">
        <v>0</v>
      </c>
      <c r="P568">
        <v>0</v>
      </c>
      <c r="Q568">
        <v>0</v>
      </c>
      <c r="R568">
        <f>IF(S568,TRUE,AND(V568:AE568))</f>
        <v>0</v>
      </c>
      <c r="S568">
        <f>COUNTBLANK(Metadata!B568:K568)=COLUMNS(Metadata!B568:K568)</f>
        <v>0</v>
      </c>
      <c r="T568">
        <v>0</v>
      </c>
      <c r="V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W568">
        <f>AND(IF(Metadata!C568="",FALSE,TRUE),exact(Metadata!C568,"animal secretion"))</f>
        <v>0</v>
      </c>
      <c r="X568">
        <f>AND(IF(Metadata!D568="",FALSE,TRUE),exact(Metadata!D568,"saliva"))</f>
        <v>0</v>
      </c>
      <c r="Y568">
        <f>AND(IF(Metadata!E568="",FALSE,TRUE),exact(Metadata!E568,"human-oral"))</f>
        <v>0</v>
      </c>
      <c r="Z568">
        <f>AND(IF(Metadata!F568="",FALSE,TRUE),exact(Metadata!F568,"UBERON:oral cavity"))</f>
        <v>0</v>
      </c>
      <c r="AA568">
        <f>AND(IF(Metadata!G568="",FALSE,TRUE),exact(Metadata!G568,"UBERON:saliva"))</f>
        <v>0</v>
      </c>
      <c r="AB568">
        <f>AND(IF(Metadata!H568="",FALSE,TRUE),exact(Metadata!H568,"UBERON:tongue"))</f>
        <v>0</v>
      </c>
      <c r="AC568">
        <f>AND(IF(Metadata!I568="",FALSE,TRUE),exact(Metadata!I568,"tongue"))</f>
        <v>0</v>
      </c>
      <c r="AD568">
        <f>AND(IF(Metadata!J568="",FALSE,TRUE),exact(Metadata!J568,"human oral metagenome"))</f>
        <v>0</v>
      </c>
      <c r="AE568">
        <f>AND(IF(Metadata!K568="",FALSE,TRUE),exact(Metadata!K568,"447426"))</f>
        <v>0</v>
      </c>
    </row>
    <row r="569" spans="1:31">
      <c r="A569" s="4">
        <f>IF(B569=" "," ",HYPERLINK(CONCATENATE("#metadata!",ADDRESS(INDEX($Q$2:$Q$1001,MATCH(ROWS($O$2:O569),$O$2:$O$1001,0),0),1)),INDEX($T$2:$T$1001,MATCH(ROWS($O$2:O569),$O$2:$O$1001,0),0)))</f>
        <v>0</v>
      </c>
      <c r="B569" s="3">
        <f>IF(OR(INDEX($P$2:$P$1001,MATCH(ROWS($O$2:O569),$O$2:$O$1001,0),1)&gt;=100000,INDEX($V$1005:$AE$1005,1,MATCH(COLUMNS($V$1006:V1006),$V$1006:$AE$1006,0))&gt;=100000), " ",IF(INDEX($V$2:$AE$1001,MATCH(ROWS($O$2:O569),$O$2:$O$1001,0),MATCH(COLUMNS($V$1006:V1006),$V$1006:$AE$1006,0)), HYPERLINK("#",""), HYPERLINK(CONCATENATE("#Metadata!", ADDRESS(INDEX($Q$2:$Q$1001,MATCH(ROWS($O$2:O569),$O$2:$O$1001,0),0), INDEX($V$1004:$AE$1004,1,MATCH(COLUMNS($V$1006:V1006),$V$1006:$AE$1006,0)))),"Fix")))</f>
        <v>0</v>
      </c>
      <c r="C569" s="3">
        <f>IF(OR(INDEX($P$2:$P$1001,MATCH(ROWS($O$2:O569),$O$2:$O$1001,0),1)&gt;=100000,INDEX($V$1005:$AE$1005,1,MATCH(COLUMNS($V$1006:W1006),$V$1006:$AE$1006,0))&gt;=100000), " ",IF(INDEX($V$2:$AE$1001,MATCH(ROWS($O$2:O569),$O$2:$O$1001,0),MATCH(COLUMNS($V$1006:W1006),$V$1006:$AE$1006,0)), HYPERLINK("#",""), HYPERLINK(CONCATENATE("#Metadata!", ADDRESS(INDEX($Q$2:$Q$1001,MATCH(ROWS($O$2:O569),$O$2:$O$1001,0),0), INDEX($V$1004:$AE$1004,1,MATCH(COLUMNS($V$1006:W1006),$V$1006:$AE$1006,0)))),"Fix")))</f>
        <v>0</v>
      </c>
      <c r="D569" s="3">
        <f>IF(OR(INDEX($P$2:$P$1001,MATCH(ROWS($O$2:O569),$O$2:$O$1001,0),1)&gt;=100000,INDEX($V$1005:$AE$1005,1,MATCH(COLUMNS($V$1006:X1006),$V$1006:$AE$1006,0))&gt;=100000), " ",IF(INDEX($V$2:$AE$1001,MATCH(ROWS($O$2:O569),$O$2:$O$1001,0),MATCH(COLUMNS($V$1006:X1006),$V$1006:$AE$1006,0)), HYPERLINK("#",""), HYPERLINK(CONCATENATE("#Metadata!", ADDRESS(INDEX($Q$2:$Q$1001,MATCH(ROWS($O$2:O569),$O$2:$O$1001,0),0), INDEX($V$1004:$AE$1004,1,MATCH(COLUMNS($V$1006:X1006),$V$1006:$AE$1006,0)))),"Fix")))</f>
        <v>0</v>
      </c>
      <c r="E569" s="3">
        <f>IF(OR(INDEX($P$2:$P$1001,MATCH(ROWS($O$2:O569),$O$2:$O$1001,0),1)&gt;=100000,INDEX($V$1005:$AE$1005,1,MATCH(COLUMNS($V$1006:Y1006),$V$1006:$AE$1006,0))&gt;=100000), " ",IF(INDEX($V$2:$AE$1001,MATCH(ROWS($O$2:O569),$O$2:$O$1001,0),MATCH(COLUMNS($V$1006:Y1006),$V$1006:$AE$1006,0)), HYPERLINK("#",""), HYPERLINK(CONCATENATE("#Metadata!", ADDRESS(INDEX($Q$2:$Q$1001,MATCH(ROWS($O$2:O569),$O$2:$O$1001,0),0), INDEX($V$1004:$AE$1004,1,MATCH(COLUMNS($V$1006:Y1006),$V$1006:$AE$1006,0)))),"Fix")))</f>
        <v>0</v>
      </c>
      <c r="F569" s="3">
        <f>IF(OR(INDEX($P$2:$P$1001,MATCH(ROWS($O$2:O569),$O$2:$O$1001,0),1)&gt;=100000,INDEX($V$1005:$AE$1005,1,MATCH(COLUMNS($V$1006:Z1006),$V$1006:$AE$1006,0))&gt;=100000), " ",IF(INDEX($V$2:$AE$1001,MATCH(ROWS($O$2:O569),$O$2:$O$1001,0),MATCH(COLUMNS($V$1006:Z1006),$V$1006:$AE$1006,0)), HYPERLINK("#",""), HYPERLINK(CONCATENATE("#Metadata!", ADDRESS(INDEX($Q$2:$Q$1001,MATCH(ROWS($O$2:O569),$O$2:$O$1001,0),0), INDEX($V$1004:$AE$1004,1,MATCH(COLUMNS($V$1006:Z1006),$V$1006:$AE$1006,0)))),"Fix")))</f>
        <v>0</v>
      </c>
      <c r="G569" s="3">
        <f>IF(OR(INDEX($P$2:$P$1001,MATCH(ROWS($O$2:O569),$O$2:$O$1001,0),1)&gt;=100000,INDEX($V$1005:$AE$1005,1,MATCH(COLUMNS($V$1006:AA1006),$V$1006:$AE$1006,0))&gt;=100000), " ",IF(INDEX($V$2:$AE$1001,MATCH(ROWS($O$2:O569),$O$2:$O$1001,0),MATCH(COLUMNS($V$1006:AA1006),$V$1006:$AE$1006,0)), HYPERLINK("#",""), HYPERLINK(CONCATENATE("#Metadata!", ADDRESS(INDEX($Q$2:$Q$1001,MATCH(ROWS($O$2:O569),$O$2:$O$1001,0),0), INDEX($V$1004:$AE$1004,1,MATCH(COLUMNS($V$1006:AA1006),$V$1006:$AE$1006,0)))),"Fix")))</f>
        <v>0</v>
      </c>
      <c r="H569" s="3">
        <f>IF(OR(INDEX($P$2:$P$1001,MATCH(ROWS($O$2:O569),$O$2:$O$1001,0),1)&gt;=100000,INDEX($V$1005:$AE$1005,1,MATCH(COLUMNS($V$1006:AB1006),$V$1006:$AE$1006,0))&gt;=100000), " ",IF(INDEX($V$2:$AE$1001,MATCH(ROWS($O$2:O569),$O$2:$O$1001,0),MATCH(COLUMNS($V$1006:AB1006),$V$1006:$AE$1006,0)), HYPERLINK("#",""), HYPERLINK(CONCATENATE("#Metadata!", ADDRESS(INDEX($Q$2:$Q$1001,MATCH(ROWS($O$2:O569),$O$2:$O$1001,0),0), INDEX($V$1004:$AE$1004,1,MATCH(COLUMNS($V$1006:AB1006),$V$1006:$AE$1006,0)))),"Fix")))</f>
        <v>0</v>
      </c>
      <c r="I569" s="3">
        <f>IF(OR(INDEX($P$2:$P$1001,MATCH(ROWS($O$2:O569),$O$2:$O$1001,0),1)&gt;=100000,INDEX($V$1005:$AE$1005,1,MATCH(COLUMNS($V$1006:AC1006),$V$1006:$AE$1006,0))&gt;=100000), " ",IF(INDEX($V$2:$AE$1001,MATCH(ROWS($O$2:O569),$O$2:$O$1001,0),MATCH(COLUMNS($V$1006:AC1006),$V$1006:$AE$1006,0)), HYPERLINK("#",""), HYPERLINK(CONCATENATE("#Metadata!", ADDRESS(INDEX($Q$2:$Q$1001,MATCH(ROWS($O$2:O569),$O$2:$O$1001,0),0), INDEX($V$1004:$AE$1004,1,MATCH(COLUMNS($V$1006:AC1006),$V$1006:$AE$1006,0)))),"Fix")))</f>
        <v>0</v>
      </c>
      <c r="J569" s="3">
        <f>IF(OR(INDEX($P$2:$P$1001,MATCH(ROWS($O$2:O569),$O$2:$O$1001,0),1)&gt;=100000,INDEX($V$1005:$AE$1005,1,MATCH(COLUMNS($V$1006:AD1006),$V$1006:$AE$1006,0))&gt;=100000), " ",IF(INDEX($V$2:$AE$1001,MATCH(ROWS($O$2:O569),$O$2:$O$1001,0),MATCH(COLUMNS($V$1006:AD1006),$V$1006:$AE$1006,0)), HYPERLINK("#",""), HYPERLINK(CONCATENATE("#Metadata!", ADDRESS(INDEX($Q$2:$Q$1001,MATCH(ROWS($O$2:O569),$O$2:$O$1001,0),0), INDEX($V$1004:$AE$1004,1,MATCH(COLUMNS($V$1006:AD1006),$V$1006:$AE$1006,0)))),"Fix")))</f>
        <v>0</v>
      </c>
      <c r="K569" s="3">
        <f>IF(OR(INDEX($P$2:$P$1001,MATCH(ROWS($O$2:O569),$O$2:$O$1001,0),1)&gt;=100000,INDEX($V$1005:$AE$1005,1,MATCH(COLUMNS($V$1006:AE1006),$V$1006:$AE$1006,0))&gt;=100000), " ",IF(INDEX($V$2:$AE$1001,MATCH(ROWS($O$2:O569),$O$2:$O$1001,0),MATCH(COLUMNS($V$1006:AE1006),$V$1006:$AE$1006,0)), HYPERLINK("#",""), HYPERLINK(CONCATENATE("#Metadata!", ADDRESS(INDEX($Q$2:$Q$1001,MATCH(ROWS($O$2:O569),$O$2:$O$1001,0),0), INDEX($V$1004:$AE$1004,1,MATCH(COLUMNS($V$1006:AE1006),$V$1006:$AE$1006,0)))),"Fix")))</f>
        <v>0</v>
      </c>
      <c r="O569">
        <v>0</v>
      </c>
      <c r="P569">
        <v>0</v>
      </c>
      <c r="Q569">
        <v>0</v>
      </c>
      <c r="R569">
        <f>IF(S569,TRUE,AND(V569:AE569))</f>
        <v>0</v>
      </c>
      <c r="S569">
        <f>COUNTBLANK(Metadata!B569:K569)=COLUMNS(Metadata!B569:K569)</f>
        <v>0</v>
      </c>
      <c r="T569">
        <v>0</v>
      </c>
      <c r="V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W569">
        <f>AND(IF(Metadata!C569="",FALSE,TRUE),exact(Metadata!C569,"animal secretion"))</f>
        <v>0</v>
      </c>
      <c r="X569">
        <f>AND(IF(Metadata!D569="",FALSE,TRUE),exact(Metadata!D569,"saliva"))</f>
        <v>0</v>
      </c>
      <c r="Y569">
        <f>AND(IF(Metadata!E569="",FALSE,TRUE),exact(Metadata!E569,"human-oral"))</f>
        <v>0</v>
      </c>
      <c r="Z569">
        <f>AND(IF(Metadata!F569="",FALSE,TRUE),exact(Metadata!F569,"UBERON:oral cavity"))</f>
        <v>0</v>
      </c>
      <c r="AA569">
        <f>AND(IF(Metadata!G569="",FALSE,TRUE),exact(Metadata!G569,"UBERON:saliva"))</f>
        <v>0</v>
      </c>
      <c r="AB569">
        <f>AND(IF(Metadata!H569="",FALSE,TRUE),exact(Metadata!H569,"UBERON:tongue"))</f>
        <v>0</v>
      </c>
      <c r="AC569">
        <f>AND(IF(Metadata!I569="",FALSE,TRUE),exact(Metadata!I569,"tongue"))</f>
        <v>0</v>
      </c>
      <c r="AD569">
        <f>AND(IF(Metadata!J569="",FALSE,TRUE),exact(Metadata!J569,"human oral metagenome"))</f>
        <v>0</v>
      </c>
      <c r="AE569">
        <f>AND(IF(Metadata!K569="",FALSE,TRUE),exact(Metadata!K569,"447426"))</f>
        <v>0</v>
      </c>
    </row>
    <row r="570" spans="1:31">
      <c r="A570" s="4">
        <f>IF(B570=" "," ",HYPERLINK(CONCATENATE("#metadata!",ADDRESS(INDEX($Q$2:$Q$1001,MATCH(ROWS($O$2:O570),$O$2:$O$1001,0),0),1)),INDEX($T$2:$T$1001,MATCH(ROWS($O$2:O570),$O$2:$O$1001,0),0)))</f>
        <v>0</v>
      </c>
      <c r="B570" s="3">
        <f>IF(OR(INDEX($P$2:$P$1001,MATCH(ROWS($O$2:O570),$O$2:$O$1001,0),1)&gt;=100000,INDEX($V$1005:$AE$1005,1,MATCH(COLUMNS($V$1006:V1006),$V$1006:$AE$1006,0))&gt;=100000), " ",IF(INDEX($V$2:$AE$1001,MATCH(ROWS($O$2:O570),$O$2:$O$1001,0),MATCH(COLUMNS($V$1006:V1006),$V$1006:$AE$1006,0)), HYPERLINK("#",""), HYPERLINK(CONCATENATE("#Metadata!", ADDRESS(INDEX($Q$2:$Q$1001,MATCH(ROWS($O$2:O570),$O$2:$O$1001,0),0), INDEX($V$1004:$AE$1004,1,MATCH(COLUMNS($V$1006:V1006),$V$1006:$AE$1006,0)))),"Fix")))</f>
        <v>0</v>
      </c>
      <c r="C570" s="3">
        <f>IF(OR(INDEX($P$2:$P$1001,MATCH(ROWS($O$2:O570),$O$2:$O$1001,0),1)&gt;=100000,INDEX($V$1005:$AE$1005,1,MATCH(COLUMNS($V$1006:W1006),$V$1006:$AE$1006,0))&gt;=100000), " ",IF(INDEX($V$2:$AE$1001,MATCH(ROWS($O$2:O570),$O$2:$O$1001,0),MATCH(COLUMNS($V$1006:W1006),$V$1006:$AE$1006,0)), HYPERLINK("#",""), HYPERLINK(CONCATENATE("#Metadata!", ADDRESS(INDEX($Q$2:$Q$1001,MATCH(ROWS($O$2:O570),$O$2:$O$1001,0),0), INDEX($V$1004:$AE$1004,1,MATCH(COLUMNS($V$1006:W1006),$V$1006:$AE$1006,0)))),"Fix")))</f>
        <v>0</v>
      </c>
      <c r="D570" s="3">
        <f>IF(OR(INDEX($P$2:$P$1001,MATCH(ROWS($O$2:O570),$O$2:$O$1001,0),1)&gt;=100000,INDEX($V$1005:$AE$1005,1,MATCH(COLUMNS($V$1006:X1006),$V$1006:$AE$1006,0))&gt;=100000), " ",IF(INDEX($V$2:$AE$1001,MATCH(ROWS($O$2:O570),$O$2:$O$1001,0),MATCH(COLUMNS($V$1006:X1006),$V$1006:$AE$1006,0)), HYPERLINK("#",""), HYPERLINK(CONCATENATE("#Metadata!", ADDRESS(INDEX($Q$2:$Q$1001,MATCH(ROWS($O$2:O570),$O$2:$O$1001,0),0), INDEX($V$1004:$AE$1004,1,MATCH(COLUMNS($V$1006:X1006),$V$1006:$AE$1006,0)))),"Fix")))</f>
        <v>0</v>
      </c>
      <c r="E570" s="3">
        <f>IF(OR(INDEX($P$2:$P$1001,MATCH(ROWS($O$2:O570),$O$2:$O$1001,0),1)&gt;=100000,INDEX($V$1005:$AE$1005,1,MATCH(COLUMNS($V$1006:Y1006),$V$1006:$AE$1006,0))&gt;=100000), " ",IF(INDEX($V$2:$AE$1001,MATCH(ROWS($O$2:O570),$O$2:$O$1001,0),MATCH(COLUMNS($V$1006:Y1006),$V$1006:$AE$1006,0)), HYPERLINK("#",""), HYPERLINK(CONCATENATE("#Metadata!", ADDRESS(INDEX($Q$2:$Q$1001,MATCH(ROWS($O$2:O570),$O$2:$O$1001,0),0), INDEX($V$1004:$AE$1004,1,MATCH(COLUMNS($V$1006:Y1006),$V$1006:$AE$1006,0)))),"Fix")))</f>
        <v>0</v>
      </c>
      <c r="F570" s="3">
        <f>IF(OR(INDEX($P$2:$P$1001,MATCH(ROWS($O$2:O570),$O$2:$O$1001,0),1)&gt;=100000,INDEX($V$1005:$AE$1005,1,MATCH(COLUMNS($V$1006:Z1006),$V$1006:$AE$1006,0))&gt;=100000), " ",IF(INDEX($V$2:$AE$1001,MATCH(ROWS($O$2:O570),$O$2:$O$1001,0),MATCH(COLUMNS($V$1006:Z1006),$V$1006:$AE$1006,0)), HYPERLINK("#",""), HYPERLINK(CONCATENATE("#Metadata!", ADDRESS(INDEX($Q$2:$Q$1001,MATCH(ROWS($O$2:O570),$O$2:$O$1001,0),0), INDEX($V$1004:$AE$1004,1,MATCH(COLUMNS($V$1006:Z1006),$V$1006:$AE$1006,0)))),"Fix")))</f>
        <v>0</v>
      </c>
      <c r="G570" s="3">
        <f>IF(OR(INDEX($P$2:$P$1001,MATCH(ROWS($O$2:O570),$O$2:$O$1001,0),1)&gt;=100000,INDEX($V$1005:$AE$1005,1,MATCH(COLUMNS($V$1006:AA1006),$V$1006:$AE$1006,0))&gt;=100000), " ",IF(INDEX($V$2:$AE$1001,MATCH(ROWS($O$2:O570),$O$2:$O$1001,0),MATCH(COLUMNS($V$1006:AA1006),$V$1006:$AE$1006,0)), HYPERLINK("#",""), HYPERLINK(CONCATENATE("#Metadata!", ADDRESS(INDEX($Q$2:$Q$1001,MATCH(ROWS($O$2:O570),$O$2:$O$1001,0),0), INDEX($V$1004:$AE$1004,1,MATCH(COLUMNS($V$1006:AA1006),$V$1006:$AE$1006,0)))),"Fix")))</f>
        <v>0</v>
      </c>
      <c r="H570" s="3">
        <f>IF(OR(INDEX($P$2:$P$1001,MATCH(ROWS($O$2:O570),$O$2:$O$1001,0),1)&gt;=100000,INDEX($V$1005:$AE$1005,1,MATCH(COLUMNS($V$1006:AB1006),$V$1006:$AE$1006,0))&gt;=100000), " ",IF(INDEX($V$2:$AE$1001,MATCH(ROWS($O$2:O570),$O$2:$O$1001,0),MATCH(COLUMNS($V$1006:AB1006),$V$1006:$AE$1006,0)), HYPERLINK("#",""), HYPERLINK(CONCATENATE("#Metadata!", ADDRESS(INDEX($Q$2:$Q$1001,MATCH(ROWS($O$2:O570),$O$2:$O$1001,0),0), INDEX($V$1004:$AE$1004,1,MATCH(COLUMNS($V$1006:AB1006),$V$1006:$AE$1006,0)))),"Fix")))</f>
        <v>0</v>
      </c>
      <c r="I570" s="3">
        <f>IF(OR(INDEX($P$2:$P$1001,MATCH(ROWS($O$2:O570),$O$2:$O$1001,0),1)&gt;=100000,INDEX($V$1005:$AE$1005,1,MATCH(COLUMNS($V$1006:AC1006),$V$1006:$AE$1006,0))&gt;=100000), " ",IF(INDEX($V$2:$AE$1001,MATCH(ROWS($O$2:O570),$O$2:$O$1001,0),MATCH(COLUMNS($V$1006:AC1006),$V$1006:$AE$1006,0)), HYPERLINK("#",""), HYPERLINK(CONCATENATE("#Metadata!", ADDRESS(INDEX($Q$2:$Q$1001,MATCH(ROWS($O$2:O570),$O$2:$O$1001,0),0), INDEX($V$1004:$AE$1004,1,MATCH(COLUMNS($V$1006:AC1006),$V$1006:$AE$1006,0)))),"Fix")))</f>
        <v>0</v>
      </c>
      <c r="J570" s="3">
        <f>IF(OR(INDEX($P$2:$P$1001,MATCH(ROWS($O$2:O570),$O$2:$O$1001,0),1)&gt;=100000,INDEX($V$1005:$AE$1005,1,MATCH(COLUMNS($V$1006:AD1006),$V$1006:$AE$1006,0))&gt;=100000), " ",IF(INDEX($V$2:$AE$1001,MATCH(ROWS($O$2:O570),$O$2:$O$1001,0),MATCH(COLUMNS($V$1006:AD1006),$V$1006:$AE$1006,0)), HYPERLINK("#",""), HYPERLINK(CONCATENATE("#Metadata!", ADDRESS(INDEX($Q$2:$Q$1001,MATCH(ROWS($O$2:O570),$O$2:$O$1001,0),0), INDEX($V$1004:$AE$1004,1,MATCH(COLUMNS($V$1006:AD1006),$V$1006:$AE$1006,0)))),"Fix")))</f>
        <v>0</v>
      </c>
      <c r="K570" s="3">
        <f>IF(OR(INDEX($P$2:$P$1001,MATCH(ROWS($O$2:O570),$O$2:$O$1001,0),1)&gt;=100000,INDEX($V$1005:$AE$1005,1,MATCH(COLUMNS($V$1006:AE1006),$V$1006:$AE$1006,0))&gt;=100000), " ",IF(INDEX($V$2:$AE$1001,MATCH(ROWS($O$2:O570),$O$2:$O$1001,0),MATCH(COLUMNS($V$1006:AE1006),$V$1006:$AE$1006,0)), HYPERLINK("#",""), HYPERLINK(CONCATENATE("#Metadata!", ADDRESS(INDEX($Q$2:$Q$1001,MATCH(ROWS($O$2:O570),$O$2:$O$1001,0),0), INDEX($V$1004:$AE$1004,1,MATCH(COLUMNS($V$1006:AE1006),$V$1006:$AE$1006,0)))),"Fix")))</f>
        <v>0</v>
      </c>
      <c r="O570">
        <v>0</v>
      </c>
      <c r="P570">
        <v>0</v>
      </c>
      <c r="Q570">
        <v>0</v>
      </c>
      <c r="R570">
        <f>IF(S570,TRUE,AND(V570:AE570))</f>
        <v>0</v>
      </c>
      <c r="S570">
        <f>COUNTBLANK(Metadata!B570:K570)=COLUMNS(Metadata!B570:K570)</f>
        <v>0</v>
      </c>
      <c r="T570">
        <v>0</v>
      </c>
      <c r="V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W570">
        <f>AND(IF(Metadata!C570="",FALSE,TRUE),exact(Metadata!C570,"animal secretion"))</f>
        <v>0</v>
      </c>
      <c r="X570">
        <f>AND(IF(Metadata!D570="",FALSE,TRUE),exact(Metadata!D570,"saliva"))</f>
        <v>0</v>
      </c>
      <c r="Y570">
        <f>AND(IF(Metadata!E570="",FALSE,TRUE),exact(Metadata!E570,"human-oral"))</f>
        <v>0</v>
      </c>
      <c r="Z570">
        <f>AND(IF(Metadata!F570="",FALSE,TRUE),exact(Metadata!F570,"UBERON:oral cavity"))</f>
        <v>0</v>
      </c>
      <c r="AA570">
        <f>AND(IF(Metadata!G570="",FALSE,TRUE),exact(Metadata!G570,"UBERON:saliva"))</f>
        <v>0</v>
      </c>
      <c r="AB570">
        <f>AND(IF(Metadata!H570="",FALSE,TRUE),exact(Metadata!H570,"UBERON:tongue"))</f>
        <v>0</v>
      </c>
      <c r="AC570">
        <f>AND(IF(Metadata!I570="",FALSE,TRUE),exact(Metadata!I570,"tongue"))</f>
        <v>0</v>
      </c>
      <c r="AD570">
        <f>AND(IF(Metadata!J570="",FALSE,TRUE),exact(Metadata!J570,"human oral metagenome"))</f>
        <v>0</v>
      </c>
      <c r="AE570">
        <f>AND(IF(Metadata!K570="",FALSE,TRUE),exact(Metadata!K570,"447426"))</f>
        <v>0</v>
      </c>
    </row>
    <row r="571" spans="1:31">
      <c r="A571" s="4">
        <f>IF(B571=" "," ",HYPERLINK(CONCATENATE("#metadata!",ADDRESS(INDEX($Q$2:$Q$1001,MATCH(ROWS($O$2:O571),$O$2:$O$1001,0),0),1)),INDEX($T$2:$T$1001,MATCH(ROWS($O$2:O571),$O$2:$O$1001,0),0)))</f>
        <v>0</v>
      </c>
      <c r="B571" s="3">
        <f>IF(OR(INDEX($P$2:$P$1001,MATCH(ROWS($O$2:O571),$O$2:$O$1001,0),1)&gt;=100000,INDEX($V$1005:$AE$1005,1,MATCH(COLUMNS($V$1006:V1006),$V$1006:$AE$1006,0))&gt;=100000), " ",IF(INDEX($V$2:$AE$1001,MATCH(ROWS($O$2:O571),$O$2:$O$1001,0),MATCH(COLUMNS($V$1006:V1006),$V$1006:$AE$1006,0)), HYPERLINK("#",""), HYPERLINK(CONCATENATE("#Metadata!", ADDRESS(INDEX($Q$2:$Q$1001,MATCH(ROWS($O$2:O571),$O$2:$O$1001,0),0), INDEX($V$1004:$AE$1004,1,MATCH(COLUMNS($V$1006:V1006),$V$1006:$AE$1006,0)))),"Fix")))</f>
        <v>0</v>
      </c>
      <c r="C571" s="3">
        <f>IF(OR(INDEX($P$2:$P$1001,MATCH(ROWS($O$2:O571),$O$2:$O$1001,0),1)&gt;=100000,INDEX($V$1005:$AE$1005,1,MATCH(COLUMNS($V$1006:W1006),$V$1006:$AE$1006,0))&gt;=100000), " ",IF(INDEX($V$2:$AE$1001,MATCH(ROWS($O$2:O571),$O$2:$O$1001,0),MATCH(COLUMNS($V$1006:W1006),$V$1006:$AE$1006,0)), HYPERLINK("#",""), HYPERLINK(CONCATENATE("#Metadata!", ADDRESS(INDEX($Q$2:$Q$1001,MATCH(ROWS($O$2:O571),$O$2:$O$1001,0),0), INDEX($V$1004:$AE$1004,1,MATCH(COLUMNS($V$1006:W1006),$V$1006:$AE$1006,0)))),"Fix")))</f>
        <v>0</v>
      </c>
      <c r="D571" s="3">
        <f>IF(OR(INDEX($P$2:$P$1001,MATCH(ROWS($O$2:O571),$O$2:$O$1001,0),1)&gt;=100000,INDEX($V$1005:$AE$1005,1,MATCH(COLUMNS($V$1006:X1006),$V$1006:$AE$1006,0))&gt;=100000), " ",IF(INDEX($V$2:$AE$1001,MATCH(ROWS($O$2:O571),$O$2:$O$1001,0),MATCH(COLUMNS($V$1006:X1006),$V$1006:$AE$1006,0)), HYPERLINK("#",""), HYPERLINK(CONCATENATE("#Metadata!", ADDRESS(INDEX($Q$2:$Q$1001,MATCH(ROWS($O$2:O571),$O$2:$O$1001,0),0), INDEX($V$1004:$AE$1004,1,MATCH(COLUMNS($V$1006:X1006),$V$1006:$AE$1006,0)))),"Fix")))</f>
        <v>0</v>
      </c>
      <c r="E571" s="3">
        <f>IF(OR(INDEX($P$2:$P$1001,MATCH(ROWS($O$2:O571),$O$2:$O$1001,0),1)&gt;=100000,INDEX($V$1005:$AE$1005,1,MATCH(COLUMNS($V$1006:Y1006),$V$1006:$AE$1006,0))&gt;=100000), " ",IF(INDEX($V$2:$AE$1001,MATCH(ROWS($O$2:O571),$O$2:$O$1001,0),MATCH(COLUMNS($V$1006:Y1006),$V$1006:$AE$1006,0)), HYPERLINK("#",""), HYPERLINK(CONCATENATE("#Metadata!", ADDRESS(INDEX($Q$2:$Q$1001,MATCH(ROWS($O$2:O571),$O$2:$O$1001,0),0), INDEX($V$1004:$AE$1004,1,MATCH(COLUMNS($V$1006:Y1006),$V$1006:$AE$1006,0)))),"Fix")))</f>
        <v>0</v>
      </c>
      <c r="F571" s="3">
        <f>IF(OR(INDEX($P$2:$P$1001,MATCH(ROWS($O$2:O571),$O$2:$O$1001,0),1)&gt;=100000,INDEX($V$1005:$AE$1005,1,MATCH(COLUMNS($V$1006:Z1006),$V$1006:$AE$1006,0))&gt;=100000), " ",IF(INDEX($V$2:$AE$1001,MATCH(ROWS($O$2:O571),$O$2:$O$1001,0),MATCH(COLUMNS($V$1006:Z1006),$V$1006:$AE$1006,0)), HYPERLINK("#",""), HYPERLINK(CONCATENATE("#Metadata!", ADDRESS(INDEX($Q$2:$Q$1001,MATCH(ROWS($O$2:O571),$O$2:$O$1001,0),0), INDEX($V$1004:$AE$1004,1,MATCH(COLUMNS($V$1006:Z1006),$V$1006:$AE$1006,0)))),"Fix")))</f>
        <v>0</v>
      </c>
      <c r="G571" s="3">
        <f>IF(OR(INDEX($P$2:$P$1001,MATCH(ROWS($O$2:O571),$O$2:$O$1001,0),1)&gt;=100000,INDEX($V$1005:$AE$1005,1,MATCH(COLUMNS($V$1006:AA1006),$V$1006:$AE$1006,0))&gt;=100000), " ",IF(INDEX($V$2:$AE$1001,MATCH(ROWS($O$2:O571),$O$2:$O$1001,0),MATCH(COLUMNS($V$1006:AA1006),$V$1006:$AE$1006,0)), HYPERLINK("#",""), HYPERLINK(CONCATENATE("#Metadata!", ADDRESS(INDEX($Q$2:$Q$1001,MATCH(ROWS($O$2:O571),$O$2:$O$1001,0),0), INDEX($V$1004:$AE$1004,1,MATCH(COLUMNS($V$1006:AA1006),$V$1006:$AE$1006,0)))),"Fix")))</f>
        <v>0</v>
      </c>
      <c r="H571" s="3">
        <f>IF(OR(INDEX($P$2:$P$1001,MATCH(ROWS($O$2:O571),$O$2:$O$1001,0),1)&gt;=100000,INDEX($V$1005:$AE$1005,1,MATCH(COLUMNS($V$1006:AB1006),$V$1006:$AE$1006,0))&gt;=100000), " ",IF(INDEX($V$2:$AE$1001,MATCH(ROWS($O$2:O571),$O$2:$O$1001,0),MATCH(COLUMNS($V$1006:AB1006),$V$1006:$AE$1006,0)), HYPERLINK("#",""), HYPERLINK(CONCATENATE("#Metadata!", ADDRESS(INDEX($Q$2:$Q$1001,MATCH(ROWS($O$2:O571),$O$2:$O$1001,0),0), INDEX($V$1004:$AE$1004,1,MATCH(COLUMNS($V$1006:AB1006),$V$1006:$AE$1006,0)))),"Fix")))</f>
        <v>0</v>
      </c>
      <c r="I571" s="3">
        <f>IF(OR(INDEX($P$2:$P$1001,MATCH(ROWS($O$2:O571),$O$2:$O$1001,0),1)&gt;=100000,INDEX($V$1005:$AE$1005,1,MATCH(COLUMNS($V$1006:AC1006),$V$1006:$AE$1006,0))&gt;=100000), " ",IF(INDEX($V$2:$AE$1001,MATCH(ROWS($O$2:O571),$O$2:$O$1001,0),MATCH(COLUMNS($V$1006:AC1006),$V$1006:$AE$1006,0)), HYPERLINK("#",""), HYPERLINK(CONCATENATE("#Metadata!", ADDRESS(INDEX($Q$2:$Q$1001,MATCH(ROWS($O$2:O571),$O$2:$O$1001,0),0), INDEX($V$1004:$AE$1004,1,MATCH(COLUMNS($V$1006:AC1006),$V$1006:$AE$1006,0)))),"Fix")))</f>
        <v>0</v>
      </c>
      <c r="J571" s="3">
        <f>IF(OR(INDEX($P$2:$P$1001,MATCH(ROWS($O$2:O571),$O$2:$O$1001,0),1)&gt;=100000,INDEX($V$1005:$AE$1005,1,MATCH(COLUMNS($V$1006:AD1006),$V$1006:$AE$1006,0))&gt;=100000), " ",IF(INDEX($V$2:$AE$1001,MATCH(ROWS($O$2:O571),$O$2:$O$1001,0),MATCH(COLUMNS($V$1006:AD1006),$V$1006:$AE$1006,0)), HYPERLINK("#",""), HYPERLINK(CONCATENATE("#Metadata!", ADDRESS(INDEX($Q$2:$Q$1001,MATCH(ROWS($O$2:O571),$O$2:$O$1001,0),0), INDEX($V$1004:$AE$1004,1,MATCH(COLUMNS($V$1006:AD1006),$V$1006:$AE$1006,0)))),"Fix")))</f>
        <v>0</v>
      </c>
      <c r="K571" s="3">
        <f>IF(OR(INDEX($P$2:$P$1001,MATCH(ROWS($O$2:O571),$O$2:$O$1001,0),1)&gt;=100000,INDEX($V$1005:$AE$1005,1,MATCH(COLUMNS($V$1006:AE1006),$V$1006:$AE$1006,0))&gt;=100000), " ",IF(INDEX($V$2:$AE$1001,MATCH(ROWS($O$2:O571),$O$2:$O$1001,0),MATCH(COLUMNS($V$1006:AE1006),$V$1006:$AE$1006,0)), HYPERLINK("#",""), HYPERLINK(CONCATENATE("#Metadata!", ADDRESS(INDEX($Q$2:$Q$1001,MATCH(ROWS($O$2:O571),$O$2:$O$1001,0),0), INDEX($V$1004:$AE$1004,1,MATCH(COLUMNS($V$1006:AE1006),$V$1006:$AE$1006,0)))),"Fix")))</f>
        <v>0</v>
      </c>
      <c r="O571">
        <v>0</v>
      </c>
      <c r="P571">
        <v>0</v>
      </c>
      <c r="Q571">
        <v>0</v>
      </c>
      <c r="R571">
        <f>IF(S571,TRUE,AND(V571:AE571))</f>
        <v>0</v>
      </c>
      <c r="S571">
        <f>COUNTBLANK(Metadata!B571:K571)=COLUMNS(Metadata!B571:K571)</f>
        <v>0</v>
      </c>
      <c r="T571">
        <v>0</v>
      </c>
      <c r="V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W571">
        <f>AND(IF(Metadata!C571="",FALSE,TRUE),exact(Metadata!C571,"animal secretion"))</f>
        <v>0</v>
      </c>
      <c r="X571">
        <f>AND(IF(Metadata!D571="",FALSE,TRUE),exact(Metadata!D571,"saliva"))</f>
        <v>0</v>
      </c>
      <c r="Y571">
        <f>AND(IF(Metadata!E571="",FALSE,TRUE),exact(Metadata!E571,"human-oral"))</f>
        <v>0</v>
      </c>
      <c r="Z571">
        <f>AND(IF(Metadata!F571="",FALSE,TRUE),exact(Metadata!F571,"UBERON:oral cavity"))</f>
        <v>0</v>
      </c>
      <c r="AA571">
        <f>AND(IF(Metadata!G571="",FALSE,TRUE),exact(Metadata!G571,"UBERON:saliva"))</f>
        <v>0</v>
      </c>
      <c r="AB571">
        <f>AND(IF(Metadata!H571="",FALSE,TRUE),exact(Metadata!H571,"UBERON:tongue"))</f>
        <v>0</v>
      </c>
      <c r="AC571">
        <f>AND(IF(Metadata!I571="",FALSE,TRUE),exact(Metadata!I571,"tongue"))</f>
        <v>0</v>
      </c>
      <c r="AD571">
        <f>AND(IF(Metadata!J571="",FALSE,TRUE),exact(Metadata!J571,"human oral metagenome"))</f>
        <v>0</v>
      </c>
      <c r="AE571">
        <f>AND(IF(Metadata!K571="",FALSE,TRUE),exact(Metadata!K571,"447426"))</f>
        <v>0</v>
      </c>
    </row>
    <row r="572" spans="1:31">
      <c r="A572" s="4">
        <f>IF(B572=" "," ",HYPERLINK(CONCATENATE("#metadata!",ADDRESS(INDEX($Q$2:$Q$1001,MATCH(ROWS($O$2:O572),$O$2:$O$1001,0),0),1)),INDEX($T$2:$T$1001,MATCH(ROWS($O$2:O572),$O$2:$O$1001,0),0)))</f>
        <v>0</v>
      </c>
      <c r="B572" s="3">
        <f>IF(OR(INDEX($P$2:$P$1001,MATCH(ROWS($O$2:O572),$O$2:$O$1001,0),1)&gt;=100000,INDEX($V$1005:$AE$1005,1,MATCH(COLUMNS($V$1006:V1006),$V$1006:$AE$1006,0))&gt;=100000), " ",IF(INDEX($V$2:$AE$1001,MATCH(ROWS($O$2:O572),$O$2:$O$1001,0),MATCH(COLUMNS($V$1006:V1006),$V$1006:$AE$1006,0)), HYPERLINK("#",""), HYPERLINK(CONCATENATE("#Metadata!", ADDRESS(INDEX($Q$2:$Q$1001,MATCH(ROWS($O$2:O572),$O$2:$O$1001,0),0), INDEX($V$1004:$AE$1004,1,MATCH(COLUMNS($V$1006:V1006),$V$1006:$AE$1006,0)))),"Fix")))</f>
        <v>0</v>
      </c>
      <c r="C572" s="3">
        <f>IF(OR(INDEX($P$2:$P$1001,MATCH(ROWS($O$2:O572),$O$2:$O$1001,0),1)&gt;=100000,INDEX($V$1005:$AE$1005,1,MATCH(COLUMNS($V$1006:W1006),$V$1006:$AE$1006,0))&gt;=100000), " ",IF(INDEX($V$2:$AE$1001,MATCH(ROWS($O$2:O572),$O$2:$O$1001,0),MATCH(COLUMNS($V$1006:W1006),$V$1006:$AE$1006,0)), HYPERLINK("#",""), HYPERLINK(CONCATENATE("#Metadata!", ADDRESS(INDEX($Q$2:$Q$1001,MATCH(ROWS($O$2:O572),$O$2:$O$1001,0),0), INDEX($V$1004:$AE$1004,1,MATCH(COLUMNS($V$1006:W1006),$V$1006:$AE$1006,0)))),"Fix")))</f>
        <v>0</v>
      </c>
      <c r="D572" s="3">
        <f>IF(OR(INDEX($P$2:$P$1001,MATCH(ROWS($O$2:O572),$O$2:$O$1001,0),1)&gt;=100000,INDEX($V$1005:$AE$1005,1,MATCH(COLUMNS($V$1006:X1006),$V$1006:$AE$1006,0))&gt;=100000), " ",IF(INDEX($V$2:$AE$1001,MATCH(ROWS($O$2:O572),$O$2:$O$1001,0),MATCH(COLUMNS($V$1006:X1006),$V$1006:$AE$1006,0)), HYPERLINK("#",""), HYPERLINK(CONCATENATE("#Metadata!", ADDRESS(INDEX($Q$2:$Q$1001,MATCH(ROWS($O$2:O572),$O$2:$O$1001,0),0), INDEX($V$1004:$AE$1004,1,MATCH(COLUMNS($V$1006:X1006),$V$1006:$AE$1006,0)))),"Fix")))</f>
        <v>0</v>
      </c>
      <c r="E572" s="3">
        <f>IF(OR(INDEX($P$2:$P$1001,MATCH(ROWS($O$2:O572),$O$2:$O$1001,0),1)&gt;=100000,INDEX($V$1005:$AE$1005,1,MATCH(COLUMNS($V$1006:Y1006),$V$1006:$AE$1006,0))&gt;=100000), " ",IF(INDEX($V$2:$AE$1001,MATCH(ROWS($O$2:O572),$O$2:$O$1001,0),MATCH(COLUMNS($V$1006:Y1006),$V$1006:$AE$1006,0)), HYPERLINK("#",""), HYPERLINK(CONCATENATE("#Metadata!", ADDRESS(INDEX($Q$2:$Q$1001,MATCH(ROWS($O$2:O572),$O$2:$O$1001,0),0), INDEX($V$1004:$AE$1004,1,MATCH(COLUMNS($V$1006:Y1006),$V$1006:$AE$1006,0)))),"Fix")))</f>
        <v>0</v>
      </c>
      <c r="F572" s="3">
        <f>IF(OR(INDEX($P$2:$P$1001,MATCH(ROWS($O$2:O572),$O$2:$O$1001,0),1)&gt;=100000,INDEX($V$1005:$AE$1005,1,MATCH(COLUMNS($V$1006:Z1006),$V$1006:$AE$1006,0))&gt;=100000), " ",IF(INDEX($V$2:$AE$1001,MATCH(ROWS($O$2:O572),$O$2:$O$1001,0),MATCH(COLUMNS($V$1006:Z1006),$V$1006:$AE$1006,0)), HYPERLINK("#",""), HYPERLINK(CONCATENATE("#Metadata!", ADDRESS(INDEX($Q$2:$Q$1001,MATCH(ROWS($O$2:O572),$O$2:$O$1001,0),0), INDEX($V$1004:$AE$1004,1,MATCH(COLUMNS($V$1006:Z1006),$V$1006:$AE$1006,0)))),"Fix")))</f>
        <v>0</v>
      </c>
      <c r="G572" s="3">
        <f>IF(OR(INDEX($P$2:$P$1001,MATCH(ROWS($O$2:O572),$O$2:$O$1001,0),1)&gt;=100000,INDEX($V$1005:$AE$1005,1,MATCH(COLUMNS($V$1006:AA1006),$V$1006:$AE$1006,0))&gt;=100000), " ",IF(INDEX($V$2:$AE$1001,MATCH(ROWS($O$2:O572),$O$2:$O$1001,0),MATCH(COLUMNS($V$1006:AA1006),$V$1006:$AE$1006,0)), HYPERLINK("#",""), HYPERLINK(CONCATENATE("#Metadata!", ADDRESS(INDEX($Q$2:$Q$1001,MATCH(ROWS($O$2:O572),$O$2:$O$1001,0),0), INDEX($V$1004:$AE$1004,1,MATCH(COLUMNS($V$1006:AA1006),$V$1006:$AE$1006,0)))),"Fix")))</f>
        <v>0</v>
      </c>
      <c r="H572" s="3">
        <f>IF(OR(INDEX($P$2:$P$1001,MATCH(ROWS($O$2:O572),$O$2:$O$1001,0),1)&gt;=100000,INDEX($V$1005:$AE$1005,1,MATCH(COLUMNS($V$1006:AB1006),$V$1006:$AE$1006,0))&gt;=100000), " ",IF(INDEX($V$2:$AE$1001,MATCH(ROWS($O$2:O572),$O$2:$O$1001,0),MATCH(COLUMNS($V$1006:AB1006),$V$1006:$AE$1006,0)), HYPERLINK("#",""), HYPERLINK(CONCATENATE("#Metadata!", ADDRESS(INDEX($Q$2:$Q$1001,MATCH(ROWS($O$2:O572),$O$2:$O$1001,0),0), INDEX($V$1004:$AE$1004,1,MATCH(COLUMNS($V$1006:AB1006),$V$1006:$AE$1006,0)))),"Fix")))</f>
        <v>0</v>
      </c>
      <c r="I572" s="3">
        <f>IF(OR(INDEX($P$2:$P$1001,MATCH(ROWS($O$2:O572),$O$2:$O$1001,0),1)&gt;=100000,INDEX($V$1005:$AE$1005,1,MATCH(COLUMNS($V$1006:AC1006),$V$1006:$AE$1006,0))&gt;=100000), " ",IF(INDEX($V$2:$AE$1001,MATCH(ROWS($O$2:O572),$O$2:$O$1001,0),MATCH(COLUMNS($V$1006:AC1006),$V$1006:$AE$1006,0)), HYPERLINK("#",""), HYPERLINK(CONCATENATE("#Metadata!", ADDRESS(INDEX($Q$2:$Q$1001,MATCH(ROWS($O$2:O572),$O$2:$O$1001,0),0), INDEX($V$1004:$AE$1004,1,MATCH(COLUMNS($V$1006:AC1006),$V$1006:$AE$1006,0)))),"Fix")))</f>
        <v>0</v>
      </c>
      <c r="J572" s="3">
        <f>IF(OR(INDEX($P$2:$P$1001,MATCH(ROWS($O$2:O572),$O$2:$O$1001,0),1)&gt;=100000,INDEX($V$1005:$AE$1005,1,MATCH(COLUMNS($V$1006:AD1006),$V$1006:$AE$1006,0))&gt;=100000), " ",IF(INDEX($V$2:$AE$1001,MATCH(ROWS($O$2:O572),$O$2:$O$1001,0),MATCH(COLUMNS($V$1006:AD1006),$V$1006:$AE$1006,0)), HYPERLINK("#",""), HYPERLINK(CONCATENATE("#Metadata!", ADDRESS(INDEX($Q$2:$Q$1001,MATCH(ROWS($O$2:O572),$O$2:$O$1001,0),0), INDEX($V$1004:$AE$1004,1,MATCH(COLUMNS($V$1006:AD1006),$V$1006:$AE$1006,0)))),"Fix")))</f>
        <v>0</v>
      </c>
      <c r="K572" s="3">
        <f>IF(OR(INDEX($P$2:$P$1001,MATCH(ROWS($O$2:O572),$O$2:$O$1001,0),1)&gt;=100000,INDEX($V$1005:$AE$1005,1,MATCH(COLUMNS($V$1006:AE1006),$V$1006:$AE$1006,0))&gt;=100000), " ",IF(INDEX($V$2:$AE$1001,MATCH(ROWS($O$2:O572),$O$2:$O$1001,0),MATCH(COLUMNS($V$1006:AE1006),$V$1006:$AE$1006,0)), HYPERLINK("#",""), HYPERLINK(CONCATENATE("#Metadata!", ADDRESS(INDEX($Q$2:$Q$1001,MATCH(ROWS($O$2:O572),$O$2:$O$1001,0),0), INDEX($V$1004:$AE$1004,1,MATCH(COLUMNS($V$1006:AE1006),$V$1006:$AE$1006,0)))),"Fix")))</f>
        <v>0</v>
      </c>
      <c r="O572">
        <v>0</v>
      </c>
      <c r="P572">
        <v>0</v>
      </c>
      <c r="Q572">
        <v>0</v>
      </c>
      <c r="R572">
        <f>IF(S572,TRUE,AND(V572:AE572))</f>
        <v>0</v>
      </c>
      <c r="S572">
        <f>COUNTBLANK(Metadata!B572:K572)=COLUMNS(Metadata!B572:K572)</f>
        <v>0</v>
      </c>
      <c r="T572">
        <v>0</v>
      </c>
      <c r="V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W572">
        <f>AND(IF(Metadata!C572="",FALSE,TRUE),exact(Metadata!C572,"animal secretion"))</f>
        <v>0</v>
      </c>
      <c r="X572">
        <f>AND(IF(Metadata!D572="",FALSE,TRUE),exact(Metadata!D572,"saliva"))</f>
        <v>0</v>
      </c>
      <c r="Y572">
        <f>AND(IF(Metadata!E572="",FALSE,TRUE),exact(Metadata!E572,"human-oral"))</f>
        <v>0</v>
      </c>
      <c r="Z572">
        <f>AND(IF(Metadata!F572="",FALSE,TRUE),exact(Metadata!F572,"UBERON:oral cavity"))</f>
        <v>0</v>
      </c>
      <c r="AA572">
        <f>AND(IF(Metadata!G572="",FALSE,TRUE),exact(Metadata!G572,"UBERON:saliva"))</f>
        <v>0</v>
      </c>
      <c r="AB572">
        <f>AND(IF(Metadata!H572="",FALSE,TRUE),exact(Metadata!H572,"UBERON:tongue"))</f>
        <v>0</v>
      </c>
      <c r="AC572">
        <f>AND(IF(Metadata!I572="",FALSE,TRUE),exact(Metadata!I572,"tongue"))</f>
        <v>0</v>
      </c>
      <c r="AD572">
        <f>AND(IF(Metadata!J572="",FALSE,TRUE),exact(Metadata!J572,"human oral metagenome"))</f>
        <v>0</v>
      </c>
      <c r="AE572">
        <f>AND(IF(Metadata!K572="",FALSE,TRUE),exact(Metadata!K572,"447426"))</f>
        <v>0</v>
      </c>
    </row>
    <row r="573" spans="1:31">
      <c r="A573" s="4">
        <f>IF(B573=" "," ",HYPERLINK(CONCATENATE("#metadata!",ADDRESS(INDEX($Q$2:$Q$1001,MATCH(ROWS($O$2:O573),$O$2:$O$1001,0),0),1)),INDEX($T$2:$T$1001,MATCH(ROWS($O$2:O573),$O$2:$O$1001,0),0)))</f>
        <v>0</v>
      </c>
      <c r="B573" s="3">
        <f>IF(OR(INDEX($P$2:$P$1001,MATCH(ROWS($O$2:O573),$O$2:$O$1001,0),1)&gt;=100000,INDEX($V$1005:$AE$1005,1,MATCH(COLUMNS($V$1006:V1006),$V$1006:$AE$1006,0))&gt;=100000), " ",IF(INDEX($V$2:$AE$1001,MATCH(ROWS($O$2:O573),$O$2:$O$1001,0),MATCH(COLUMNS($V$1006:V1006),$V$1006:$AE$1006,0)), HYPERLINK("#",""), HYPERLINK(CONCATENATE("#Metadata!", ADDRESS(INDEX($Q$2:$Q$1001,MATCH(ROWS($O$2:O573),$O$2:$O$1001,0),0), INDEX($V$1004:$AE$1004,1,MATCH(COLUMNS($V$1006:V1006),$V$1006:$AE$1006,0)))),"Fix")))</f>
        <v>0</v>
      </c>
      <c r="C573" s="3">
        <f>IF(OR(INDEX($P$2:$P$1001,MATCH(ROWS($O$2:O573),$O$2:$O$1001,0),1)&gt;=100000,INDEX($V$1005:$AE$1005,1,MATCH(COLUMNS($V$1006:W1006),$V$1006:$AE$1006,0))&gt;=100000), " ",IF(INDEX($V$2:$AE$1001,MATCH(ROWS($O$2:O573),$O$2:$O$1001,0),MATCH(COLUMNS($V$1006:W1006),$V$1006:$AE$1006,0)), HYPERLINK("#",""), HYPERLINK(CONCATENATE("#Metadata!", ADDRESS(INDEX($Q$2:$Q$1001,MATCH(ROWS($O$2:O573),$O$2:$O$1001,0),0), INDEX($V$1004:$AE$1004,1,MATCH(COLUMNS($V$1006:W1006),$V$1006:$AE$1006,0)))),"Fix")))</f>
        <v>0</v>
      </c>
      <c r="D573" s="3">
        <f>IF(OR(INDEX($P$2:$P$1001,MATCH(ROWS($O$2:O573),$O$2:$O$1001,0),1)&gt;=100000,INDEX($V$1005:$AE$1005,1,MATCH(COLUMNS($V$1006:X1006),$V$1006:$AE$1006,0))&gt;=100000), " ",IF(INDEX($V$2:$AE$1001,MATCH(ROWS($O$2:O573),$O$2:$O$1001,0),MATCH(COLUMNS($V$1006:X1006),$V$1006:$AE$1006,0)), HYPERLINK("#",""), HYPERLINK(CONCATENATE("#Metadata!", ADDRESS(INDEX($Q$2:$Q$1001,MATCH(ROWS($O$2:O573),$O$2:$O$1001,0),0), INDEX($V$1004:$AE$1004,1,MATCH(COLUMNS($V$1006:X1006),$V$1006:$AE$1006,0)))),"Fix")))</f>
        <v>0</v>
      </c>
      <c r="E573" s="3">
        <f>IF(OR(INDEX($P$2:$P$1001,MATCH(ROWS($O$2:O573),$O$2:$O$1001,0),1)&gt;=100000,INDEX($V$1005:$AE$1005,1,MATCH(COLUMNS($V$1006:Y1006),$V$1006:$AE$1006,0))&gt;=100000), " ",IF(INDEX($V$2:$AE$1001,MATCH(ROWS($O$2:O573),$O$2:$O$1001,0),MATCH(COLUMNS($V$1006:Y1006),$V$1006:$AE$1006,0)), HYPERLINK("#",""), HYPERLINK(CONCATENATE("#Metadata!", ADDRESS(INDEX($Q$2:$Q$1001,MATCH(ROWS($O$2:O573),$O$2:$O$1001,0),0), INDEX($V$1004:$AE$1004,1,MATCH(COLUMNS($V$1006:Y1006),$V$1006:$AE$1006,0)))),"Fix")))</f>
        <v>0</v>
      </c>
      <c r="F573" s="3">
        <f>IF(OR(INDEX($P$2:$P$1001,MATCH(ROWS($O$2:O573),$O$2:$O$1001,0),1)&gt;=100000,INDEX($V$1005:$AE$1005,1,MATCH(COLUMNS($V$1006:Z1006),$V$1006:$AE$1006,0))&gt;=100000), " ",IF(INDEX($V$2:$AE$1001,MATCH(ROWS($O$2:O573),$O$2:$O$1001,0),MATCH(COLUMNS($V$1006:Z1006),$V$1006:$AE$1006,0)), HYPERLINK("#",""), HYPERLINK(CONCATENATE("#Metadata!", ADDRESS(INDEX($Q$2:$Q$1001,MATCH(ROWS($O$2:O573),$O$2:$O$1001,0),0), INDEX($V$1004:$AE$1004,1,MATCH(COLUMNS($V$1006:Z1006),$V$1006:$AE$1006,0)))),"Fix")))</f>
        <v>0</v>
      </c>
      <c r="G573" s="3">
        <f>IF(OR(INDEX($P$2:$P$1001,MATCH(ROWS($O$2:O573),$O$2:$O$1001,0),1)&gt;=100000,INDEX($V$1005:$AE$1005,1,MATCH(COLUMNS($V$1006:AA1006),$V$1006:$AE$1006,0))&gt;=100000), " ",IF(INDEX($V$2:$AE$1001,MATCH(ROWS($O$2:O573),$O$2:$O$1001,0),MATCH(COLUMNS($V$1006:AA1006),$V$1006:$AE$1006,0)), HYPERLINK("#",""), HYPERLINK(CONCATENATE("#Metadata!", ADDRESS(INDEX($Q$2:$Q$1001,MATCH(ROWS($O$2:O573),$O$2:$O$1001,0),0), INDEX($V$1004:$AE$1004,1,MATCH(COLUMNS($V$1006:AA1006),$V$1006:$AE$1006,0)))),"Fix")))</f>
        <v>0</v>
      </c>
      <c r="H573" s="3">
        <f>IF(OR(INDEX($P$2:$P$1001,MATCH(ROWS($O$2:O573),$O$2:$O$1001,0),1)&gt;=100000,INDEX($V$1005:$AE$1005,1,MATCH(COLUMNS($V$1006:AB1006),$V$1006:$AE$1006,0))&gt;=100000), " ",IF(INDEX($V$2:$AE$1001,MATCH(ROWS($O$2:O573),$O$2:$O$1001,0),MATCH(COLUMNS($V$1006:AB1006),$V$1006:$AE$1006,0)), HYPERLINK("#",""), HYPERLINK(CONCATENATE("#Metadata!", ADDRESS(INDEX($Q$2:$Q$1001,MATCH(ROWS($O$2:O573),$O$2:$O$1001,0),0), INDEX($V$1004:$AE$1004,1,MATCH(COLUMNS($V$1006:AB1006),$V$1006:$AE$1006,0)))),"Fix")))</f>
        <v>0</v>
      </c>
      <c r="I573" s="3">
        <f>IF(OR(INDEX($P$2:$P$1001,MATCH(ROWS($O$2:O573),$O$2:$O$1001,0),1)&gt;=100000,INDEX($V$1005:$AE$1005,1,MATCH(COLUMNS($V$1006:AC1006),$V$1006:$AE$1006,0))&gt;=100000), " ",IF(INDEX($V$2:$AE$1001,MATCH(ROWS($O$2:O573),$O$2:$O$1001,0),MATCH(COLUMNS($V$1006:AC1006),$V$1006:$AE$1006,0)), HYPERLINK("#",""), HYPERLINK(CONCATENATE("#Metadata!", ADDRESS(INDEX($Q$2:$Q$1001,MATCH(ROWS($O$2:O573),$O$2:$O$1001,0),0), INDEX($V$1004:$AE$1004,1,MATCH(COLUMNS($V$1006:AC1006),$V$1006:$AE$1006,0)))),"Fix")))</f>
        <v>0</v>
      </c>
      <c r="J573" s="3">
        <f>IF(OR(INDEX($P$2:$P$1001,MATCH(ROWS($O$2:O573),$O$2:$O$1001,0),1)&gt;=100000,INDEX($V$1005:$AE$1005,1,MATCH(COLUMNS($V$1006:AD1006),$V$1006:$AE$1006,0))&gt;=100000), " ",IF(INDEX($V$2:$AE$1001,MATCH(ROWS($O$2:O573),$O$2:$O$1001,0),MATCH(COLUMNS($V$1006:AD1006),$V$1006:$AE$1006,0)), HYPERLINK("#",""), HYPERLINK(CONCATENATE("#Metadata!", ADDRESS(INDEX($Q$2:$Q$1001,MATCH(ROWS($O$2:O573),$O$2:$O$1001,0),0), INDEX($V$1004:$AE$1004,1,MATCH(COLUMNS($V$1006:AD1006),$V$1006:$AE$1006,0)))),"Fix")))</f>
        <v>0</v>
      </c>
      <c r="K573" s="3">
        <f>IF(OR(INDEX($P$2:$P$1001,MATCH(ROWS($O$2:O573),$O$2:$O$1001,0),1)&gt;=100000,INDEX($V$1005:$AE$1005,1,MATCH(COLUMNS($V$1006:AE1006),$V$1006:$AE$1006,0))&gt;=100000), " ",IF(INDEX($V$2:$AE$1001,MATCH(ROWS($O$2:O573),$O$2:$O$1001,0),MATCH(COLUMNS($V$1006:AE1006),$V$1006:$AE$1006,0)), HYPERLINK("#",""), HYPERLINK(CONCATENATE("#Metadata!", ADDRESS(INDEX($Q$2:$Q$1001,MATCH(ROWS($O$2:O573),$O$2:$O$1001,0),0), INDEX($V$1004:$AE$1004,1,MATCH(COLUMNS($V$1006:AE1006),$V$1006:$AE$1006,0)))),"Fix")))</f>
        <v>0</v>
      </c>
      <c r="O573">
        <v>0</v>
      </c>
      <c r="P573">
        <v>0</v>
      </c>
      <c r="Q573">
        <v>0</v>
      </c>
      <c r="R573">
        <f>IF(S573,TRUE,AND(V573:AE573))</f>
        <v>0</v>
      </c>
      <c r="S573">
        <f>COUNTBLANK(Metadata!B573:K573)=COLUMNS(Metadata!B573:K573)</f>
        <v>0</v>
      </c>
      <c r="T573">
        <v>0</v>
      </c>
      <c r="V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W573">
        <f>AND(IF(Metadata!C573="",FALSE,TRUE),exact(Metadata!C573,"animal secretion"))</f>
        <v>0</v>
      </c>
      <c r="X573">
        <f>AND(IF(Metadata!D573="",FALSE,TRUE),exact(Metadata!D573,"saliva"))</f>
        <v>0</v>
      </c>
      <c r="Y573">
        <f>AND(IF(Metadata!E573="",FALSE,TRUE),exact(Metadata!E573,"human-oral"))</f>
        <v>0</v>
      </c>
      <c r="Z573">
        <f>AND(IF(Metadata!F573="",FALSE,TRUE),exact(Metadata!F573,"UBERON:oral cavity"))</f>
        <v>0</v>
      </c>
      <c r="AA573">
        <f>AND(IF(Metadata!G573="",FALSE,TRUE),exact(Metadata!G573,"UBERON:saliva"))</f>
        <v>0</v>
      </c>
      <c r="AB573">
        <f>AND(IF(Metadata!H573="",FALSE,TRUE),exact(Metadata!H573,"UBERON:tongue"))</f>
        <v>0</v>
      </c>
      <c r="AC573">
        <f>AND(IF(Metadata!I573="",FALSE,TRUE),exact(Metadata!I573,"tongue"))</f>
        <v>0</v>
      </c>
      <c r="AD573">
        <f>AND(IF(Metadata!J573="",FALSE,TRUE),exact(Metadata!J573,"human oral metagenome"))</f>
        <v>0</v>
      </c>
      <c r="AE573">
        <f>AND(IF(Metadata!K573="",FALSE,TRUE),exact(Metadata!K573,"447426"))</f>
        <v>0</v>
      </c>
    </row>
    <row r="574" spans="1:31">
      <c r="A574" s="4">
        <f>IF(B574=" "," ",HYPERLINK(CONCATENATE("#metadata!",ADDRESS(INDEX($Q$2:$Q$1001,MATCH(ROWS($O$2:O574),$O$2:$O$1001,0),0),1)),INDEX($T$2:$T$1001,MATCH(ROWS($O$2:O574),$O$2:$O$1001,0),0)))</f>
        <v>0</v>
      </c>
      <c r="B574" s="3">
        <f>IF(OR(INDEX($P$2:$P$1001,MATCH(ROWS($O$2:O574),$O$2:$O$1001,0),1)&gt;=100000,INDEX($V$1005:$AE$1005,1,MATCH(COLUMNS($V$1006:V1006),$V$1006:$AE$1006,0))&gt;=100000), " ",IF(INDEX($V$2:$AE$1001,MATCH(ROWS($O$2:O574),$O$2:$O$1001,0),MATCH(COLUMNS($V$1006:V1006),$V$1006:$AE$1006,0)), HYPERLINK("#",""), HYPERLINK(CONCATENATE("#Metadata!", ADDRESS(INDEX($Q$2:$Q$1001,MATCH(ROWS($O$2:O574),$O$2:$O$1001,0),0), INDEX($V$1004:$AE$1004,1,MATCH(COLUMNS($V$1006:V1006),$V$1006:$AE$1006,0)))),"Fix")))</f>
        <v>0</v>
      </c>
      <c r="C574" s="3">
        <f>IF(OR(INDEX($P$2:$P$1001,MATCH(ROWS($O$2:O574),$O$2:$O$1001,0),1)&gt;=100000,INDEX($V$1005:$AE$1005,1,MATCH(COLUMNS($V$1006:W1006),$V$1006:$AE$1006,0))&gt;=100000), " ",IF(INDEX($V$2:$AE$1001,MATCH(ROWS($O$2:O574),$O$2:$O$1001,0),MATCH(COLUMNS($V$1006:W1006),$V$1006:$AE$1006,0)), HYPERLINK("#",""), HYPERLINK(CONCATENATE("#Metadata!", ADDRESS(INDEX($Q$2:$Q$1001,MATCH(ROWS($O$2:O574),$O$2:$O$1001,0),0), INDEX($V$1004:$AE$1004,1,MATCH(COLUMNS($V$1006:W1006),$V$1006:$AE$1006,0)))),"Fix")))</f>
        <v>0</v>
      </c>
      <c r="D574" s="3">
        <f>IF(OR(INDEX($P$2:$P$1001,MATCH(ROWS($O$2:O574),$O$2:$O$1001,0),1)&gt;=100000,INDEX($V$1005:$AE$1005,1,MATCH(COLUMNS($V$1006:X1006),$V$1006:$AE$1006,0))&gt;=100000), " ",IF(INDEX($V$2:$AE$1001,MATCH(ROWS($O$2:O574),$O$2:$O$1001,0),MATCH(COLUMNS($V$1006:X1006),$V$1006:$AE$1006,0)), HYPERLINK("#",""), HYPERLINK(CONCATENATE("#Metadata!", ADDRESS(INDEX($Q$2:$Q$1001,MATCH(ROWS($O$2:O574),$O$2:$O$1001,0),0), INDEX($V$1004:$AE$1004,1,MATCH(COLUMNS($V$1006:X1006),$V$1006:$AE$1006,0)))),"Fix")))</f>
        <v>0</v>
      </c>
      <c r="E574" s="3">
        <f>IF(OR(INDEX($P$2:$P$1001,MATCH(ROWS($O$2:O574),$O$2:$O$1001,0),1)&gt;=100000,INDEX($V$1005:$AE$1005,1,MATCH(COLUMNS($V$1006:Y1006),$V$1006:$AE$1006,0))&gt;=100000), " ",IF(INDEX($V$2:$AE$1001,MATCH(ROWS($O$2:O574),$O$2:$O$1001,0),MATCH(COLUMNS($V$1006:Y1006),$V$1006:$AE$1006,0)), HYPERLINK("#",""), HYPERLINK(CONCATENATE("#Metadata!", ADDRESS(INDEX($Q$2:$Q$1001,MATCH(ROWS($O$2:O574),$O$2:$O$1001,0),0), INDEX($V$1004:$AE$1004,1,MATCH(COLUMNS($V$1006:Y1006),$V$1006:$AE$1006,0)))),"Fix")))</f>
        <v>0</v>
      </c>
      <c r="F574" s="3">
        <f>IF(OR(INDEX($P$2:$P$1001,MATCH(ROWS($O$2:O574),$O$2:$O$1001,0),1)&gt;=100000,INDEX($V$1005:$AE$1005,1,MATCH(COLUMNS($V$1006:Z1006),$V$1006:$AE$1006,0))&gt;=100000), " ",IF(INDEX($V$2:$AE$1001,MATCH(ROWS($O$2:O574),$O$2:$O$1001,0),MATCH(COLUMNS($V$1006:Z1006),$V$1006:$AE$1006,0)), HYPERLINK("#",""), HYPERLINK(CONCATENATE("#Metadata!", ADDRESS(INDEX($Q$2:$Q$1001,MATCH(ROWS($O$2:O574),$O$2:$O$1001,0),0), INDEX($V$1004:$AE$1004,1,MATCH(COLUMNS($V$1006:Z1006),$V$1006:$AE$1006,0)))),"Fix")))</f>
        <v>0</v>
      </c>
      <c r="G574" s="3">
        <f>IF(OR(INDEX($P$2:$P$1001,MATCH(ROWS($O$2:O574),$O$2:$O$1001,0),1)&gt;=100000,INDEX($V$1005:$AE$1005,1,MATCH(COLUMNS($V$1006:AA1006),$V$1006:$AE$1006,0))&gt;=100000), " ",IF(INDEX($V$2:$AE$1001,MATCH(ROWS($O$2:O574),$O$2:$O$1001,0),MATCH(COLUMNS($V$1006:AA1006),$V$1006:$AE$1006,0)), HYPERLINK("#",""), HYPERLINK(CONCATENATE("#Metadata!", ADDRESS(INDEX($Q$2:$Q$1001,MATCH(ROWS($O$2:O574),$O$2:$O$1001,0),0), INDEX($V$1004:$AE$1004,1,MATCH(COLUMNS($V$1006:AA1006),$V$1006:$AE$1006,0)))),"Fix")))</f>
        <v>0</v>
      </c>
      <c r="H574" s="3">
        <f>IF(OR(INDEX($P$2:$P$1001,MATCH(ROWS($O$2:O574),$O$2:$O$1001,0),1)&gt;=100000,INDEX($V$1005:$AE$1005,1,MATCH(COLUMNS($V$1006:AB1006),$V$1006:$AE$1006,0))&gt;=100000), " ",IF(INDEX($V$2:$AE$1001,MATCH(ROWS($O$2:O574),$O$2:$O$1001,0),MATCH(COLUMNS($V$1006:AB1006),$V$1006:$AE$1006,0)), HYPERLINK("#",""), HYPERLINK(CONCATENATE("#Metadata!", ADDRESS(INDEX($Q$2:$Q$1001,MATCH(ROWS($O$2:O574),$O$2:$O$1001,0),0), INDEX($V$1004:$AE$1004,1,MATCH(COLUMNS($V$1006:AB1006),$V$1006:$AE$1006,0)))),"Fix")))</f>
        <v>0</v>
      </c>
      <c r="I574" s="3">
        <f>IF(OR(INDEX($P$2:$P$1001,MATCH(ROWS($O$2:O574),$O$2:$O$1001,0),1)&gt;=100000,INDEX($V$1005:$AE$1005,1,MATCH(COLUMNS($V$1006:AC1006),$V$1006:$AE$1006,0))&gt;=100000), " ",IF(INDEX($V$2:$AE$1001,MATCH(ROWS($O$2:O574),$O$2:$O$1001,0),MATCH(COLUMNS($V$1006:AC1006),$V$1006:$AE$1006,0)), HYPERLINK("#",""), HYPERLINK(CONCATENATE("#Metadata!", ADDRESS(INDEX($Q$2:$Q$1001,MATCH(ROWS($O$2:O574),$O$2:$O$1001,0),0), INDEX($V$1004:$AE$1004,1,MATCH(COLUMNS($V$1006:AC1006),$V$1006:$AE$1006,0)))),"Fix")))</f>
        <v>0</v>
      </c>
      <c r="J574" s="3">
        <f>IF(OR(INDEX($P$2:$P$1001,MATCH(ROWS($O$2:O574),$O$2:$O$1001,0),1)&gt;=100000,INDEX($V$1005:$AE$1005,1,MATCH(COLUMNS($V$1006:AD1006),$V$1006:$AE$1006,0))&gt;=100000), " ",IF(INDEX($V$2:$AE$1001,MATCH(ROWS($O$2:O574),$O$2:$O$1001,0),MATCH(COLUMNS($V$1006:AD1006),$V$1006:$AE$1006,0)), HYPERLINK("#",""), HYPERLINK(CONCATENATE("#Metadata!", ADDRESS(INDEX($Q$2:$Q$1001,MATCH(ROWS($O$2:O574),$O$2:$O$1001,0),0), INDEX($V$1004:$AE$1004,1,MATCH(COLUMNS($V$1006:AD1006),$V$1006:$AE$1006,0)))),"Fix")))</f>
        <v>0</v>
      </c>
      <c r="K574" s="3">
        <f>IF(OR(INDEX($P$2:$P$1001,MATCH(ROWS($O$2:O574),$O$2:$O$1001,0),1)&gt;=100000,INDEX($V$1005:$AE$1005,1,MATCH(COLUMNS($V$1006:AE1006),$V$1006:$AE$1006,0))&gt;=100000), " ",IF(INDEX($V$2:$AE$1001,MATCH(ROWS($O$2:O574),$O$2:$O$1001,0),MATCH(COLUMNS($V$1006:AE1006),$V$1006:$AE$1006,0)), HYPERLINK("#",""), HYPERLINK(CONCATENATE("#Metadata!", ADDRESS(INDEX($Q$2:$Q$1001,MATCH(ROWS($O$2:O574),$O$2:$O$1001,0),0), INDEX($V$1004:$AE$1004,1,MATCH(COLUMNS($V$1006:AE1006),$V$1006:$AE$1006,0)))),"Fix")))</f>
        <v>0</v>
      </c>
      <c r="O574">
        <v>0</v>
      </c>
      <c r="P574">
        <v>0</v>
      </c>
      <c r="Q574">
        <v>0</v>
      </c>
      <c r="R574">
        <f>IF(S574,TRUE,AND(V574:AE574))</f>
        <v>0</v>
      </c>
      <c r="S574">
        <f>COUNTBLANK(Metadata!B574:K574)=COLUMNS(Metadata!B574:K574)</f>
        <v>0</v>
      </c>
      <c r="T574">
        <v>0</v>
      </c>
      <c r="V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W574">
        <f>AND(IF(Metadata!C574="",FALSE,TRUE),exact(Metadata!C574,"animal secretion"))</f>
        <v>0</v>
      </c>
      <c r="X574">
        <f>AND(IF(Metadata!D574="",FALSE,TRUE),exact(Metadata!D574,"saliva"))</f>
        <v>0</v>
      </c>
      <c r="Y574">
        <f>AND(IF(Metadata!E574="",FALSE,TRUE),exact(Metadata!E574,"human-oral"))</f>
        <v>0</v>
      </c>
      <c r="Z574">
        <f>AND(IF(Metadata!F574="",FALSE,TRUE),exact(Metadata!F574,"UBERON:oral cavity"))</f>
        <v>0</v>
      </c>
      <c r="AA574">
        <f>AND(IF(Metadata!G574="",FALSE,TRUE),exact(Metadata!G574,"UBERON:saliva"))</f>
        <v>0</v>
      </c>
      <c r="AB574">
        <f>AND(IF(Metadata!H574="",FALSE,TRUE),exact(Metadata!H574,"UBERON:tongue"))</f>
        <v>0</v>
      </c>
      <c r="AC574">
        <f>AND(IF(Metadata!I574="",FALSE,TRUE),exact(Metadata!I574,"tongue"))</f>
        <v>0</v>
      </c>
      <c r="AD574">
        <f>AND(IF(Metadata!J574="",FALSE,TRUE),exact(Metadata!J574,"human oral metagenome"))</f>
        <v>0</v>
      </c>
      <c r="AE574">
        <f>AND(IF(Metadata!K574="",FALSE,TRUE),exact(Metadata!K574,"447426"))</f>
        <v>0</v>
      </c>
    </row>
    <row r="575" spans="1:31">
      <c r="A575" s="4">
        <f>IF(B575=" "," ",HYPERLINK(CONCATENATE("#metadata!",ADDRESS(INDEX($Q$2:$Q$1001,MATCH(ROWS($O$2:O575),$O$2:$O$1001,0),0),1)),INDEX($T$2:$T$1001,MATCH(ROWS($O$2:O575),$O$2:$O$1001,0),0)))</f>
        <v>0</v>
      </c>
      <c r="B575" s="3">
        <f>IF(OR(INDEX($P$2:$P$1001,MATCH(ROWS($O$2:O575),$O$2:$O$1001,0),1)&gt;=100000,INDEX($V$1005:$AE$1005,1,MATCH(COLUMNS($V$1006:V1006),$V$1006:$AE$1006,0))&gt;=100000), " ",IF(INDEX($V$2:$AE$1001,MATCH(ROWS($O$2:O575),$O$2:$O$1001,0),MATCH(COLUMNS($V$1006:V1006),$V$1006:$AE$1006,0)), HYPERLINK("#",""), HYPERLINK(CONCATENATE("#Metadata!", ADDRESS(INDEX($Q$2:$Q$1001,MATCH(ROWS($O$2:O575),$O$2:$O$1001,0),0), INDEX($V$1004:$AE$1004,1,MATCH(COLUMNS($V$1006:V1006),$V$1006:$AE$1006,0)))),"Fix")))</f>
        <v>0</v>
      </c>
      <c r="C575" s="3">
        <f>IF(OR(INDEX($P$2:$P$1001,MATCH(ROWS($O$2:O575),$O$2:$O$1001,0),1)&gt;=100000,INDEX($V$1005:$AE$1005,1,MATCH(COLUMNS($V$1006:W1006),$V$1006:$AE$1006,0))&gt;=100000), " ",IF(INDEX($V$2:$AE$1001,MATCH(ROWS($O$2:O575),$O$2:$O$1001,0),MATCH(COLUMNS($V$1006:W1006),$V$1006:$AE$1006,0)), HYPERLINK("#",""), HYPERLINK(CONCATENATE("#Metadata!", ADDRESS(INDEX($Q$2:$Q$1001,MATCH(ROWS($O$2:O575),$O$2:$O$1001,0),0), INDEX($V$1004:$AE$1004,1,MATCH(COLUMNS($V$1006:W1006),$V$1006:$AE$1006,0)))),"Fix")))</f>
        <v>0</v>
      </c>
      <c r="D575" s="3">
        <f>IF(OR(INDEX($P$2:$P$1001,MATCH(ROWS($O$2:O575),$O$2:$O$1001,0),1)&gt;=100000,INDEX($V$1005:$AE$1005,1,MATCH(COLUMNS($V$1006:X1006),$V$1006:$AE$1006,0))&gt;=100000), " ",IF(INDEX($V$2:$AE$1001,MATCH(ROWS($O$2:O575),$O$2:$O$1001,0),MATCH(COLUMNS($V$1006:X1006),$V$1006:$AE$1006,0)), HYPERLINK("#",""), HYPERLINK(CONCATENATE("#Metadata!", ADDRESS(INDEX($Q$2:$Q$1001,MATCH(ROWS($O$2:O575),$O$2:$O$1001,0),0), INDEX($V$1004:$AE$1004,1,MATCH(COLUMNS($V$1006:X1006),$V$1006:$AE$1006,0)))),"Fix")))</f>
        <v>0</v>
      </c>
      <c r="E575" s="3">
        <f>IF(OR(INDEX($P$2:$P$1001,MATCH(ROWS($O$2:O575),$O$2:$O$1001,0),1)&gt;=100000,INDEX($V$1005:$AE$1005,1,MATCH(COLUMNS($V$1006:Y1006),$V$1006:$AE$1006,0))&gt;=100000), " ",IF(INDEX($V$2:$AE$1001,MATCH(ROWS($O$2:O575),$O$2:$O$1001,0),MATCH(COLUMNS($V$1006:Y1006),$V$1006:$AE$1006,0)), HYPERLINK("#",""), HYPERLINK(CONCATENATE("#Metadata!", ADDRESS(INDEX($Q$2:$Q$1001,MATCH(ROWS($O$2:O575),$O$2:$O$1001,0),0), INDEX($V$1004:$AE$1004,1,MATCH(COLUMNS($V$1006:Y1006),$V$1006:$AE$1006,0)))),"Fix")))</f>
        <v>0</v>
      </c>
      <c r="F575" s="3">
        <f>IF(OR(INDEX($P$2:$P$1001,MATCH(ROWS($O$2:O575),$O$2:$O$1001,0),1)&gt;=100000,INDEX($V$1005:$AE$1005,1,MATCH(COLUMNS($V$1006:Z1006),$V$1006:$AE$1006,0))&gt;=100000), " ",IF(INDEX($V$2:$AE$1001,MATCH(ROWS($O$2:O575),$O$2:$O$1001,0),MATCH(COLUMNS($V$1006:Z1006),$V$1006:$AE$1006,0)), HYPERLINK("#",""), HYPERLINK(CONCATENATE("#Metadata!", ADDRESS(INDEX($Q$2:$Q$1001,MATCH(ROWS($O$2:O575),$O$2:$O$1001,0),0), INDEX($V$1004:$AE$1004,1,MATCH(COLUMNS($V$1006:Z1006),$V$1006:$AE$1006,0)))),"Fix")))</f>
        <v>0</v>
      </c>
      <c r="G575" s="3">
        <f>IF(OR(INDEX($P$2:$P$1001,MATCH(ROWS($O$2:O575),$O$2:$O$1001,0),1)&gt;=100000,INDEX($V$1005:$AE$1005,1,MATCH(COLUMNS($V$1006:AA1006),$V$1006:$AE$1006,0))&gt;=100000), " ",IF(INDEX($V$2:$AE$1001,MATCH(ROWS($O$2:O575),$O$2:$O$1001,0),MATCH(COLUMNS($V$1006:AA1006),$V$1006:$AE$1006,0)), HYPERLINK("#",""), HYPERLINK(CONCATENATE("#Metadata!", ADDRESS(INDEX($Q$2:$Q$1001,MATCH(ROWS($O$2:O575),$O$2:$O$1001,0),0), INDEX($V$1004:$AE$1004,1,MATCH(COLUMNS($V$1006:AA1006),$V$1006:$AE$1006,0)))),"Fix")))</f>
        <v>0</v>
      </c>
      <c r="H575" s="3">
        <f>IF(OR(INDEX($P$2:$P$1001,MATCH(ROWS($O$2:O575),$O$2:$O$1001,0),1)&gt;=100000,INDEX($V$1005:$AE$1005,1,MATCH(COLUMNS($V$1006:AB1006),$V$1006:$AE$1006,0))&gt;=100000), " ",IF(INDEX($V$2:$AE$1001,MATCH(ROWS($O$2:O575),$O$2:$O$1001,0),MATCH(COLUMNS($V$1006:AB1006),$V$1006:$AE$1006,0)), HYPERLINK("#",""), HYPERLINK(CONCATENATE("#Metadata!", ADDRESS(INDEX($Q$2:$Q$1001,MATCH(ROWS($O$2:O575),$O$2:$O$1001,0),0), INDEX($V$1004:$AE$1004,1,MATCH(COLUMNS($V$1006:AB1006),$V$1006:$AE$1006,0)))),"Fix")))</f>
        <v>0</v>
      </c>
      <c r="I575" s="3">
        <f>IF(OR(INDEX($P$2:$P$1001,MATCH(ROWS($O$2:O575),$O$2:$O$1001,0),1)&gt;=100000,INDEX($V$1005:$AE$1005,1,MATCH(COLUMNS($V$1006:AC1006),$V$1006:$AE$1006,0))&gt;=100000), " ",IF(INDEX($V$2:$AE$1001,MATCH(ROWS($O$2:O575),$O$2:$O$1001,0),MATCH(COLUMNS($V$1006:AC1006),$V$1006:$AE$1006,0)), HYPERLINK("#",""), HYPERLINK(CONCATENATE("#Metadata!", ADDRESS(INDEX($Q$2:$Q$1001,MATCH(ROWS($O$2:O575),$O$2:$O$1001,0),0), INDEX($V$1004:$AE$1004,1,MATCH(COLUMNS($V$1006:AC1006),$V$1006:$AE$1006,0)))),"Fix")))</f>
        <v>0</v>
      </c>
      <c r="J575" s="3">
        <f>IF(OR(INDEX($P$2:$P$1001,MATCH(ROWS($O$2:O575),$O$2:$O$1001,0),1)&gt;=100000,INDEX($V$1005:$AE$1005,1,MATCH(COLUMNS($V$1006:AD1006),$V$1006:$AE$1006,0))&gt;=100000), " ",IF(INDEX($V$2:$AE$1001,MATCH(ROWS($O$2:O575),$O$2:$O$1001,0),MATCH(COLUMNS($V$1006:AD1006),$V$1006:$AE$1006,0)), HYPERLINK("#",""), HYPERLINK(CONCATENATE("#Metadata!", ADDRESS(INDEX($Q$2:$Q$1001,MATCH(ROWS($O$2:O575),$O$2:$O$1001,0),0), INDEX($V$1004:$AE$1004,1,MATCH(COLUMNS($V$1006:AD1006),$V$1006:$AE$1006,0)))),"Fix")))</f>
        <v>0</v>
      </c>
      <c r="K575" s="3">
        <f>IF(OR(INDEX($P$2:$P$1001,MATCH(ROWS($O$2:O575),$O$2:$O$1001,0),1)&gt;=100000,INDEX($V$1005:$AE$1005,1,MATCH(COLUMNS($V$1006:AE1006),$V$1006:$AE$1006,0))&gt;=100000), " ",IF(INDEX($V$2:$AE$1001,MATCH(ROWS($O$2:O575),$O$2:$O$1001,0),MATCH(COLUMNS($V$1006:AE1006),$V$1006:$AE$1006,0)), HYPERLINK("#",""), HYPERLINK(CONCATENATE("#Metadata!", ADDRESS(INDEX($Q$2:$Q$1001,MATCH(ROWS($O$2:O575),$O$2:$O$1001,0),0), INDEX($V$1004:$AE$1004,1,MATCH(COLUMNS($V$1006:AE1006),$V$1006:$AE$1006,0)))),"Fix")))</f>
        <v>0</v>
      </c>
      <c r="O575">
        <v>0</v>
      </c>
      <c r="P575">
        <v>0</v>
      </c>
      <c r="Q575">
        <v>0</v>
      </c>
      <c r="R575">
        <f>IF(S575,TRUE,AND(V575:AE575))</f>
        <v>0</v>
      </c>
      <c r="S575">
        <f>COUNTBLANK(Metadata!B575:K575)=COLUMNS(Metadata!B575:K575)</f>
        <v>0</v>
      </c>
      <c r="T575">
        <v>0</v>
      </c>
      <c r="V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W575">
        <f>AND(IF(Metadata!C575="",FALSE,TRUE),exact(Metadata!C575,"animal secretion"))</f>
        <v>0</v>
      </c>
      <c r="X575">
        <f>AND(IF(Metadata!D575="",FALSE,TRUE),exact(Metadata!D575,"saliva"))</f>
        <v>0</v>
      </c>
      <c r="Y575">
        <f>AND(IF(Metadata!E575="",FALSE,TRUE),exact(Metadata!E575,"human-oral"))</f>
        <v>0</v>
      </c>
      <c r="Z575">
        <f>AND(IF(Metadata!F575="",FALSE,TRUE),exact(Metadata!F575,"UBERON:oral cavity"))</f>
        <v>0</v>
      </c>
      <c r="AA575">
        <f>AND(IF(Metadata!G575="",FALSE,TRUE),exact(Metadata!G575,"UBERON:saliva"))</f>
        <v>0</v>
      </c>
      <c r="AB575">
        <f>AND(IF(Metadata!H575="",FALSE,TRUE),exact(Metadata!H575,"UBERON:tongue"))</f>
        <v>0</v>
      </c>
      <c r="AC575">
        <f>AND(IF(Metadata!I575="",FALSE,TRUE),exact(Metadata!I575,"tongue"))</f>
        <v>0</v>
      </c>
      <c r="AD575">
        <f>AND(IF(Metadata!J575="",FALSE,TRUE),exact(Metadata!J575,"human oral metagenome"))</f>
        <v>0</v>
      </c>
      <c r="AE575">
        <f>AND(IF(Metadata!K575="",FALSE,TRUE),exact(Metadata!K575,"447426"))</f>
        <v>0</v>
      </c>
    </row>
    <row r="576" spans="1:31">
      <c r="A576" s="4">
        <f>IF(B576=" "," ",HYPERLINK(CONCATENATE("#metadata!",ADDRESS(INDEX($Q$2:$Q$1001,MATCH(ROWS($O$2:O576),$O$2:$O$1001,0),0),1)),INDEX($T$2:$T$1001,MATCH(ROWS($O$2:O576),$O$2:$O$1001,0),0)))</f>
        <v>0</v>
      </c>
      <c r="B576" s="3">
        <f>IF(OR(INDEX($P$2:$P$1001,MATCH(ROWS($O$2:O576),$O$2:$O$1001,0),1)&gt;=100000,INDEX($V$1005:$AE$1005,1,MATCH(COLUMNS($V$1006:V1006),$V$1006:$AE$1006,0))&gt;=100000), " ",IF(INDEX($V$2:$AE$1001,MATCH(ROWS($O$2:O576),$O$2:$O$1001,0),MATCH(COLUMNS($V$1006:V1006),$V$1006:$AE$1006,0)), HYPERLINK("#",""), HYPERLINK(CONCATENATE("#Metadata!", ADDRESS(INDEX($Q$2:$Q$1001,MATCH(ROWS($O$2:O576),$O$2:$O$1001,0),0), INDEX($V$1004:$AE$1004,1,MATCH(COLUMNS($V$1006:V1006),$V$1006:$AE$1006,0)))),"Fix")))</f>
        <v>0</v>
      </c>
      <c r="C576" s="3">
        <f>IF(OR(INDEX($P$2:$P$1001,MATCH(ROWS($O$2:O576),$O$2:$O$1001,0),1)&gt;=100000,INDEX($V$1005:$AE$1005,1,MATCH(COLUMNS($V$1006:W1006),$V$1006:$AE$1006,0))&gt;=100000), " ",IF(INDEX($V$2:$AE$1001,MATCH(ROWS($O$2:O576),$O$2:$O$1001,0),MATCH(COLUMNS($V$1006:W1006),$V$1006:$AE$1006,0)), HYPERLINK("#",""), HYPERLINK(CONCATENATE("#Metadata!", ADDRESS(INDEX($Q$2:$Q$1001,MATCH(ROWS($O$2:O576),$O$2:$O$1001,0),0), INDEX($V$1004:$AE$1004,1,MATCH(COLUMNS($V$1006:W1006),$V$1006:$AE$1006,0)))),"Fix")))</f>
        <v>0</v>
      </c>
      <c r="D576" s="3">
        <f>IF(OR(INDEX($P$2:$P$1001,MATCH(ROWS($O$2:O576),$O$2:$O$1001,0),1)&gt;=100000,INDEX($V$1005:$AE$1005,1,MATCH(COLUMNS($V$1006:X1006),$V$1006:$AE$1006,0))&gt;=100000), " ",IF(INDEX($V$2:$AE$1001,MATCH(ROWS($O$2:O576),$O$2:$O$1001,0),MATCH(COLUMNS($V$1006:X1006),$V$1006:$AE$1006,0)), HYPERLINK("#",""), HYPERLINK(CONCATENATE("#Metadata!", ADDRESS(INDEX($Q$2:$Q$1001,MATCH(ROWS($O$2:O576),$O$2:$O$1001,0),0), INDEX($V$1004:$AE$1004,1,MATCH(COLUMNS($V$1006:X1006),$V$1006:$AE$1006,0)))),"Fix")))</f>
        <v>0</v>
      </c>
      <c r="E576" s="3">
        <f>IF(OR(INDEX($P$2:$P$1001,MATCH(ROWS($O$2:O576),$O$2:$O$1001,0),1)&gt;=100000,INDEX($V$1005:$AE$1005,1,MATCH(COLUMNS($V$1006:Y1006),$V$1006:$AE$1006,0))&gt;=100000), " ",IF(INDEX($V$2:$AE$1001,MATCH(ROWS($O$2:O576),$O$2:$O$1001,0),MATCH(COLUMNS($V$1006:Y1006),$V$1006:$AE$1006,0)), HYPERLINK("#",""), HYPERLINK(CONCATENATE("#Metadata!", ADDRESS(INDEX($Q$2:$Q$1001,MATCH(ROWS($O$2:O576),$O$2:$O$1001,0),0), INDEX($V$1004:$AE$1004,1,MATCH(COLUMNS($V$1006:Y1006),$V$1006:$AE$1006,0)))),"Fix")))</f>
        <v>0</v>
      </c>
      <c r="F576" s="3">
        <f>IF(OR(INDEX($P$2:$P$1001,MATCH(ROWS($O$2:O576),$O$2:$O$1001,0),1)&gt;=100000,INDEX($V$1005:$AE$1005,1,MATCH(COLUMNS($V$1006:Z1006),$V$1006:$AE$1006,0))&gt;=100000), " ",IF(INDEX($V$2:$AE$1001,MATCH(ROWS($O$2:O576),$O$2:$O$1001,0),MATCH(COLUMNS($V$1006:Z1006),$V$1006:$AE$1006,0)), HYPERLINK("#",""), HYPERLINK(CONCATENATE("#Metadata!", ADDRESS(INDEX($Q$2:$Q$1001,MATCH(ROWS($O$2:O576),$O$2:$O$1001,0),0), INDEX($V$1004:$AE$1004,1,MATCH(COLUMNS($V$1006:Z1006),$V$1006:$AE$1006,0)))),"Fix")))</f>
        <v>0</v>
      </c>
      <c r="G576" s="3">
        <f>IF(OR(INDEX($P$2:$P$1001,MATCH(ROWS($O$2:O576),$O$2:$O$1001,0),1)&gt;=100000,INDEX($V$1005:$AE$1005,1,MATCH(COLUMNS($V$1006:AA1006),$V$1006:$AE$1006,0))&gt;=100000), " ",IF(INDEX($V$2:$AE$1001,MATCH(ROWS($O$2:O576),$O$2:$O$1001,0),MATCH(COLUMNS($V$1006:AA1006),$V$1006:$AE$1006,0)), HYPERLINK("#",""), HYPERLINK(CONCATENATE("#Metadata!", ADDRESS(INDEX($Q$2:$Q$1001,MATCH(ROWS($O$2:O576),$O$2:$O$1001,0),0), INDEX($V$1004:$AE$1004,1,MATCH(COLUMNS($V$1006:AA1006),$V$1006:$AE$1006,0)))),"Fix")))</f>
        <v>0</v>
      </c>
      <c r="H576" s="3">
        <f>IF(OR(INDEX($P$2:$P$1001,MATCH(ROWS($O$2:O576),$O$2:$O$1001,0),1)&gt;=100000,INDEX($V$1005:$AE$1005,1,MATCH(COLUMNS($V$1006:AB1006),$V$1006:$AE$1006,0))&gt;=100000), " ",IF(INDEX($V$2:$AE$1001,MATCH(ROWS($O$2:O576),$O$2:$O$1001,0),MATCH(COLUMNS($V$1006:AB1006),$V$1006:$AE$1006,0)), HYPERLINK("#",""), HYPERLINK(CONCATENATE("#Metadata!", ADDRESS(INDEX($Q$2:$Q$1001,MATCH(ROWS($O$2:O576),$O$2:$O$1001,0),0), INDEX($V$1004:$AE$1004,1,MATCH(COLUMNS($V$1006:AB1006),$V$1006:$AE$1006,0)))),"Fix")))</f>
        <v>0</v>
      </c>
      <c r="I576" s="3">
        <f>IF(OR(INDEX($P$2:$P$1001,MATCH(ROWS($O$2:O576),$O$2:$O$1001,0),1)&gt;=100000,INDEX($V$1005:$AE$1005,1,MATCH(COLUMNS($V$1006:AC1006),$V$1006:$AE$1006,0))&gt;=100000), " ",IF(INDEX($V$2:$AE$1001,MATCH(ROWS($O$2:O576),$O$2:$O$1001,0),MATCH(COLUMNS($V$1006:AC1006),$V$1006:$AE$1006,0)), HYPERLINK("#",""), HYPERLINK(CONCATENATE("#Metadata!", ADDRESS(INDEX($Q$2:$Q$1001,MATCH(ROWS($O$2:O576),$O$2:$O$1001,0),0), INDEX($V$1004:$AE$1004,1,MATCH(COLUMNS($V$1006:AC1006),$V$1006:$AE$1006,0)))),"Fix")))</f>
        <v>0</v>
      </c>
      <c r="J576" s="3">
        <f>IF(OR(INDEX($P$2:$P$1001,MATCH(ROWS($O$2:O576),$O$2:$O$1001,0),1)&gt;=100000,INDEX($V$1005:$AE$1005,1,MATCH(COLUMNS($V$1006:AD1006),$V$1006:$AE$1006,0))&gt;=100000), " ",IF(INDEX($V$2:$AE$1001,MATCH(ROWS($O$2:O576),$O$2:$O$1001,0),MATCH(COLUMNS($V$1006:AD1006),$V$1006:$AE$1006,0)), HYPERLINK("#",""), HYPERLINK(CONCATENATE("#Metadata!", ADDRESS(INDEX($Q$2:$Q$1001,MATCH(ROWS($O$2:O576),$O$2:$O$1001,0),0), INDEX($V$1004:$AE$1004,1,MATCH(COLUMNS($V$1006:AD1006),$V$1006:$AE$1006,0)))),"Fix")))</f>
        <v>0</v>
      </c>
      <c r="K576" s="3">
        <f>IF(OR(INDEX($P$2:$P$1001,MATCH(ROWS($O$2:O576),$O$2:$O$1001,0),1)&gt;=100000,INDEX($V$1005:$AE$1005,1,MATCH(COLUMNS($V$1006:AE1006),$V$1006:$AE$1006,0))&gt;=100000), " ",IF(INDEX($V$2:$AE$1001,MATCH(ROWS($O$2:O576),$O$2:$O$1001,0),MATCH(COLUMNS($V$1006:AE1006),$V$1006:$AE$1006,0)), HYPERLINK("#",""), HYPERLINK(CONCATENATE("#Metadata!", ADDRESS(INDEX($Q$2:$Q$1001,MATCH(ROWS($O$2:O576),$O$2:$O$1001,0),0), INDEX($V$1004:$AE$1004,1,MATCH(COLUMNS($V$1006:AE1006),$V$1006:$AE$1006,0)))),"Fix")))</f>
        <v>0</v>
      </c>
      <c r="O576">
        <v>0</v>
      </c>
      <c r="P576">
        <v>0</v>
      </c>
      <c r="Q576">
        <v>0</v>
      </c>
      <c r="R576">
        <f>IF(S576,TRUE,AND(V576:AE576))</f>
        <v>0</v>
      </c>
      <c r="S576">
        <f>COUNTBLANK(Metadata!B576:K576)=COLUMNS(Metadata!B576:K576)</f>
        <v>0</v>
      </c>
      <c r="T576">
        <v>0</v>
      </c>
      <c r="V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W576">
        <f>AND(IF(Metadata!C576="",FALSE,TRUE),exact(Metadata!C576,"animal secretion"))</f>
        <v>0</v>
      </c>
      <c r="X576">
        <f>AND(IF(Metadata!D576="",FALSE,TRUE),exact(Metadata!D576,"saliva"))</f>
        <v>0</v>
      </c>
      <c r="Y576">
        <f>AND(IF(Metadata!E576="",FALSE,TRUE),exact(Metadata!E576,"human-oral"))</f>
        <v>0</v>
      </c>
      <c r="Z576">
        <f>AND(IF(Metadata!F576="",FALSE,TRUE),exact(Metadata!F576,"UBERON:oral cavity"))</f>
        <v>0</v>
      </c>
      <c r="AA576">
        <f>AND(IF(Metadata!G576="",FALSE,TRUE),exact(Metadata!G576,"UBERON:saliva"))</f>
        <v>0</v>
      </c>
      <c r="AB576">
        <f>AND(IF(Metadata!H576="",FALSE,TRUE),exact(Metadata!H576,"UBERON:tongue"))</f>
        <v>0</v>
      </c>
      <c r="AC576">
        <f>AND(IF(Metadata!I576="",FALSE,TRUE),exact(Metadata!I576,"tongue"))</f>
        <v>0</v>
      </c>
      <c r="AD576">
        <f>AND(IF(Metadata!J576="",FALSE,TRUE),exact(Metadata!J576,"human oral metagenome"))</f>
        <v>0</v>
      </c>
      <c r="AE576">
        <f>AND(IF(Metadata!K576="",FALSE,TRUE),exact(Metadata!K576,"447426"))</f>
        <v>0</v>
      </c>
    </row>
    <row r="577" spans="1:31">
      <c r="A577" s="4">
        <f>IF(B577=" "," ",HYPERLINK(CONCATENATE("#metadata!",ADDRESS(INDEX($Q$2:$Q$1001,MATCH(ROWS($O$2:O577),$O$2:$O$1001,0),0),1)),INDEX($T$2:$T$1001,MATCH(ROWS($O$2:O577),$O$2:$O$1001,0),0)))</f>
        <v>0</v>
      </c>
      <c r="B577" s="3">
        <f>IF(OR(INDEX($P$2:$P$1001,MATCH(ROWS($O$2:O577),$O$2:$O$1001,0),1)&gt;=100000,INDEX($V$1005:$AE$1005,1,MATCH(COLUMNS($V$1006:V1006),$V$1006:$AE$1006,0))&gt;=100000), " ",IF(INDEX($V$2:$AE$1001,MATCH(ROWS($O$2:O577),$O$2:$O$1001,0),MATCH(COLUMNS($V$1006:V1006),$V$1006:$AE$1006,0)), HYPERLINK("#",""), HYPERLINK(CONCATENATE("#Metadata!", ADDRESS(INDEX($Q$2:$Q$1001,MATCH(ROWS($O$2:O577),$O$2:$O$1001,0),0), INDEX($V$1004:$AE$1004,1,MATCH(COLUMNS($V$1006:V1006),$V$1006:$AE$1006,0)))),"Fix")))</f>
        <v>0</v>
      </c>
      <c r="C577" s="3">
        <f>IF(OR(INDEX($P$2:$P$1001,MATCH(ROWS($O$2:O577),$O$2:$O$1001,0),1)&gt;=100000,INDEX($V$1005:$AE$1005,1,MATCH(COLUMNS($V$1006:W1006),$V$1006:$AE$1006,0))&gt;=100000), " ",IF(INDEX($V$2:$AE$1001,MATCH(ROWS($O$2:O577),$O$2:$O$1001,0),MATCH(COLUMNS($V$1006:W1006),$V$1006:$AE$1006,0)), HYPERLINK("#",""), HYPERLINK(CONCATENATE("#Metadata!", ADDRESS(INDEX($Q$2:$Q$1001,MATCH(ROWS($O$2:O577),$O$2:$O$1001,0),0), INDEX($V$1004:$AE$1004,1,MATCH(COLUMNS($V$1006:W1006),$V$1006:$AE$1006,0)))),"Fix")))</f>
        <v>0</v>
      </c>
      <c r="D577" s="3">
        <f>IF(OR(INDEX($P$2:$P$1001,MATCH(ROWS($O$2:O577),$O$2:$O$1001,0),1)&gt;=100000,INDEX($V$1005:$AE$1005,1,MATCH(COLUMNS($V$1006:X1006),$V$1006:$AE$1006,0))&gt;=100000), " ",IF(INDEX($V$2:$AE$1001,MATCH(ROWS($O$2:O577),$O$2:$O$1001,0),MATCH(COLUMNS($V$1006:X1006),$V$1006:$AE$1006,0)), HYPERLINK("#",""), HYPERLINK(CONCATENATE("#Metadata!", ADDRESS(INDEX($Q$2:$Q$1001,MATCH(ROWS($O$2:O577),$O$2:$O$1001,0),0), INDEX($V$1004:$AE$1004,1,MATCH(COLUMNS($V$1006:X1006),$V$1006:$AE$1006,0)))),"Fix")))</f>
        <v>0</v>
      </c>
      <c r="E577" s="3">
        <f>IF(OR(INDEX($P$2:$P$1001,MATCH(ROWS($O$2:O577),$O$2:$O$1001,0),1)&gt;=100000,INDEX($V$1005:$AE$1005,1,MATCH(COLUMNS($V$1006:Y1006),$V$1006:$AE$1006,0))&gt;=100000), " ",IF(INDEX($V$2:$AE$1001,MATCH(ROWS($O$2:O577),$O$2:$O$1001,0),MATCH(COLUMNS($V$1006:Y1006),$V$1006:$AE$1006,0)), HYPERLINK("#",""), HYPERLINK(CONCATENATE("#Metadata!", ADDRESS(INDEX($Q$2:$Q$1001,MATCH(ROWS($O$2:O577),$O$2:$O$1001,0),0), INDEX($V$1004:$AE$1004,1,MATCH(COLUMNS($V$1006:Y1006),$V$1006:$AE$1006,0)))),"Fix")))</f>
        <v>0</v>
      </c>
      <c r="F577" s="3">
        <f>IF(OR(INDEX($P$2:$P$1001,MATCH(ROWS($O$2:O577),$O$2:$O$1001,0),1)&gt;=100000,INDEX($V$1005:$AE$1005,1,MATCH(COLUMNS($V$1006:Z1006),$V$1006:$AE$1006,0))&gt;=100000), " ",IF(INDEX($V$2:$AE$1001,MATCH(ROWS($O$2:O577),$O$2:$O$1001,0),MATCH(COLUMNS($V$1006:Z1006),$V$1006:$AE$1006,0)), HYPERLINK("#",""), HYPERLINK(CONCATENATE("#Metadata!", ADDRESS(INDEX($Q$2:$Q$1001,MATCH(ROWS($O$2:O577),$O$2:$O$1001,0),0), INDEX($V$1004:$AE$1004,1,MATCH(COLUMNS($V$1006:Z1006),$V$1006:$AE$1006,0)))),"Fix")))</f>
        <v>0</v>
      </c>
      <c r="G577" s="3">
        <f>IF(OR(INDEX($P$2:$P$1001,MATCH(ROWS($O$2:O577),$O$2:$O$1001,0),1)&gt;=100000,INDEX($V$1005:$AE$1005,1,MATCH(COLUMNS($V$1006:AA1006),$V$1006:$AE$1006,0))&gt;=100000), " ",IF(INDEX($V$2:$AE$1001,MATCH(ROWS($O$2:O577),$O$2:$O$1001,0),MATCH(COLUMNS($V$1006:AA1006),$V$1006:$AE$1006,0)), HYPERLINK("#",""), HYPERLINK(CONCATENATE("#Metadata!", ADDRESS(INDEX($Q$2:$Q$1001,MATCH(ROWS($O$2:O577),$O$2:$O$1001,0),0), INDEX($V$1004:$AE$1004,1,MATCH(COLUMNS($V$1006:AA1006),$V$1006:$AE$1006,0)))),"Fix")))</f>
        <v>0</v>
      </c>
      <c r="H577" s="3">
        <f>IF(OR(INDEX($P$2:$P$1001,MATCH(ROWS($O$2:O577),$O$2:$O$1001,0),1)&gt;=100000,INDEX($V$1005:$AE$1005,1,MATCH(COLUMNS($V$1006:AB1006),$V$1006:$AE$1006,0))&gt;=100000), " ",IF(INDEX($V$2:$AE$1001,MATCH(ROWS($O$2:O577),$O$2:$O$1001,0),MATCH(COLUMNS($V$1006:AB1006),$V$1006:$AE$1006,0)), HYPERLINK("#",""), HYPERLINK(CONCATENATE("#Metadata!", ADDRESS(INDEX($Q$2:$Q$1001,MATCH(ROWS($O$2:O577),$O$2:$O$1001,0),0), INDEX($V$1004:$AE$1004,1,MATCH(COLUMNS($V$1006:AB1006),$V$1006:$AE$1006,0)))),"Fix")))</f>
        <v>0</v>
      </c>
      <c r="I577" s="3">
        <f>IF(OR(INDEX($P$2:$P$1001,MATCH(ROWS($O$2:O577),$O$2:$O$1001,0),1)&gt;=100000,INDEX($V$1005:$AE$1005,1,MATCH(COLUMNS($V$1006:AC1006),$V$1006:$AE$1006,0))&gt;=100000), " ",IF(INDEX($V$2:$AE$1001,MATCH(ROWS($O$2:O577),$O$2:$O$1001,0),MATCH(COLUMNS($V$1006:AC1006),$V$1006:$AE$1006,0)), HYPERLINK("#",""), HYPERLINK(CONCATENATE("#Metadata!", ADDRESS(INDEX($Q$2:$Q$1001,MATCH(ROWS($O$2:O577),$O$2:$O$1001,0),0), INDEX($V$1004:$AE$1004,1,MATCH(COLUMNS($V$1006:AC1006),$V$1006:$AE$1006,0)))),"Fix")))</f>
        <v>0</v>
      </c>
      <c r="J577" s="3">
        <f>IF(OR(INDEX($P$2:$P$1001,MATCH(ROWS($O$2:O577),$O$2:$O$1001,0),1)&gt;=100000,INDEX($V$1005:$AE$1005,1,MATCH(COLUMNS($V$1006:AD1006),$V$1006:$AE$1006,0))&gt;=100000), " ",IF(INDEX($V$2:$AE$1001,MATCH(ROWS($O$2:O577),$O$2:$O$1001,0),MATCH(COLUMNS($V$1006:AD1006),$V$1006:$AE$1006,0)), HYPERLINK("#",""), HYPERLINK(CONCATENATE("#Metadata!", ADDRESS(INDEX($Q$2:$Q$1001,MATCH(ROWS($O$2:O577),$O$2:$O$1001,0),0), INDEX($V$1004:$AE$1004,1,MATCH(COLUMNS($V$1006:AD1006),$V$1006:$AE$1006,0)))),"Fix")))</f>
        <v>0</v>
      </c>
      <c r="K577" s="3">
        <f>IF(OR(INDEX($P$2:$P$1001,MATCH(ROWS($O$2:O577),$O$2:$O$1001,0),1)&gt;=100000,INDEX($V$1005:$AE$1005,1,MATCH(COLUMNS($V$1006:AE1006),$V$1006:$AE$1006,0))&gt;=100000), " ",IF(INDEX($V$2:$AE$1001,MATCH(ROWS($O$2:O577),$O$2:$O$1001,0),MATCH(COLUMNS($V$1006:AE1006),$V$1006:$AE$1006,0)), HYPERLINK("#",""), HYPERLINK(CONCATENATE("#Metadata!", ADDRESS(INDEX($Q$2:$Q$1001,MATCH(ROWS($O$2:O577),$O$2:$O$1001,0),0), INDEX($V$1004:$AE$1004,1,MATCH(COLUMNS($V$1006:AE1006),$V$1006:$AE$1006,0)))),"Fix")))</f>
        <v>0</v>
      </c>
      <c r="O577">
        <v>0</v>
      </c>
      <c r="P577">
        <v>0</v>
      </c>
      <c r="Q577">
        <v>0</v>
      </c>
      <c r="R577">
        <f>IF(S577,TRUE,AND(V577:AE577))</f>
        <v>0</v>
      </c>
      <c r="S577">
        <f>COUNTBLANK(Metadata!B577:K577)=COLUMNS(Metadata!B577:K577)</f>
        <v>0</v>
      </c>
      <c r="T577">
        <v>0</v>
      </c>
      <c r="V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W577">
        <f>AND(IF(Metadata!C577="",FALSE,TRUE),exact(Metadata!C577,"animal secretion"))</f>
        <v>0</v>
      </c>
      <c r="X577">
        <f>AND(IF(Metadata!D577="",FALSE,TRUE),exact(Metadata!D577,"saliva"))</f>
        <v>0</v>
      </c>
      <c r="Y577">
        <f>AND(IF(Metadata!E577="",FALSE,TRUE),exact(Metadata!E577,"human-oral"))</f>
        <v>0</v>
      </c>
      <c r="Z577">
        <f>AND(IF(Metadata!F577="",FALSE,TRUE),exact(Metadata!F577,"UBERON:oral cavity"))</f>
        <v>0</v>
      </c>
      <c r="AA577">
        <f>AND(IF(Metadata!G577="",FALSE,TRUE),exact(Metadata!G577,"UBERON:saliva"))</f>
        <v>0</v>
      </c>
      <c r="AB577">
        <f>AND(IF(Metadata!H577="",FALSE,TRUE),exact(Metadata!H577,"UBERON:tongue"))</f>
        <v>0</v>
      </c>
      <c r="AC577">
        <f>AND(IF(Metadata!I577="",FALSE,TRUE),exact(Metadata!I577,"tongue"))</f>
        <v>0</v>
      </c>
      <c r="AD577">
        <f>AND(IF(Metadata!J577="",FALSE,TRUE),exact(Metadata!J577,"human oral metagenome"))</f>
        <v>0</v>
      </c>
      <c r="AE577">
        <f>AND(IF(Metadata!K577="",FALSE,TRUE),exact(Metadata!K577,"447426"))</f>
        <v>0</v>
      </c>
    </row>
    <row r="578" spans="1:31">
      <c r="A578" s="4">
        <f>IF(B578=" "," ",HYPERLINK(CONCATENATE("#metadata!",ADDRESS(INDEX($Q$2:$Q$1001,MATCH(ROWS($O$2:O578),$O$2:$O$1001,0),0),1)),INDEX($T$2:$T$1001,MATCH(ROWS($O$2:O578),$O$2:$O$1001,0),0)))</f>
        <v>0</v>
      </c>
      <c r="B578" s="3">
        <f>IF(OR(INDEX($P$2:$P$1001,MATCH(ROWS($O$2:O578),$O$2:$O$1001,0),1)&gt;=100000,INDEX($V$1005:$AE$1005,1,MATCH(COLUMNS($V$1006:V1006),$V$1006:$AE$1006,0))&gt;=100000), " ",IF(INDEX($V$2:$AE$1001,MATCH(ROWS($O$2:O578),$O$2:$O$1001,0),MATCH(COLUMNS($V$1006:V1006),$V$1006:$AE$1006,0)), HYPERLINK("#",""), HYPERLINK(CONCATENATE("#Metadata!", ADDRESS(INDEX($Q$2:$Q$1001,MATCH(ROWS($O$2:O578),$O$2:$O$1001,0),0), INDEX($V$1004:$AE$1004,1,MATCH(COLUMNS($V$1006:V1006),$V$1006:$AE$1006,0)))),"Fix")))</f>
        <v>0</v>
      </c>
      <c r="C578" s="3">
        <f>IF(OR(INDEX($P$2:$P$1001,MATCH(ROWS($O$2:O578),$O$2:$O$1001,0),1)&gt;=100000,INDEX($V$1005:$AE$1005,1,MATCH(COLUMNS($V$1006:W1006),$V$1006:$AE$1006,0))&gt;=100000), " ",IF(INDEX($V$2:$AE$1001,MATCH(ROWS($O$2:O578),$O$2:$O$1001,0),MATCH(COLUMNS($V$1006:W1006),$V$1006:$AE$1006,0)), HYPERLINK("#",""), HYPERLINK(CONCATENATE("#Metadata!", ADDRESS(INDEX($Q$2:$Q$1001,MATCH(ROWS($O$2:O578),$O$2:$O$1001,0),0), INDEX($V$1004:$AE$1004,1,MATCH(COLUMNS($V$1006:W1006),$V$1006:$AE$1006,0)))),"Fix")))</f>
        <v>0</v>
      </c>
      <c r="D578" s="3">
        <f>IF(OR(INDEX($P$2:$P$1001,MATCH(ROWS($O$2:O578),$O$2:$O$1001,0),1)&gt;=100000,INDEX($V$1005:$AE$1005,1,MATCH(COLUMNS($V$1006:X1006),$V$1006:$AE$1006,0))&gt;=100000), " ",IF(INDEX($V$2:$AE$1001,MATCH(ROWS($O$2:O578),$O$2:$O$1001,0),MATCH(COLUMNS($V$1006:X1006),$V$1006:$AE$1006,0)), HYPERLINK("#",""), HYPERLINK(CONCATENATE("#Metadata!", ADDRESS(INDEX($Q$2:$Q$1001,MATCH(ROWS($O$2:O578),$O$2:$O$1001,0),0), INDEX($V$1004:$AE$1004,1,MATCH(COLUMNS($V$1006:X1006),$V$1006:$AE$1006,0)))),"Fix")))</f>
        <v>0</v>
      </c>
      <c r="E578" s="3">
        <f>IF(OR(INDEX($P$2:$P$1001,MATCH(ROWS($O$2:O578),$O$2:$O$1001,0),1)&gt;=100000,INDEX($V$1005:$AE$1005,1,MATCH(COLUMNS($V$1006:Y1006),$V$1006:$AE$1006,0))&gt;=100000), " ",IF(INDEX($V$2:$AE$1001,MATCH(ROWS($O$2:O578),$O$2:$O$1001,0),MATCH(COLUMNS($V$1006:Y1006),$V$1006:$AE$1006,0)), HYPERLINK("#",""), HYPERLINK(CONCATENATE("#Metadata!", ADDRESS(INDEX($Q$2:$Q$1001,MATCH(ROWS($O$2:O578),$O$2:$O$1001,0),0), INDEX($V$1004:$AE$1004,1,MATCH(COLUMNS($V$1006:Y1006),$V$1006:$AE$1006,0)))),"Fix")))</f>
        <v>0</v>
      </c>
      <c r="F578" s="3">
        <f>IF(OR(INDEX($P$2:$P$1001,MATCH(ROWS($O$2:O578),$O$2:$O$1001,0),1)&gt;=100000,INDEX($V$1005:$AE$1005,1,MATCH(COLUMNS($V$1006:Z1006),$V$1006:$AE$1006,0))&gt;=100000), " ",IF(INDEX($V$2:$AE$1001,MATCH(ROWS($O$2:O578),$O$2:$O$1001,0),MATCH(COLUMNS($V$1006:Z1006),$V$1006:$AE$1006,0)), HYPERLINK("#",""), HYPERLINK(CONCATENATE("#Metadata!", ADDRESS(INDEX($Q$2:$Q$1001,MATCH(ROWS($O$2:O578),$O$2:$O$1001,0),0), INDEX($V$1004:$AE$1004,1,MATCH(COLUMNS($V$1006:Z1006),$V$1006:$AE$1006,0)))),"Fix")))</f>
        <v>0</v>
      </c>
      <c r="G578" s="3">
        <f>IF(OR(INDEX($P$2:$P$1001,MATCH(ROWS($O$2:O578),$O$2:$O$1001,0),1)&gt;=100000,INDEX($V$1005:$AE$1005,1,MATCH(COLUMNS($V$1006:AA1006),$V$1006:$AE$1006,0))&gt;=100000), " ",IF(INDEX($V$2:$AE$1001,MATCH(ROWS($O$2:O578),$O$2:$O$1001,0),MATCH(COLUMNS($V$1006:AA1006),$V$1006:$AE$1006,0)), HYPERLINK("#",""), HYPERLINK(CONCATENATE("#Metadata!", ADDRESS(INDEX($Q$2:$Q$1001,MATCH(ROWS($O$2:O578),$O$2:$O$1001,0),0), INDEX($V$1004:$AE$1004,1,MATCH(COLUMNS($V$1006:AA1006),$V$1006:$AE$1006,0)))),"Fix")))</f>
        <v>0</v>
      </c>
      <c r="H578" s="3">
        <f>IF(OR(INDEX($P$2:$P$1001,MATCH(ROWS($O$2:O578),$O$2:$O$1001,0),1)&gt;=100000,INDEX($V$1005:$AE$1005,1,MATCH(COLUMNS($V$1006:AB1006),$V$1006:$AE$1006,0))&gt;=100000), " ",IF(INDEX($V$2:$AE$1001,MATCH(ROWS($O$2:O578),$O$2:$O$1001,0),MATCH(COLUMNS($V$1006:AB1006),$V$1006:$AE$1006,0)), HYPERLINK("#",""), HYPERLINK(CONCATENATE("#Metadata!", ADDRESS(INDEX($Q$2:$Q$1001,MATCH(ROWS($O$2:O578),$O$2:$O$1001,0),0), INDEX($V$1004:$AE$1004,1,MATCH(COLUMNS($V$1006:AB1006),$V$1006:$AE$1006,0)))),"Fix")))</f>
        <v>0</v>
      </c>
      <c r="I578" s="3">
        <f>IF(OR(INDEX($P$2:$P$1001,MATCH(ROWS($O$2:O578),$O$2:$O$1001,0),1)&gt;=100000,INDEX($V$1005:$AE$1005,1,MATCH(COLUMNS($V$1006:AC1006),$V$1006:$AE$1006,0))&gt;=100000), " ",IF(INDEX($V$2:$AE$1001,MATCH(ROWS($O$2:O578),$O$2:$O$1001,0),MATCH(COLUMNS($V$1006:AC1006),$V$1006:$AE$1006,0)), HYPERLINK("#",""), HYPERLINK(CONCATENATE("#Metadata!", ADDRESS(INDEX($Q$2:$Q$1001,MATCH(ROWS($O$2:O578),$O$2:$O$1001,0),0), INDEX($V$1004:$AE$1004,1,MATCH(COLUMNS($V$1006:AC1006),$V$1006:$AE$1006,0)))),"Fix")))</f>
        <v>0</v>
      </c>
      <c r="J578" s="3">
        <f>IF(OR(INDEX($P$2:$P$1001,MATCH(ROWS($O$2:O578),$O$2:$O$1001,0),1)&gt;=100000,INDEX($V$1005:$AE$1005,1,MATCH(COLUMNS($V$1006:AD1006),$V$1006:$AE$1006,0))&gt;=100000), " ",IF(INDEX($V$2:$AE$1001,MATCH(ROWS($O$2:O578),$O$2:$O$1001,0),MATCH(COLUMNS($V$1006:AD1006),$V$1006:$AE$1006,0)), HYPERLINK("#",""), HYPERLINK(CONCATENATE("#Metadata!", ADDRESS(INDEX($Q$2:$Q$1001,MATCH(ROWS($O$2:O578),$O$2:$O$1001,0),0), INDEX($V$1004:$AE$1004,1,MATCH(COLUMNS($V$1006:AD1006),$V$1006:$AE$1006,0)))),"Fix")))</f>
        <v>0</v>
      </c>
      <c r="K578" s="3">
        <f>IF(OR(INDEX($P$2:$P$1001,MATCH(ROWS($O$2:O578),$O$2:$O$1001,0),1)&gt;=100000,INDEX($V$1005:$AE$1005,1,MATCH(COLUMNS($V$1006:AE1006),$V$1006:$AE$1006,0))&gt;=100000), " ",IF(INDEX($V$2:$AE$1001,MATCH(ROWS($O$2:O578),$O$2:$O$1001,0),MATCH(COLUMNS($V$1006:AE1006),$V$1006:$AE$1006,0)), HYPERLINK("#",""), HYPERLINK(CONCATENATE("#Metadata!", ADDRESS(INDEX($Q$2:$Q$1001,MATCH(ROWS($O$2:O578),$O$2:$O$1001,0),0), INDEX($V$1004:$AE$1004,1,MATCH(COLUMNS($V$1006:AE1006),$V$1006:$AE$1006,0)))),"Fix")))</f>
        <v>0</v>
      </c>
      <c r="O578">
        <v>0</v>
      </c>
      <c r="P578">
        <v>0</v>
      </c>
      <c r="Q578">
        <v>0</v>
      </c>
      <c r="R578">
        <f>IF(S578,TRUE,AND(V578:AE578))</f>
        <v>0</v>
      </c>
      <c r="S578">
        <f>COUNTBLANK(Metadata!B578:K578)=COLUMNS(Metadata!B578:K578)</f>
        <v>0</v>
      </c>
      <c r="T578">
        <v>0</v>
      </c>
      <c r="V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W578">
        <f>AND(IF(Metadata!C578="",FALSE,TRUE),exact(Metadata!C578,"animal secretion"))</f>
        <v>0</v>
      </c>
      <c r="X578">
        <f>AND(IF(Metadata!D578="",FALSE,TRUE),exact(Metadata!D578,"saliva"))</f>
        <v>0</v>
      </c>
      <c r="Y578">
        <f>AND(IF(Metadata!E578="",FALSE,TRUE),exact(Metadata!E578,"human-oral"))</f>
        <v>0</v>
      </c>
      <c r="Z578">
        <f>AND(IF(Metadata!F578="",FALSE,TRUE),exact(Metadata!F578,"UBERON:oral cavity"))</f>
        <v>0</v>
      </c>
      <c r="AA578">
        <f>AND(IF(Metadata!G578="",FALSE,TRUE),exact(Metadata!G578,"UBERON:saliva"))</f>
        <v>0</v>
      </c>
      <c r="AB578">
        <f>AND(IF(Metadata!H578="",FALSE,TRUE),exact(Metadata!H578,"UBERON:tongue"))</f>
        <v>0</v>
      </c>
      <c r="AC578">
        <f>AND(IF(Metadata!I578="",FALSE,TRUE),exact(Metadata!I578,"tongue"))</f>
        <v>0</v>
      </c>
      <c r="AD578">
        <f>AND(IF(Metadata!J578="",FALSE,TRUE),exact(Metadata!J578,"human oral metagenome"))</f>
        <v>0</v>
      </c>
      <c r="AE578">
        <f>AND(IF(Metadata!K578="",FALSE,TRUE),exact(Metadata!K578,"447426"))</f>
        <v>0</v>
      </c>
    </row>
    <row r="579" spans="1:31">
      <c r="A579" s="4">
        <f>IF(B579=" "," ",HYPERLINK(CONCATENATE("#metadata!",ADDRESS(INDEX($Q$2:$Q$1001,MATCH(ROWS($O$2:O579),$O$2:$O$1001,0),0),1)),INDEX($T$2:$T$1001,MATCH(ROWS($O$2:O579),$O$2:$O$1001,0),0)))</f>
        <v>0</v>
      </c>
      <c r="B579" s="3">
        <f>IF(OR(INDEX($P$2:$P$1001,MATCH(ROWS($O$2:O579),$O$2:$O$1001,0),1)&gt;=100000,INDEX($V$1005:$AE$1005,1,MATCH(COLUMNS($V$1006:V1006),$V$1006:$AE$1006,0))&gt;=100000), " ",IF(INDEX($V$2:$AE$1001,MATCH(ROWS($O$2:O579),$O$2:$O$1001,0),MATCH(COLUMNS($V$1006:V1006),$V$1006:$AE$1006,0)), HYPERLINK("#",""), HYPERLINK(CONCATENATE("#Metadata!", ADDRESS(INDEX($Q$2:$Q$1001,MATCH(ROWS($O$2:O579),$O$2:$O$1001,0),0), INDEX($V$1004:$AE$1004,1,MATCH(COLUMNS($V$1006:V1006),$V$1006:$AE$1006,0)))),"Fix")))</f>
        <v>0</v>
      </c>
      <c r="C579" s="3">
        <f>IF(OR(INDEX($P$2:$P$1001,MATCH(ROWS($O$2:O579),$O$2:$O$1001,0),1)&gt;=100000,INDEX($V$1005:$AE$1005,1,MATCH(COLUMNS($V$1006:W1006),$V$1006:$AE$1006,0))&gt;=100000), " ",IF(INDEX($V$2:$AE$1001,MATCH(ROWS($O$2:O579),$O$2:$O$1001,0),MATCH(COLUMNS($V$1006:W1006),$V$1006:$AE$1006,0)), HYPERLINK("#",""), HYPERLINK(CONCATENATE("#Metadata!", ADDRESS(INDEX($Q$2:$Q$1001,MATCH(ROWS($O$2:O579),$O$2:$O$1001,0),0), INDEX($V$1004:$AE$1004,1,MATCH(COLUMNS($V$1006:W1006),$V$1006:$AE$1006,0)))),"Fix")))</f>
        <v>0</v>
      </c>
      <c r="D579" s="3">
        <f>IF(OR(INDEX($P$2:$P$1001,MATCH(ROWS($O$2:O579),$O$2:$O$1001,0),1)&gt;=100000,INDEX($V$1005:$AE$1005,1,MATCH(COLUMNS($V$1006:X1006),$V$1006:$AE$1006,0))&gt;=100000), " ",IF(INDEX($V$2:$AE$1001,MATCH(ROWS($O$2:O579),$O$2:$O$1001,0),MATCH(COLUMNS($V$1006:X1006),$V$1006:$AE$1006,0)), HYPERLINK("#",""), HYPERLINK(CONCATENATE("#Metadata!", ADDRESS(INDEX($Q$2:$Q$1001,MATCH(ROWS($O$2:O579),$O$2:$O$1001,0),0), INDEX($V$1004:$AE$1004,1,MATCH(COLUMNS($V$1006:X1006),$V$1006:$AE$1006,0)))),"Fix")))</f>
        <v>0</v>
      </c>
      <c r="E579" s="3">
        <f>IF(OR(INDEX($P$2:$P$1001,MATCH(ROWS($O$2:O579),$O$2:$O$1001,0),1)&gt;=100000,INDEX($V$1005:$AE$1005,1,MATCH(COLUMNS($V$1006:Y1006),$V$1006:$AE$1006,0))&gt;=100000), " ",IF(INDEX($V$2:$AE$1001,MATCH(ROWS($O$2:O579),$O$2:$O$1001,0),MATCH(COLUMNS($V$1006:Y1006),$V$1006:$AE$1006,0)), HYPERLINK("#",""), HYPERLINK(CONCATENATE("#Metadata!", ADDRESS(INDEX($Q$2:$Q$1001,MATCH(ROWS($O$2:O579),$O$2:$O$1001,0),0), INDEX($V$1004:$AE$1004,1,MATCH(COLUMNS($V$1006:Y1006),$V$1006:$AE$1006,0)))),"Fix")))</f>
        <v>0</v>
      </c>
      <c r="F579" s="3">
        <f>IF(OR(INDEX($P$2:$P$1001,MATCH(ROWS($O$2:O579),$O$2:$O$1001,0),1)&gt;=100000,INDEX($V$1005:$AE$1005,1,MATCH(COLUMNS($V$1006:Z1006),$V$1006:$AE$1006,0))&gt;=100000), " ",IF(INDEX($V$2:$AE$1001,MATCH(ROWS($O$2:O579),$O$2:$O$1001,0),MATCH(COLUMNS($V$1006:Z1006),$V$1006:$AE$1006,0)), HYPERLINK("#",""), HYPERLINK(CONCATENATE("#Metadata!", ADDRESS(INDEX($Q$2:$Q$1001,MATCH(ROWS($O$2:O579),$O$2:$O$1001,0),0), INDEX($V$1004:$AE$1004,1,MATCH(COLUMNS($V$1006:Z1006),$V$1006:$AE$1006,0)))),"Fix")))</f>
        <v>0</v>
      </c>
      <c r="G579" s="3">
        <f>IF(OR(INDEX($P$2:$P$1001,MATCH(ROWS($O$2:O579),$O$2:$O$1001,0),1)&gt;=100000,INDEX($V$1005:$AE$1005,1,MATCH(COLUMNS($V$1006:AA1006),$V$1006:$AE$1006,0))&gt;=100000), " ",IF(INDEX($V$2:$AE$1001,MATCH(ROWS($O$2:O579),$O$2:$O$1001,0),MATCH(COLUMNS($V$1006:AA1006),$V$1006:$AE$1006,0)), HYPERLINK("#",""), HYPERLINK(CONCATENATE("#Metadata!", ADDRESS(INDEX($Q$2:$Q$1001,MATCH(ROWS($O$2:O579),$O$2:$O$1001,0),0), INDEX($V$1004:$AE$1004,1,MATCH(COLUMNS($V$1006:AA1006),$V$1006:$AE$1006,0)))),"Fix")))</f>
        <v>0</v>
      </c>
      <c r="H579" s="3">
        <f>IF(OR(INDEX($P$2:$P$1001,MATCH(ROWS($O$2:O579),$O$2:$O$1001,0),1)&gt;=100000,INDEX($V$1005:$AE$1005,1,MATCH(COLUMNS($V$1006:AB1006),$V$1006:$AE$1006,0))&gt;=100000), " ",IF(INDEX($V$2:$AE$1001,MATCH(ROWS($O$2:O579),$O$2:$O$1001,0),MATCH(COLUMNS($V$1006:AB1006),$V$1006:$AE$1006,0)), HYPERLINK("#",""), HYPERLINK(CONCATENATE("#Metadata!", ADDRESS(INDEX($Q$2:$Q$1001,MATCH(ROWS($O$2:O579),$O$2:$O$1001,0),0), INDEX($V$1004:$AE$1004,1,MATCH(COLUMNS($V$1006:AB1006),$V$1006:$AE$1006,0)))),"Fix")))</f>
        <v>0</v>
      </c>
      <c r="I579" s="3">
        <f>IF(OR(INDEX($P$2:$P$1001,MATCH(ROWS($O$2:O579),$O$2:$O$1001,0),1)&gt;=100000,INDEX($V$1005:$AE$1005,1,MATCH(COLUMNS($V$1006:AC1006),$V$1006:$AE$1006,0))&gt;=100000), " ",IF(INDEX($V$2:$AE$1001,MATCH(ROWS($O$2:O579),$O$2:$O$1001,0),MATCH(COLUMNS($V$1006:AC1006),$V$1006:$AE$1006,0)), HYPERLINK("#",""), HYPERLINK(CONCATENATE("#Metadata!", ADDRESS(INDEX($Q$2:$Q$1001,MATCH(ROWS($O$2:O579),$O$2:$O$1001,0),0), INDEX($V$1004:$AE$1004,1,MATCH(COLUMNS($V$1006:AC1006),$V$1006:$AE$1006,0)))),"Fix")))</f>
        <v>0</v>
      </c>
      <c r="J579" s="3">
        <f>IF(OR(INDEX($P$2:$P$1001,MATCH(ROWS($O$2:O579),$O$2:$O$1001,0),1)&gt;=100000,INDEX($V$1005:$AE$1005,1,MATCH(COLUMNS($V$1006:AD1006),$V$1006:$AE$1006,0))&gt;=100000), " ",IF(INDEX($V$2:$AE$1001,MATCH(ROWS($O$2:O579),$O$2:$O$1001,0),MATCH(COLUMNS($V$1006:AD1006),$V$1006:$AE$1006,0)), HYPERLINK("#",""), HYPERLINK(CONCATENATE("#Metadata!", ADDRESS(INDEX($Q$2:$Q$1001,MATCH(ROWS($O$2:O579),$O$2:$O$1001,0),0), INDEX($V$1004:$AE$1004,1,MATCH(COLUMNS($V$1006:AD1006),$V$1006:$AE$1006,0)))),"Fix")))</f>
        <v>0</v>
      </c>
      <c r="K579" s="3">
        <f>IF(OR(INDEX($P$2:$P$1001,MATCH(ROWS($O$2:O579),$O$2:$O$1001,0),1)&gt;=100000,INDEX($V$1005:$AE$1005,1,MATCH(COLUMNS($V$1006:AE1006),$V$1006:$AE$1006,0))&gt;=100000), " ",IF(INDEX($V$2:$AE$1001,MATCH(ROWS($O$2:O579),$O$2:$O$1001,0),MATCH(COLUMNS($V$1006:AE1006),$V$1006:$AE$1006,0)), HYPERLINK("#",""), HYPERLINK(CONCATENATE("#Metadata!", ADDRESS(INDEX($Q$2:$Q$1001,MATCH(ROWS($O$2:O579),$O$2:$O$1001,0),0), INDEX($V$1004:$AE$1004,1,MATCH(COLUMNS($V$1006:AE1006),$V$1006:$AE$1006,0)))),"Fix")))</f>
        <v>0</v>
      </c>
      <c r="O579">
        <v>0</v>
      </c>
      <c r="P579">
        <v>0</v>
      </c>
      <c r="Q579">
        <v>0</v>
      </c>
      <c r="R579">
        <f>IF(S579,TRUE,AND(V579:AE579))</f>
        <v>0</v>
      </c>
      <c r="S579">
        <f>COUNTBLANK(Metadata!B579:K579)=COLUMNS(Metadata!B579:K579)</f>
        <v>0</v>
      </c>
      <c r="T579">
        <v>0</v>
      </c>
      <c r="V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W579">
        <f>AND(IF(Metadata!C579="",FALSE,TRUE),exact(Metadata!C579,"animal secretion"))</f>
        <v>0</v>
      </c>
      <c r="X579">
        <f>AND(IF(Metadata!D579="",FALSE,TRUE),exact(Metadata!D579,"saliva"))</f>
        <v>0</v>
      </c>
      <c r="Y579">
        <f>AND(IF(Metadata!E579="",FALSE,TRUE),exact(Metadata!E579,"human-oral"))</f>
        <v>0</v>
      </c>
      <c r="Z579">
        <f>AND(IF(Metadata!F579="",FALSE,TRUE),exact(Metadata!F579,"UBERON:oral cavity"))</f>
        <v>0</v>
      </c>
      <c r="AA579">
        <f>AND(IF(Metadata!G579="",FALSE,TRUE),exact(Metadata!G579,"UBERON:saliva"))</f>
        <v>0</v>
      </c>
      <c r="AB579">
        <f>AND(IF(Metadata!H579="",FALSE,TRUE),exact(Metadata!H579,"UBERON:tongue"))</f>
        <v>0</v>
      </c>
      <c r="AC579">
        <f>AND(IF(Metadata!I579="",FALSE,TRUE),exact(Metadata!I579,"tongue"))</f>
        <v>0</v>
      </c>
      <c r="AD579">
        <f>AND(IF(Metadata!J579="",FALSE,TRUE),exact(Metadata!J579,"human oral metagenome"))</f>
        <v>0</v>
      </c>
      <c r="AE579">
        <f>AND(IF(Metadata!K579="",FALSE,TRUE),exact(Metadata!K579,"447426"))</f>
        <v>0</v>
      </c>
    </row>
    <row r="580" spans="1:31">
      <c r="A580" s="4">
        <f>IF(B580=" "," ",HYPERLINK(CONCATENATE("#metadata!",ADDRESS(INDEX($Q$2:$Q$1001,MATCH(ROWS($O$2:O580),$O$2:$O$1001,0),0),1)),INDEX($T$2:$T$1001,MATCH(ROWS($O$2:O580),$O$2:$O$1001,0),0)))</f>
        <v>0</v>
      </c>
      <c r="B580" s="3">
        <f>IF(OR(INDEX($P$2:$P$1001,MATCH(ROWS($O$2:O580),$O$2:$O$1001,0),1)&gt;=100000,INDEX($V$1005:$AE$1005,1,MATCH(COLUMNS($V$1006:V1006),$V$1006:$AE$1006,0))&gt;=100000), " ",IF(INDEX($V$2:$AE$1001,MATCH(ROWS($O$2:O580),$O$2:$O$1001,0),MATCH(COLUMNS($V$1006:V1006),$V$1006:$AE$1006,0)), HYPERLINK("#",""), HYPERLINK(CONCATENATE("#Metadata!", ADDRESS(INDEX($Q$2:$Q$1001,MATCH(ROWS($O$2:O580),$O$2:$O$1001,0),0), INDEX($V$1004:$AE$1004,1,MATCH(COLUMNS($V$1006:V1006),$V$1006:$AE$1006,0)))),"Fix")))</f>
        <v>0</v>
      </c>
      <c r="C580" s="3">
        <f>IF(OR(INDEX($P$2:$P$1001,MATCH(ROWS($O$2:O580),$O$2:$O$1001,0),1)&gt;=100000,INDEX($V$1005:$AE$1005,1,MATCH(COLUMNS($V$1006:W1006),$V$1006:$AE$1006,0))&gt;=100000), " ",IF(INDEX($V$2:$AE$1001,MATCH(ROWS($O$2:O580),$O$2:$O$1001,0),MATCH(COLUMNS($V$1006:W1006),$V$1006:$AE$1006,0)), HYPERLINK("#",""), HYPERLINK(CONCATENATE("#Metadata!", ADDRESS(INDEX($Q$2:$Q$1001,MATCH(ROWS($O$2:O580),$O$2:$O$1001,0),0), INDEX($V$1004:$AE$1004,1,MATCH(COLUMNS($V$1006:W1006),$V$1006:$AE$1006,0)))),"Fix")))</f>
        <v>0</v>
      </c>
      <c r="D580" s="3">
        <f>IF(OR(INDEX($P$2:$P$1001,MATCH(ROWS($O$2:O580),$O$2:$O$1001,0),1)&gt;=100000,INDEX($V$1005:$AE$1005,1,MATCH(COLUMNS($V$1006:X1006),$V$1006:$AE$1006,0))&gt;=100000), " ",IF(INDEX($V$2:$AE$1001,MATCH(ROWS($O$2:O580),$O$2:$O$1001,0),MATCH(COLUMNS($V$1006:X1006),$V$1006:$AE$1006,0)), HYPERLINK("#",""), HYPERLINK(CONCATENATE("#Metadata!", ADDRESS(INDEX($Q$2:$Q$1001,MATCH(ROWS($O$2:O580),$O$2:$O$1001,0),0), INDEX($V$1004:$AE$1004,1,MATCH(COLUMNS($V$1006:X1006),$V$1006:$AE$1006,0)))),"Fix")))</f>
        <v>0</v>
      </c>
      <c r="E580" s="3">
        <f>IF(OR(INDEX($P$2:$P$1001,MATCH(ROWS($O$2:O580),$O$2:$O$1001,0),1)&gt;=100000,INDEX($V$1005:$AE$1005,1,MATCH(COLUMNS($V$1006:Y1006),$V$1006:$AE$1006,0))&gt;=100000), " ",IF(INDEX($V$2:$AE$1001,MATCH(ROWS($O$2:O580),$O$2:$O$1001,0),MATCH(COLUMNS($V$1006:Y1006),$V$1006:$AE$1006,0)), HYPERLINK("#",""), HYPERLINK(CONCATENATE("#Metadata!", ADDRESS(INDEX($Q$2:$Q$1001,MATCH(ROWS($O$2:O580),$O$2:$O$1001,0),0), INDEX($V$1004:$AE$1004,1,MATCH(COLUMNS($V$1006:Y1006),$V$1006:$AE$1006,0)))),"Fix")))</f>
        <v>0</v>
      </c>
      <c r="F580" s="3">
        <f>IF(OR(INDEX($P$2:$P$1001,MATCH(ROWS($O$2:O580),$O$2:$O$1001,0),1)&gt;=100000,INDEX($V$1005:$AE$1005,1,MATCH(COLUMNS($V$1006:Z1006),$V$1006:$AE$1006,0))&gt;=100000), " ",IF(INDEX($V$2:$AE$1001,MATCH(ROWS($O$2:O580),$O$2:$O$1001,0),MATCH(COLUMNS($V$1006:Z1006),$V$1006:$AE$1006,0)), HYPERLINK("#",""), HYPERLINK(CONCATENATE("#Metadata!", ADDRESS(INDEX($Q$2:$Q$1001,MATCH(ROWS($O$2:O580),$O$2:$O$1001,0),0), INDEX($V$1004:$AE$1004,1,MATCH(COLUMNS($V$1006:Z1006),$V$1006:$AE$1006,0)))),"Fix")))</f>
        <v>0</v>
      </c>
      <c r="G580" s="3">
        <f>IF(OR(INDEX($P$2:$P$1001,MATCH(ROWS($O$2:O580),$O$2:$O$1001,0),1)&gt;=100000,INDEX($V$1005:$AE$1005,1,MATCH(COLUMNS($V$1006:AA1006),$V$1006:$AE$1006,0))&gt;=100000), " ",IF(INDEX($V$2:$AE$1001,MATCH(ROWS($O$2:O580),$O$2:$O$1001,0),MATCH(COLUMNS($V$1006:AA1006),$V$1006:$AE$1006,0)), HYPERLINK("#",""), HYPERLINK(CONCATENATE("#Metadata!", ADDRESS(INDEX($Q$2:$Q$1001,MATCH(ROWS($O$2:O580),$O$2:$O$1001,0),0), INDEX($V$1004:$AE$1004,1,MATCH(COLUMNS($V$1006:AA1006),$V$1006:$AE$1006,0)))),"Fix")))</f>
        <v>0</v>
      </c>
      <c r="H580" s="3">
        <f>IF(OR(INDEX($P$2:$P$1001,MATCH(ROWS($O$2:O580),$O$2:$O$1001,0),1)&gt;=100000,INDEX($V$1005:$AE$1005,1,MATCH(COLUMNS($V$1006:AB1006),$V$1006:$AE$1006,0))&gt;=100000), " ",IF(INDEX($V$2:$AE$1001,MATCH(ROWS($O$2:O580),$O$2:$O$1001,0),MATCH(COLUMNS($V$1006:AB1006),$V$1006:$AE$1006,0)), HYPERLINK("#",""), HYPERLINK(CONCATENATE("#Metadata!", ADDRESS(INDEX($Q$2:$Q$1001,MATCH(ROWS($O$2:O580),$O$2:$O$1001,0),0), INDEX($V$1004:$AE$1004,1,MATCH(COLUMNS($V$1006:AB1006),$V$1006:$AE$1006,0)))),"Fix")))</f>
        <v>0</v>
      </c>
      <c r="I580" s="3">
        <f>IF(OR(INDEX($P$2:$P$1001,MATCH(ROWS($O$2:O580),$O$2:$O$1001,0),1)&gt;=100000,INDEX($V$1005:$AE$1005,1,MATCH(COLUMNS($V$1006:AC1006),$V$1006:$AE$1006,0))&gt;=100000), " ",IF(INDEX($V$2:$AE$1001,MATCH(ROWS($O$2:O580),$O$2:$O$1001,0),MATCH(COLUMNS($V$1006:AC1006),$V$1006:$AE$1006,0)), HYPERLINK("#",""), HYPERLINK(CONCATENATE("#Metadata!", ADDRESS(INDEX($Q$2:$Q$1001,MATCH(ROWS($O$2:O580),$O$2:$O$1001,0),0), INDEX($V$1004:$AE$1004,1,MATCH(COLUMNS($V$1006:AC1006),$V$1006:$AE$1006,0)))),"Fix")))</f>
        <v>0</v>
      </c>
      <c r="J580" s="3">
        <f>IF(OR(INDEX($P$2:$P$1001,MATCH(ROWS($O$2:O580),$O$2:$O$1001,0),1)&gt;=100000,INDEX($V$1005:$AE$1005,1,MATCH(COLUMNS($V$1006:AD1006),$V$1006:$AE$1006,0))&gt;=100000), " ",IF(INDEX($V$2:$AE$1001,MATCH(ROWS($O$2:O580),$O$2:$O$1001,0),MATCH(COLUMNS($V$1006:AD1006),$V$1006:$AE$1006,0)), HYPERLINK("#",""), HYPERLINK(CONCATENATE("#Metadata!", ADDRESS(INDEX($Q$2:$Q$1001,MATCH(ROWS($O$2:O580),$O$2:$O$1001,0),0), INDEX($V$1004:$AE$1004,1,MATCH(COLUMNS($V$1006:AD1006),$V$1006:$AE$1006,0)))),"Fix")))</f>
        <v>0</v>
      </c>
      <c r="K580" s="3">
        <f>IF(OR(INDEX($P$2:$P$1001,MATCH(ROWS($O$2:O580),$O$2:$O$1001,0),1)&gt;=100000,INDEX($V$1005:$AE$1005,1,MATCH(COLUMNS($V$1006:AE1006),$V$1006:$AE$1006,0))&gt;=100000), " ",IF(INDEX($V$2:$AE$1001,MATCH(ROWS($O$2:O580),$O$2:$O$1001,0),MATCH(COLUMNS($V$1006:AE1006),$V$1006:$AE$1006,0)), HYPERLINK("#",""), HYPERLINK(CONCATENATE("#Metadata!", ADDRESS(INDEX($Q$2:$Q$1001,MATCH(ROWS($O$2:O580),$O$2:$O$1001,0),0), INDEX($V$1004:$AE$1004,1,MATCH(COLUMNS($V$1006:AE1006),$V$1006:$AE$1006,0)))),"Fix")))</f>
        <v>0</v>
      </c>
      <c r="O580">
        <v>0</v>
      </c>
      <c r="P580">
        <v>0</v>
      </c>
      <c r="Q580">
        <v>0</v>
      </c>
      <c r="R580">
        <f>IF(S580,TRUE,AND(V580:AE580))</f>
        <v>0</v>
      </c>
      <c r="S580">
        <f>COUNTBLANK(Metadata!B580:K580)=COLUMNS(Metadata!B580:K580)</f>
        <v>0</v>
      </c>
      <c r="T580">
        <v>0</v>
      </c>
      <c r="V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W580">
        <f>AND(IF(Metadata!C580="",FALSE,TRUE),exact(Metadata!C580,"animal secretion"))</f>
        <v>0</v>
      </c>
      <c r="X580">
        <f>AND(IF(Metadata!D580="",FALSE,TRUE),exact(Metadata!D580,"saliva"))</f>
        <v>0</v>
      </c>
      <c r="Y580">
        <f>AND(IF(Metadata!E580="",FALSE,TRUE),exact(Metadata!E580,"human-oral"))</f>
        <v>0</v>
      </c>
      <c r="Z580">
        <f>AND(IF(Metadata!F580="",FALSE,TRUE),exact(Metadata!F580,"UBERON:oral cavity"))</f>
        <v>0</v>
      </c>
      <c r="AA580">
        <f>AND(IF(Metadata!G580="",FALSE,TRUE),exact(Metadata!G580,"UBERON:saliva"))</f>
        <v>0</v>
      </c>
      <c r="AB580">
        <f>AND(IF(Metadata!H580="",FALSE,TRUE),exact(Metadata!H580,"UBERON:tongue"))</f>
        <v>0</v>
      </c>
      <c r="AC580">
        <f>AND(IF(Metadata!I580="",FALSE,TRUE),exact(Metadata!I580,"tongue"))</f>
        <v>0</v>
      </c>
      <c r="AD580">
        <f>AND(IF(Metadata!J580="",FALSE,TRUE),exact(Metadata!J580,"human oral metagenome"))</f>
        <v>0</v>
      </c>
      <c r="AE580">
        <f>AND(IF(Metadata!K580="",FALSE,TRUE),exact(Metadata!K580,"447426"))</f>
        <v>0</v>
      </c>
    </row>
    <row r="581" spans="1:31">
      <c r="A581" s="4">
        <f>IF(B581=" "," ",HYPERLINK(CONCATENATE("#metadata!",ADDRESS(INDEX($Q$2:$Q$1001,MATCH(ROWS($O$2:O581),$O$2:$O$1001,0),0),1)),INDEX($T$2:$T$1001,MATCH(ROWS($O$2:O581),$O$2:$O$1001,0),0)))</f>
        <v>0</v>
      </c>
      <c r="B581" s="3">
        <f>IF(OR(INDEX($P$2:$P$1001,MATCH(ROWS($O$2:O581),$O$2:$O$1001,0),1)&gt;=100000,INDEX($V$1005:$AE$1005,1,MATCH(COLUMNS($V$1006:V1006),$V$1006:$AE$1006,0))&gt;=100000), " ",IF(INDEX($V$2:$AE$1001,MATCH(ROWS($O$2:O581),$O$2:$O$1001,0),MATCH(COLUMNS($V$1006:V1006),$V$1006:$AE$1006,0)), HYPERLINK("#",""), HYPERLINK(CONCATENATE("#Metadata!", ADDRESS(INDEX($Q$2:$Q$1001,MATCH(ROWS($O$2:O581),$O$2:$O$1001,0),0), INDEX($V$1004:$AE$1004,1,MATCH(COLUMNS($V$1006:V1006),$V$1006:$AE$1006,0)))),"Fix")))</f>
        <v>0</v>
      </c>
      <c r="C581" s="3">
        <f>IF(OR(INDEX($P$2:$P$1001,MATCH(ROWS($O$2:O581),$O$2:$O$1001,0),1)&gt;=100000,INDEX($V$1005:$AE$1005,1,MATCH(COLUMNS($V$1006:W1006),$V$1006:$AE$1006,0))&gt;=100000), " ",IF(INDEX($V$2:$AE$1001,MATCH(ROWS($O$2:O581),$O$2:$O$1001,0),MATCH(COLUMNS($V$1006:W1006),$V$1006:$AE$1006,0)), HYPERLINK("#",""), HYPERLINK(CONCATENATE("#Metadata!", ADDRESS(INDEX($Q$2:$Q$1001,MATCH(ROWS($O$2:O581),$O$2:$O$1001,0),0), INDEX($V$1004:$AE$1004,1,MATCH(COLUMNS($V$1006:W1006),$V$1006:$AE$1006,0)))),"Fix")))</f>
        <v>0</v>
      </c>
      <c r="D581" s="3">
        <f>IF(OR(INDEX($P$2:$P$1001,MATCH(ROWS($O$2:O581),$O$2:$O$1001,0),1)&gt;=100000,INDEX($V$1005:$AE$1005,1,MATCH(COLUMNS($V$1006:X1006),$V$1006:$AE$1006,0))&gt;=100000), " ",IF(INDEX($V$2:$AE$1001,MATCH(ROWS($O$2:O581),$O$2:$O$1001,0),MATCH(COLUMNS($V$1006:X1006),$V$1006:$AE$1006,0)), HYPERLINK("#",""), HYPERLINK(CONCATENATE("#Metadata!", ADDRESS(INDEX($Q$2:$Q$1001,MATCH(ROWS($O$2:O581),$O$2:$O$1001,0),0), INDEX($V$1004:$AE$1004,1,MATCH(COLUMNS($V$1006:X1006),$V$1006:$AE$1006,0)))),"Fix")))</f>
        <v>0</v>
      </c>
      <c r="E581" s="3">
        <f>IF(OR(INDEX($P$2:$P$1001,MATCH(ROWS($O$2:O581),$O$2:$O$1001,0),1)&gt;=100000,INDEX($V$1005:$AE$1005,1,MATCH(COLUMNS($V$1006:Y1006),$V$1006:$AE$1006,0))&gt;=100000), " ",IF(INDEX($V$2:$AE$1001,MATCH(ROWS($O$2:O581),$O$2:$O$1001,0),MATCH(COLUMNS($V$1006:Y1006),$V$1006:$AE$1006,0)), HYPERLINK("#",""), HYPERLINK(CONCATENATE("#Metadata!", ADDRESS(INDEX($Q$2:$Q$1001,MATCH(ROWS($O$2:O581),$O$2:$O$1001,0),0), INDEX($V$1004:$AE$1004,1,MATCH(COLUMNS($V$1006:Y1006),$V$1006:$AE$1006,0)))),"Fix")))</f>
        <v>0</v>
      </c>
      <c r="F581" s="3">
        <f>IF(OR(INDEX($P$2:$P$1001,MATCH(ROWS($O$2:O581),$O$2:$O$1001,0),1)&gt;=100000,INDEX($V$1005:$AE$1005,1,MATCH(COLUMNS($V$1006:Z1006),$V$1006:$AE$1006,0))&gt;=100000), " ",IF(INDEX($V$2:$AE$1001,MATCH(ROWS($O$2:O581),$O$2:$O$1001,0),MATCH(COLUMNS($V$1006:Z1006),$V$1006:$AE$1006,0)), HYPERLINK("#",""), HYPERLINK(CONCATENATE("#Metadata!", ADDRESS(INDEX($Q$2:$Q$1001,MATCH(ROWS($O$2:O581),$O$2:$O$1001,0),0), INDEX($V$1004:$AE$1004,1,MATCH(COLUMNS($V$1006:Z1006),$V$1006:$AE$1006,0)))),"Fix")))</f>
        <v>0</v>
      </c>
      <c r="G581" s="3">
        <f>IF(OR(INDEX($P$2:$P$1001,MATCH(ROWS($O$2:O581),$O$2:$O$1001,0),1)&gt;=100000,INDEX($V$1005:$AE$1005,1,MATCH(COLUMNS($V$1006:AA1006),$V$1006:$AE$1006,0))&gt;=100000), " ",IF(INDEX($V$2:$AE$1001,MATCH(ROWS($O$2:O581),$O$2:$O$1001,0),MATCH(COLUMNS($V$1006:AA1006),$V$1006:$AE$1006,0)), HYPERLINK("#",""), HYPERLINK(CONCATENATE("#Metadata!", ADDRESS(INDEX($Q$2:$Q$1001,MATCH(ROWS($O$2:O581),$O$2:$O$1001,0),0), INDEX($V$1004:$AE$1004,1,MATCH(COLUMNS($V$1006:AA1006),$V$1006:$AE$1006,0)))),"Fix")))</f>
        <v>0</v>
      </c>
      <c r="H581" s="3">
        <f>IF(OR(INDEX($P$2:$P$1001,MATCH(ROWS($O$2:O581),$O$2:$O$1001,0),1)&gt;=100000,INDEX($V$1005:$AE$1005,1,MATCH(COLUMNS($V$1006:AB1006),$V$1006:$AE$1006,0))&gt;=100000), " ",IF(INDEX($V$2:$AE$1001,MATCH(ROWS($O$2:O581),$O$2:$O$1001,0),MATCH(COLUMNS($V$1006:AB1006),$V$1006:$AE$1006,0)), HYPERLINK("#",""), HYPERLINK(CONCATENATE("#Metadata!", ADDRESS(INDEX($Q$2:$Q$1001,MATCH(ROWS($O$2:O581),$O$2:$O$1001,0),0), INDEX($V$1004:$AE$1004,1,MATCH(COLUMNS($V$1006:AB1006),$V$1006:$AE$1006,0)))),"Fix")))</f>
        <v>0</v>
      </c>
      <c r="I581" s="3">
        <f>IF(OR(INDEX($P$2:$P$1001,MATCH(ROWS($O$2:O581),$O$2:$O$1001,0),1)&gt;=100000,INDEX($V$1005:$AE$1005,1,MATCH(COLUMNS($V$1006:AC1006),$V$1006:$AE$1006,0))&gt;=100000), " ",IF(INDEX($V$2:$AE$1001,MATCH(ROWS($O$2:O581),$O$2:$O$1001,0),MATCH(COLUMNS($V$1006:AC1006),$V$1006:$AE$1006,0)), HYPERLINK("#",""), HYPERLINK(CONCATENATE("#Metadata!", ADDRESS(INDEX($Q$2:$Q$1001,MATCH(ROWS($O$2:O581),$O$2:$O$1001,0),0), INDEX($V$1004:$AE$1004,1,MATCH(COLUMNS($V$1006:AC1006),$V$1006:$AE$1006,0)))),"Fix")))</f>
        <v>0</v>
      </c>
      <c r="J581" s="3">
        <f>IF(OR(INDEX($P$2:$P$1001,MATCH(ROWS($O$2:O581),$O$2:$O$1001,0),1)&gt;=100000,INDEX($V$1005:$AE$1005,1,MATCH(COLUMNS($V$1006:AD1006),$V$1006:$AE$1006,0))&gt;=100000), " ",IF(INDEX($V$2:$AE$1001,MATCH(ROWS($O$2:O581),$O$2:$O$1001,0),MATCH(COLUMNS($V$1006:AD1006),$V$1006:$AE$1006,0)), HYPERLINK("#",""), HYPERLINK(CONCATENATE("#Metadata!", ADDRESS(INDEX($Q$2:$Q$1001,MATCH(ROWS($O$2:O581),$O$2:$O$1001,0),0), INDEX($V$1004:$AE$1004,1,MATCH(COLUMNS($V$1006:AD1006),$V$1006:$AE$1006,0)))),"Fix")))</f>
        <v>0</v>
      </c>
      <c r="K581" s="3">
        <f>IF(OR(INDEX($P$2:$P$1001,MATCH(ROWS($O$2:O581),$O$2:$O$1001,0),1)&gt;=100000,INDEX($V$1005:$AE$1005,1,MATCH(COLUMNS($V$1006:AE1006),$V$1006:$AE$1006,0))&gt;=100000), " ",IF(INDEX($V$2:$AE$1001,MATCH(ROWS($O$2:O581),$O$2:$O$1001,0),MATCH(COLUMNS($V$1006:AE1006),$V$1006:$AE$1006,0)), HYPERLINK("#",""), HYPERLINK(CONCATENATE("#Metadata!", ADDRESS(INDEX($Q$2:$Q$1001,MATCH(ROWS($O$2:O581),$O$2:$O$1001,0),0), INDEX($V$1004:$AE$1004,1,MATCH(COLUMNS($V$1006:AE1006),$V$1006:$AE$1006,0)))),"Fix")))</f>
        <v>0</v>
      </c>
      <c r="O581">
        <v>0</v>
      </c>
      <c r="P581">
        <v>0</v>
      </c>
      <c r="Q581">
        <v>0</v>
      </c>
      <c r="R581">
        <f>IF(S581,TRUE,AND(V581:AE581))</f>
        <v>0</v>
      </c>
      <c r="S581">
        <f>COUNTBLANK(Metadata!B581:K581)=COLUMNS(Metadata!B581:K581)</f>
        <v>0</v>
      </c>
      <c r="T581">
        <v>0</v>
      </c>
      <c r="V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W581">
        <f>AND(IF(Metadata!C581="",FALSE,TRUE),exact(Metadata!C581,"animal secretion"))</f>
        <v>0</v>
      </c>
      <c r="X581">
        <f>AND(IF(Metadata!D581="",FALSE,TRUE),exact(Metadata!D581,"saliva"))</f>
        <v>0</v>
      </c>
      <c r="Y581">
        <f>AND(IF(Metadata!E581="",FALSE,TRUE),exact(Metadata!E581,"human-oral"))</f>
        <v>0</v>
      </c>
      <c r="Z581">
        <f>AND(IF(Metadata!F581="",FALSE,TRUE),exact(Metadata!F581,"UBERON:oral cavity"))</f>
        <v>0</v>
      </c>
      <c r="AA581">
        <f>AND(IF(Metadata!G581="",FALSE,TRUE),exact(Metadata!G581,"UBERON:saliva"))</f>
        <v>0</v>
      </c>
      <c r="AB581">
        <f>AND(IF(Metadata!H581="",FALSE,TRUE),exact(Metadata!H581,"UBERON:tongue"))</f>
        <v>0</v>
      </c>
      <c r="AC581">
        <f>AND(IF(Metadata!I581="",FALSE,TRUE),exact(Metadata!I581,"tongue"))</f>
        <v>0</v>
      </c>
      <c r="AD581">
        <f>AND(IF(Metadata!J581="",FALSE,TRUE),exact(Metadata!J581,"human oral metagenome"))</f>
        <v>0</v>
      </c>
      <c r="AE581">
        <f>AND(IF(Metadata!K581="",FALSE,TRUE),exact(Metadata!K581,"447426"))</f>
        <v>0</v>
      </c>
    </row>
    <row r="582" spans="1:31">
      <c r="A582" s="4">
        <f>IF(B582=" "," ",HYPERLINK(CONCATENATE("#metadata!",ADDRESS(INDEX($Q$2:$Q$1001,MATCH(ROWS($O$2:O582),$O$2:$O$1001,0),0),1)),INDEX($T$2:$T$1001,MATCH(ROWS($O$2:O582),$O$2:$O$1001,0),0)))</f>
        <v>0</v>
      </c>
      <c r="B582" s="3">
        <f>IF(OR(INDEX($P$2:$P$1001,MATCH(ROWS($O$2:O582),$O$2:$O$1001,0),1)&gt;=100000,INDEX($V$1005:$AE$1005,1,MATCH(COLUMNS($V$1006:V1006),$V$1006:$AE$1006,0))&gt;=100000), " ",IF(INDEX($V$2:$AE$1001,MATCH(ROWS($O$2:O582),$O$2:$O$1001,0),MATCH(COLUMNS($V$1006:V1006),$V$1006:$AE$1006,0)), HYPERLINK("#",""), HYPERLINK(CONCATENATE("#Metadata!", ADDRESS(INDEX($Q$2:$Q$1001,MATCH(ROWS($O$2:O582),$O$2:$O$1001,0),0), INDEX($V$1004:$AE$1004,1,MATCH(COLUMNS($V$1006:V1006),$V$1006:$AE$1006,0)))),"Fix")))</f>
        <v>0</v>
      </c>
      <c r="C582" s="3">
        <f>IF(OR(INDEX($P$2:$P$1001,MATCH(ROWS($O$2:O582),$O$2:$O$1001,0),1)&gt;=100000,INDEX($V$1005:$AE$1005,1,MATCH(COLUMNS($V$1006:W1006),$V$1006:$AE$1006,0))&gt;=100000), " ",IF(INDEX($V$2:$AE$1001,MATCH(ROWS($O$2:O582),$O$2:$O$1001,0),MATCH(COLUMNS($V$1006:W1006),$V$1006:$AE$1006,0)), HYPERLINK("#",""), HYPERLINK(CONCATENATE("#Metadata!", ADDRESS(INDEX($Q$2:$Q$1001,MATCH(ROWS($O$2:O582),$O$2:$O$1001,0),0), INDEX($V$1004:$AE$1004,1,MATCH(COLUMNS($V$1006:W1006),$V$1006:$AE$1006,0)))),"Fix")))</f>
        <v>0</v>
      </c>
      <c r="D582" s="3">
        <f>IF(OR(INDEX($P$2:$P$1001,MATCH(ROWS($O$2:O582),$O$2:$O$1001,0),1)&gt;=100000,INDEX($V$1005:$AE$1005,1,MATCH(COLUMNS($V$1006:X1006),$V$1006:$AE$1006,0))&gt;=100000), " ",IF(INDEX($V$2:$AE$1001,MATCH(ROWS($O$2:O582),$O$2:$O$1001,0),MATCH(COLUMNS($V$1006:X1006),$V$1006:$AE$1006,0)), HYPERLINK("#",""), HYPERLINK(CONCATENATE("#Metadata!", ADDRESS(INDEX($Q$2:$Q$1001,MATCH(ROWS($O$2:O582),$O$2:$O$1001,0),0), INDEX($V$1004:$AE$1004,1,MATCH(COLUMNS($V$1006:X1006),$V$1006:$AE$1006,0)))),"Fix")))</f>
        <v>0</v>
      </c>
      <c r="E582" s="3">
        <f>IF(OR(INDEX($P$2:$P$1001,MATCH(ROWS($O$2:O582),$O$2:$O$1001,0),1)&gt;=100000,INDEX($V$1005:$AE$1005,1,MATCH(COLUMNS($V$1006:Y1006),$V$1006:$AE$1006,0))&gt;=100000), " ",IF(INDEX($V$2:$AE$1001,MATCH(ROWS($O$2:O582),$O$2:$O$1001,0),MATCH(COLUMNS($V$1006:Y1006),$V$1006:$AE$1006,0)), HYPERLINK("#",""), HYPERLINK(CONCATENATE("#Metadata!", ADDRESS(INDEX($Q$2:$Q$1001,MATCH(ROWS($O$2:O582),$O$2:$O$1001,0),0), INDEX($V$1004:$AE$1004,1,MATCH(COLUMNS($V$1006:Y1006),$V$1006:$AE$1006,0)))),"Fix")))</f>
        <v>0</v>
      </c>
      <c r="F582" s="3">
        <f>IF(OR(INDEX($P$2:$P$1001,MATCH(ROWS($O$2:O582),$O$2:$O$1001,0),1)&gt;=100000,INDEX($V$1005:$AE$1005,1,MATCH(COLUMNS($V$1006:Z1006),$V$1006:$AE$1006,0))&gt;=100000), " ",IF(INDEX($V$2:$AE$1001,MATCH(ROWS($O$2:O582),$O$2:$O$1001,0),MATCH(COLUMNS($V$1006:Z1006),$V$1006:$AE$1006,0)), HYPERLINK("#",""), HYPERLINK(CONCATENATE("#Metadata!", ADDRESS(INDEX($Q$2:$Q$1001,MATCH(ROWS($O$2:O582),$O$2:$O$1001,0),0), INDEX($V$1004:$AE$1004,1,MATCH(COLUMNS($V$1006:Z1006),$V$1006:$AE$1006,0)))),"Fix")))</f>
        <v>0</v>
      </c>
      <c r="G582" s="3">
        <f>IF(OR(INDEX($P$2:$P$1001,MATCH(ROWS($O$2:O582),$O$2:$O$1001,0),1)&gt;=100000,INDEX($V$1005:$AE$1005,1,MATCH(COLUMNS($V$1006:AA1006),$V$1006:$AE$1006,0))&gt;=100000), " ",IF(INDEX($V$2:$AE$1001,MATCH(ROWS($O$2:O582),$O$2:$O$1001,0),MATCH(COLUMNS($V$1006:AA1006),$V$1006:$AE$1006,0)), HYPERLINK("#",""), HYPERLINK(CONCATENATE("#Metadata!", ADDRESS(INDEX($Q$2:$Q$1001,MATCH(ROWS($O$2:O582),$O$2:$O$1001,0),0), INDEX($V$1004:$AE$1004,1,MATCH(COLUMNS($V$1006:AA1006),$V$1006:$AE$1006,0)))),"Fix")))</f>
        <v>0</v>
      </c>
      <c r="H582" s="3">
        <f>IF(OR(INDEX($P$2:$P$1001,MATCH(ROWS($O$2:O582),$O$2:$O$1001,0),1)&gt;=100000,INDEX($V$1005:$AE$1005,1,MATCH(COLUMNS($V$1006:AB1006),$V$1006:$AE$1006,0))&gt;=100000), " ",IF(INDEX($V$2:$AE$1001,MATCH(ROWS($O$2:O582),$O$2:$O$1001,0),MATCH(COLUMNS($V$1006:AB1006),$V$1006:$AE$1006,0)), HYPERLINK("#",""), HYPERLINK(CONCATENATE("#Metadata!", ADDRESS(INDEX($Q$2:$Q$1001,MATCH(ROWS($O$2:O582),$O$2:$O$1001,0),0), INDEX($V$1004:$AE$1004,1,MATCH(COLUMNS($V$1006:AB1006),$V$1006:$AE$1006,0)))),"Fix")))</f>
        <v>0</v>
      </c>
      <c r="I582" s="3">
        <f>IF(OR(INDEX($P$2:$P$1001,MATCH(ROWS($O$2:O582),$O$2:$O$1001,0),1)&gt;=100000,INDEX($V$1005:$AE$1005,1,MATCH(COLUMNS($V$1006:AC1006),$V$1006:$AE$1006,0))&gt;=100000), " ",IF(INDEX($V$2:$AE$1001,MATCH(ROWS($O$2:O582),$O$2:$O$1001,0),MATCH(COLUMNS($V$1006:AC1006),$V$1006:$AE$1006,0)), HYPERLINK("#",""), HYPERLINK(CONCATENATE("#Metadata!", ADDRESS(INDEX($Q$2:$Q$1001,MATCH(ROWS($O$2:O582),$O$2:$O$1001,0),0), INDEX($V$1004:$AE$1004,1,MATCH(COLUMNS($V$1006:AC1006),$V$1006:$AE$1006,0)))),"Fix")))</f>
        <v>0</v>
      </c>
      <c r="J582" s="3">
        <f>IF(OR(INDEX($P$2:$P$1001,MATCH(ROWS($O$2:O582),$O$2:$O$1001,0),1)&gt;=100000,INDEX($V$1005:$AE$1005,1,MATCH(COLUMNS($V$1006:AD1006),$V$1006:$AE$1006,0))&gt;=100000), " ",IF(INDEX($V$2:$AE$1001,MATCH(ROWS($O$2:O582),$O$2:$O$1001,0),MATCH(COLUMNS($V$1006:AD1006),$V$1006:$AE$1006,0)), HYPERLINK("#",""), HYPERLINK(CONCATENATE("#Metadata!", ADDRESS(INDEX($Q$2:$Q$1001,MATCH(ROWS($O$2:O582),$O$2:$O$1001,0),0), INDEX($V$1004:$AE$1004,1,MATCH(COLUMNS($V$1006:AD1006),$V$1006:$AE$1006,0)))),"Fix")))</f>
        <v>0</v>
      </c>
      <c r="K582" s="3">
        <f>IF(OR(INDEX($P$2:$P$1001,MATCH(ROWS($O$2:O582),$O$2:$O$1001,0),1)&gt;=100000,INDEX($V$1005:$AE$1005,1,MATCH(COLUMNS($V$1006:AE1006),$V$1006:$AE$1006,0))&gt;=100000), " ",IF(INDEX($V$2:$AE$1001,MATCH(ROWS($O$2:O582),$O$2:$O$1001,0),MATCH(COLUMNS($V$1006:AE1006),$V$1006:$AE$1006,0)), HYPERLINK("#",""), HYPERLINK(CONCATENATE("#Metadata!", ADDRESS(INDEX($Q$2:$Q$1001,MATCH(ROWS($O$2:O582),$O$2:$O$1001,0),0), INDEX($V$1004:$AE$1004,1,MATCH(COLUMNS($V$1006:AE1006),$V$1006:$AE$1006,0)))),"Fix")))</f>
        <v>0</v>
      </c>
      <c r="O582">
        <v>0</v>
      </c>
      <c r="P582">
        <v>0</v>
      </c>
      <c r="Q582">
        <v>0</v>
      </c>
      <c r="R582">
        <f>IF(S582,TRUE,AND(V582:AE582))</f>
        <v>0</v>
      </c>
      <c r="S582">
        <f>COUNTBLANK(Metadata!B582:K582)=COLUMNS(Metadata!B582:K582)</f>
        <v>0</v>
      </c>
      <c r="T582">
        <v>0</v>
      </c>
      <c r="V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W582">
        <f>AND(IF(Metadata!C582="",FALSE,TRUE),exact(Metadata!C582,"animal secretion"))</f>
        <v>0</v>
      </c>
      <c r="X582">
        <f>AND(IF(Metadata!D582="",FALSE,TRUE),exact(Metadata!D582,"saliva"))</f>
        <v>0</v>
      </c>
      <c r="Y582">
        <f>AND(IF(Metadata!E582="",FALSE,TRUE),exact(Metadata!E582,"human-oral"))</f>
        <v>0</v>
      </c>
      <c r="Z582">
        <f>AND(IF(Metadata!F582="",FALSE,TRUE),exact(Metadata!F582,"UBERON:oral cavity"))</f>
        <v>0</v>
      </c>
      <c r="AA582">
        <f>AND(IF(Metadata!G582="",FALSE,TRUE),exact(Metadata!G582,"UBERON:saliva"))</f>
        <v>0</v>
      </c>
      <c r="AB582">
        <f>AND(IF(Metadata!H582="",FALSE,TRUE),exact(Metadata!H582,"UBERON:tongue"))</f>
        <v>0</v>
      </c>
      <c r="AC582">
        <f>AND(IF(Metadata!I582="",FALSE,TRUE),exact(Metadata!I582,"tongue"))</f>
        <v>0</v>
      </c>
      <c r="AD582">
        <f>AND(IF(Metadata!J582="",FALSE,TRUE),exact(Metadata!J582,"human oral metagenome"))</f>
        <v>0</v>
      </c>
      <c r="AE582">
        <f>AND(IF(Metadata!K582="",FALSE,TRUE),exact(Metadata!K582,"447426"))</f>
        <v>0</v>
      </c>
    </row>
    <row r="583" spans="1:31">
      <c r="A583" s="4">
        <f>IF(B583=" "," ",HYPERLINK(CONCATENATE("#metadata!",ADDRESS(INDEX($Q$2:$Q$1001,MATCH(ROWS($O$2:O583),$O$2:$O$1001,0),0),1)),INDEX($T$2:$T$1001,MATCH(ROWS($O$2:O583),$O$2:$O$1001,0),0)))</f>
        <v>0</v>
      </c>
      <c r="B583" s="3">
        <f>IF(OR(INDEX($P$2:$P$1001,MATCH(ROWS($O$2:O583),$O$2:$O$1001,0),1)&gt;=100000,INDEX($V$1005:$AE$1005,1,MATCH(COLUMNS($V$1006:V1006),$V$1006:$AE$1006,0))&gt;=100000), " ",IF(INDEX($V$2:$AE$1001,MATCH(ROWS($O$2:O583),$O$2:$O$1001,0),MATCH(COLUMNS($V$1006:V1006),$V$1006:$AE$1006,0)), HYPERLINK("#",""), HYPERLINK(CONCATENATE("#Metadata!", ADDRESS(INDEX($Q$2:$Q$1001,MATCH(ROWS($O$2:O583),$O$2:$O$1001,0),0), INDEX($V$1004:$AE$1004,1,MATCH(COLUMNS($V$1006:V1006),$V$1006:$AE$1006,0)))),"Fix")))</f>
        <v>0</v>
      </c>
      <c r="C583" s="3">
        <f>IF(OR(INDEX($P$2:$P$1001,MATCH(ROWS($O$2:O583),$O$2:$O$1001,0),1)&gt;=100000,INDEX($V$1005:$AE$1005,1,MATCH(COLUMNS($V$1006:W1006),$V$1006:$AE$1006,0))&gt;=100000), " ",IF(INDEX($V$2:$AE$1001,MATCH(ROWS($O$2:O583),$O$2:$O$1001,0),MATCH(COLUMNS($V$1006:W1006),$V$1006:$AE$1006,0)), HYPERLINK("#",""), HYPERLINK(CONCATENATE("#Metadata!", ADDRESS(INDEX($Q$2:$Q$1001,MATCH(ROWS($O$2:O583),$O$2:$O$1001,0),0), INDEX($V$1004:$AE$1004,1,MATCH(COLUMNS($V$1006:W1006),$V$1006:$AE$1006,0)))),"Fix")))</f>
        <v>0</v>
      </c>
      <c r="D583" s="3">
        <f>IF(OR(INDEX($P$2:$P$1001,MATCH(ROWS($O$2:O583),$O$2:$O$1001,0),1)&gt;=100000,INDEX($V$1005:$AE$1005,1,MATCH(COLUMNS($V$1006:X1006),$V$1006:$AE$1006,0))&gt;=100000), " ",IF(INDEX($V$2:$AE$1001,MATCH(ROWS($O$2:O583),$O$2:$O$1001,0),MATCH(COLUMNS($V$1006:X1006),$V$1006:$AE$1006,0)), HYPERLINK("#",""), HYPERLINK(CONCATENATE("#Metadata!", ADDRESS(INDEX($Q$2:$Q$1001,MATCH(ROWS($O$2:O583),$O$2:$O$1001,0),0), INDEX($V$1004:$AE$1004,1,MATCH(COLUMNS($V$1006:X1006),$V$1006:$AE$1006,0)))),"Fix")))</f>
        <v>0</v>
      </c>
      <c r="E583" s="3">
        <f>IF(OR(INDEX($P$2:$P$1001,MATCH(ROWS($O$2:O583),$O$2:$O$1001,0),1)&gt;=100000,INDEX($V$1005:$AE$1005,1,MATCH(COLUMNS($V$1006:Y1006),$V$1006:$AE$1006,0))&gt;=100000), " ",IF(INDEX($V$2:$AE$1001,MATCH(ROWS($O$2:O583),$O$2:$O$1001,0),MATCH(COLUMNS($V$1006:Y1006),$V$1006:$AE$1006,0)), HYPERLINK("#",""), HYPERLINK(CONCATENATE("#Metadata!", ADDRESS(INDEX($Q$2:$Q$1001,MATCH(ROWS($O$2:O583),$O$2:$O$1001,0),0), INDEX($V$1004:$AE$1004,1,MATCH(COLUMNS($V$1006:Y1006),$V$1006:$AE$1006,0)))),"Fix")))</f>
        <v>0</v>
      </c>
      <c r="F583" s="3">
        <f>IF(OR(INDEX($P$2:$P$1001,MATCH(ROWS($O$2:O583),$O$2:$O$1001,0),1)&gt;=100000,INDEX($V$1005:$AE$1005,1,MATCH(COLUMNS($V$1006:Z1006),$V$1006:$AE$1006,0))&gt;=100000), " ",IF(INDEX($V$2:$AE$1001,MATCH(ROWS($O$2:O583),$O$2:$O$1001,0),MATCH(COLUMNS($V$1006:Z1006),$V$1006:$AE$1006,0)), HYPERLINK("#",""), HYPERLINK(CONCATENATE("#Metadata!", ADDRESS(INDEX($Q$2:$Q$1001,MATCH(ROWS($O$2:O583),$O$2:$O$1001,0),0), INDEX($V$1004:$AE$1004,1,MATCH(COLUMNS($V$1006:Z1006),$V$1006:$AE$1006,0)))),"Fix")))</f>
        <v>0</v>
      </c>
      <c r="G583" s="3">
        <f>IF(OR(INDEX($P$2:$P$1001,MATCH(ROWS($O$2:O583),$O$2:$O$1001,0),1)&gt;=100000,INDEX($V$1005:$AE$1005,1,MATCH(COLUMNS($V$1006:AA1006),$V$1006:$AE$1006,0))&gt;=100000), " ",IF(INDEX($V$2:$AE$1001,MATCH(ROWS($O$2:O583),$O$2:$O$1001,0),MATCH(COLUMNS($V$1006:AA1006),$V$1006:$AE$1006,0)), HYPERLINK("#",""), HYPERLINK(CONCATENATE("#Metadata!", ADDRESS(INDEX($Q$2:$Q$1001,MATCH(ROWS($O$2:O583),$O$2:$O$1001,0),0), INDEX($V$1004:$AE$1004,1,MATCH(COLUMNS($V$1006:AA1006),$V$1006:$AE$1006,0)))),"Fix")))</f>
        <v>0</v>
      </c>
      <c r="H583" s="3">
        <f>IF(OR(INDEX($P$2:$P$1001,MATCH(ROWS($O$2:O583),$O$2:$O$1001,0),1)&gt;=100000,INDEX($V$1005:$AE$1005,1,MATCH(COLUMNS($V$1006:AB1006),$V$1006:$AE$1006,0))&gt;=100000), " ",IF(INDEX($V$2:$AE$1001,MATCH(ROWS($O$2:O583),$O$2:$O$1001,0),MATCH(COLUMNS($V$1006:AB1006),$V$1006:$AE$1006,0)), HYPERLINK("#",""), HYPERLINK(CONCATENATE("#Metadata!", ADDRESS(INDEX($Q$2:$Q$1001,MATCH(ROWS($O$2:O583),$O$2:$O$1001,0),0), INDEX($V$1004:$AE$1004,1,MATCH(COLUMNS($V$1006:AB1006),$V$1006:$AE$1006,0)))),"Fix")))</f>
        <v>0</v>
      </c>
      <c r="I583" s="3">
        <f>IF(OR(INDEX($P$2:$P$1001,MATCH(ROWS($O$2:O583),$O$2:$O$1001,0),1)&gt;=100000,INDEX($V$1005:$AE$1005,1,MATCH(COLUMNS($V$1006:AC1006),$V$1006:$AE$1006,0))&gt;=100000), " ",IF(INDEX($V$2:$AE$1001,MATCH(ROWS($O$2:O583),$O$2:$O$1001,0),MATCH(COLUMNS($V$1006:AC1006),$V$1006:$AE$1006,0)), HYPERLINK("#",""), HYPERLINK(CONCATENATE("#Metadata!", ADDRESS(INDEX($Q$2:$Q$1001,MATCH(ROWS($O$2:O583),$O$2:$O$1001,0),0), INDEX($V$1004:$AE$1004,1,MATCH(COLUMNS($V$1006:AC1006),$V$1006:$AE$1006,0)))),"Fix")))</f>
        <v>0</v>
      </c>
      <c r="J583" s="3">
        <f>IF(OR(INDEX($P$2:$P$1001,MATCH(ROWS($O$2:O583),$O$2:$O$1001,0),1)&gt;=100000,INDEX($V$1005:$AE$1005,1,MATCH(COLUMNS($V$1006:AD1006),$V$1006:$AE$1006,0))&gt;=100000), " ",IF(INDEX($V$2:$AE$1001,MATCH(ROWS($O$2:O583),$O$2:$O$1001,0),MATCH(COLUMNS($V$1006:AD1006),$V$1006:$AE$1006,0)), HYPERLINK("#",""), HYPERLINK(CONCATENATE("#Metadata!", ADDRESS(INDEX($Q$2:$Q$1001,MATCH(ROWS($O$2:O583),$O$2:$O$1001,0),0), INDEX($V$1004:$AE$1004,1,MATCH(COLUMNS($V$1006:AD1006),$V$1006:$AE$1006,0)))),"Fix")))</f>
        <v>0</v>
      </c>
      <c r="K583" s="3">
        <f>IF(OR(INDEX($P$2:$P$1001,MATCH(ROWS($O$2:O583),$O$2:$O$1001,0),1)&gt;=100000,INDEX($V$1005:$AE$1005,1,MATCH(COLUMNS($V$1006:AE1006),$V$1006:$AE$1006,0))&gt;=100000), " ",IF(INDEX($V$2:$AE$1001,MATCH(ROWS($O$2:O583),$O$2:$O$1001,0),MATCH(COLUMNS($V$1006:AE1006),$V$1006:$AE$1006,0)), HYPERLINK("#",""), HYPERLINK(CONCATENATE("#Metadata!", ADDRESS(INDEX($Q$2:$Q$1001,MATCH(ROWS($O$2:O583),$O$2:$O$1001,0),0), INDEX($V$1004:$AE$1004,1,MATCH(COLUMNS($V$1006:AE1006),$V$1006:$AE$1006,0)))),"Fix")))</f>
        <v>0</v>
      </c>
      <c r="O583">
        <v>0</v>
      </c>
      <c r="P583">
        <v>0</v>
      </c>
      <c r="Q583">
        <v>0</v>
      </c>
      <c r="R583">
        <f>IF(S583,TRUE,AND(V583:AE583))</f>
        <v>0</v>
      </c>
      <c r="S583">
        <f>COUNTBLANK(Metadata!B583:K583)=COLUMNS(Metadata!B583:K583)</f>
        <v>0</v>
      </c>
      <c r="T583">
        <v>0</v>
      </c>
      <c r="V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W583">
        <f>AND(IF(Metadata!C583="",FALSE,TRUE),exact(Metadata!C583,"animal secretion"))</f>
        <v>0</v>
      </c>
      <c r="X583">
        <f>AND(IF(Metadata!D583="",FALSE,TRUE),exact(Metadata!D583,"saliva"))</f>
        <v>0</v>
      </c>
      <c r="Y583">
        <f>AND(IF(Metadata!E583="",FALSE,TRUE),exact(Metadata!E583,"human-oral"))</f>
        <v>0</v>
      </c>
      <c r="Z583">
        <f>AND(IF(Metadata!F583="",FALSE,TRUE),exact(Metadata!F583,"UBERON:oral cavity"))</f>
        <v>0</v>
      </c>
      <c r="AA583">
        <f>AND(IF(Metadata!G583="",FALSE,TRUE),exact(Metadata!G583,"UBERON:saliva"))</f>
        <v>0</v>
      </c>
      <c r="AB583">
        <f>AND(IF(Metadata!H583="",FALSE,TRUE),exact(Metadata!H583,"UBERON:tongue"))</f>
        <v>0</v>
      </c>
      <c r="AC583">
        <f>AND(IF(Metadata!I583="",FALSE,TRUE),exact(Metadata!I583,"tongue"))</f>
        <v>0</v>
      </c>
      <c r="AD583">
        <f>AND(IF(Metadata!J583="",FALSE,TRUE),exact(Metadata!J583,"human oral metagenome"))</f>
        <v>0</v>
      </c>
      <c r="AE583">
        <f>AND(IF(Metadata!K583="",FALSE,TRUE),exact(Metadata!K583,"447426"))</f>
        <v>0</v>
      </c>
    </row>
    <row r="584" spans="1:31">
      <c r="A584" s="4">
        <f>IF(B584=" "," ",HYPERLINK(CONCATENATE("#metadata!",ADDRESS(INDEX($Q$2:$Q$1001,MATCH(ROWS($O$2:O584),$O$2:$O$1001,0),0),1)),INDEX($T$2:$T$1001,MATCH(ROWS($O$2:O584),$O$2:$O$1001,0),0)))</f>
        <v>0</v>
      </c>
      <c r="B584" s="3">
        <f>IF(OR(INDEX($P$2:$P$1001,MATCH(ROWS($O$2:O584),$O$2:$O$1001,0),1)&gt;=100000,INDEX($V$1005:$AE$1005,1,MATCH(COLUMNS($V$1006:V1006),$V$1006:$AE$1006,0))&gt;=100000), " ",IF(INDEX($V$2:$AE$1001,MATCH(ROWS($O$2:O584),$O$2:$O$1001,0),MATCH(COLUMNS($V$1006:V1006),$V$1006:$AE$1006,0)), HYPERLINK("#",""), HYPERLINK(CONCATENATE("#Metadata!", ADDRESS(INDEX($Q$2:$Q$1001,MATCH(ROWS($O$2:O584),$O$2:$O$1001,0),0), INDEX($V$1004:$AE$1004,1,MATCH(COLUMNS($V$1006:V1006),$V$1006:$AE$1006,0)))),"Fix")))</f>
        <v>0</v>
      </c>
      <c r="C584" s="3">
        <f>IF(OR(INDEX($P$2:$P$1001,MATCH(ROWS($O$2:O584),$O$2:$O$1001,0),1)&gt;=100000,INDEX($V$1005:$AE$1005,1,MATCH(COLUMNS($V$1006:W1006),$V$1006:$AE$1006,0))&gt;=100000), " ",IF(INDEX($V$2:$AE$1001,MATCH(ROWS($O$2:O584),$O$2:$O$1001,0),MATCH(COLUMNS($V$1006:W1006),$V$1006:$AE$1006,0)), HYPERLINK("#",""), HYPERLINK(CONCATENATE("#Metadata!", ADDRESS(INDEX($Q$2:$Q$1001,MATCH(ROWS($O$2:O584),$O$2:$O$1001,0),0), INDEX($V$1004:$AE$1004,1,MATCH(COLUMNS($V$1006:W1006),$V$1006:$AE$1006,0)))),"Fix")))</f>
        <v>0</v>
      </c>
      <c r="D584" s="3">
        <f>IF(OR(INDEX($P$2:$P$1001,MATCH(ROWS($O$2:O584),$O$2:$O$1001,0),1)&gt;=100000,INDEX($V$1005:$AE$1005,1,MATCH(COLUMNS($V$1006:X1006),$V$1006:$AE$1006,0))&gt;=100000), " ",IF(INDEX($V$2:$AE$1001,MATCH(ROWS($O$2:O584),$O$2:$O$1001,0),MATCH(COLUMNS($V$1006:X1006),$V$1006:$AE$1006,0)), HYPERLINK("#",""), HYPERLINK(CONCATENATE("#Metadata!", ADDRESS(INDEX($Q$2:$Q$1001,MATCH(ROWS($O$2:O584),$O$2:$O$1001,0),0), INDEX($V$1004:$AE$1004,1,MATCH(COLUMNS($V$1006:X1006),$V$1006:$AE$1006,0)))),"Fix")))</f>
        <v>0</v>
      </c>
      <c r="E584" s="3">
        <f>IF(OR(INDEX($P$2:$P$1001,MATCH(ROWS($O$2:O584),$O$2:$O$1001,0),1)&gt;=100000,INDEX($V$1005:$AE$1005,1,MATCH(COLUMNS($V$1006:Y1006),$V$1006:$AE$1006,0))&gt;=100000), " ",IF(INDEX($V$2:$AE$1001,MATCH(ROWS($O$2:O584),$O$2:$O$1001,0),MATCH(COLUMNS($V$1006:Y1006),$V$1006:$AE$1006,0)), HYPERLINK("#",""), HYPERLINK(CONCATENATE("#Metadata!", ADDRESS(INDEX($Q$2:$Q$1001,MATCH(ROWS($O$2:O584),$O$2:$O$1001,0),0), INDEX($V$1004:$AE$1004,1,MATCH(COLUMNS($V$1006:Y1006),$V$1006:$AE$1006,0)))),"Fix")))</f>
        <v>0</v>
      </c>
      <c r="F584" s="3">
        <f>IF(OR(INDEX($P$2:$P$1001,MATCH(ROWS($O$2:O584),$O$2:$O$1001,0),1)&gt;=100000,INDEX($V$1005:$AE$1005,1,MATCH(COLUMNS($V$1006:Z1006),$V$1006:$AE$1006,0))&gt;=100000), " ",IF(INDEX($V$2:$AE$1001,MATCH(ROWS($O$2:O584),$O$2:$O$1001,0),MATCH(COLUMNS($V$1006:Z1006),$V$1006:$AE$1006,0)), HYPERLINK("#",""), HYPERLINK(CONCATENATE("#Metadata!", ADDRESS(INDEX($Q$2:$Q$1001,MATCH(ROWS($O$2:O584),$O$2:$O$1001,0),0), INDEX($V$1004:$AE$1004,1,MATCH(COLUMNS($V$1006:Z1006),$V$1006:$AE$1006,0)))),"Fix")))</f>
        <v>0</v>
      </c>
      <c r="G584" s="3">
        <f>IF(OR(INDEX($P$2:$P$1001,MATCH(ROWS($O$2:O584),$O$2:$O$1001,0),1)&gt;=100000,INDEX($V$1005:$AE$1005,1,MATCH(COLUMNS($V$1006:AA1006),$V$1006:$AE$1006,0))&gt;=100000), " ",IF(INDEX($V$2:$AE$1001,MATCH(ROWS($O$2:O584),$O$2:$O$1001,0),MATCH(COLUMNS($V$1006:AA1006),$V$1006:$AE$1006,0)), HYPERLINK("#",""), HYPERLINK(CONCATENATE("#Metadata!", ADDRESS(INDEX($Q$2:$Q$1001,MATCH(ROWS($O$2:O584),$O$2:$O$1001,0),0), INDEX($V$1004:$AE$1004,1,MATCH(COLUMNS($V$1006:AA1006),$V$1006:$AE$1006,0)))),"Fix")))</f>
        <v>0</v>
      </c>
      <c r="H584" s="3">
        <f>IF(OR(INDEX($P$2:$P$1001,MATCH(ROWS($O$2:O584),$O$2:$O$1001,0),1)&gt;=100000,INDEX($V$1005:$AE$1005,1,MATCH(COLUMNS($V$1006:AB1006),$V$1006:$AE$1006,0))&gt;=100000), " ",IF(INDEX($V$2:$AE$1001,MATCH(ROWS($O$2:O584),$O$2:$O$1001,0),MATCH(COLUMNS($V$1006:AB1006),$V$1006:$AE$1006,0)), HYPERLINK("#",""), HYPERLINK(CONCATENATE("#Metadata!", ADDRESS(INDEX($Q$2:$Q$1001,MATCH(ROWS($O$2:O584),$O$2:$O$1001,0),0), INDEX($V$1004:$AE$1004,1,MATCH(COLUMNS($V$1006:AB1006),$V$1006:$AE$1006,0)))),"Fix")))</f>
        <v>0</v>
      </c>
      <c r="I584" s="3">
        <f>IF(OR(INDEX($P$2:$P$1001,MATCH(ROWS($O$2:O584),$O$2:$O$1001,0),1)&gt;=100000,INDEX($V$1005:$AE$1005,1,MATCH(COLUMNS($V$1006:AC1006),$V$1006:$AE$1006,0))&gt;=100000), " ",IF(INDEX($V$2:$AE$1001,MATCH(ROWS($O$2:O584),$O$2:$O$1001,0),MATCH(COLUMNS($V$1006:AC1006),$V$1006:$AE$1006,0)), HYPERLINK("#",""), HYPERLINK(CONCATENATE("#Metadata!", ADDRESS(INDEX($Q$2:$Q$1001,MATCH(ROWS($O$2:O584),$O$2:$O$1001,0),0), INDEX($V$1004:$AE$1004,1,MATCH(COLUMNS($V$1006:AC1006),$V$1006:$AE$1006,0)))),"Fix")))</f>
        <v>0</v>
      </c>
      <c r="J584" s="3">
        <f>IF(OR(INDEX($P$2:$P$1001,MATCH(ROWS($O$2:O584),$O$2:$O$1001,0),1)&gt;=100000,INDEX($V$1005:$AE$1005,1,MATCH(COLUMNS($V$1006:AD1006),$V$1006:$AE$1006,0))&gt;=100000), " ",IF(INDEX($V$2:$AE$1001,MATCH(ROWS($O$2:O584),$O$2:$O$1001,0),MATCH(COLUMNS($V$1006:AD1006),$V$1006:$AE$1006,0)), HYPERLINK("#",""), HYPERLINK(CONCATENATE("#Metadata!", ADDRESS(INDEX($Q$2:$Q$1001,MATCH(ROWS($O$2:O584),$O$2:$O$1001,0),0), INDEX($V$1004:$AE$1004,1,MATCH(COLUMNS($V$1006:AD1006),$V$1006:$AE$1006,0)))),"Fix")))</f>
        <v>0</v>
      </c>
      <c r="K584" s="3">
        <f>IF(OR(INDEX($P$2:$P$1001,MATCH(ROWS($O$2:O584),$O$2:$O$1001,0),1)&gt;=100000,INDEX($V$1005:$AE$1005,1,MATCH(COLUMNS($V$1006:AE1006),$V$1006:$AE$1006,0))&gt;=100000), " ",IF(INDEX($V$2:$AE$1001,MATCH(ROWS($O$2:O584),$O$2:$O$1001,0),MATCH(COLUMNS($V$1006:AE1006),$V$1006:$AE$1006,0)), HYPERLINK("#",""), HYPERLINK(CONCATENATE("#Metadata!", ADDRESS(INDEX($Q$2:$Q$1001,MATCH(ROWS($O$2:O584),$O$2:$O$1001,0),0), INDEX($V$1004:$AE$1004,1,MATCH(COLUMNS($V$1006:AE1006),$V$1006:$AE$1006,0)))),"Fix")))</f>
        <v>0</v>
      </c>
      <c r="O584">
        <v>0</v>
      </c>
      <c r="P584">
        <v>0</v>
      </c>
      <c r="Q584">
        <v>0</v>
      </c>
      <c r="R584">
        <f>IF(S584,TRUE,AND(V584:AE584))</f>
        <v>0</v>
      </c>
      <c r="S584">
        <f>COUNTBLANK(Metadata!B584:K584)=COLUMNS(Metadata!B584:K584)</f>
        <v>0</v>
      </c>
      <c r="T584">
        <v>0</v>
      </c>
      <c r="V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W584">
        <f>AND(IF(Metadata!C584="",FALSE,TRUE),exact(Metadata!C584,"animal secretion"))</f>
        <v>0</v>
      </c>
      <c r="X584">
        <f>AND(IF(Metadata!D584="",FALSE,TRUE),exact(Metadata!D584,"saliva"))</f>
        <v>0</v>
      </c>
      <c r="Y584">
        <f>AND(IF(Metadata!E584="",FALSE,TRUE),exact(Metadata!E584,"human-oral"))</f>
        <v>0</v>
      </c>
      <c r="Z584">
        <f>AND(IF(Metadata!F584="",FALSE,TRUE),exact(Metadata!F584,"UBERON:oral cavity"))</f>
        <v>0</v>
      </c>
      <c r="AA584">
        <f>AND(IF(Metadata!G584="",FALSE,TRUE),exact(Metadata!G584,"UBERON:saliva"))</f>
        <v>0</v>
      </c>
      <c r="AB584">
        <f>AND(IF(Metadata!H584="",FALSE,TRUE),exact(Metadata!H584,"UBERON:tongue"))</f>
        <v>0</v>
      </c>
      <c r="AC584">
        <f>AND(IF(Metadata!I584="",FALSE,TRUE),exact(Metadata!I584,"tongue"))</f>
        <v>0</v>
      </c>
      <c r="AD584">
        <f>AND(IF(Metadata!J584="",FALSE,TRUE),exact(Metadata!J584,"human oral metagenome"))</f>
        <v>0</v>
      </c>
      <c r="AE584">
        <f>AND(IF(Metadata!K584="",FALSE,TRUE),exact(Metadata!K584,"447426"))</f>
        <v>0</v>
      </c>
    </row>
    <row r="585" spans="1:31">
      <c r="A585" s="4">
        <f>IF(B585=" "," ",HYPERLINK(CONCATENATE("#metadata!",ADDRESS(INDEX($Q$2:$Q$1001,MATCH(ROWS($O$2:O585),$O$2:$O$1001,0),0),1)),INDEX($T$2:$T$1001,MATCH(ROWS($O$2:O585),$O$2:$O$1001,0),0)))</f>
        <v>0</v>
      </c>
      <c r="B585" s="3">
        <f>IF(OR(INDEX($P$2:$P$1001,MATCH(ROWS($O$2:O585),$O$2:$O$1001,0),1)&gt;=100000,INDEX($V$1005:$AE$1005,1,MATCH(COLUMNS($V$1006:V1006),$V$1006:$AE$1006,0))&gt;=100000), " ",IF(INDEX($V$2:$AE$1001,MATCH(ROWS($O$2:O585),$O$2:$O$1001,0),MATCH(COLUMNS($V$1006:V1006),$V$1006:$AE$1006,0)), HYPERLINK("#",""), HYPERLINK(CONCATENATE("#Metadata!", ADDRESS(INDEX($Q$2:$Q$1001,MATCH(ROWS($O$2:O585),$O$2:$O$1001,0),0), INDEX($V$1004:$AE$1004,1,MATCH(COLUMNS($V$1006:V1006),$V$1006:$AE$1006,0)))),"Fix")))</f>
        <v>0</v>
      </c>
      <c r="C585" s="3">
        <f>IF(OR(INDEX($P$2:$P$1001,MATCH(ROWS($O$2:O585),$O$2:$O$1001,0),1)&gt;=100000,INDEX($V$1005:$AE$1005,1,MATCH(COLUMNS($V$1006:W1006),$V$1006:$AE$1006,0))&gt;=100000), " ",IF(INDEX($V$2:$AE$1001,MATCH(ROWS($O$2:O585),$O$2:$O$1001,0),MATCH(COLUMNS($V$1006:W1006),$V$1006:$AE$1006,0)), HYPERLINK("#",""), HYPERLINK(CONCATENATE("#Metadata!", ADDRESS(INDEX($Q$2:$Q$1001,MATCH(ROWS($O$2:O585),$O$2:$O$1001,0),0), INDEX($V$1004:$AE$1004,1,MATCH(COLUMNS($V$1006:W1006),$V$1006:$AE$1006,0)))),"Fix")))</f>
        <v>0</v>
      </c>
      <c r="D585" s="3">
        <f>IF(OR(INDEX($P$2:$P$1001,MATCH(ROWS($O$2:O585),$O$2:$O$1001,0),1)&gt;=100000,INDEX($V$1005:$AE$1005,1,MATCH(COLUMNS($V$1006:X1006),$V$1006:$AE$1006,0))&gt;=100000), " ",IF(INDEX($V$2:$AE$1001,MATCH(ROWS($O$2:O585),$O$2:$O$1001,0),MATCH(COLUMNS($V$1006:X1006),$V$1006:$AE$1006,0)), HYPERLINK("#",""), HYPERLINK(CONCATENATE("#Metadata!", ADDRESS(INDEX($Q$2:$Q$1001,MATCH(ROWS($O$2:O585),$O$2:$O$1001,0),0), INDEX($V$1004:$AE$1004,1,MATCH(COLUMNS($V$1006:X1006),$V$1006:$AE$1006,0)))),"Fix")))</f>
        <v>0</v>
      </c>
      <c r="E585" s="3">
        <f>IF(OR(INDEX($P$2:$P$1001,MATCH(ROWS($O$2:O585),$O$2:$O$1001,0),1)&gt;=100000,INDEX($V$1005:$AE$1005,1,MATCH(COLUMNS($V$1006:Y1006),$V$1006:$AE$1006,0))&gt;=100000), " ",IF(INDEX($V$2:$AE$1001,MATCH(ROWS($O$2:O585),$O$2:$O$1001,0),MATCH(COLUMNS($V$1006:Y1006),$V$1006:$AE$1006,0)), HYPERLINK("#",""), HYPERLINK(CONCATENATE("#Metadata!", ADDRESS(INDEX($Q$2:$Q$1001,MATCH(ROWS($O$2:O585),$O$2:$O$1001,0),0), INDEX($V$1004:$AE$1004,1,MATCH(COLUMNS($V$1006:Y1006),$V$1006:$AE$1006,0)))),"Fix")))</f>
        <v>0</v>
      </c>
      <c r="F585" s="3">
        <f>IF(OR(INDEX($P$2:$P$1001,MATCH(ROWS($O$2:O585),$O$2:$O$1001,0),1)&gt;=100000,INDEX($V$1005:$AE$1005,1,MATCH(COLUMNS($V$1006:Z1006),$V$1006:$AE$1006,0))&gt;=100000), " ",IF(INDEX($V$2:$AE$1001,MATCH(ROWS($O$2:O585),$O$2:$O$1001,0),MATCH(COLUMNS($V$1006:Z1006),$V$1006:$AE$1006,0)), HYPERLINK("#",""), HYPERLINK(CONCATENATE("#Metadata!", ADDRESS(INDEX($Q$2:$Q$1001,MATCH(ROWS($O$2:O585),$O$2:$O$1001,0),0), INDEX($V$1004:$AE$1004,1,MATCH(COLUMNS($V$1006:Z1006),$V$1006:$AE$1006,0)))),"Fix")))</f>
        <v>0</v>
      </c>
      <c r="G585" s="3">
        <f>IF(OR(INDEX($P$2:$P$1001,MATCH(ROWS($O$2:O585),$O$2:$O$1001,0),1)&gt;=100000,INDEX($V$1005:$AE$1005,1,MATCH(COLUMNS($V$1006:AA1006),$V$1006:$AE$1006,0))&gt;=100000), " ",IF(INDEX($V$2:$AE$1001,MATCH(ROWS($O$2:O585),$O$2:$O$1001,0),MATCH(COLUMNS($V$1006:AA1006),$V$1006:$AE$1006,0)), HYPERLINK("#",""), HYPERLINK(CONCATENATE("#Metadata!", ADDRESS(INDEX($Q$2:$Q$1001,MATCH(ROWS($O$2:O585),$O$2:$O$1001,0),0), INDEX($V$1004:$AE$1004,1,MATCH(COLUMNS($V$1006:AA1006),$V$1006:$AE$1006,0)))),"Fix")))</f>
        <v>0</v>
      </c>
      <c r="H585" s="3">
        <f>IF(OR(INDEX($P$2:$P$1001,MATCH(ROWS($O$2:O585),$O$2:$O$1001,0),1)&gt;=100000,INDEX($V$1005:$AE$1005,1,MATCH(COLUMNS($V$1006:AB1006),$V$1006:$AE$1006,0))&gt;=100000), " ",IF(INDEX($V$2:$AE$1001,MATCH(ROWS($O$2:O585),$O$2:$O$1001,0),MATCH(COLUMNS($V$1006:AB1006),$V$1006:$AE$1006,0)), HYPERLINK("#",""), HYPERLINK(CONCATENATE("#Metadata!", ADDRESS(INDEX($Q$2:$Q$1001,MATCH(ROWS($O$2:O585),$O$2:$O$1001,0),0), INDEX($V$1004:$AE$1004,1,MATCH(COLUMNS($V$1006:AB1006),$V$1006:$AE$1006,0)))),"Fix")))</f>
        <v>0</v>
      </c>
      <c r="I585" s="3">
        <f>IF(OR(INDEX($P$2:$P$1001,MATCH(ROWS($O$2:O585),$O$2:$O$1001,0),1)&gt;=100000,INDEX($V$1005:$AE$1005,1,MATCH(COLUMNS($V$1006:AC1006),$V$1006:$AE$1006,0))&gt;=100000), " ",IF(INDEX($V$2:$AE$1001,MATCH(ROWS($O$2:O585),$O$2:$O$1001,0),MATCH(COLUMNS($V$1006:AC1006),$V$1006:$AE$1006,0)), HYPERLINK("#",""), HYPERLINK(CONCATENATE("#Metadata!", ADDRESS(INDEX($Q$2:$Q$1001,MATCH(ROWS($O$2:O585),$O$2:$O$1001,0),0), INDEX($V$1004:$AE$1004,1,MATCH(COLUMNS($V$1006:AC1006),$V$1006:$AE$1006,0)))),"Fix")))</f>
        <v>0</v>
      </c>
      <c r="J585" s="3">
        <f>IF(OR(INDEX($P$2:$P$1001,MATCH(ROWS($O$2:O585),$O$2:$O$1001,0),1)&gt;=100000,INDEX($V$1005:$AE$1005,1,MATCH(COLUMNS($V$1006:AD1006),$V$1006:$AE$1006,0))&gt;=100000), " ",IF(INDEX($V$2:$AE$1001,MATCH(ROWS($O$2:O585),$O$2:$O$1001,0),MATCH(COLUMNS($V$1006:AD1006),$V$1006:$AE$1006,0)), HYPERLINK("#",""), HYPERLINK(CONCATENATE("#Metadata!", ADDRESS(INDEX($Q$2:$Q$1001,MATCH(ROWS($O$2:O585),$O$2:$O$1001,0),0), INDEX($V$1004:$AE$1004,1,MATCH(COLUMNS($V$1006:AD1006),$V$1006:$AE$1006,0)))),"Fix")))</f>
        <v>0</v>
      </c>
      <c r="K585" s="3">
        <f>IF(OR(INDEX($P$2:$P$1001,MATCH(ROWS($O$2:O585),$O$2:$O$1001,0),1)&gt;=100000,INDEX($V$1005:$AE$1005,1,MATCH(COLUMNS($V$1006:AE1006),$V$1006:$AE$1006,0))&gt;=100000), " ",IF(INDEX($V$2:$AE$1001,MATCH(ROWS($O$2:O585),$O$2:$O$1001,0),MATCH(COLUMNS($V$1006:AE1006),$V$1006:$AE$1006,0)), HYPERLINK("#",""), HYPERLINK(CONCATENATE("#Metadata!", ADDRESS(INDEX($Q$2:$Q$1001,MATCH(ROWS($O$2:O585),$O$2:$O$1001,0),0), INDEX($V$1004:$AE$1004,1,MATCH(COLUMNS($V$1006:AE1006),$V$1006:$AE$1006,0)))),"Fix")))</f>
        <v>0</v>
      </c>
      <c r="O585">
        <v>0</v>
      </c>
      <c r="P585">
        <v>0</v>
      </c>
      <c r="Q585">
        <v>0</v>
      </c>
      <c r="R585">
        <f>IF(S585,TRUE,AND(V585:AE585))</f>
        <v>0</v>
      </c>
      <c r="S585">
        <f>COUNTBLANK(Metadata!B585:K585)=COLUMNS(Metadata!B585:K585)</f>
        <v>0</v>
      </c>
      <c r="T585">
        <v>0</v>
      </c>
      <c r="V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W585">
        <f>AND(IF(Metadata!C585="",FALSE,TRUE),exact(Metadata!C585,"animal secretion"))</f>
        <v>0</v>
      </c>
      <c r="X585">
        <f>AND(IF(Metadata!D585="",FALSE,TRUE),exact(Metadata!D585,"saliva"))</f>
        <v>0</v>
      </c>
      <c r="Y585">
        <f>AND(IF(Metadata!E585="",FALSE,TRUE),exact(Metadata!E585,"human-oral"))</f>
        <v>0</v>
      </c>
      <c r="Z585">
        <f>AND(IF(Metadata!F585="",FALSE,TRUE),exact(Metadata!F585,"UBERON:oral cavity"))</f>
        <v>0</v>
      </c>
      <c r="AA585">
        <f>AND(IF(Metadata!G585="",FALSE,TRUE),exact(Metadata!G585,"UBERON:saliva"))</f>
        <v>0</v>
      </c>
      <c r="AB585">
        <f>AND(IF(Metadata!H585="",FALSE,TRUE),exact(Metadata!H585,"UBERON:tongue"))</f>
        <v>0</v>
      </c>
      <c r="AC585">
        <f>AND(IF(Metadata!I585="",FALSE,TRUE),exact(Metadata!I585,"tongue"))</f>
        <v>0</v>
      </c>
      <c r="AD585">
        <f>AND(IF(Metadata!J585="",FALSE,TRUE),exact(Metadata!J585,"human oral metagenome"))</f>
        <v>0</v>
      </c>
      <c r="AE585">
        <f>AND(IF(Metadata!K585="",FALSE,TRUE),exact(Metadata!K585,"447426"))</f>
        <v>0</v>
      </c>
    </row>
    <row r="586" spans="1:31">
      <c r="A586" s="4">
        <f>IF(B586=" "," ",HYPERLINK(CONCATENATE("#metadata!",ADDRESS(INDEX($Q$2:$Q$1001,MATCH(ROWS($O$2:O586),$O$2:$O$1001,0),0),1)),INDEX($T$2:$T$1001,MATCH(ROWS($O$2:O586),$O$2:$O$1001,0),0)))</f>
        <v>0</v>
      </c>
      <c r="B586" s="3">
        <f>IF(OR(INDEX($P$2:$P$1001,MATCH(ROWS($O$2:O586),$O$2:$O$1001,0),1)&gt;=100000,INDEX($V$1005:$AE$1005,1,MATCH(COLUMNS($V$1006:V1006),$V$1006:$AE$1006,0))&gt;=100000), " ",IF(INDEX($V$2:$AE$1001,MATCH(ROWS($O$2:O586),$O$2:$O$1001,0),MATCH(COLUMNS($V$1006:V1006),$V$1006:$AE$1006,0)), HYPERLINK("#",""), HYPERLINK(CONCATENATE("#Metadata!", ADDRESS(INDEX($Q$2:$Q$1001,MATCH(ROWS($O$2:O586),$O$2:$O$1001,0),0), INDEX($V$1004:$AE$1004,1,MATCH(COLUMNS($V$1006:V1006),$V$1006:$AE$1006,0)))),"Fix")))</f>
        <v>0</v>
      </c>
      <c r="C586" s="3">
        <f>IF(OR(INDEX($P$2:$P$1001,MATCH(ROWS($O$2:O586),$O$2:$O$1001,0),1)&gt;=100000,INDEX($V$1005:$AE$1005,1,MATCH(COLUMNS($V$1006:W1006),$V$1006:$AE$1006,0))&gt;=100000), " ",IF(INDEX($V$2:$AE$1001,MATCH(ROWS($O$2:O586),$O$2:$O$1001,0),MATCH(COLUMNS($V$1006:W1006),$V$1006:$AE$1006,0)), HYPERLINK("#",""), HYPERLINK(CONCATENATE("#Metadata!", ADDRESS(INDEX($Q$2:$Q$1001,MATCH(ROWS($O$2:O586),$O$2:$O$1001,0),0), INDEX($V$1004:$AE$1004,1,MATCH(COLUMNS($V$1006:W1006),$V$1006:$AE$1006,0)))),"Fix")))</f>
        <v>0</v>
      </c>
      <c r="D586" s="3">
        <f>IF(OR(INDEX($P$2:$P$1001,MATCH(ROWS($O$2:O586),$O$2:$O$1001,0),1)&gt;=100000,INDEX($V$1005:$AE$1005,1,MATCH(COLUMNS($V$1006:X1006),$V$1006:$AE$1006,0))&gt;=100000), " ",IF(INDEX($V$2:$AE$1001,MATCH(ROWS($O$2:O586),$O$2:$O$1001,0),MATCH(COLUMNS($V$1006:X1006),$V$1006:$AE$1006,0)), HYPERLINK("#",""), HYPERLINK(CONCATENATE("#Metadata!", ADDRESS(INDEX($Q$2:$Q$1001,MATCH(ROWS($O$2:O586),$O$2:$O$1001,0),0), INDEX($V$1004:$AE$1004,1,MATCH(COLUMNS($V$1006:X1006),$V$1006:$AE$1006,0)))),"Fix")))</f>
        <v>0</v>
      </c>
      <c r="E586" s="3">
        <f>IF(OR(INDEX($P$2:$P$1001,MATCH(ROWS($O$2:O586),$O$2:$O$1001,0),1)&gt;=100000,INDEX($V$1005:$AE$1005,1,MATCH(COLUMNS($V$1006:Y1006),$V$1006:$AE$1006,0))&gt;=100000), " ",IF(INDEX($V$2:$AE$1001,MATCH(ROWS($O$2:O586),$O$2:$O$1001,0),MATCH(COLUMNS($V$1006:Y1006),$V$1006:$AE$1006,0)), HYPERLINK("#",""), HYPERLINK(CONCATENATE("#Metadata!", ADDRESS(INDEX($Q$2:$Q$1001,MATCH(ROWS($O$2:O586),$O$2:$O$1001,0),0), INDEX($V$1004:$AE$1004,1,MATCH(COLUMNS($V$1006:Y1006),$V$1006:$AE$1006,0)))),"Fix")))</f>
        <v>0</v>
      </c>
      <c r="F586" s="3">
        <f>IF(OR(INDEX($P$2:$P$1001,MATCH(ROWS($O$2:O586),$O$2:$O$1001,0),1)&gt;=100000,INDEX($V$1005:$AE$1005,1,MATCH(COLUMNS($V$1006:Z1006),$V$1006:$AE$1006,0))&gt;=100000), " ",IF(INDEX($V$2:$AE$1001,MATCH(ROWS($O$2:O586),$O$2:$O$1001,0),MATCH(COLUMNS($V$1006:Z1006),$V$1006:$AE$1006,0)), HYPERLINK("#",""), HYPERLINK(CONCATENATE("#Metadata!", ADDRESS(INDEX($Q$2:$Q$1001,MATCH(ROWS($O$2:O586),$O$2:$O$1001,0),0), INDEX($V$1004:$AE$1004,1,MATCH(COLUMNS($V$1006:Z1006),$V$1006:$AE$1006,0)))),"Fix")))</f>
        <v>0</v>
      </c>
      <c r="G586" s="3">
        <f>IF(OR(INDEX($P$2:$P$1001,MATCH(ROWS($O$2:O586),$O$2:$O$1001,0),1)&gt;=100000,INDEX($V$1005:$AE$1005,1,MATCH(COLUMNS($V$1006:AA1006),$V$1006:$AE$1006,0))&gt;=100000), " ",IF(INDEX($V$2:$AE$1001,MATCH(ROWS($O$2:O586),$O$2:$O$1001,0),MATCH(COLUMNS($V$1006:AA1006),$V$1006:$AE$1006,0)), HYPERLINK("#",""), HYPERLINK(CONCATENATE("#Metadata!", ADDRESS(INDEX($Q$2:$Q$1001,MATCH(ROWS($O$2:O586),$O$2:$O$1001,0),0), INDEX($V$1004:$AE$1004,1,MATCH(COLUMNS($V$1006:AA1006),$V$1006:$AE$1006,0)))),"Fix")))</f>
        <v>0</v>
      </c>
      <c r="H586" s="3">
        <f>IF(OR(INDEX($P$2:$P$1001,MATCH(ROWS($O$2:O586),$O$2:$O$1001,0),1)&gt;=100000,INDEX($V$1005:$AE$1005,1,MATCH(COLUMNS($V$1006:AB1006),$V$1006:$AE$1006,0))&gt;=100000), " ",IF(INDEX($V$2:$AE$1001,MATCH(ROWS($O$2:O586),$O$2:$O$1001,0),MATCH(COLUMNS($V$1006:AB1006),$V$1006:$AE$1006,0)), HYPERLINK("#",""), HYPERLINK(CONCATENATE("#Metadata!", ADDRESS(INDEX($Q$2:$Q$1001,MATCH(ROWS($O$2:O586),$O$2:$O$1001,0),0), INDEX($V$1004:$AE$1004,1,MATCH(COLUMNS($V$1006:AB1006),$V$1006:$AE$1006,0)))),"Fix")))</f>
        <v>0</v>
      </c>
      <c r="I586" s="3">
        <f>IF(OR(INDEX($P$2:$P$1001,MATCH(ROWS($O$2:O586),$O$2:$O$1001,0),1)&gt;=100000,INDEX($V$1005:$AE$1005,1,MATCH(COLUMNS($V$1006:AC1006),$V$1006:$AE$1006,0))&gt;=100000), " ",IF(INDEX($V$2:$AE$1001,MATCH(ROWS($O$2:O586),$O$2:$O$1001,0),MATCH(COLUMNS($V$1006:AC1006),$V$1006:$AE$1006,0)), HYPERLINK("#",""), HYPERLINK(CONCATENATE("#Metadata!", ADDRESS(INDEX($Q$2:$Q$1001,MATCH(ROWS($O$2:O586),$O$2:$O$1001,0),0), INDEX($V$1004:$AE$1004,1,MATCH(COLUMNS($V$1006:AC1006),$V$1006:$AE$1006,0)))),"Fix")))</f>
        <v>0</v>
      </c>
      <c r="J586" s="3">
        <f>IF(OR(INDEX($P$2:$P$1001,MATCH(ROWS($O$2:O586),$O$2:$O$1001,0),1)&gt;=100000,INDEX($V$1005:$AE$1005,1,MATCH(COLUMNS($V$1006:AD1006),$V$1006:$AE$1006,0))&gt;=100000), " ",IF(INDEX($V$2:$AE$1001,MATCH(ROWS($O$2:O586),$O$2:$O$1001,0),MATCH(COLUMNS($V$1006:AD1006),$V$1006:$AE$1006,0)), HYPERLINK("#",""), HYPERLINK(CONCATENATE("#Metadata!", ADDRESS(INDEX($Q$2:$Q$1001,MATCH(ROWS($O$2:O586),$O$2:$O$1001,0),0), INDEX($V$1004:$AE$1004,1,MATCH(COLUMNS($V$1006:AD1006),$V$1006:$AE$1006,0)))),"Fix")))</f>
        <v>0</v>
      </c>
      <c r="K586" s="3">
        <f>IF(OR(INDEX($P$2:$P$1001,MATCH(ROWS($O$2:O586),$O$2:$O$1001,0),1)&gt;=100000,INDEX($V$1005:$AE$1005,1,MATCH(COLUMNS($V$1006:AE1006),$V$1006:$AE$1006,0))&gt;=100000), " ",IF(INDEX($V$2:$AE$1001,MATCH(ROWS($O$2:O586),$O$2:$O$1001,0),MATCH(COLUMNS($V$1006:AE1006),$V$1006:$AE$1006,0)), HYPERLINK("#",""), HYPERLINK(CONCATENATE("#Metadata!", ADDRESS(INDEX($Q$2:$Q$1001,MATCH(ROWS($O$2:O586),$O$2:$O$1001,0),0), INDEX($V$1004:$AE$1004,1,MATCH(COLUMNS($V$1006:AE1006),$V$1006:$AE$1006,0)))),"Fix")))</f>
        <v>0</v>
      </c>
      <c r="O586">
        <v>0</v>
      </c>
      <c r="P586">
        <v>0</v>
      </c>
      <c r="Q586">
        <v>0</v>
      </c>
      <c r="R586">
        <f>IF(S586,TRUE,AND(V586:AE586))</f>
        <v>0</v>
      </c>
      <c r="S586">
        <f>COUNTBLANK(Metadata!B586:K586)=COLUMNS(Metadata!B586:K586)</f>
        <v>0</v>
      </c>
      <c r="T586">
        <v>0</v>
      </c>
      <c r="V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W586">
        <f>AND(IF(Metadata!C586="",FALSE,TRUE),exact(Metadata!C586,"animal secretion"))</f>
        <v>0</v>
      </c>
      <c r="X586">
        <f>AND(IF(Metadata!D586="",FALSE,TRUE),exact(Metadata!D586,"saliva"))</f>
        <v>0</v>
      </c>
      <c r="Y586">
        <f>AND(IF(Metadata!E586="",FALSE,TRUE),exact(Metadata!E586,"human-oral"))</f>
        <v>0</v>
      </c>
      <c r="Z586">
        <f>AND(IF(Metadata!F586="",FALSE,TRUE),exact(Metadata!F586,"UBERON:oral cavity"))</f>
        <v>0</v>
      </c>
      <c r="AA586">
        <f>AND(IF(Metadata!G586="",FALSE,TRUE),exact(Metadata!G586,"UBERON:saliva"))</f>
        <v>0</v>
      </c>
      <c r="AB586">
        <f>AND(IF(Metadata!H586="",FALSE,TRUE),exact(Metadata!H586,"UBERON:tongue"))</f>
        <v>0</v>
      </c>
      <c r="AC586">
        <f>AND(IF(Metadata!I586="",FALSE,TRUE),exact(Metadata!I586,"tongue"))</f>
        <v>0</v>
      </c>
      <c r="AD586">
        <f>AND(IF(Metadata!J586="",FALSE,TRUE),exact(Metadata!J586,"human oral metagenome"))</f>
        <v>0</v>
      </c>
      <c r="AE586">
        <f>AND(IF(Metadata!K586="",FALSE,TRUE),exact(Metadata!K586,"447426"))</f>
        <v>0</v>
      </c>
    </row>
    <row r="587" spans="1:31">
      <c r="A587" s="4">
        <f>IF(B587=" "," ",HYPERLINK(CONCATENATE("#metadata!",ADDRESS(INDEX($Q$2:$Q$1001,MATCH(ROWS($O$2:O587),$O$2:$O$1001,0),0),1)),INDEX($T$2:$T$1001,MATCH(ROWS($O$2:O587),$O$2:$O$1001,0),0)))</f>
        <v>0</v>
      </c>
      <c r="B587" s="3">
        <f>IF(OR(INDEX($P$2:$P$1001,MATCH(ROWS($O$2:O587),$O$2:$O$1001,0),1)&gt;=100000,INDEX($V$1005:$AE$1005,1,MATCH(COLUMNS($V$1006:V1006),$V$1006:$AE$1006,0))&gt;=100000), " ",IF(INDEX($V$2:$AE$1001,MATCH(ROWS($O$2:O587),$O$2:$O$1001,0),MATCH(COLUMNS($V$1006:V1006),$V$1006:$AE$1006,0)), HYPERLINK("#",""), HYPERLINK(CONCATENATE("#Metadata!", ADDRESS(INDEX($Q$2:$Q$1001,MATCH(ROWS($O$2:O587),$O$2:$O$1001,0),0), INDEX($V$1004:$AE$1004,1,MATCH(COLUMNS($V$1006:V1006),$V$1006:$AE$1006,0)))),"Fix")))</f>
        <v>0</v>
      </c>
      <c r="C587" s="3">
        <f>IF(OR(INDEX($P$2:$P$1001,MATCH(ROWS($O$2:O587),$O$2:$O$1001,0),1)&gt;=100000,INDEX($V$1005:$AE$1005,1,MATCH(COLUMNS($V$1006:W1006),$V$1006:$AE$1006,0))&gt;=100000), " ",IF(INDEX($V$2:$AE$1001,MATCH(ROWS($O$2:O587),$O$2:$O$1001,0),MATCH(COLUMNS($V$1006:W1006),$V$1006:$AE$1006,0)), HYPERLINK("#",""), HYPERLINK(CONCATENATE("#Metadata!", ADDRESS(INDEX($Q$2:$Q$1001,MATCH(ROWS($O$2:O587),$O$2:$O$1001,0),0), INDEX($V$1004:$AE$1004,1,MATCH(COLUMNS($V$1006:W1006),$V$1006:$AE$1006,0)))),"Fix")))</f>
        <v>0</v>
      </c>
      <c r="D587" s="3">
        <f>IF(OR(INDEX($P$2:$P$1001,MATCH(ROWS($O$2:O587),$O$2:$O$1001,0),1)&gt;=100000,INDEX($V$1005:$AE$1005,1,MATCH(COLUMNS($V$1006:X1006),$V$1006:$AE$1006,0))&gt;=100000), " ",IF(INDEX($V$2:$AE$1001,MATCH(ROWS($O$2:O587),$O$2:$O$1001,0),MATCH(COLUMNS($V$1006:X1006),$V$1006:$AE$1006,0)), HYPERLINK("#",""), HYPERLINK(CONCATENATE("#Metadata!", ADDRESS(INDEX($Q$2:$Q$1001,MATCH(ROWS($O$2:O587),$O$2:$O$1001,0),0), INDEX($V$1004:$AE$1004,1,MATCH(COLUMNS($V$1006:X1006),$V$1006:$AE$1006,0)))),"Fix")))</f>
        <v>0</v>
      </c>
      <c r="E587" s="3">
        <f>IF(OR(INDEX($P$2:$P$1001,MATCH(ROWS($O$2:O587),$O$2:$O$1001,0),1)&gt;=100000,INDEX($V$1005:$AE$1005,1,MATCH(COLUMNS($V$1006:Y1006),$V$1006:$AE$1006,0))&gt;=100000), " ",IF(INDEX($V$2:$AE$1001,MATCH(ROWS($O$2:O587),$O$2:$O$1001,0),MATCH(COLUMNS($V$1006:Y1006),$V$1006:$AE$1006,0)), HYPERLINK("#",""), HYPERLINK(CONCATENATE("#Metadata!", ADDRESS(INDEX($Q$2:$Q$1001,MATCH(ROWS($O$2:O587),$O$2:$O$1001,0),0), INDEX($V$1004:$AE$1004,1,MATCH(COLUMNS($V$1006:Y1006),$V$1006:$AE$1006,0)))),"Fix")))</f>
        <v>0</v>
      </c>
      <c r="F587" s="3">
        <f>IF(OR(INDEX($P$2:$P$1001,MATCH(ROWS($O$2:O587),$O$2:$O$1001,0),1)&gt;=100000,INDEX($V$1005:$AE$1005,1,MATCH(COLUMNS($V$1006:Z1006),$V$1006:$AE$1006,0))&gt;=100000), " ",IF(INDEX($V$2:$AE$1001,MATCH(ROWS($O$2:O587),$O$2:$O$1001,0),MATCH(COLUMNS($V$1006:Z1006),$V$1006:$AE$1006,0)), HYPERLINK("#",""), HYPERLINK(CONCATENATE("#Metadata!", ADDRESS(INDEX($Q$2:$Q$1001,MATCH(ROWS($O$2:O587),$O$2:$O$1001,0),0), INDEX($V$1004:$AE$1004,1,MATCH(COLUMNS($V$1006:Z1006),$V$1006:$AE$1006,0)))),"Fix")))</f>
        <v>0</v>
      </c>
      <c r="G587" s="3">
        <f>IF(OR(INDEX($P$2:$P$1001,MATCH(ROWS($O$2:O587),$O$2:$O$1001,0),1)&gt;=100000,INDEX($V$1005:$AE$1005,1,MATCH(COLUMNS($V$1006:AA1006),$V$1006:$AE$1006,0))&gt;=100000), " ",IF(INDEX($V$2:$AE$1001,MATCH(ROWS($O$2:O587),$O$2:$O$1001,0),MATCH(COLUMNS($V$1006:AA1006),$V$1006:$AE$1006,0)), HYPERLINK("#",""), HYPERLINK(CONCATENATE("#Metadata!", ADDRESS(INDEX($Q$2:$Q$1001,MATCH(ROWS($O$2:O587),$O$2:$O$1001,0),0), INDEX($V$1004:$AE$1004,1,MATCH(COLUMNS($V$1006:AA1006),$V$1006:$AE$1006,0)))),"Fix")))</f>
        <v>0</v>
      </c>
      <c r="H587" s="3">
        <f>IF(OR(INDEX($P$2:$P$1001,MATCH(ROWS($O$2:O587),$O$2:$O$1001,0),1)&gt;=100000,INDEX($V$1005:$AE$1005,1,MATCH(COLUMNS($V$1006:AB1006),$V$1006:$AE$1006,0))&gt;=100000), " ",IF(INDEX($V$2:$AE$1001,MATCH(ROWS($O$2:O587),$O$2:$O$1001,0),MATCH(COLUMNS($V$1006:AB1006),$V$1006:$AE$1006,0)), HYPERLINK("#",""), HYPERLINK(CONCATENATE("#Metadata!", ADDRESS(INDEX($Q$2:$Q$1001,MATCH(ROWS($O$2:O587),$O$2:$O$1001,0),0), INDEX($V$1004:$AE$1004,1,MATCH(COLUMNS($V$1006:AB1006),$V$1006:$AE$1006,0)))),"Fix")))</f>
        <v>0</v>
      </c>
      <c r="I587" s="3">
        <f>IF(OR(INDEX($P$2:$P$1001,MATCH(ROWS($O$2:O587),$O$2:$O$1001,0),1)&gt;=100000,INDEX($V$1005:$AE$1005,1,MATCH(COLUMNS($V$1006:AC1006),$V$1006:$AE$1006,0))&gt;=100000), " ",IF(INDEX($V$2:$AE$1001,MATCH(ROWS($O$2:O587),$O$2:$O$1001,0),MATCH(COLUMNS($V$1006:AC1006),$V$1006:$AE$1006,0)), HYPERLINK("#",""), HYPERLINK(CONCATENATE("#Metadata!", ADDRESS(INDEX($Q$2:$Q$1001,MATCH(ROWS($O$2:O587),$O$2:$O$1001,0),0), INDEX($V$1004:$AE$1004,1,MATCH(COLUMNS($V$1006:AC1006),$V$1006:$AE$1006,0)))),"Fix")))</f>
        <v>0</v>
      </c>
      <c r="J587" s="3">
        <f>IF(OR(INDEX($P$2:$P$1001,MATCH(ROWS($O$2:O587),$O$2:$O$1001,0),1)&gt;=100000,INDEX($V$1005:$AE$1005,1,MATCH(COLUMNS($V$1006:AD1006),$V$1006:$AE$1006,0))&gt;=100000), " ",IF(INDEX($V$2:$AE$1001,MATCH(ROWS($O$2:O587),$O$2:$O$1001,0),MATCH(COLUMNS($V$1006:AD1006),$V$1006:$AE$1006,0)), HYPERLINK("#",""), HYPERLINK(CONCATENATE("#Metadata!", ADDRESS(INDEX($Q$2:$Q$1001,MATCH(ROWS($O$2:O587),$O$2:$O$1001,0),0), INDEX($V$1004:$AE$1004,1,MATCH(COLUMNS($V$1006:AD1006),$V$1006:$AE$1006,0)))),"Fix")))</f>
        <v>0</v>
      </c>
      <c r="K587" s="3">
        <f>IF(OR(INDEX($P$2:$P$1001,MATCH(ROWS($O$2:O587),$O$2:$O$1001,0),1)&gt;=100000,INDEX($V$1005:$AE$1005,1,MATCH(COLUMNS($V$1006:AE1006),$V$1006:$AE$1006,0))&gt;=100000), " ",IF(INDEX($V$2:$AE$1001,MATCH(ROWS($O$2:O587),$O$2:$O$1001,0),MATCH(COLUMNS($V$1006:AE1006),$V$1006:$AE$1006,0)), HYPERLINK("#",""), HYPERLINK(CONCATENATE("#Metadata!", ADDRESS(INDEX($Q$2:$Q$1001,MATCH(ROWS($O$2:O587),$O$2:$O$1001,0),0), INDEX($V$1004:$AE$1004,1,MATCH(COLUMNS($V$1006:AE1006),$V$1006:$AE$1006,0)))),"Fix")))</f>
        <v>0</v>
      </c>
      <c r="O587">
        <v>0</v>
      </c>
      <c r="P587">
        <v>0</v>
      </c>
      <c r="Q587">
        <v>0</v>
      </c>
      <c r="R587">
        <f>IF(S587,TRUE,AND(V587:AE587))</f>
        <v>0</v>
      </c>
      <c r="S587">
        <f>COUNTBLANK(Metadata!B587:K587)=COLUMNS(Metadata!B587:K587)</f>
        <v>0</v>
      </c>
      <c r="T587">
        <v>0</v>
      </c>
      <c r="V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W587">
        <f>AND(IF(Metadata!C587="",FALSE,TRUE),exact(Metadata!C587,"animal secretion"))</f>
        <v>0</v>
      </c>
      <c r="X587">
        <f>AND(IF(Metadata!D587="",FALSE,TRUE),exact(Metadata!D587,"saliva"))</f>
        <v>0</v>
      </c>
      <c r="Y587">
        <f>AND(IF(Metadata!E587="",FALSE,TRUE),exact(Metadata!E587,"human-oral"))</f>
        <v>0</v>
      </c>
      <c r="Z587">
        <f>AND(IF(Metadata!F587="",FALSE,TRUE),exact(Metadata!F587,"UBERON:oral cavity"))</f>
        <v>0</v>
      </c>
      <c r="AA587">
        <f>AND(IF(Metadata!G587="",FALSE,TRUE),exact(Metadata!G587,"UBERON:saliva"))</f>
        <v>0</v>
      </c>
      <c r="AB587">
        <f>AND(IF(Metadata!H587="",FALSE,TRUE),exact(Metadata!H587,"UBERON:tongue"))</f>
        <v>0</v>
      </c>
      <c r="AC587">
        <f>AND(IF(Metadata!I587="",FALSE,TRUE),exact(Metadata!I587,"tongue"))</f>
        <v>0</v>
      </c>
      <c r="AD587">
        <f>AND(IF(Metadata!J587="",FALSE,TRUE),exact(Metadata!J587,"human oral metagenome"))</f>
        <v>0</v>
      </c>
      <c r="AE587">
        <f>AND(IF(Metadata!K587="",FALSE,TRUE),exact(Metadata!K587,"447426"))</f>
        <v>0</v>
      </c>
    </row>
    <row r="588" spans="1:31">
      <c r="A588" s="4">
        <f>IF(B588=" "," ",HYPERLINK(CONCATENATE("#metadata!",ADDRESS(INDEX($Q$2:$Q$1001,MATCH(ROWS($O$2:O588),$O$2:$O$1001,0),0),1)),INDEX($T$2:$T$1001,MATCH(ROWS($O$2:O588),$O$2:$O$1001,0),0)))</f>
        <v>0</v>
      </c>
      <c r="B588" s="3">
        <f>IF(OR(INDEX($P$2:$P$1001,MATCH(ROWS($O$2:O588),$O$2:$O$1001,0),1)&gt;=100000,INDEX($V$1005:$AE$1005,1,MATCH(COLUMNS($V$1006:V1006),$V$1006:$AE$1006,0))&gt;=100000), " ",IF(INDEX($V$2:$AE$1001,MATCH(ROWS($O$2:O588),$O$2:$O$1001,0),MATCH(COLUMNS($V$1006:V1006),$V$1006:$AE$1006,0)), HYPERLINK("#",""), HYPERLINK(CONCATENATE("#Metadata!", ADDRESS(INDEX($Q$2:$Q$1001,MATCH(ROWS($O$2:O588),$O$2:$O$1001,0),0), INDEX($V$1004:$AE$1004,1,MATCH(COLUMNS($V$1006:V1006),$V$1006:$AE$1006,0)))),"Fix")))</f>
        <v>0</v>
      </c>
      <c r="C588" s="3">
        <f>IF(OR(INDEX($P$2:$P$1001,MATCH(ROWS($O$2:O588),$O$2:$O$1001,0),1)&gt;=100000,INDEX($V$1005:$AE$1005,1,MATCH(COLUMNS($V$1006:W1006),$V$1006:$AE$1006,0))&gt;=100000), " ",IF(INDEX($V$2:$AE$1001,MATCH(ROWS($O$2:O588),$O$2:$O$1001,0),MATCH(COLUMNS($V$1006:W1006),$V$1006:$AE$1006,0)), HYPERLINK("#",""), HYPERLINK(CONCATENATE("#Metadata!", ADDRESS(INDEX($Q$2:$Q$1001,MATCH(ROWS($O$2:O588),$O$2:$O$1001,0),0), INDEX($V$1004:$AE$1004,1,MATCH(COLUMNS($V$1006:W1006),$V$1006:$AE$1006,0)))),"Fix")))</f>
        <v>0</v>
      </c>
      <c r="D588" s="3">
        <f>IF(OR(INDEX($P$2:$P$1001,MATCH(ROWS($O$2:O588),$O$2:$O$1001,0),1)&gt;=100000,INDEX($V$1005:$AE$1005,1,MATCH(COLUMNS($V$1006:X1006),$V$1006:$AE$1006,0))&gt;=100000), " ",IF(INDEX($V$2:$AE$1001,MATCH(ROWS($O$2:O588),$O$2:$O$1001,0),MATCH(COLUMNS($V$1006:X1006),$V$1006:$AE$1006,0)), HYPERLINK("#",""), HYPERLINK(CONCATENATE("#Metadata!", ADDRESS(INDEX($Q$2:$Q$1001,MATCH(ROWS($O$2:O588),$O$2:$O$1001,0),0), INDEX($V$1004:$AE$1004,1,MATCH(COLUMNS($V$1006:X1006),$V$1006:$AE$1006,0)))),"Fix")))</f>
        <v>0</v>
      </c>
      <c r="E588" s="3">
        <f>IF(OR(INDEX($P$2:$P$1001,MATCH(ROWS($O$2:O588),$O$2:$O$1001,0),1)&gt;=100000,INDEX($V$1005:$AE$1005,1,MATCH(COLUMNS($V$1006:Y1006),$V$1006:$AE$1006,0))&gt;=100000), " ",IF(INDEX($V$2:$AE$1001,MATCH(ROWS($O$2:O588),$O$2:$O$1001,0),MATCH(COLUMNS($V$1006:Y1006),$V$1006:$AE$1006,0)), HYPERLINK("#",""), HYPERLINK(CONCATENATE("#Metadata!", ADDRESS(INDEX($Q$2:$Q$1001,MATCH(ROWS($O$2:O588),$O$2:$O$1001,0),0), INDEX($V$1004:$AE$1004,1,MATCH(COLUMNS($V$1006:Y1006),$V$1006:$AE$1006,0)))),"Fix")))</f>
        <v>0</v>
      </c>
      <c r="F588" s="3">
        <f>IF(OR(INDEX($P$2:$P$1001,MATCH(ROWS($O$2:O588),$O$2:$O$1001,0),1)&gt;=100000,INDEX($V$1005:$AE$1005,1,MATCH(COLUMNS($V$1006:Z1006),$V$1006:$AE$1006,0))&gt;=100000), " ",IF(INDEX($V$2:$AE$1001,MATCH(ROWS($O$2:O588),$O$2:$O$1001,0),MATCH(COLUMNS($V$1006:Z1006),$V$1006:$AE$1006,0)), HYPERLINK("#",""), HYPERLINK(CONCATENATE("#Metadata!", ADDRESS(INDEX($Q$2:$Q$1001,MATCH(ROWS($O$2:O588),$O$2:$O$1001,0),0), INDEX($V$1004:$AE$1004,1,MATCH(COLUMNS($V$1006:Z1006),$V$1006:$AE$1006,0)))),"Fix")))</f>
        <v>0</v>
      </c>
      <c r="G588" s="3">
        <f>IF(OR(INDEX($P$2:$P$1001,MATCH(ROWS($O$2:O588),$O$2:$O$1001,0),1)&gt;=100000,INDEX($V$1005:$AE$1005,1,MATCH(COLUMNS($V$1006:AA1006),$V$1006:$AE$1006,0))&gt;=100000), " ",IF(INDEX($V$2:$AE$1001,MATCH(ROWS($O$2:O588),$O$2:$O$1001,0),MATCH(COLUMNS($V$1006:AA1006),$V$1006:$AE$1006,0)), HYPERLINK("#",""), HYPERLINK(CONCATENATE("#Metadata!", ADDRESS(INDEX($Q$2:$Q$1001,MATCH(ROWS($O$2:O588),$O$2:$O$1001,0),0), INDEX($V$1004:$AE$1004,1,MATCH(COLUMNS($V$1006:AA1006),$V$1006:$AE$1006,0)))),"Fix")))</f>
        <v>0</v>
      </c>
      <c r="H588" s="3">
        <f>IF(OR(INDEX($P$2:$P$1001,MATCH(ROWS($O$2:O588),$O$2:$O$1001,0),1)&gt;=100000,INDEX($V$1005:$AE$1005,1,MATCH(COLUMNS($V$1006:AB1006),$V$1006:$AE$1006,0))&gt;=100000), " ",IF(INDEX($V$2:$AE$1001,MATCH(ROWS($O$2:O588),$O$2:$O$1001,0),MATCH(COLUMNS($V$1006:AB1006),$V$1006:$AE$1006,0)), HYPERLINK("#",""), HYPERLINK(CONCATENATE("#Metadata!", ADDRESS(INDEX($Q$2:$Q$1001,MATCH(ROWS($O$2:O588),$O$2:$O$1001,0),0), INDEX($V$1004:$AE$1004,1,MATCH(COLUMNS($V$1006:AB1006),$V$1006:$AE$1006,0)))),"Fix")))</f>
        <v>0</v>
      </c>
      <c r="I588" s="3">
        <f>IF(OR(INDEX($P$2:$P$1001,MATCH(ROWS($O$2:O588),$O$2:$O$1001,0),1)&gt;=100000,INDEX($V$1005:$AE$1005,1,MATCH(COLUMNS($V$1006:AC1006),$V$1006:$AE$1006,0))&gt;=100000), " ",IF(INDEX($V$2:$AE$1001,MATCH(ROWS($O$2:O588),$O$2:$O$1001,0),MATCH(COLUMNS($V$1006:AC1006),$V$1006:$AE$1006,0)), HYPERLINK("#",""), HYPERLINK(CONCATENATE("#Metadata!", ADDRESS(INDEX($Q$2:$Q$1001,MATCH(ROWS($O$2:O588),$O$2:$O$1001,0),0), INDEX($V$1004:$AE$1004,1,MATCH(COLUMNS($V$1006:AC1006),$V$1006:$AE$1006,0)))),"Fix")))</f>
        <v>0</v>
      </c>
      <c r="J588" s="3">
        <f>IF(OR(INDEX($P$2:$P$1001,MATCH(ROWS($O$2:O588),$O$2:$O$1001,0),1)&gt;=100000,INDEX($V$1005:$AE$1005,1,MATCH(COLUMNS($V$1006:AD1006),$V$1006:$AE$1006,0))&gt;=100000), " ",IF(INDEX($V$2:$AE$1001,MATCH(ROWS($O$2:O588),$O$2:$O$1001,0),MATCH(COLUMNS($V$1006:AD1006),$V$1006:$AE$1006,0)), HYPERLINK("#",""), HYPERLINK(CONCATENATE("#Metadata!", ADDRESS(INDEX($Q$2:$Q$1001,MATCH(ROWS($O$2:O588),$O$2:$O$1001,0),0), INDEX($V$1004:$AE$1004,1,MATCH(COLUMNS($V$1006:AD1006),$V$1006:$AE$1006,0)))),"Fix")))</f>
        <v>0</v>
      </c>
      <c r="K588" s="3">
        <f>IF(OR(INDEX($P$2:$P$1001,MATCH(ROWS($O$2:O588),$O$2:$O$1001,0),1)&gt;=100000,INDEX($V$1005:$AE$1005,1,MATCH(COLUMNS($V$1006:AE1006),$V$1006:$AE$1006,0))&gt;=100000), " ",IF(INDEX($V$2:$AE$1001,MATCH(ROWS($O$2:O588),$O$2:$O$1001,0),MATCH(COLUMNS($V$1006:AE1006),$V$1006:$AE$1006,0)), HYPERLINK("#",""), HYPERLINK(CONCATENATE("#Metadata!", ADDRESS(INDEX($Q$2:$Q$1001,MATCH(ROWS($O$2:O588),$O$2:$O$1001,0),0), INDEX($V$1004:$AE$1004,1,MATCH(COLUMNS($V$1006:AE1006),$V$1006:$AE$1006,0)))),"Fix")))</f>
        <v>0</v>
      </c>
      <c r="O588">
        <v>0</v>
      </c>
      <c r="P588">
        <v>0</v>
      </c>
      <c r="Q588">
        <v>0</v>
      </c>
      <c r="R588">
        <f>IF(S588,TRUE,AND(V588:AE588))</f>
        <v>0</v>
      </c>
      <c r="S588">
        <f>COUNTBLANK(Metadata!B588:K588)=COLUMNS(Metadata!B588:K588)</f>
        <v>0</v>
      </c>
      <c r="T588">
        <v>0</v>
      </c>
      <c r="V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W588">
        <f>AND(IF(Metadata!C588="",FALSE,TRUE),exact(Metadata!C588,"animal secretion"))</f>
        <v>0</v>
      </c>
      <c r="X588">
        <f>AND(IF(Metadata!D588="",FALSE,TRUE),exact(Metadata!D588,"saliva"))</f>
        <v>0</v>
      </c>
      <c r="Y588">
        <f>AND(IF(Metadata!E588="",FALSE,TRUE),exact(Metadata!E588,"human-oral"))</f>
        <v>0</v>
      </c>
      <c r="Z588">
        <f>AND(IF(Metadata!F588="",FALSE,TRUE),exact(Metadata!F588,"UBERON:oral cavity"))</f>
        <v>0</v>
      </c>
      <c r="AA588">
        <f>AND(IF(Metadata!G588="",FALSE,TRUE),exact(Metadata!G588,"UBERON:saliva"))</f>
        <v>0</v>
      </c>
      <c r="AB588">
        <f>AND(IF(Metadata!H588="",FALSE,TRUE),exact(Metadata!H588,"UBERON:tongue"))</f>
        <v>0</v>
      </c>
      <c r="AC588">
        <f>AND(IF(Metadata!I588="",FALSE,TRUE),exact(Metadata!I588,"tongue"))</f>
        <v>0</v>
      </c>
      <c r="AD588">
        <f>AND(IF(Metadata!J588="",FALSE,TRUE),exact(Metadata!J588,"human oral metagenome"))</f>
        <v>0</v>
      </c>
      <c r="AE588">
        <f>AND(IF(Metadata!K588="",FALSE,TRUE),exact(Metadata!K588,"447426"))</f>
        <v>0</v>
      </c>
    </row>
    <row r="589" spans="1:31">
      <c r="A589" s="4">
        <f>IF(B589=" "," ",HYPERLINK(CONCATENATE("#metadata!",ADDRESS(INDEX($Q$2:$Q$1001,MATCH(ROWS($O$2:O589),$O$2:$O$1001,0),0),1)),INDEX($T$2:$T$1001,MATCH(ROWS($O$2:O589),$O$2:$O$1001,0),0)))</f>
        <v>0</v>
      </c>
      <c r="B589" s="3">
        <f>IF(OR(INDEX($P$2:$P$1001,MATCH(ROWS($O$2:O589),$O$2:$O$1001,0),1)&gt;=100000,INDEX($V$1005:$AE$1005,1,MATCH(COLUMNS($V$1006:V1006),$V$1006:$AE$1006,0))&gt;=100000), " ",IF(INDEX($V$2:$AE$1001,MATCH(ROWS($O$2:O589),$O$2:$O$1001,0),MATCH(COLUMNS($V$1006:V1006),$V$1006:$AE$1006,0)), HYPERLINK("#",""), HYPERLINK(CONCATENATE("#Metadata!", ADDRESS(INDEX($Q$2:$Q$1001,MATCH(ROWS($O$2:O589),$O$2:$O$1001,0),0), INDEX($V$1004:$AE$1004,1,MATCH(COLUMNS($V$1006:V1006),$V$1006:$AE$1006,0)))),"Fix")))</f>
        <v>0</v>
      </c>
      <c r="C589" s="3">
        <f>IF(OR(INDEX($P$2:$P$1001,MATCH(ROWS($O$2:O589),$O$2:$O$1001,0),1)&gt;=100000,INDEX($V$1005:$AE$1005,1,MATCH(COLUMNS($V$1006:W1006),$V$1006:$AE$1006,0))&gt;=100000), " ",IF(INDEX($V$2:$AE$1001,MATCH(ROWS($O$2:O589),$O$2:$O$1001,0),MATCH(COLUMNS($V$1006:W1006),$V$1006:$AE$1006,0)), HYPERLINK("#",""), HYPERLINK(CONCATENATE("#Metadata!", ADDRESS(INDEX($Q$2:$Q$1001,MATCH(ROWS($O$2:O589),$O$2:$O$1001,0),0), INDEX($V$1004:$AE$1004,1,MATCH(COLUMNS($V$1006:W1006),$V$1006:$AE$1006,0)))),"Fix")))</f>
        <v>0</v>
      </c>
      <c r="D589" s="3">
        <f>IF(OR(INDEX($P$2:$P$1001,MATCH(ROWS($O$2:O589),$O$2:$O$1001,0),1)&gt;=100000,INDEX($V$1005:$AE$1005,1,MATCH(COLUMNS($V$1006:X1006),$V$1006:$AE$1006,0))&gt;=100000), " ",IF(INDEX($V$2:$AE$1001,MATCH(ROWS($O$2:O589),$O$2:$O$1001,0),MATCH(COLUMNS($V$1006:X1006),$V$1006:$AE$1006,0)), HYPERLINK("#",""), HYPERLINK(CONCATENATE("#Metadata!", ADDRESS(INDEX($Q$2:$Q$1001,MATCH(ROWS($O$2:O589),$O$2:$O$1001,0),0), INDEX($V$1004:$AE$1004,1,MATCH(COLUMNS($V$1006:X1006),$V$1006:$AE$1006,0)))),"Fix")))</f>
        <v>0</v>
      </c>
      <c r="E589" s="3">
        <f>IF(OR(INDEX($P$2:$P$1001,MATCH(ROWS($O$2:O589),$O$2:$O$1001,0),1)&gt;=100000,INDEX($V$1005:$AE$1005,1,MATCH(COLUMNS($V$1006:Y1006),$V$1006:$AE$1006,0))&gt;=100000), " ",IF(INDEX($V$2:$AE$1001,MATCH(ROWS($O$2:O589),$O$2:$O$1001,0),MATCH(COLUMNS($V$1006:Y1006),$V$1006:$AE$1006,0)), HYPERLINK("#",""), HYPERLINK(CONCATENATE("#Metadata!", ADDRESS(INDEX($Q$2:$Q$1001,MATCH(ROWS($O$2:O589),$O$2:$O$1001,0),0), INDEX($V$1004:$AE$1004,1,MATCH(COLUMNS($V$1006:Y1006),$V$1006:$AE$1006,0)))),"Fix")))</f>
        <v>0</v>
      </c>
      <c r="F589" s="3">
        <f>IF(OR(INDEX($P$2:$P$1001,MATCH(ROWS($O$2:O589),$O$2:$O$1001,0),1)&gt;=100000,INDEX($V$1005:$AE$1005,1,MATCH(COLUMNS($V$1006:Z1006),$V$1006:$AE$1006,0))&gt;=100000), " ",IF(INDEX($V$2:$AE$1001,MATCH(ROWS($O$2:O589),$O$2:$O$1001,0),MATCH(COLUMNS($V$1006:Z1006),$V$1006:$AE$1006,0)), HYPERLINK("#",""), HYPERLINK(CONCATENATE("#Metadata!", ADDRESS(INDEX($Q$2:$Q$1001,MATCH(ROWS($O$2:O589),$O$2:$O$1001,0),0), INDEX($V$1004:$AE$1004,1,MATCH(COLUMNS($V$1006:Z1006),$V$1006:$AE$1006,0)))),"Fix")))</f>
        <v>0</v>
      </c>
      <c r="G589" s="3">
        <f>IF(OR(INDEX($P$2:$P$1001,MATCH(ROWS($O$2:O589),$O$2:$O$1001,0),1)&gt;=100000,INDEX($V$1005:$AE$1005,1,MATCH(COLUMNS($V$1006:AA1006),$V$1006:$AE$1006,0))&gt;=100000), " ",IF(INDEX($V$2:$AE$1001,MATCH(ROWS($O$2:O589),$O$2:$O$1001,0),MATCH(COLUMNS($V$1006:AA1006),$V$1006:$AE$1006,0)), HYPERLINK("#",""), HYPERLINK(CONCATENATE("#Metadata!", ADDRESS(INDEX($Q$2:$Q$1001,MATCH(ROWS($O$2:O589),$O$2:$O$1001,0),0), INDEX($V$1004:$AE$1004,1,MATCH(COLUMNS($V$1006:AA1006),$V$1006:$AE$1006,0)))),"Fix")))</f>
        <v>0</v>
      </c>
      <c r="H589" s="3">
        <f>IF(OR(INDEX($P$2:$P$1001,MATCH(ROWS($O$2:O589),$O$2:$O$1001,0),1)&gt;=100000,INDEX($V$1005:$AE$1005,1,MATCH(COLUMNS($V$1006:AB1006),$V$1006:$AE$1006,0))&gt;=100000), " ",IF(INDEX($V$2:$AE$1001,MATCH(ROWS($O$2:O589),$O$2:$O$1001,0),MATCH(COLUMNS($V$1006:AB1006),$V$1006:$AE$1006,0)), HYPERLINK("#",""), HYPERLINK(CONCATENATE("#Metadata!", ADDRESS(INDEX($Q$2:$Q$1001,MATCH(ROWS($O$2:O589),$O$2:$O$1001,0),0), INDEX($V$1004:$AE$1004,1,MATCH(COLUMNS($V$1006:AB1006),$V$1006:$AE$1006,0)))),"Fix")))</f>
        <v>0</v>
      </c>
      <c r="I589" s="3">
        <f>IF(OR(INDEX($P$2:$P$1001,MATCH(ROWS($O$2:O589),$O$2:$O$1001,0),1)&gt;=100000,INDEX($V$1005:$AE$1005,1,MATCH(COLUMNS($V$1006:AC1006),$V$1006:$AE$1006,0))&gt;=100000), " ",IF(INDEX($V$2:$AE$1001,MATCH(ROWS($O$2:O589),$O$2:$O$1001,0),MATCH(COLUMNS($V$1006:AC1006),$V$1006:$AE$1006,0)), HYPERLINK("#",""), HYPERLINK(CONCATENATE("#Metadata!", ADDRESS(INDEX($Q$2:$Q$1001,MATCH(ROWS($O$2:O589),$O$2:$O$1001,0),0), INDEX($V$1004:$AE$1004,1,MATCH(COLUMNS($V$1006:AC1006),$V$1006:$AE$1006,0)))),"Fix")))</f>
        <v>0</v>
      </c>
      <c r="J589" s="3">
        <f>IF(OR(INDEX($P$2:$P$1001,MATCH(ROWS($O$2:O589),$O$2:$O$1001,0),1)&gt;=100000,INDEX($V$1005:$AE$1005,1,MATCH(COLUMNS($V$1006:AD1006),$V$1006:$AE$1006,0))&gt;=100000), " ",IF(INDEX($V$2:$AE$1001,MATCH(ROWS($O$2:O589),$O$2:$O$1001,0),MATCH(COLUMNS($V$1006:AD1006),$V$1006:$AE$1006,0)), HYPERLINK("#",""), HYPERLINK(CONCATENATE("#Metadata!", ADDRESS(INDEX($Q$2:$Q$1001,MATCH(ROWS($O$2:O589),$O$2:$O$1001,0),0), INDEX($V$1004:$AE$1004,1,MATCH(COLUMNS($V$1006:AD1006),$V$1006:$AE$1006,0)))),"Fix")))</f>
        <v>0</v>
      </c>
      <c r="K589" s="3">
        <f>IF(OR(INDEX($P$2:$P$1001,MATCH(ROWS($O$2:O589),$O$2:$O$1001,0),1)&gt;=100000,INDEX($V$1005:$AE$1005,1,MATCH(COLUMNS($V$1006:AE1006),$V$1006:$AE$1006,0))&gt;=100000), " ",IF(INDEX($V$2:$AE$1001,MATCH(ROWS($O$2:O589),$O$2:$O$1001,0),MATCH(COLUMNS($V$1006:AE1006),$V$1006:$AE$1006,0)), HYPERLINK("#",""), HYPERLINK(CONCATENATE("#Metadata!", ADDRESS(INDEX($Q$2:$Q$1001,MATCH(ROWS($O$2:O589),$O$2:$O$1001,0),0), INDEX($V$1004:$AE$1004,1,MATCH(COLUMNS($V$1006:AE1006),$V$1006:$AE$1006,0)))),"Fix")))</f>
        <v>0</v>
      </c>
      <c r="O589">
        <v>0</v>
      </c>
      <c r="P589">
        <v>0</v>
      </c>
      <c r="Q589">
        <v>0</v>
      </c>
      <c r="R589">
        <f>IF(S589,TRUE,AND(V589:AE589))</f>
        <v>0</v>
      </c>
      <c r="S589">
        <f>COUNTBLANK(Metadata!B589:K589)=COLUMNS(Metadata!B589:K589)</f>
        <v>0</v>
      </c>
      <c r="T589">
        <v>0</v>
      </c>
      <c r="V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W589">
        <f>AND(IF(Metadata!C589="",FALSE,TRUE),exact(Metadata!C589,"animal secretion"))</f>
        <v>0</v>
      </c>
      <c r="X589">
        <f>AND(IF(Metadata!D589="",FALSE,TRUE),exact(Metadata!D589,"saliva"))</f>
        <v>0</v>
      </c>
      <c r="Y589">
        <f>AND(IF(Metadata!E589="",FALSE,TRUE),exact(Metadata!E589,"human-oral"))</f>
        <v>0</v>
      </c>
      <c r="Z589">
        <f>AND(IF(Metadata!F589="",FALSE,TRUE),exact(Metadata!F589,"UBERON:oral cavity"))</f>
        <v>0</v>
      </c>
      <c r="AA589">
        <f>AND(IF(Metadata!G589="",FALSE,TRUE),exact(Metadata!G589,"UBERON:saliva"))</f>
        <v>0</v>
      </c>
      <c r="AB589">
        <f>AND(IF(Metadata!H589="",FALSE,TRUE),exact(Metadata!H589,"UBERON:tongue"))</f>
        <v>0</v>
      </c>
      <c r="AC589">
        <f>AND(IF(Metadata!I589="",FALSE,TRUE),exact(Metadata!I589,"tongue"))</f>
        <v>0</v>
      </c>
      <c r="AD589">
        <f>AND(IF(Metadata!J589="",FALSE,TRUE),exact(Metadata!J589,"human oral metagenome"))</f>
        <v>0</v>
      </c>
      <c r="AE589">
        <f>AND(IF(Metadata!K589="",FALSE,TRUE),exact(Metadata!K589,"447426"))</f>
        <v>0</v>
      </c>
    </row>
    <row r="590" spans="1:31">
      <c r="A590" s="4">
        <f>IF(B590=" "," ",HYPERLINK(CONCATENATE("#metadata!",ADDRESS(INDEX($Q$2:$Q$1001,MATCH(ROWS($O$2:O590),$O$2:$O$1001,0),0),1)),INDEX($T$2:$T$1001,MATCH(ROWS($O$2:O590),$O$2:$O$1001,0),0)))</f>
        <v>0</v>
      </c>
      <c r="B590" s="3">
        <f>IF(OR(INDEX($P$2:$P$1001,MATCH(ROWS($O$2:O590),$O$2:$O$1001,0),1)&gt;=100000,INDEX($V$1005:$AE$1005,1,MATCH(COLUMNS($V$1006:V1006),$V$1006:$AE$1006,0))&gt;=100000), " ",IF(INDEX($V$2:$AE$1001,MATCH(ROWS($O$2:O590),$O$2:$O$1001,0),MATCH(COLUMNS($V$1006:V1006),$V$1006:$AE$1006,0)), HYPERLINK("#",""), HYPERLINK(CONCATENATE("#Metadata!", ADDRESS(INDEX($Q$2:$Q$1001,MATCH(ROWS($O$2:O590),$O$2:$O$1001,0),0), INDEX($V$1004:$AE$1004,1,MATCH(COLUMNS($V$1006:V1006),$V$1006:$AE$1006,0)))),"Fix")))</f>
        <v>0</v>
      </c>
      <c r="C590" s="3">
        <f>IF(OR(INDEX($P$2:$P$1001,MATCH(ROWS($O$2:O590),$O$2:$O$1001,0),1)&gt;=100000,INDEX($V$1005:$AE$1005,1,MATCH(COLUMNS($V$1006:W1006),$V$1006:$AE$1006,0))&gt;=100000), " ",IF(INDEX($V$2:$AE$1001,MATCH(ROWS($O$2:O590),$O$2:$O$1001,0),MATCH(COLUMNS($V$1006:W1006),$V$1006:$AE$1006,0)), HYPERLINK("#",""), HYPERLINK(CONCATENATE("#Metadata!", ADDRESS(INDEX($Q$2:$Q$1001,MATCH(ROWS($O$2:O590),$O$2:$O$1001,0),0), INDEX($V$1004:$AE$1004,1,MATCH(COLUMNS($V$1006:W1006),$V$1006:$AE$1006,0)))),"Fix")))</f>
        <v>0</v>
      </c>
      <c r="D590" s="3">
        <f>IF(OR(INDEX($P$2:$P$1001,MATCH(ROWS($O$2:O590),$O$2:$O$1001,0),1)&gt;=100000,INDEX($V$1005:$AE$1005,1,MATCH(COLUMNS($V$1006:X1006),$V$1006:$AE$1006,0))&gt;=100000), " ",IF(INDEX($V$2:$AE$1001,MATCH(ROWS($O$2:O590),$O$2:$O$1001,0),MATCH(COLUMNS($V$1006:X1006),$V$1006:$AE$1006,0)), HYPERLINK("#",""), HYPERLINK(CONCATENATE("#Metadata!", ADDRESS(INDEX($Q$2:$Q$1001,MATCH(ROWS($O$2:O590),$O$2:$O$1001,0),0), INDEX($V$1004:$AE$1004,1,MATCH(COLUMNS($V$1006:X1006),$V$1006:$AE$1006,0)))),"Fix")))</f>
        <v>0</v>
      </c>
      <c r="E590" s="3">
        <f>IF(OR(INDEX($P$2:$P$1001,MATCH(ROWS($O$2:O590),$O$2:$O$1001,0),1)&gt;=100000,INDEX($V$1005:$AE$1005,1,MATCH(COLUMNS($V$1006:Y1006),$V$1006:$AE$1006,0))&gt;=100000), " ",IF(INDEX($V$2:$AE$1001,MATCH(ROWS($O$2:O590),$O$2:$O$1001,0),MATCH(COLUMNS($V$1006:Y1006),$V$1006:$AE$1006,0)), HYPERLINK("#",""), HYPERLINK(CONCATENATE("#Metadata!", ADDRESS(INDEX($Q$2:$Q$1001,MATCH(ROWS($O$2:O590),$O$2:$O$1001,0),0), INDEX($V$1004:$AE$1004,1,MATCH(COLUMNS($V$1006:Y1006),$V$1006:$AE$1006,0)))),"Fix")))</f>
        <v>0</v>
      </c>
      <c r="F590" s="3">
        <f>IF(OR(INDEX($P$2:$P$1001,MATCH(ROWS($O$2:O590),$O$2:$O$1001,0),1)&gt;=100000,INDEX($V$1005:$AE$1005,1,MATCH(COLUMNS($V$1006:Z1006),$V$1006:$AE$1006,0))&gt;=100000), " ",IF(INDEX($V$2:$AE$1001,MATCH(ROWS($O$2:O590),$O$2:$O$1001,0),MATCH(COLUMNS($V$1006:Z1006),$V$1006:$AE$1006,0)), HYPERLINK("#",""), HYPERLINK(CONCATENATE("#Metadata!", ADDRESS(INDEX($Q$2:$Q$1001,MATCH(ROWS($O$2:O590),$O$2:$O$1001,0),0), INDEX($V$1004:$AE$1004,1,MATCH(COLUMNS($V$1006:Z1006),$V$1006:$AE$1006,0)))),"Fix")))</f>
        <v>0</v>
      </c>
      <c r="G590" s="3">
        <f>IF(OR(INDEX($P$2:$P$1001,MATCH(ROWS($O$2:O590),$O$2:$O$1001,0),1)&gt;=100000,INDEX($V$1005:$AE$1005,1,MATCH(COLUMNS($V$1006:AA1006),$V$1006:$AE$1006,0))&gt;=100000), " ",IF(INDEX($V$2:$AE$1001,MATCH(ROWS($O$2:O590),$O$2:$O$1001,0),MATCH(COLUMNS($V$1006:AA1006),$V$1006:$AE$1006,0)), HYPERLINK("#",""), HYPERLINK(CONCATENATE("#Metadata!", ADDRESS(INDEX($Q$2:$Q$1001,MATCH(ROWS($O$2:O590),$O$2:$O$1001,0),0), INDEX($V$1004:$AE$1004,1,MATCH(COLUMNS($V$1006:AA1006),$V$1006:$AE$1006,0)))),"Fix")))</f>
        <v>0</v>
      </c>
      <c r="H590" s="3">
        <f>IF(OR(INDEX($P$2:$P$1001,MATCH(ROWS($O$2:O590),$O$2:$O$1001,0),1)&gt;=100000,INDEX($V$1005:$AE$1005,1,MATCH(COLUMNS($V$1006:AB1006),$V$1006:$AE$1006,0))&gt;=100000), " ",IF(INDEX($V$2:$AE$1001,MATCH(ROWS($O$2:O590),$O$2:$O$1001,0),MATCH(COLUMNS($V$1006:AB1006),$V$1006:$AE$1006,0)), HYPERLINK("#",""), HYPERLINK(CONCATENATE("#Metadata!", ADDRESS(INDEX($Q$2:$Q$1001,MATCH(ROWS($O$2:O590),$O$2:$O$1001,0),0), INDEX($V$1004:$AE$1004,1,MATCH(COLUMNS($V$1006:AB1006),$V$1006:$AE$1006,0)))),"Fix")))</f>
        <v>0</v>
      </c>
      <c r="I590" s="3">
        <f>IF(OR(INDEX($P$2:$P$1001,MATCH(ROWS($O$2:O590),$O$2:$O$1001,0),1)&gt;=100000,INDEX($V$1005:$AE$1005,1,MATCH(COLUMNS($V$1006:AC1006),$V$1006:$AE$1006,0))&gt;=100000), " ",IF(INDEX($V$2:$AE$1001,MATCH(ROWS($O$2:O590),$O$2:$O$1001,0),MATCH(COLUMNS($V$1006:AC1006),$V$1006:$AE$1006,0)), HYPERLINK("#",""), HYPERLINK(CONCATENATE("#Metadata!", ADDRESS(INDEX($Q$2:$Q$1001,MATCH(ROWS($O$2:O590),$O$2:$O$1001,0),0), INDEX($V$1004:$AE$1004,1,MATCH(COLUMNS($V$1006:AC1006),$V$1006:$AE$1006,0)))),"Fix")))</f>
        <v>0</v>
      </c>
      <c r="J590" s="3">
        <f>IF(OR(INDEX($P$2:$P$1001,MATCH(ROWS($O$2:O590),$O$2:$O$1001,0),1)&gt;=100000,INDEX($V$1005:$AE$1005,1,MATCH(COLUMNS($V$1006:AD1006),$V$1006:$AE$1006,0))&gt;=100000), " ",IF(INDEX($V$2:$AE$1001,MATCH(ROWS($O$2:O590),$O$2:$O$1001,0),MATCH(COLUMNS($V$1006:AD1006),$V$1006:$AE$1006,0)), HYPERLINK("#",""), HYPERLINK(CONCATENATE("#Metadata!", ADDRESS(INDEX($Q$2:$Q$1001,MATCH(ROWS($O$2:O590),$O$2:$O$1001,0),0), INDEX($V$1004:$AE$1004,1,MATCH(COLUMNS($V$1006:AD1006),$V$1006:$AE$1006,0)))),"Fix")))</f>
        <v>0</v>
      </c>
      <c r="K590" s="3">
        <f>IF(OR(INDEX($P$2:$P$1001,MATCH(ROWS($O$2:O590),$O$2:$O$1001,0),1)&gt;=100000,INDEX($V$1005:$AE$1005,1,MATCH(COLUMNS($V$1006:AE1006),$V$1006:$AE$1006,0))&gt;=100000), " ",IF(INDEX($V$2:$AE$1001,MATCH(ROWS($O$2:O590),$O$2:$O$1001,0),MATCH(COLUMNS($V$1006:AE1006),$V$1006:$AE$1006,0)), HYPERLINK("#",""), HYPERLINK(CONCATENATE("#Metadata!", ADDRESS(INDEX($Q$2:$Q$1001,MATCH(ROWS($O$2:O590),$O$2:$O$1001,0),0), INDEX($V$1004:$AE$1004,1,MATCH(COLUMNS($V$1006:AE1006),$V$1006:$AE$1006,0)))),"Fix")))</f>
        <v>0</v>
      </c>
      <c r="O590">
        <v>0</v>
      </c>
      <c r="P590">
        <v>0</v>
      </c>
      <c r="Q590">
        <v>0</v>
      </c>
      <c r="R590">
        <f>IF(S590,TRUE,AND(V590:AE590))</f>
        <v>0</v>
      </c>
      <c r="S590">
        <f>COUNTBLANK(Metadata!B590:K590)=COLUMNS(Metadata!B590:K590)</f>
        <v>0</v>
      </c>
      <c r="T590">
        <v>0</v>
      </c>
      <c r="V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W590">
        <f>AND(IF(Metadata!C590="",FALSE,TRUE),exact(Metadata!C590,"animal secretion"))</f>
        <v>0</v>
      </c>
      <c r="X590">
        <f>AND(IF(Metadata!D590="",FALSE,TRUE),exact(Metadata!D590,"saliva"))</f>
        <v>0</v>
      </c>
      <c r="Y590">
        <f>AND(IF(Metadata!E590="",FALSE,TRUE),exact(Metadata!E590,"human-oral"))</f>
        <v>0</v>
      </c>
      <c r="Z590">
        <f>AND(IF(Metadata!F590="",FALSE,TRUE),exact(Metadata!F590,"UBERON:oral cavity"))</f>
        <v>0</v>
      </c>
      <c r="AA590">
        <f>AND(IF(Metadata!G590="",FALSE,TRUE),exact(Metadata!G590,"UBERON:saliva"))</f>
        <v>0</v>
      </c>
      <c r="AB590">
        <f>AND(IF(Metadata!H590="",FALSE,TRUE),exact(Metadata!H590,"UBERON:tongue"))</f>
        <v>0</v>
      </c>
      <c r="AC590">
        <f>AND(IF(Metadata!I590="",FALSE,TRUE),exact(Metadata!I590,"tongue"))</f>
        <v>0</v>
      </c>
      <c r="AD590">
        <f>AND(IF(Metadata!J590="",FALSE,TRUE),exact(Metadata!J590,"human oral metagenome"))</f>
        <v>0</v>
      </c>
      <c r="AE590">
        <f>AND(IF(Metadata!K590="",FALSE,TRUE),exact(Metadata!K590,"447426"))</f>
        <v>0</v>
      </c>
    </row>
    <row r="591" spans="1:31">
      <c r="A591" s="4">
        <f>IF(B591=" "," ",HYPERLINK(CONCATENATE("#metadata!",ADDRESS(INDEX($Q$2:$Q$1001,MATCH(ROWS($O$2:O591),$O$2:$O$1001,0),0),1)),INDEX($T$2:$T$1001,MATCH(ROWS($O$2:O591),$O$2:$O$1001,0),0)))</f>
        <v>0</v>
      </c>
      <c r="B591" s="3">
        <f>IF(OR(INDEX($P$2:$P$1001,MATCH(ROWS($O$2:O591),$O$2:$O$1001,0),1)&gt;=100000,INDEX($V$1005:$AE$1005,1,MATCH(COLUMNS($V$1006:V1006),$V$1006:$AE$1006,0))&gt;=100000), " ",IF(INDEX($V$2:$AE$1001,MATCH(ROWS($O$2:O591),$O$2:$O$1001,0),MATCH(COLUMNS($V$1006:V1006),$V$1006:$AE$1006,0)), HYPERLINK("#",""), HYPERLINK(CONCATENATE("#Metadata!", ADDRESS(INDEX($Q$2:$Q$1001,MATCH(ROWS($O$2:O591),$O$2:$O$1001,0),0), INDEX($V$1004:$AE$1004,1,MATCH(COLUMNS($V$1006:V1006),$V$1006:$AE$1006,0)))),"Fix")))</f>
        <v>0</v>
      </c>
      <c r="C591" s="3">
        <f>IF(OR(INDEX($P$2:$P$1001,MATCH(ROWS($O$2:O591),$O$2:$O$1001,0),1)&gt;=100000,INDEX($V$1005:$AE$1005,1,MATCH(COLUMNS($V$1006:W1006),$V$1006:$AE$1006,0))&gt;=100000), " ",IF(INDEX($V$2:$AE$1001,MATCH(ROWS($O$2:O591),$O$2:$O$1001,0),MATCH(COLUMNS($V$1006:W1006),$V$1006:$AE$1006,0)), HYPERLINK("#",""), HYPERLINK(CONCATENATE("#Metadata!", ADDRESS(INDEX($Q$2:$Q$1001,MATCH(ROWS($O$2:O591),$O$2:$O$1001,0),0), INDEX($V$1004:$AE$1004,1,MATCH(COLUMNS($V$1006:W1006),$V$1006:$AE$1006,0)))),"Fix")))</f>
        <v>0</v>
      </c>
      <c r="D591" s="3">
        <f>IF(OR(INDEX($P$2:$P$1001,MATCH(ROWS($O$2:O591),$O$2:$O$1001,0),1)&gt;=100000,INDEX($V$1005:$AE$1005,1,MATCH(COLUMNS($V$1006:X1006),$V$1006:$AE$1006,0))&gt;=100000), " ",IF(INDEX($V$2:$AE$1001,MATCH(ROWS($O$2:O591),$O$2:$O$1001,0),MATCH(COLUMNS($V$1006:X1006),$V$1006:$AE$1006,0)), HYPERLINK("#",""), HYPERLINK(CONCATENATE("#Metadata!", ADDRESS(INDEX($Q$2:$Q$1001,MATCH(ROWS($O$2:O591),$O$2:$O$1001,0),0), INDEX($V$1004:$AE$1004,1,MATCH(COLUMNS($V$1006:X1006),$V$1006:$AE$1006,0)))),"Fix")))</f>
        <v>0</v>
      </c>
      <c r="E591" s="3">
        <f>IF(OR(INDEX($P$2:$P$1001,MATCH(ROWS($O$2:O591),$O$2:$O$1001,0),1)&gt;=100000,INDEX($V$1005:$AE$1005,1,MATCH(COLUMNS($V$1006:Y1006),$V$1006:$AE$1006,0))&gt;=100000), " ",IF(INDEX($V$2:$AE$1001,MATCH(ROWS($O$2:O591),$O$2:$O$1001,0),MATCH(COLUMNS($V$1006:Y1006),$V$1006:$AE$1006,0)), HYPERLINK("#",""), HYPERLINK(CONCATENATE("#Metadata!", ADDRESS(INDEX($Q$2:$Q$1001,MATCH(ROWS($O$2:O591),$O$2:$O$1001,0),0), INDEX($V$1004:$AE$1004,1,MATCH(COLUMNS($V$1006:Y1006),$V$1006:$AE$1006,0)))),"Fix")))</f>
        <v>0</v>
      </c>
      <c r="F591" s="3">
        <f>IF(OR(INDEX($P$2:$P$1001,MATCH(ROWS($O$2:O591),$O$2:$O$1001,0),1)&gt;=100000,INDEX($V$1005:$AE$1005,1,MATCH(COLUMNS($V$1006:Z1006),$V$1006:$AE$1006,0))&gt;=100000), " ",IF(INDEX($V$2:$AE$1001,MATCH(ROWS($O$2:O591),$O$2:$O$1001,0),MATCH(COLUMNS($V$1006:Z1006),$V$1006:$AE$1006,0)), HYPERLINK("#",""), HYPERLINK(CONCATENATE("#Metadata!", ADDRESS(INDEX($Q$2:$Q$1001,MATCH(ROWS($O$2:O591),$O$2:$O$1001,0),0), INDEX($V$1004:$AE$1004,1,MATCH(COLUMNS($V$1006:Z1006),$V$1006:$AE$1006,0)))),"Fix")))</f>
        <v>0</v>
      </c>
      <c r="G591" s="3">
        <f>IF(OR(INDEX($P$2:$P$1001,MATCH(ROWS($O$2:O591),$O$2:$O$1001,0),1)&gt;=100000,INDEX($V$1005:$AE$1005,1,MATCH(COLUMNS($V$1006:AA1006),$V$1006:$AE$1006,0))&gt;=100000), " ",IF(INDEX($V$2:$AE$1001,MATCH(ROWS($O$2:O591),$O$2:$O$1001,0),MATCH(COLUMNS($V$1006:AA1006),$V$1006:$AE$1006,0)), HYPERLINK("#",""), HYPERLINK(CONCATENATE("#Metadata!", ADDRESS(INDEX($Q$2:$Q$1001,MATCH(ROWS($O$2:O591),$O$2:$O$1001,0),0), INDEX($V$1004:$AE$1004,1,MATCH(COLUMNS($V$1006:AA1006),$V$1006:$AE$1006,0)))),"Fix")))</f>
        <v>0</v>
      </c>
      <c r="H591" s="3">
        <f>IF(OR(INDEX($P$2:$P$1001,MATCH(ROWS($O$2:O591),$O$2:$O$1001,0),1)&gt;=100000,INDEX($V$1005:$AE$1005,1,MATCH(COLUMNS($V$1006:AB1006),$V$1006:$AE$1006,0))&gt;=100000), " ",IF(INDEX($V$2:$AE$1001,MATCH(ROWS($O$2:O591),$O$2:$O$1001,0),MATCH(COLUMNS($V$1006:AB1006),$V$1006:$AE$1006,0)), HYPERLINK("#",""), HYPERLINK(CONCATENATE("#Metadata!", ADDRESS(INDEX($Q$2:$Q$1001,MATCH(ROWS($O$2:O591),$O$2:$O$1001,0),0), INDEX($V$1004:$AE$1004,1,MATCH(COLUMNS($V$1006:AB1006),$V$1006:$AE$1006,0)))),"Fix")))</f>
        <v>0</v>
      </c>
      <c r="I591" s="3">
        <f>IF(OR(INDEX($P$2:$P$1001,MATCH(ROWS($O$2:O591),$O$2:$O$1001,0),1)&gt;=100000,INDEX($V$1005:$AE$1005,1,MATCH(COLUMNS($V$1006:AC1006),$V$1006:$AE$1006,0))&gt;=100000), " ",IF(INDEX($V$2:$AE$1001,MATCH(ROWS($O$2:O591),$O$2:$O$1001,0),MATCH(COLUMNS($V$1006:AC1006),$V$1006:$AE$1006,0)), HYPERLINK("#",""), HYPERLINK(CONCATENATE("#Metadata!", ADDRESS(INDEX($Q$2:$Q$1001,MATCH(ROWS($O$2:O591),$O$2:$O$1001,0),0), INDEX($V$1004:$AE$1004,1,MATCH(COLUMNS($V$1006:AC1006),$V$1006:$AE$1006,0)))),"Fix")))</f>
        <v>0</v>
      </c>
      <c r="J591" s="3">
        <f>IF(OR(INDEX($P$2:$P$1001,MATCH(ROWS($O$2:O591),$O$2:$O$1001,0),1)&gt;=100000,INDEX($V$1005:$AE$1005,1,MATCH(COLUMNS($V$1006:AD1006),$V$1006:$AE$1006,0))&gt;=100000), " ",IF(INDEX($V$2:$AE$1001,MATCH(ROWS($O$2:O591),$O$2:$O$1001,0),MATCH(COLUMNS($V$1006:AD1006),$V$1006:$AE$1006,0)), HYPERLINK("#",""), HYPERLINK(CONCATENATE("#Metadata!", ADDRESS(INDEX($Q$2:$Q$1001,MATCH(ROWS($O$2:O591),$O$2:$O$1001,0),0), INDEX($V$1004:$AE$1004,1,MATCH(COLUMNS($V$1006:AD1006),$V$1006:$AE$1006,0)))),"Fix")))</f>
        <v>0</v>
      </c>
      <c r="K591" s="3">
        <f>IF(OR(INDEX($P$2:$P$1001,MATCH(ROWS($O$2:O591),$O$2:$O$1001,0),1)&gt;=100000,INDEX($V$1005:$AE$1005,1,MATCH(COLUMNS($V$1006:AE1006),$V$1006:$AE$1006,0))&gt;=100000), " ",IF(INDEX($V$2:$AE$1001,MATCH(ROWS($O$2:O591),$O$2:$O$1001,0),MATCH(COLUMNS($V$1006:AE1006),$V$1006:$AE$1006,0)), HYPERLINK("#",""), HYPERLINK(CONCATENATE("#Metadata!", ADDRESS(INDEX($Q$2:$Q$1001,MATCH(ROWS($O$2:O591),$O$2:$O$1001,0),0), INDEX($V$1004:$AE$1004,1,MATCH(COLUMNS($V$1006:AE1006),$V$1006:$AE$1006,0)))),"Fix")))</f>
        <v>0</v>
      </c>
      <c r="O591">
        <v>0</v>
      </c>
      <c r="P591">
        <v>0</v>
      </c>
      <c r="Q591">
        <v>0</v>
      </c>
      <c r="R591">
        <f>IF(S591,TRUE,AND(V591:AE591))</f>
        <v>0</v>
      </c>
      <c r="S591">
        <f>COUNTBLANK(Metadata!B591:K591)=COLUMNS(Metadata!B591:K591)</f>
        <v>0</v>
      </c>
      <c r="T591">
        <v>0</v>
      </c>
      <c r="V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W591">
        <f>AND(IF(Metadata!C591="",FALSE,TRUE),exact(Metadata!C591,"animal secretion"))</f>
        <v>0</v>
      </c>
      <c r="X591">
        <f>AND(IF(Metadata!D591="",FALSE,TRUE),exact(Metadata!D591,"saliva"))</f>
        <v>0</v>
      </c>
      <c r="Y591">
        <f>AND(IF(Metadata!E591="",FALSE,TRUE),exact(Metadata!E591,"human-oral"))</f>
        <v>0</v>
      </c>
      <c r="Z591">
        <f>AND(IF(Metadata!F591="",FALSE,TRUE),exact(Metadata!F591,"UBERON:oral cavity"))</f>
        <v>0</v>
      </c>
      <c r="AA591">
        <f>AND(IF(Metadata!G591="",FALSE,TRUE),exact(Metadata!G591,"UBERON:saliva"))</f>
        <v>0</v>
      </c>
      <c r="AB591">
        <f>AND(IF(Metadata!H591="",FALSE,TRUE),exact(Metadata!H591,"UBERON:tongue"))</f>
        <v>0</v>
      </c>
      <c r="AC591">
        <f>AND(IF(Metadata!I591="",FALSE,TRUE),exact(Metadata!I591,"tongue"))</f>
        <v>0</v>
      </c>
      <c r="AD591">
        <f>AND(IF(Metadata!J591="",FALSE,TRUE),exact(Metadata!J591,"human oral metagenome"))</f>
        <v>0</v>
      </c>
      <c r="AE591">
        <f>AND(IF(Metadata!K591="",FALSE,TRUE),exact(Metadata!K591,"447426"))</f>
        <v>0</v>
      </c>
    </row>
    <row r="592" spans="1:31">
      <c r="A592" s="4">
        <f>IF(B592=" "," ",HYPERLINK(CONCATENATE("#metadata!",ADDRESS(INDEX($Q$2:$Q$1001,MATCH(ROWS($O$2:O592),$O$2:$O$1001,0),0),1)),INDEX($T$2:$T$1001,MATCH(ROWS($O$2:O592),$O$2:$O$1001,0),0)))</f>
        <v>0</v>
      </c>
      <c r="B592" s="3">
        <f>IF(OR(INDEX($P$2:$P$1001,MATCH(ROWS($O$2:O592),$O$2:$O$1001,0),1)&gt;=100000,INDEX($V$1005:$AE$1005,1,MATCH(COLUMNS($V$1006:V1006),$V$1006:$AE$1006,0))&gt;=100000), " ",IF(INDEX($V$2:$AE$1001,MATCH(ROWS($O$2:O592),$O$2:$O$1001,0),MATCH(COLUMNS($V$1006:V1006),$V$1006:$AE$1006,0)), HYPERLINK("#",""), HYPERLINK(CONCATENATE("#Metadata!", ADDRESS(INDEX($Q$2:$Q$1001,MATCH(ROWS($O$2:O592),$O$2:$O$1001,0),0), INDEX($V$1004:$AE$1004,1,MATCH(COLUMNS($V$1006:V1006),$V$1006:$AE$1006,0)))),"Fix")))</f>
        <v>0</v>
      </c>
      <c r="C592" s="3">
        <f>IF(OR(INDEX($P$2:$P$1001,MATCH(ROWS($O$2:O592),$O$2:$O$1001,0),1)&gt;=100000,INDEX($V$1005:$AE$1005,1,MATCH(COLUMNS($V$1006:W1006),$V$1006:$AE$1006,0))&gt;=100000), " ",IF(INDEX($V$2:$AE$1001,MATCH(ROWS($O$2:O592),$O$2:$O$1001,0),MATCH(COLUMNS($V$1006:W1006),$V$1006:$AE$1006,0)), HYPERLINK("#",""), HYPERLINK(CONCATENATE("#Metadata!", ADDRESS(INDEX($Q$2:$Q$1001,MATCH(ROWS($O$2:O592),$O$2:$O$1001,0),0), INDEX($V$1004:$AE$1004,1,MATCH(COLUMNS($V$1006:W1006),$V$1006:$AE$1006,0)))),"Fix")))</f>
        <v>0</v>
      </c>
      <c r="D592" s="3">
        <f>IF(OR(INDEX($P$2:$P$1001,MATCH(ROWS($O$2:O592),$O$2:$O$1001,0),1)&gt;=100000,INDEX($V$1005:$AE$1005,1,MATCH(COLUMNS($V$1006:X1006),$V$1006:$AE$1006,0))&gt;=100000), " ",IF(INDEX($V$2:$AE$1001,MATCH(ROWS($O$2:O592),$O$2:$O$1001,0),MATCH(COLUMNS($V$1006:X1006),$V$1006:$AE$1006,0)), HYPERLINK("#",""), HYPERLINK(CONCATENATE("#Metadata!", ADDRESS(INDEX($Q$2:$Q$1001,MATCH(ROWS($O$2:O592),$O$2:$O$1001,0),0), INDEX($V$1004:$AE$1004,1,MATCH(COLUMNS($V$1006:X1006),$V$1006:$AE$1006,0)))),"Fix")))</f>
        <v>0</v>
      </c>
      <c r="E592" s="3">
        <f>IF(OR(INDEX($P$2:$P$1001,MATCH(ROWS($O$2:O592),$O$2:$O$1001,0),1)&gt;=100000,INDEX($V$1005:$AE$1005,1,MATCH(COLUMNS($V$1006:Y1006),$V$1006:$AE$1006,0))&gt;=100000), " ",IF(INDEX($V$2:$AE$1001,MATCH(ROWS($O$2:O592),$O$2:$O$1001,0),MATCH(COLUMNS($V$1006:Y1006),$V$1006:$AE$1006,0)), HYPERLINK("#",""), HYPERLINK(CONCATENATE("#Metadata!", ADDRESS(INDEX($Q$2:$Q$1001,MATCH(ROWS($O$2:O592),$O$2:$O$1001,0),0), INDEX($V$1004:$AE$1004,1,MATCH(COLUMNS($V$1006:Y1006),$V$1006:$AE$1006,0)))),"Fix")))</f>
        <v>0</v>
      </c>
      <c r="F592" s="3">
        <f>IF(OR(INDEX($P$2:$P$1001,MATCH(ROWS($O$2:O592),$O$2:$O$1001,0),1)&gt;=100000,INDEX($V$1005:$AE$1005,1,MATCH(COLUMNS($V$1006:Z1006),$V$1006:$AE$1006,0))&gt;=100000), " ",IF(INDEX($V$2:$AE$1001,MATCH(ROWS($O$2:O592),$O$2:$O$1001,0),MATCH(COLUMNS($V$1006:Z1006),$V$1006:$AE$1006,0)), HYPERLINK("#",""), HYPERLINK(CONCATENATE("#Metadata!", ADDRESS(INDEX($Q$2:$Q$1001,MATCH(ROWS($O$2:O592),$O$2:$O$1001,0),0), INDEX($V$1004:$AE$1004,1,MATCH(COLUMNS($V$1006:Z1006),$V$1006:$AE$1006,0)))),"Fix")))</f>
        <v>0</v>
      </c>
      <c r="G592" s="3">
        <f>IF(OR(INDEX($P$2:$P$1001,MATCH(ROWS($O$2:O592),$O$2:$O$1001,0),1)&gt;=100000,INDEX($V$1005:$AE$1005,1,MATCH(COLUMNS($V$1006:AA1006),$V$1006:$AE$1006,0))&gt;=100000), " ",IF(INDEX($V$2:$AE$1001,MATCH(ROWS($O$2:O592),$O$2:$O$1001,0),MATCH(COLUMNS($V$1006:AA1006),$V$1006:$AE$1006,0)), HYPERLINK("#",""), HYPERLINK(CONCATENATE("#Metadata!", ADDRESS(INDEX($Q$2:$Q$1001,MATCH(ROWS($O$2:O592),$O$2:$O$1001,0),0), INDEX($V$1004:$AE$1004,1,MATCH(COLUMNS($V$1006:AA1006),$V$1006:$AE$1006,0)))),"Fix")))</f>
        <v>0</v>
      </c>
      <c r="H592" s="3">
        <f>IF(OR(INDEX($P$2:$P$1001,MATCH(ROWS($O$2:O592),$O$2:$O$1001,0),1)&gt;=100000,INDEX($V$1005:$AE$1005,1,MATCH(COLUMNS($V$1006:AB1006),$V$1006:$AE$1006,0))&gt;=100000), " ",IF(INDEX($V$2:$AE$1001,MATCH(ROWS($O$2:O592),$O$2:$O$1001,0),MATCH(COLUMNS($V$1006:AB1006),$V$1006:$AE$1006,0)), HYPERLINK("#",""), HYPERLINK(CONCATENATE("#Metadata!", ADDRESS(INDEX($Q$2:$Q$1001,MATCH(ROWS($O$2:O592),$O$2:$O$1001,0),0), INDEX($V$1004:$AE$1004,1,MATCH(COLUMNS($V$1006:AB1006),$V$1006:$AE$1006,0)))),"Fix")))</f>
        <v>0</v>
      </c>
      <c r="I592" s="3">
        <f>IF(OR(INDEX($P$2:$P$1001,MATCH(ROWS($O$2:O592),$O$2:$O$1001,0),1)&gt;=100000,INDEX($V$1005:$AE$1005,1,MATCH(COLUMNS($V$1006:AC1006),$V$1006:$AE$1006,0))&gt;=100000), " ",IF(INDEX($V$2:$AE$1001,MATCH(ROWS($O$2:O592),$O$2:$O$1001,0),MATCH(COLUMNS($V$1006:AC1006),$V$1006:$AE$1006,0)), HYPERLINK("#",""), HYPERLINK(CONCATENATE("#Metadata!", ADDRESS(INDEX($Q$2:$Q$1001,MATCH(ROWS($O$2:O592),$O$2:$O$1001,0),0), INDEX($V$1004:$AE$1004,1,MATCH(COLUMNS($V$1006:AC1006),$V$1006:$AE$1006,0)))),"Fix")))</f>
        <v>0</v>
      </c>
      <c r="J592" s="3">
        <f>IF(OR(INDEX($P$2:$P$1001,MATCH(ROWS($O$2:O592),$O$2:$O$1001,0),1)&gt;=100000,INDEX($V$1005:$AE$1005,1,MATCH(COLUMNS($V$1006:AD1006),$V$1006:$AE$1006,0))&gt;=100000), " ",IF(INDEX($V$2:$AE$1001,MATCH(ROWS($O$2:O592),$O$2:$O$1001,0),MATCH(COLUMNS($V$1006:AD1006),$V$1006:$AE$1006,0)), HYPERLINK("#",""), HYPERLINK(CONCATENATE("#Metadata!", ADDRESS(INDEX($Q$2:$Q$1001,MATCH(ROWS($O$2:O592),$O$2:$O$1001,0),0), INDEX($V$1004:$AE$1004,1,MATCH(COLUMNS($V$1006:AD1006),$V$1006:$AE$1006,0)))),"Fix")))</f>
        <v>0</v>
      </c>
      <c r="K592" s="3">
        <f>IF(OR(INDEX($P$2:$P$1001,MATCH(ROWS($O$2:O592),$O$2:$O$1001,0),1)&gt;=100000,INDEX($V$1005:$AE$1005,1,MATCH(COLUMNS($V$1006:AE1006),$V$1006:$AE$1006,0))&gt;=100000), " ",IF(INDEX($V$2:$AE$1001,MATCH(ROWS($O$2:O592),$O$2:$O$1001,0),MATCH(COLUMNS($V$1006:AE1006),$V$1006:$AE$1006,0)), HYPERLINK("#",""), HYPERLINK(CONCATENATE("#Metadata!", ADDRESS(INDEX($Q$2:$Q$1001,MATCH(ROWS($O$2:O592),$O$2:$O$1001,0),0), INDEX($V$1004:$AE$1004,1,MATCH(COLUMNS($V$1006:AE1006),$V$1006:$AE$1006,0)))),"Fix")))</f>
        <v>0</v>
      </c>
      <c r="O592">
        <v>0</v>
      </c>
      <c r="P592">
        <v>0</v>
      </c>
      <c r="Q592">
        <v>0</v>
      </c>
      <c r="R592">
        <f>IF(S592,TRUE,AND(V592:AE592))</f>
        <v>0</v>
      </c>
      <c r="S592">
        <f>COUNTBLANK(Metadata!B592:K592)=COLUMNS(Metadata!B592:K592)</f>
        <v>0</v>
      </c>
      <c r="T592">
        <v>0</v>
      </c>
      <c r="V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W592">
        <f>AND(IF(Metadata!C592="",FALSE,TRUE),exact(Metadata!C592,"animal secretion"))</f>
        <v>0</v>
      </c>
      <c r="X592">
        <f>AND(IF(Metadata!D592="",FALSE,TRUE),exact(Metadata!D592,"saliva"))</f>
        <v>0</v>
      </c>
      <c r="Y592">
        <f>AND(IF(Metadata!E592="",FALSE,TRUE),exact(Metadata!E592,"human-oral"))</f>
        <v>0</v>
      </c>
      <c r="Z592">
        <f>AND(IF(Metadata!F592="",FALSE,TRUE),exact(Metadata!F592,"UBERON:oral cavity"))</f>
        <v>0</v>
      </c>
      <c r="AA592">
        <f>AND(IF(Metadata!G592="",FALSE,TRUE),exact(Metadata!G592,"UBERON:saliva"))</f>
        <v>0</v>
      </c>
      <c r="AB592">
        <f>AND(IF(Metadata!H592="",FALSE,TRUE),exact(Metadata!H592,"UBERON:tongue"))</f>
        <v>0</v>
      </c>
      <c r="AC592">
        <f>AND(IF(Metadata!I592="",FALSE,TRUE),exact(Metadata!I592,"tongue"))</f>
        <v>0</v>
      </c>
      <c r="AD592">
        <f>AND(IF(Metadata!J592="",FALSE,TRUE),exact(Metadata!J592,"human oral metagenome"))</f>
        <v>0</v>
      </c>
      <c r="AE592">
        <f>AND(IF(Metadata!K592="",FALSE,TRUE),exact(Metadata!K592,"447426"))</f>
        <v>0</v>
      </c>
    </row>
    <row r="593" spans="1:31">
      <c r="A593" s="4">
        <f>IF(B593=" "," ",HYPERLINK(CONCATENATE("#metadata!",ADDRESS(INDEX($Q$2:$Q$1001,MATCH(ROWS($O$2:O593),$O$2:$O$1001,0),0),1)),INDEX($T$2:$T$1001,MATCH(ROWS($O$2:O593),$O$2:$O$1001,0),0)))</f>
        <v>0</v>
      </c>
      <c r="B593" s="3">
        <f>IF(OR(INDEX($P$2:$P$1001,MATCH(ROWS($O$2:O593),$O$2:$O$1001,0),1)&gt;=100000,INDEX($V$1005:$AE$1005,1,MATCH(COLUMNS($V$1006:V1006),$V$1006:$AE$1006,0))&gt;=100000), " ",IF(INDEX($V$2:$AE$1001,MATCH(ROWS($O$2:O593),$O$2:$O$1001,0),MATCH(COLUMNS($V$1006:V1006),$V$1006:$AE$1006,0)), HYPERLINK("#",""), HYPERLINK(CONCATENATE("#Metadata!", ADDRESS(INDEX($Q$2:$Q$1001,MATCH(ROWS($O$2:O593),$O$2:$O$1001,0),0), INDEX($V$1004:$AE$1004,1,MATCH(COLUMNS($V$1006:V1006),$V$1006:$AE$1006,0)))),"Fix")))</f>
        <v>0</v>
      </c>
      <c r="C593" s="3">
        <f>IF(OR(INDEX($P$2:$P$1001,MATCH(ROWS($O$2:O593),$O$2:$O$1001,0),1)&gt;=100000,INDEX($V$1005:$AE$1005,1,MATCH(COLUMNS($V$1006:W1006),$V$1006:$AE$1006,0))&gt;=100000), " ",IF(INDEX($V$2:$AE$1001,MATCH(ROWS($O$2:O593),$O$2:$O$1001,0),MATCH(COLUMNS($V$1006:W1006),$V$1006:$AE$1006,0)), HYPERLINK("#",""), HYPERLINK(CONCATENATE("#Metadata!", ADDRESS(INDEX($Q$2:$Q$1001,MATCH(ROWS($O$2:O593),$O$2:$O$1001,0),0), INDEX($V$1004:$AE$1004,1,MATCH(COLUMNS($V$1006:W1006),$V$1006:$AE$1006,0)))),"Fix")))</f>
        <v>0</v>
      </c>
      <c r="D593" s="3">
        <f>IF(OR(INDEX($P$2:$P$1001,MATCH(ROWS($O$2:O593),$O$2:$O$1001,0),1)&gt;=100000,INDEX($V$1005:$AE$1005,1,MATCH(COLUMNS($V$1006:X1006),$V$1006:$AE$1006,0))&gt;=100000), " ",IF(INDEX($V$2:$AE$1001,MATCH(ROWS($O$2:O593),$O$2:$O$1001,0),MATCH(COLUMNS($V$1006:X1006),$V$1006:$AE$1006,0)), HYPERLINK("#",""), HYPERLINK(CONCATENATE("#Metadata!", ADDRESS(INDEX($Q$2:$Q$1001,MATCH(ROWS($O$2:O593),$O$2:$O$1001,0),0), INDEX($V$1004:$AE$1004,1,MATCH(COLUMNS($V$1006:X1006),$V$1006:$AE$1006,0)))),"Fix")))</f>
        <v>0</v>
      </c>
      <c r="E593" s="3">
        <f>IF(OR(INDEX($P$2:$P$1001,MATCH(ROWS($O$2:O593),$O$2:$O$1001,0),1)&gt;=100000,INDEX($V$1005:$AE$1005,1,MATCH(COLUMNS($V$1006:Y1006),$V$1006:$AE$1006,0))&gt;=100000), " ",IF(INDEX($V$2:$AE$1001,MATCH(ROWS($O$2:O593),$O$2:$O$1001,0),MATCH(COLUMNS($V$1006:Y1006),$V$1006:$AE$1006,0)), HYPERLINK("#",""), HYPERLINK(CONCATENATE("#Metadata!", ADDRESS(INDEX($Q$2:$Q$1001,MATCH(ROWS($O$2:O593),$O$2:$O$1001,0),0), INDEX($V$1004:$AE$1004,1,MATCH(COLUMNS($V$1006:Y1006),$V$1006:$AE$1006,0)))),"Fix")))</f>
        <v>0</v>
      </c>
      <c r="F593" s="3">
        <f>IF(OR(INDEX($P$2:$P$1001,MATCH(ROWS($O$2:O593),$O$2:$O$1001,0),1)&gt;=100000,INDEX($V$1005:$AE$1005,1,MATCH(COLUMNS($V$1006:Z1006),$V$1006:$AE$1006,0))&gt;=100000), " ",IF(INDEX($V$2:$AE$1001,MATCH(ROWS($O$2:O593),$O$2:$O$1001,0),MATCH(COLUMNS($V$1006:Z1006),$V$1006:$AE$1006,0)), HYPERLINK("#",""), HYPERLINK(CONCATENATE("#Metadata!", ADDRESS(INDEX($Q$2:$Q$1001,MATCH(ROWS($O$2:O593),$O$2:$O$1001,0),0), INDEX($V$1004:$AE$1004,1,MATCH(COLUMNS($V$1006:Z1006),$V$1006:$AE$1006,0)))),"Fix")))</f>
        <v>0</v>
      </c>
      <c r="G593" s="3">
        <f>IF(OR(INDEX($P$2:$P$1001,MATCH(ROWS($O$2:O593),$O$2:$O$1001,0),1)&gt;=100000,INDEX($V$1005:$AE$1005,1,MATCH(COLUMNS($V$1006:AA1006),$V$1006:$AE$1006,0))&gt;=100000), " ",IF(INDEX($V$2:$AE$1001,MATCH(ROWS($O$2:O593),$O$2:$O$1001,0),MATCH(COLUMNS($V$1006:AA1006),$V$1006:$AE$1006,0)), HYPERLINK("#",""), HYPERLINK(CONCATENATE("#Metadata!", ADDRESS(INDEX($Q$2:$Q$1001,MATCH(ROWS($O$2:O593),$O$2:$O$1001,0),0), INDEX($V$1004:$AE$1004,1,MATCH(COLUMNS($V$1006:AA1006),$V$1006:$AE$1006,0)))),"Fix")))</f>
        <v>0</v>
      </c>
      <c r="H593" s="3">
        <f>IF(OR(INDEX($P$2:$P$1001,MATCH(ROWS($O$2:O593),$O$2:$O$1001,0),1)&gt;=100000,INDEX($V$1005:$AE$1005,1,MATCH(COLUMNS($V$1006:AB1006),$V$1006:$AE$1006,0))&gt;=100000), " ",IF(INDEX($V$2:$AE$1001,MATCH(ROWS($O$2:O593),$O$2:$O$1001,0),MATCH(COLUMNS($V$1006:AB1006),$V$1006:$AE$1006,0)), HYPERLINK("#",""), HYPERLINK(CONCATENATE("#Metadata!", ADDRESS(INDEX($Q$2:$Q$1001,MATCH(ROWS($O$2:O593),$O$2:$O$1001,0),0), INDEX($V$1004:$AE$1004,1,MATCH(COLUMNS($V$1006:AB1006),$V$1006:$AE$1006,0)))),"Fix")))</f>
        <v>0</v>
      </c>
      <c r="I593" s="3">
        <f>IF(OR(INDEX($P$2:$P$1001,MATCH(ROWS($O$2:O593),$O$2:$O$1001,0),1)&gt;=100000,INDEX($V$1005:$AE$1005,1,MATCH(COLUMNS($V$1006:AC1006),$V$1006:$AE$1006,0))&gt;=100000), " ",IF(INDEX($V$2:$AE$1001,MATCH(ROWS($O$2:O593),$O$2:$O$1001,0),MATCH(COLUMNS($V$1006:AC1006),$V$1006:$AE$1006,0)), HYPERLINK("#",""), HYPERLINK(CONCATENATE("#Metadata!", ADDRESS(INDEX($Q$2:$Q$1001,MATCH(ROWS($O$2:O593),$O$2:$O$1001,0),0), INDEX($V$1004:$AE$1004,1,MATCH(COLUMNS($V$1006:AC1006),$V$1006:$AE$1006,0)))),"Fix")))</f>
        <v>0</v>
      </c>
      <c r="J593" s="3">
        <f>IF(OR(INDEX($P$2:$P$1001,MATCH(ROWS($O$2:O593),$O$2:$O$1001,0),1)&gt;=100000,INDEX($V$1005:$AE$1005,1,MATCH(COLUMNS($V$1006:AD1006),$V$1006:$AE$1006,0))&gt;=100000), " ",IF(INDEX($V$2:$AE$1001,MATCH(ROWS($O$2:O593),$O$2:$O$1001,0),MATCH(COLUMNS($V$1006:AD1006),$V$1006:$AE$1006,0)), HYPERLINK("#",""), HYPERLINK(CONCATENATE("#Metadata!", ADDRESS(INDEX($Q$2:$Q$1001,MATCH(ROWS($O$2:O593),$O$2:$O$1001,0),0), INDEX($V$1004:$AE$1004,1,MATCH(COLUMNS($V$1006:AD1006),$V$1006:$AE$1006,0)))),"Fix")))</f>
        <v>0</v>
      </c>
      <c r="K593" s="3">
        <f>IF(OR(INDEX($P$2:$P$1001,MATCH(ROWS($O$2:O593),$O$2:$O$1001,0),1)&gt;=100000,INDEX($V$1005:$AE$1005,1,MATCH(COLUMNS($V$1006:AE1006),$V$1006:$AE$1006,0))&gt;=100000), " ",IF(INDEX($V$2:$AE$1001,MATCH(ROWS($O$2:O593),$O$2:$O$1001,0),MATCH(COLUMNS($V$1006:AE1006),$V$1006:$AE$1006,0)), HYPERLINK("#",""), HYPERLINK(CONCATENATE("#Metadata!", ADDRESS(INDEX($Q$2:$Q$1001,MATCH(ROWS($O$2:O593),$O$2:$O$1001,0),0), INDEX($V$1004:$AE$1004,1,MATCH(COLUMNS($V$1006:AE1006),$V$1006:$AE$1006,0)))),"Fix")))</f>
        <v>0</v>
      </c>
      <c r="O593">
        <v>0</v>
      </c>
      <c r="P593">
        <v>0</v>
      </c>
      <c r="Q593">
        <v>0</v>
      </c>
      <c r="R593">
        <f>IF(S593,TRUE,AND(V593:AE593))</f>
        <v>0</v>
      </c>
      <c r="S593">
        <f>COUNTBLANK(Metadata!B593:K593)=COLUMNS(Metadata!B593:K593)</f>
        <v>0</v>
      </c>
      <c r="T593">
        <v>0</v>
      </c>
      <c r="V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W593">
        <f>AND(IF(Metadata!C593="",FALSE,TRUE),exact(Metadata!C593,"animal secretion"))</f>
        <v>0</v>
      </c>
      <c r="X593">
        <f>AND(IF(Metadata!D593="",FALSE,TRUE),exact(Metadata!D593,"saliva"))</f>
        <v>0</v>
      </c>
      <c r="Y593">
        <f>AND(IF(Metadata!E593="",FALSE,TRUE),exact(Metadata!E593,"human-oral"))</f>
        <v>0</v>
      </c>
      <c r="Z593">
        <f>AND(IF(Metadata!F593="",FALSE,TRUE),exact(Metadata!F593,"UBERON:oral cavity"))</f>
        <v>0</v>
      </c>
      <c r="AA593">
        <f>AND(IF(Metadata!G593="",FALSE,TRUE),exact(Metadata!G593,"UBERON:saliva"))</f>
        <v>0</v>
      </c>
      <c r="AB593">
        <f>AND(IF(Metadata!H593="",FALSE,TRUE),exact(Metadata!H593,"UBERON:tongue"))</f>
        <v>0</v>
      </c>
      <c r="AC593">
        <f>AND(IF(Metadata!I593="",FALSE,TRUE),exact(Metadata!I593,"tongue"))</f>
        <v>0</v>
      </c>
      <c r="AD593">
        <f>AND(IF(Metadata!J593="",FALSE,TRUE),exact(Metadata!J593,"human oral metagenome"))</f>
        <v>0</v>
      </c>
      <c r="AE593">
        <f>AND(IF(Metadata!K593="",FALSE,TRUE),exact(Metadata!K593,"447426"))</f>
        <v>0</v>
      </c>
    </row>
    <row r="594" spans="1:31">
      <c r="A594" s="4">
        <f>IF(B594=" "," ",HYPERLINK(CONCATENATE("#metadata!",ADDRESS(INDEX($Q$2:$Q$1001,MATCH(ROWS($O$2:O594),$O$2:$O$1001,0),0),1)),INDEX($T$2:$T$1001,MATCH(ROWS($O$2:O594),$O$2:$O$1001,0),0)))</f>
        <v>0</v>
      </c>
      <c r="B594" s="3">
        <f>IF(OR(INDEX($P$2:$P$1001,MATCH(ROWS($O$2:O594),$O$2:$O$1001,0),1)&gt;=100000,INDEX($V$1005:$AE$1005,1,MATCH(COLUMNS($V$1006:V1006),$V$1006:$AE$1006,0))&gt;=100000), " ",IF(INDEX($V$2:$AE$1001,MATCH(ROWS($O$2:O594),$O$2:$O$1001,0),MATCH(COLUMNS($V$1006:V1006),$V$1006:$AE$1006,0)), HYPERLINK("#",""), HYPERLINK(CONCATENATE("#Metadata!", ADDRESS(INDEX($Q$2:$Q$1001,MATCH(ROWS($O$2:O594),$O$2:$O$1001,0),0), INDEX($V$1004:$AE$1004,1,MATCH(COLUMNS($V$1006:V1006),$V$1006:$AE$1006,0)))),"Fix")))</f>
        <v>0</v>
      </c>
      <c r="C594" s="3">
        <f>IF(OR(INDEX($P$2:$P$1001,MATCH(ROWS($O$2:O594),$O$2:$O$1001,0),1)&gt;=100000,INDEX($V$1005:$AE$1005,1,MATCH(COLUMNS($V$1006:W1006),$V$1006:$AE$1006,0))&gt;=100000), " ",IF(INDEX($V$2:$AE$1001,MATCH(ROWS($O$2:O594),$O$2:$O$1001,0),MATCH(COLUMNS($V$1006:W1006),$V$1006:$AE$1006,0)), HYPERLINK("#",""), HYPERLINK(CONCATENATE("#Metadata!", ADDRESS(INDEX($Q$2:$Q$1001,MATCH(ROWS($O$2:O594),$O$2:$O$1001,0),0), INDEX($V$1004:$AE$1004,1,MATCH(COLUMNS($V$1006:W1006),$V$1006:$AE$1006,0)))),"Fix")))</f>
        <v>0</v>
      </c>
      <c r="D594" s="3">
        <f>IF(OR(INDEX($P$2:$P$1001,MATCH(ROWS($O$2:O594),$O$2:$O$1001,0),1)&gt;=100000,INDEX($V$1005:$AE$1005,1,MATCH(COLUMNS($V$1006:X1006),$V$1006:$AE$1006,0))&gt;=100000), " ",IF(INDEX($V$2:$AE$1001,MATCH(ROWS($O$2:O594),$O$2:$O$1001,0),MATCH(COLUMNS($V$1006:X1006),$V$1006:$AE$1006,0)), HYPERLINK("#",""), HYPERLINK(CONCATENATE("#Metadata!", ADDRESS(INDEX($Q$2:$Q$1001,MATCH(ROWS($O$2:O594),$O$2:$O$1001,0),0), INDEX($V$1004:$AE$1004,1,MATCH(COLUMNS($V$1006:X1006),$V$1006:$AE$1006,0)))),"Fix")))</f>
        <v>0</v>
      </c>
      <c r="E594" s="3">
        <f>IF(OR(INDEX($P$2:$P$1001,MATCH(ROWS($O$2:O594),$O$2:$O$1001,0),1)&gt;=100000,INDEX($V$1005:$AE$1005,1,MATCH(COLUMNS($V$1006:Y1006),$V$1006:$AE$1006,0))&gt;=100000), " ",IF(INDEX($V$2:$AE$1001,MATCH(ROWS($O$2:O594),$O$2:$O$1001,0),MATCH(COLUMNS($V$1006:Y1006),$V$1006:$AE$1006,0)), HYPERLINK("#",""), HYPERLINK(CONCATENATE("#Metadata!", ADDRESS(INDEX($Q$2:$Q$1001,MATCH(ROWS($O$2:O594),$O$2:$O$1001,0),0), INDEX($V$1004:$AE$1004,1,MATCH(COLUMNS($V$1006:Y1006),$V$1006:$AE$1006,0)))),"Fix")))</f>
        <v>0</v>
      </c>
      <c r="F594" s="3">
        <f>IF(OR(INDEX($P$2:$P$1001,MATCH(ROWS($O$2:O594),$O$2:$O$1001,0),1)&gt;=100000,INDEX($V$1005:$AE$1005,1,MATCH(COLUMNS($V$1006:Z1006),$V$1006:$AE$1006,0))&gt;=100000), " ",IF(INDEX($V$2:$AE$1001,MATCH(ROWS($O$2:O594),$O$2:$O$1001,0),MATCH(COLUMNS($V$1006:Z1006),$V$1006:$AE$1006,0)), HYPERLINK("#",""), HYPERLINK(CONCATENATE("#Metadata!", ADDRESS(INDEX($Q$2:$Q$1001,MATCH(ROWS($O$2:O594),$O$2:$O$1001,0),0), INDEX($V$1004:$AE$1004,1,MATCH(COLUMNS($V$1006:Z1006),$V$1006:$AE$1006,0)))),"Fix")))</f>
        <v>0</v>
      </c>
      <c r="G594" s="3">
        <f>IF(OR(INDEX($P$2:$P$1001,MATCH(ROWS($O$2:O594),$O$2:$O$1001,0),1)&gt;=100000,INDEX($V$1005:$AE$1005,1,MATCH(COLUMNS($V$1006:AA1006),$V$1006:$AE$1006,0))&gt;=100000), " ",IF(INDEX($V$2:$AE$1001,MATCH(ROWS($O$2:O594),$O$2:$O$1001,0),MATCH(COLUMNS($V$1006:AA1006),$V$1006:$AE$1006,0)), HYPERLINK("#",""), HYPERLINK(CONCATENATE("#Metadata!", ADDRESS(INDEX($Q$2:$Q$1001,MATCH(ROWS($O$2:O594),$O$2:$O$1001,0),0), INDEX($V$1004:$AE$1004,1,MATCH(COLUMNS($V$1006:AA1006),$V$1006:$AE$1006,0)))),"Fix")))</f>
        <v>0</v>
      </c>
      <c r="H594" s="3">
        <f>IF(OR(INDEX($P$2:$P$1001,MATCH(ROWS($O$2:O594),$O$2:$O$1001,0),1)&gt;=100000,INDEX($V$1005:$AE$1005,1,MATCH(COLUMNS($V$1006:AB1006),$V$1006:$AE$1006,0))&gt;=100000), " ",IF(INDEX($V$2:$AE$1001,MATCH(ROWS($O$2:O594),$O$2:$O$1001,0),MATCH(COLUMNS($V$1006:AB1006),$V$1006:$AE$1006,0)), HYPERLINK("#",""), HYPERLINK(CONCATENATE("#Metadata!", ADDRESS(INDEX($Q$2:$Q$1001,MATCH(ROWS($O$2:O594),$O$2:$O$1001,0),0), INDEX($V$1004:$AE$1004,1,MATCH(COLUMNS($V$1006:AB1006),$V$1006:$AE$1006,0)))),"Fix")))</f>
        <v>0</v>
      </c>
      <c r="I594" s="3">
        <f>IF(OR(INDEX($P$2:$P$1001,MATCH(ROWS($O$2:O594),$O$2:$O$1001,0),1)&gt;=100000,INDEX($V$1005:$AE$1005,1,MATCH(COLUMNS($V$1006:AC1006),$V$1006:$AE$1006,0))&gt;=100000), " ",IF(INDEX($V$2:$AE$1001,MATCH(ROWS($O$2:O594),$O$2:$O$1001,0),MATCH(COLUMNS($V$1006:AC1006),$V$1006:$AE$1006,0)), HYPERLINK("#",""), HYPERLINK(CONCATENATE("#Metadata!", ADDRESS(INDEX($Q$2:$Q$1001,MATCH(ROWS($O$2:O594),$O$2:$O$1001,0),0), INDEX($V$1004:$AE$1004,1,MATCH(COLUMNS($V$1006:AC1006),$V$1006:$AE$1006,0)))),"Fix")))</f>
        <v>0</v>
      </c>
      <c r="J594" s="3">
        <f>IF(OR(INDEX($P$2:$P$1001,MATCH(ROWS($O$2:O594),$O$2:$O$1001,0),1)&gt;=100000,INDEX($V$1005:$AE$1005,1,MATCH(COLUMNS($V$1006:AD1006),$V$1006:$AE$1006,0))&gt;=100000), " ",IF(INDEX($V$2:$AE$1001,MATCH(ROWS($O$2:O594),$O$2:$O$1001,0),MATCH(COLUMNS($V$1006:AD1006),$V$1006:$AE$1006,0)), HYPERLINK("#",""), HYPERLINK(CONCATENATE("#Metadata!", ADDRESS(INDEX($Q$2:$Q$1001,MATCH(ROWS($O$2:O594),$O$2:$O$1001,0),0), INDEX($V$1004:$AE$1004,1,MATCH(COLUMNS($V$1006:AD1006),$V$1006:$AE$1006,0)))),"Fix")))</f>
        <v>0</v>
      </c>
      <c r="K594" s="3">
        <f>IF(OR(INDEX($P$2:$P$1001,MATCH(ROWS($O$2:O594),$O$2:$O$1001,0),1)&gt;=100000,INDEX($V$1005:$AE$1005,1,MATCH(COLUMNS($V$1006:AE1006),$V$1006:$AE$1006,0))&gt;=100000), " ",IF(INDEX($V$2:$AE$1001,MATCH(ROWS($O$2:O594),$O$2:$O$1001,0),MATCH(COLUMNS($V$1006:AE1006),$V$1006:$AE$1006,0)), HYPERLINK("#",""), HYPERLINK(CONCATENATE("#Metadata!", ADDRESS(INDEX($Q$2:$Q$1001,MATCH(ROWS($O$2:O594),$O$2:$O$1001,0),0), INDEX($V$1004:$AE$1004,1,MATCH(COLUMNS($V$1006:AE1006),$V$1006:$AE$1006,0)))),"Fix")))</f>
        <v>0</v>
      </c>
      <c r="O594">
        <v>0</v>
      </c>
      <c r="P594">
        <v>0</v>
      </c>
      <c r="Q594">
        <v>0</v>
      </c>
      <c r="R594">
        <f>IF(S594,TRUE,AND(V594:AE594))</f>
        <v>0</v>
      </c>
      <c r="S594">
        <f>COUNTBLANK(Metadata!B594:K594)=COLUMNS(Metadata!B594:K594)</f>
        <v>0</v>
      </c>
      <c r="T594">
        <v>0</v>
      </c>
      <c r="V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W594">
        <f>AND(IF(Metadata!C594="",FALSE,TRUE),exact(Metadata!C594,"animal secretion"))</f>
        <v>0</v>
      </c>
      <c r="X594">
        <f>AND(IF(Metadata!D594="",FALSE,TRUE),exact(Metadata!D594,"saliva"))</f>
        <v>0</v>
      </c>
      <c r="Y594">
        <f>AND(IF(Metadata!E594="",FALSE,TRUE),exact(Metadata!E594,"human-oral"))</f>
        <v>0</v>
      </c>
      <c r="Z594">
        <f>AND(IF(Metadata!F594="",FALSE,TRUE),exact(Metadata!F594,"UBERON:oral cavity"))</f>
        <v>0</v>
      </c>
      <c r="AA594">
        <f>AND(IF(Metadata!G594="",FALSE,TRUE),exact(Metadata!G594,"UBERON:saliva"))</f>
        <v>0</v>
      </c>
      <c r="AB594">
        <f>AND(IF(Metadata!H594="",FALSE,TRUE),exact(Metadata!H594,"UBERON:tongue"))</f>
        <v>0</v>
      </c>
      <c r="AC594">
        <f>AND(IF(Metadata!I594="",FALSE,TRUE),exact(Metadata!I594,"tongue"))</f>
        <v>0</v>
      </c>
      <c r="AD594">
        <f>AND(IF(Metadata!J594="",FALSE,TRUE),exact(Metadata!J594,"human oral metagenome"))</f>
        <v>0</v>
      </c>
      <c r="AE594">
        <f>AND(IF(Metadata!K594="",FALSE,TRUE),exact(Metadata!K594,"447426"))</f>
        <v>0</v>
      </c>
    </row>
    <row r="595" spans="1:31">
      <c r="A595" s="4">
        <f>IF(B595=" "," ",HYPERLINK(CONCATENATE("#metadata!",ADDRESS(INDEX($Q$2:$Q$1001,MATCH(ROWS($O$2:O595),$O$2:$O$1001,0),0),1)),INDEX($T$2:$T$1001,MATCH(ROWS($O$2:O595),$O$2:$O$1001,0),0)))</f>
        <v>0</v>
      </c>
      <c r="B595" s="3">
        <f>IF(OR(INDEX($P$2:$P$1001,MATCH(ROWS($O$2:O595),$O$2:$O$1001,0),1)&gt;=100000,INDEX($V$1005:$AE$1005,1,MATCH(COLUMNS($V$1006:V1006),$V$1006:$AE$1006,0))&gt;=100000), " ",IF(INDEX($V$2:$AE$1001,MATCH(ROWS($O$2:O595),$O$2:$O$1001,0),MATCH(COLUMNS($V$1006:V1006),$V$1006:$AE$1006,0)), HYPERLINK("#",""), HYPERLINK(CONCATENATE("#Metadata!", ADDRESS(INDEX($Q$2:$Q$1001,MATCH(ROWS($O$2:O595),$O$2:$O$1001,0),0), INDEX($V$1004:$AE$1004,1,MATCH(COLUMNS($V$1006:V1006),$V$1006:$AE$1006,0)))),"Fix")))</f>
        <v>0</v>
      </c>
      <c r="C595" s="3">
        <f>IF(OR(INDEX($P$2:$P$1001,MATCH(ROWS($O$2:O595),$O$2:$O$1001,0),1)&gt;=100000,INDEX($V$1005:$AE$1005,1,MATCH(COLUMNS($V$1006:W1006),$V$1006:$AE$1006,0))&gt;=100000), " ",IF(INDEX($V$2:$AE$1001,MATCH(ROWS($O$2:O595),$O$2:$O$1001,0),MATCH(COLUMNS($V$1006:W1006),$V$1006:$AE$1006,0)), HYPERLINK("#",""), HYPERLINK(CONCATENATE("#Metadata!", ADDRESS(INDEX($Q$2:$Q$1001,MATCH(ROWS($O$2:O595),$O$2:$O$1001,0),0), INDEX($V$1004:$AE$1004,1,MATCH(COLUMNS($V$1006:W1006),$V$1006:$AE$1006,0)))),"Fix")))</f>
        <v>0</v>
      </c>
      <c r="D595" s="3">
        <f>IF(OR(INDEX($P$2:$P$1001,MATCH(ROWS($O$2:O595),$O$2:$O$1001,0),1)&gt;=100000,INDEX($V$1005:$AE$1005,1,MATCH(COLUMNS($V$1006:X1006),$V$1006:$AE$1006,0))&gt;=100000), " ",IF(INDEX($V$2:$AE$1001,MATCH(ROWS($O$2:O595),$O$2:$O$1001,0),MATCH(COLUMNS($V$1006:X1006),$V$1006:$AE$1006,0)), HYPERLINK("#",""), HYPERLINK(CONCATENATE("#Metadata!", ADDRESS(INDEX($Q$2:$Q$1001,MATCH(ROWS($O$2:O595),$O$2:$O$1001,0),0), INDEX($V$1004:$AE$1004,1,MATCH(COLUMNS($V$1006:X1006),$V$1006:$AE$1006,0)))),"Fix")))</f>
        <v>0</v>
      </c>
      <c r="E595" s="3">
        <f>IF(OR(INDEX($P$2:$P$1001,MATCH(ROWS($O$2:O595),$O$2:$O$1001,0),1)&gt;=100000,INDEX($V$1005:$AE$1005,1,MATCH(COLUMNS($V$1006:Y1006),$V$1006:$AE$1006,0))&gt;=100000), " ",IF(INDEX($V$2:$AE$1001,MATCH(ROWS($O$2:O595),$O$2:$O$1001,0),MATCH(COLUMNS($V$1006:Y1006),$V$1006:$AE$1006,0)), HYPERLINK("#",""), HYPERLINK(CONCATENATE("#Metadata!", ADDRESS(INDEX($Q$2:$Q$1001,MATCH(ROWS($O$2:O595),$O$2:$O$1001,0),0), INDEX($V$1004:$AE$1004,1,MATCH(COLUMNS($V$1006:Y1006),$V$1006:$AE$1006,0)))),"Fix")))</f>
        <v>0</v>
      </c>
      <c r="F595" s="3">
        <f>IF(OR(INDEX($P$2:$P$1001,MATCH(ROWS($O$2:O595),$O$2:$O$1001,0),1)&gt;=100000,INDEX($V$1005:$AE$1005,1,MATCH(COLUMNS($V$1006:Z1006),$V$1006:$AE$1006,0))&gt;=100000), " ",IF(INDEX($V$2:$AE$1001,MATCH(ROWS($O$2:O595),$O$2:$O$1001,0),MATCH(COLUMNS($V$1006:Z1006),$V$1006:$AE$1006,0)), HYPERLINK("#",""), HYPERLINK(CONCATENATE("#Metadata!", ADDRESS(INDEX($Q$2:$Q$1001,MATCH(ROWS($O$2:O595),$O$2:$O$1001,0),0), INDEX($V$1004:$AE$1004,1,MATCH(COLUMNS($V$1006:Z1006),$V$1006:$AE$1006,0)))),"Fix")))</f>
        <v>0</v>
      </c>
      <c r="G595" s="3">
        <f>IF(OR(INDEX($P$2:$P$1001,MATCH(ROWS($O$2:O595),$O$2:$O$1001,0),1)&gt;=100000,INDEX($V$1005:$AE$1005,1,MATCH(COLUMNS($V$1006:AA1006),$V$1006:$AE$1006,0))&gt;=100000), " ",IF(INDEX($V$2:$AE$1001,MATCH(ROWS($O$2:O595),$O$2:$O$1001,0),MATCH(COLUMNS($V$1006:AA1006),$V$1006:$AE$1006,0)), HYPERLINK("#",""), HYPERLINK(CONCATENATE("#Metadata!", ADDRESS(INDEX($Q$2:$Q$1001,MATCH(ROWS($O$2:O595),$O$2:$O$1001,0),0), INDEX($V$1004:$AE$1004,1,MATCH(COLUMNS($V$1006:AA1006),$V$1006:$AE$1006,0)))),"Fix")))</f>
        <v>0</v>
      </c>
      <c r="H595" s="3">
        <f>IF(OR(INDEX($P$2:$P$1001,MATCH(ROWS($O$2:O595),$O$2:$O$1001,0),1)&gt;=100000,INDEX($V$1005:$AE$1005,1,MATCH(COLUMNS($V$1006:AB1006),$V$1006:$AE$1006,0))&gt;=100000), " ",IF(INDEX($V$2:$AE$1001,MATCH(ROWS($O$2:O595),$O$2:$O$1001,0),MATCH(COLUMNS($V$1006:AB1006),$V$1006:$AE$1006,0)), HYPERLINK("#",""), HYPERLINK(CONCATENATE("#Metadata!", ADDRESS(INDEX($Q$2:$Q$1001,MATCH(ROWS($O$2:O595),$O$2:$O$1001,0),0), INDEX($V$1004:$AE$1004,1,MATCH(COLUMNS($V$1006:AB1006),$V$1006:$AE$1006,0)))),"Fix")))</f>
        <v>0</v>
      </c>
      <c r="I595" s="3">
        <f>IF(OR(INDEX($P$2:$P$1001,MATCH(ROWS($O$2:O595),$O$2:$O$1001,0),1)&gt;=100000,INDEX($V$1005:$AE$1005,1,MATCH(COLUMNS($V$1006:AC1006),$V$1006:$AE$1006,0))&gt;=100000), " ",IF(INDEX($V$2:$AE$1001,MATCH(ROWS($O$2:O595),$O$2:$O$1001,0),MATCH(COLUMNS($V$1006:AC1006),$V$1006:$AE$1006,0)), HYPERLINK("#",""), HYPERLINK(CONCATENATE("#Metadata!", ADDRESS(INDEX($Q$2:$Q$1001,MATCH(ROWS($O$2:O595),$O$2:$O$1001,0),0), INDEX($V$1004:$AE$1004,1,MATCH(COLUMNS($V$1006:AC1006),$V$1006:$AE$1006,0)))),"Fix")))</f>
        <v>0</v>
      </c>
      <c r="J595" s="3">
        <f>IF(OR(INDEX($P$2:$P$1001,MATCH(ROWS($O$2:O595),$O$2:$O$1001,0),1)&gt;=100000,INDEX($V$1005:$AE$1005,1,MATCH(COLUMNS($V$1006:AD1006),$V$1006:$AE$1006,0))&gt;=100000), " ",IF(INDEX($V$2:$AE$1001,MATCH(ROWS($O$2:O595),$O$2:$O$1001,0),MATCH(COLUMNS($V$1006:AD1006),$V$1006:$AE$1006,0)), HYPERLINK("#",""), HYPERLINK(CONCATENATE("#Metadata!", ADDRESS(INDEX($Q$2:$Q$1001,MATCH(ROWS($O$2:O595),$O$2:$O$1001,0),0), INDEX($V$1004:$AE$1004,1,MATCH(COLUMNS($V$1006:AD1006),$V$1006:$AE$1006,0)))),"Fix")))</f>
        <v>0</v>
      </c>
      <c r="K595" s="3">
        <f>IF(OR(INDEX($P$2:$P$1001,MATCH(ROWS($O$2:O595),$O$2:$O$1001,0),1)&gt;=100000,INDEX($V$1005:$AE$1005,1,MATCH(COLUMNS($V$1006:AE1006),$V$1006:$AE$1006,0))&gt;=100000), " ",IF(INDEX($V$2:$AE$1001,MATCH(ROWS($O$2:O595),$O$2:$O$1001,0),MATCH(COLUMNS($V$1006:AE1006),$V$1006:$AE$1006,0)), HYPERLINK("#",""), HYPERLINK(CONCATENATE("#Metadata!", ADDRESS(INDEX($Q$2:$Q$1001,MATCH(ROWS($O$2:O595),$O$2:$O$1001,0),0), INDEX($V$1004:$AE$1004,1,MATCH(COLUMNS($V$1006:AE1006),$V$1006:$AE$1006,0)))),"Fix")))</f>
        <v>0</v>
      </c>
      <c r="O595">
        <v>0</v>
      </c>
      <c r="P595">
        <v>0</v>
      </c>
      <c r="Q595">
        <v>0</v>
      </c>
      <c r="R595">
        <f>IF(S595,TRUE,AND(V595:AE595))</f>
        <v>0</v>
      </c>
      <c r="S595">
        <f>COUNTBLANK(Metadata!B595:K595)=COLUMNS(Metadata!B595:K595)</f>
        <v>0</v>
      </c>
      <c r="T595">
        <v>0</v>
      </c>
      <c r="V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W595">
        <f>AND(IF(Metadata!C595="",FALSE,TRUE),exact(Metadata!C595,"animal secretion"))</f>
        <v>0</v>
      </c>
      <c r="X595">
        <f>AND(IF(Metadata!D595="",FALSE,TRUE),exact(Metadata!D595,"saliva"))</f>
        <v>0</v>
      </c>
      <c r="Y595">
        <f>AND(IF(Metadata!E595="",FALSE,TRUE),exact(Metadata!E595,"human-oral"))</f>
        <v>0</v>
      </c>
      <c r="Z595">
        <f>AND(IF(Metadata!F595="",FALSE,TRUE),exact(Metadata!F595,"UBERON:oral cavity"))</f>
        <v>0</v>
      </c>
      <c r="AA595">
        <f>AND(IF(Metadata!G595="",FALSE,TRUE),exact(Metadata!G595,"UBERON:saliva"))</f>
        <v>0</v>
      </c>
      <c r="AB595">
        <f>AND(IF(Metadata!H595="",FALSE,TRUE),exact(Metadata!H595,"UBERON:tongue"))</f>
        <v>0</v>
      </c>
      <c r="AC595">
        <f>AND(IF(Metadata!I595="",FALSE,TRUE),exact(Metadata!I595,"tongue"))</f>
        <v>0</v>
      </c>
      <c r="AD595">
        <f>AND(IF(Metadata!J595="",FALSE,TRUE),exact(Metadata!J595,"human oral metagenome"))</f>
        <v>0</v>
      </c>
      <c r="AE595">
        <f>AND(IF(Metadata!K595="",FALSE,TRUE),exact(Metadata!K595,"447426"))</f>
        <v>0</v>
      </c>
    </row>
    <row r="596" spans="1:31">
      <c r="A596" s="4">
        <f>IF(B596=" "," ",HYPERLINK(CONCATENATE("#metadata!",ADDRESS(INDEX($Q$2:$Q$1001,MATCH(ROWS($O$2:O596),$O$2:$O$1001,0),0),1)),INDEX($T$2:$T$1001,MATCH(ROWS($O$2:O596),$O$2:$O$1001,0),0)))</f>
        <v>0</v>
      </c>
      <c r="B596" s="3">
        <f>IF(OR(INDEX($P$2:$P$1001,MATCH(ROWS($O$2:O596),$O$2:$O$1001,0),1)&gt;=100000,INDEX($V$1005:$AE$1005,1,MATCH(COLUMNS($V$1006:V1006),$V$1006:$AE$1006,0))&gt;=100000), " ",IF(INDEX($V$2:$AE$1001,MATCH(ROWS($O$2:O596),$O$2:$O$1001,0),MATCH(COLUMNS($V$1006:V1006),$V$1006:$AE$1006,0)), HYPERLINK("#",""), HYPERLINK(CONCATENATE("#Metadata!", ADDRESS(INDEX($Q$2:$Q$1001,MATCH(ROWS($O$2:O596),$O$2:$O$1001,0),0), INDEX($V$1004:$AE$1004,1,MATCH(COLUMNS($V$1006:V1006),$V$1006:$AE$1006,0)))),"Fix")))</f>
        <v>0</v>
      </c>
      <c r="C596" s="3">
        <f>IF(OR(INDEX($P$2:$P$1001,MATCH(ROWS($O$2:O596),$O$2:$O$1001,0),1)&gt;=100000,INDEX($V$1005:$AE$1005,1,MATCH(COLUMNS($V$1006:W1006),$V$1006:$AE$1006,0))&gt;=100000), " ",IF(INDEX($V$2:$AE$1001,MATCH(ROWS($O$2:O596),$O$2:$O$1001,0),MATCH(COLUMNS($V$1006:W1006),$V$1006:$AE$1006,0)), HYPERLINK("#",""), HYPERLINK(CONCATENATE("#Metadata!", ADDRESS(INDEX($Q$2:$Q$1001,MATCH(ROWS($O$2:O596),$O$2:$O$1001,0),0), INDEX($V$1004:$AE$1004,1,MATCH(COLUMNS($V$1006:W1006),$V$1006:$AE$1006,0)))),"Fix")))</f>
        <v>0</v>
      </c>
      <c r="D596" s="3">
        <f>IF(OR(INDEX($P$2:$P$1001,MATCH(ROWS($O$2:O596),$O$2:$O$1001,0),1)&gt;=100000,INDEX($V$1005:$AE$1005,1,MATCH(COLUMNS($V$1006:X1006),$V$1006:$AE$1006,0))&gt;=100000), " ",IF(INDEX($V$2:$AE$1001,MATCH(ROWS($O$2:O596),$O$2:$O$1001,0),MATCH(COLUMNS($V$1006:X1006),$V$1006:$AE$1006,0)), HYPERLINK("#",""), HYPERLINK(CONCATENATE("#Metadata!", ADDRESS(INDEX($Q$2:$Q$1001,MATCH(ROWS($O$2:O596),$O$2:$O$1001,0),0), INDEX($V$1004:$AE$1004,1,MATCH(COLUMNS($V$1006:X1006),$V$1006:$AE$1006,0)))),"Fix")))</f>
        <v>0</v>
      </c>
      <c r="E596" s="3">
        <f>IF(OR(INDEX($P$2:$P$1001,MATCH(ROWS($O$2:O596),$O$2:$O$1001,0),1)&gt;=100000,INDEX($V$1005:$AE$1005,1,MATCH(COLUMNS($V$1006:Y1006),$V$1006:$AE$1006,0))&gt;=100000), " ",IF(INDEX($V$2:$AE$1001,MATCH(ROWS($O$2:O596),$O$2:$O$1001,0),MATCH(COLUMNS($V$1006:Y1006),$V$1006:$AE$1006,0)), HYPERLINK("#",""), HYPERLINK(CONCATENATE("#Metadata!", ADDRESS(INDEX($Q$2:$Q$1001,MATCH(ROWS($O$2:O596),$O$2:$O$1001,0),0), INDEX($V$1004:$AE$1004,1,MATCH(COLUMNS($V$1006:Y1006),$V$1006:$AE$1006,0)))),"Fix")))</f>
        <v>0</v>
      </c>
      <c r="F596" s="3">
        <f>IF(OR(INDEX($P$2:$P$1001,MATCH(ROWS($O$2:O596),$O$2:$O$1001,0),1)&gt;=100000,INDEX($V$1005:$AE$1005,1,MATCH(COLUMNS($V$1006:Z1006),$V$1006:$AE$1006,0))&gt;=100000), " ",IF(INDEX($V$2:$AE$1001,MATCH(ROWS($O$2:O596),$O$2:$O$1001,0),MATCH(COLUMNS($V$1006:Z1006),$V$1006:$AE$1006,0)), HYPERLINK("#",""), HYPERLINK(CONCATENATE("#Metadata!", ADDRESS(INDEX($Q$2:$Q$1001,MATCH(ROWS($O$2:O596),$O$2:$O$1001,0),0), INDEX($V$1004:$AE$1004,1,MATCH(COLUMNS($V$1006:Z1006),$V$1006:$AE$1006,0)))),"Fix")))</f>
        <v>0</v>
      </c>
      <c r="G596" s="3">
        <f>IF(OR(INDEX($P$2:$P$1001,MATCH(ROWS($O$2:O596),$O$2:$O$1001,0),1)&gt;=100000,INDEX($V$1005:$AE$1005,1,MATCH(COLUMNS($V$1006:AA1006),$V$1006:$AE$1006,0))&gt;=100000), " ",IF(INDEX($V$2:$AE$1001,MATCH(ROWS($O$2:O596),$O$2:$O$1001,0),MATCH(COLUMNS($V$1006:AA1006),$V$1006:$AE$1006,0)), HYPERLINK("#",""), HYPERLINK(CONCATENATE("#Metadata!", ADDRESS(INDEX($Q$2:$Q$1001,MATCH(ROWS($O$2:O596),$O$2:$O$1001,0),0), INDEX($V$1004:$AE$1004,1,MATCH(COLUMNS($V$1006:AA1006),$V$1006:$AE$1006,0)))),"Fix")))</f>
        <v>0</v>
      </c>
      <c r="H596" s="3">
        <f>IF(OR(INDEX($P$2:$P$1001,MATCH(ROWS($O$2:O596),$O$2:$O$1001,0),1)&gt;=100000,INDEX($V$1005:$AE$1005,1,MATCH(COLUMNS($V$1006:AB1006),$V$1006:$AE$1006,0))&gt;=100000), " ",IF(INDEX($V$2:$AE$1001,MATCH(ROWS($O$2:O596),$O$2:$O$1001,0),MATCH(COLUMNS($V$1006:AB1006),$V$1006:$AE$1006,0)), HYPERLINK("#",""), HYPERLINK(CONCATENATE("#Metadata!", ADDRESS(INDEX($Q$2:$Q$1001,MATCH(ROWS($O$2:O596),$O$2:$O$1001,0),0), INDEX($V$1004:$AE$1004,1,MATCH(COLUMNS($V$1006:AB1006),$V$1006:$AE$1006,0)))),"Fix")))</f>
        <v>0</v>
      </c>
      <c r="I596" s="3">
        <f>IF(OR(INDEX($P$2:$P$1001,MATCH(ROWS($O$2:O596),$O$2:$O$1001,0),1)&gt;=100000,INDEX($V$1005:$AE$1005,1,MATCH(COLUMNS($V$1006:AC1006),$V$1006:$AE$1006,0))&gt;=100000), " ",IF(INDEX($V$2:$AE$1001,MATCH(ROWS($O$2:O596),$O$2:$O$1001,0),MATCH(COLUMNS($V$1006:AC1006),$V$1006:$AE$1006,0)), HYPERLINK("#",""), HYPERLINK(CONCATENATE("#Metadata!", ADDRESS(INDEX($Q$2:$Q$1001,MATCH(ROWS($O$2:O596),$O$2:$O$1001,0),0), INDEX($V$1004:$AE$1004,1,MATCH(COLUMNS($V$1006:AC1006),$V$1006:$AE$1006,0)))),"Fix")))</f>
        <v>0</v>
      </c>
      <c r="J596" s="3">
        <f>IF(OR(INDEX($P$2:$P$1001,MATCH(ROWS($O$2:O596),$O$2:$O$1001,0),1)&gt;=100000,INDEX($V$1005:$AE$1005,1,MATCH(COLUMNS($V$1006:AD1006),$V$1006:$AE$1006,0))&gt;=100000), " ",IF(INDEX($V$2:$AE$1001,MATCH(ROWS($O$2:O596),$O$2:$O$1001,0),MATCH(COLUMNS($V$1006:AD1006),$V$1006:$AE$1006,0)), HYPERLINK("#",""), HYPERLINK(CONCATENATE("#Metadata!", ADDRESS(INDEX($Q$2:$Q$1001,MATCH(ROWS($O$2:O596),$O$2:$O$1001,0),0), INDEX($V$1004:$AE$1004,1,MATCH(COLUMNS($V$1006:AD1006),$V$1006:$AE$1006,0)))),"Fix")))</f>
        <v>0</v>
      </c>
      <c r="K596" s="3">
        <f>IF(OR(INDEX($P$2:$P$1001,MATCH(ROWS($O$2:O596),$O$2:$O$1001,0),1)&gt;=100000,INDEX($V$1005:$AE$1005,1,MATCH(COLUMNS($V$1006:AE1006),$V$1006:$AE$1006,0))&gt;=100000), " ",IF(INDEX($V$2:$AE$1001,MATCH(ROWS($O$2:O596),$O$2:$O$1001,0),MATCH(COLUMNS($V$1006:AE1006),$V$1006:$AE$1006,0)), HYPERLINK("#",""), HYPERLINK(CONCATENATE("#Metadata!", ADDRESS(INDEX($Q$2:$Q$1001,MATCH(ROWS($O$2:O596),$O$2:$O$1001,0),0), INDEX($V$1004:$AE$1004,1,MATCH(COLUMNS($V$1006:AE1006),$V$1006:$AE$1006,0)))),"Fix")))</f>
        <v>0</v>
      </c>
      <c r="O596">
        <v>0</v>
      </c>
      <c r="P596">
        <v>0</v>
      </c>
      <c r="Q596">
        <v>0</v>
      </c>
      <c r="R596">
        <f>IF(S596,TRUE,AND(V596:AE596))</f>
        <v>0</v>
      </c>
      <c r="S596">
        <f>COUNTBLANK(Metadata!B596:K596)=COLUMNS(Metadata!B596:K596)</f>
        <v>0</v>
      </c>
      <c r="T596">
        <v>0</v>
      </c>
      <c r="V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W596">
        <f>AND(IF(Metadata!C596="",FALSE,TRUE),exact(Metadata!C596,"animal secretion"))</f>
        <v>0</v>
      </c>
      <c r="X596">
        <f>AND(IF(Metadata!D596="",FALSE,TRUE),exact(Metadata!D596,"saliva"))</f>
        <v>0</v>
      </c>
      <c r="Y596">
        <f>AND(IF(Metadata!E596="",FALSE,TRUE),exact(Metadata!E596,"human-oral"))</f>
        <v>0</v>
      </c>
      <c r="Z596">
        <f>AND(IF(Metadata!F596="",FALSE,TRUE),exact(Metadata!F596,"UBERON:oral cavity"))</f>
        <v>0</v>
      </c>
      <c r="AA596">
        <f>AND(IF(Metadata!G596="",FALSE,TRUE),exact(Metadata!G596,"UBERON:saliva"))</f>
        <v>0</v>
      </c>
      <c r="AB596">
        <f>AND(IF(Metadata!H596="",FALSE,TRUE),exact(Metadata!H596,"UBERON:tongue"))</f>
        <v>0</v>
      </c>
      <c r="AC596">
        <f>AND(IF(Metadata!I596="",FALSE,TRUE),exact(Metadata!I596,"tongue"))</f>
        <v>0</v>
      </c>
      <c r="AD596">
        <f>AND(IF(Metadata!J596="",FALSE,TRUE),exact(Metadata!J596,"human oral metagenome"))</f>
        <v>0</v>
      </c>
      <c r="AE596">
        <f>AND(IF(Metadata!K596="",FALSE,TRUE),exact(Metadata!K596,"447426"))</f>
        <v>0</v>
      </c>
    </row>
    <row r="597" spans="1:31">
      <c r="A597" s="4">
        <f>IF(B597=" "," ",HYPERLINK(CONCATENATE("#metadata!",ADDRESS(INDEX($Q$2:$Q$1001,MATCH(ROWS($O$2:O597),$O$2:$O$1001,0),0),1)),INDEX($T$2:$T$1001,MATCH(ROWS($O$2:O597),$O$2:$O$1001,0),0)))</f>
        <v>0</v>
      </c>
      <c r="B597" s="3">
        <f>IF(OR(INDEX($P$2:$P$1001,MATCH(ROWS($O$2:O597),$O$2:$O$1001,0),1)&gt;=100000,INDEX($V$1005:$AE$1005,1,MATCH(COLUMNS($V$1006:V1006),$V$1006:$AE$1006,0))&gt;=100000), " ",IF(INDEX($V$2:$AE$1001,MATCH(ROWS($O$2:O597),$O$2:$O$1001,0),MATCH(COLUMNS($V$1006:V1006),$V$1006:$AE$1006,0)), HYPERLINK("#",""), HYPERLINK(CONCATENATE("#Metadata!", ADDRESS(INDEX($Q$2:$Q$1001,MATCH(ROWS($O$2:O597),$O$2:$O$1001,0),0), INDEX($V$1004:$AE$1004,1,MATCH(COLUMNS($V$1006:V1006),$V$1006:$AE$1006,0)))),"Fix")))</f>
        <v>0</v>
      </c>
      <c r="C597" s="3">
        <f>IF(OR(INDEX($P$2:$P$1001,MATCH(ROWS($O$2:O597),$O$2:$O$1001,0),1)&gt;=100000,INDEX($V$1005:$AE$1005,1,MATCH(COLUMNS($V$1006:W1006),$V$1006:$AE$1006,0))&gt;=100000), " ",IF(INDEX($V$2:$AE$1001,MATCH(ROWS($O$2:O597),$O$2:$O$1001,0),MATCH(COLUMNS($V$1006:W1006),$V$1006:$AE$1006,0)), HYPERLINK("#",""), HYPERLINK(CONCATENATE("#Metadata!", ADDRESS(INDEX($Q$2:$Q$1001,MATCH(ROWS($O$2:O597),$O$2:$O$1001,0),0), INDEX($V$1004:$AE$1004,1,MATCH(COLUMNS($V$1006:W1006),$V$1006:$AE$1006,0)))),"Fix")))</f>
        <v>0</v>
      </c>
      <c r="D597" s="3">
        <f>IF(OR(INDEX($P$2:$P$1001,MATCH(ROWS($O$2:O597),$O$2:$O$1001,0),1)&gt;=100000,INDEX($V$1005:$AE$1005,1,MATCH(COLUMNS($V$1006:X1006),$V$1006:$AE$1006,0))&gt;=100000), " ",IF(INDEX($V$2:$AE$1001,MATCH(ROWS($O$2:O597),$O$2:$O$1001,0),MATCH(COLUMNS($V$1006:X1006),$V$1006:$AE$1006,0)), HYPERLINK("#",""), HYPERLINK(CONCATENATE("#Metadata!", ADDRESS(INDEX($Q$2:$Q$1001,MATCH(ROWS($O$2:O597),$O$2:$O$1001,0),0), INDEX($V$1004:$AE$1004,1,MATCH(COLUMNS($V$1006:X1006),$V$1006:$AE$1006,0)))),"Fix")))</f>
        <v>0</v>
      </c>
      <c r="E597" s="3">
        <f>IF(OR(INDEX($P$2:$P$1001,MATCH(ROWS($O$2:O597),$O$2:$O$1001,0),1)&gt;=100000,INDEX($V$1005:$AE$1005,1,MATCH(COLUMNS($V$1006:Y1006),$V$1006:$AE$1006,0))&gt;=100000), " ",IF(INDEX($V$2:$AE$1001,MATCH(ROWS($O$2:O597),$O$2:$O$1001,0),MATCH(COLUMNS($V$1006:Y1006),$V$1006:$AE$1006,0)), HYPERLINK("#",""), HYPERLINK(CONCATENATE("#Metadata!", ADDRESS(INDEX($Q$2:$Q$1001,MATCH(ROWS($O$2:O597),$O$2:$O$1001,0),0), INDEX($V$1004:$AE$1004,1,MATCH(COLUMNS($V$1006:Y1006),$V$1006:$AE$1006,0)))),"Fix")))</f>
        <v>0</v>
      </c>
      <c r="F597" s="3">
        <f>IF(OR(INDEX($P$2:$P$1001,MATCH(ROWS($O$2:O597),$O$2:$O$1001,0),1)&gt;=100000,INDEX($V$1005:$AE$1005,1,MATCH(COLUMNS($V$1006:Z1006),$V$1006:$AE$1006,0))&gt;=100000), " ",IF(INDEX($V$2:$AE$1001,MATCH(ROWS($O$2:O597),$O$2:$O$1001,0),MATCH(COLUMNS($V$1006:Z1006),$V$1006:$AE$1006,0)), HYPERLINK("#",""), HYPERLINK(CONCATENATE("#Metadata!", ADDRESS(INDEX($Q$2:$Q$1001,MATCH(ROWS($O$2:O597),$O$2:$O$1001,0),0), INDEX($V$1004:$AE$1004,1,MATCH(COLUMNS($V$1006:Z1006),$V$1006:$AE$1006,0)))),"Fix")))</f>
        <v>0</v>
      </c>
      <c r="G597" s="3">
        <f>IF(OR(INDEX($P$2:$P$1001,MATCH(ROWS($O$2:O597),$O$2:$O$1001,0),1)&gt;=100000,INDEX($V$1005:$AE$1005,1,MATCH(COLUMNS($V$1006:AA1006),$V$1006:$AE$1006,0))&gt;=100000), " ",IF(INDEX($V$2:$AE$1001,MATCH(ROWS($O$2:O597),$O$2:$O$1001,0),MATCH(COLUMNS($V$1006:AA1006),$V$1006:$AE$1006,0)), HYPERLINK("#",""), HYPERLINK(CONCATENATE("#Metadata!", ADDRESS(INDEX($Q$2:$Q$1001,MATCH(ROWS($O$2:O597),$O$2:$O$1001,0),0), INDEX($V$1004:$AE$1004,1,MATCH(COLUMNS($V$1006:AA1006),$V$1006:$AE$1006,0)))),"Fix")))</f>
        <v>0</v>
      </c>
      <c r="H597" s="3">
        <f>IF(OR(INDEX($P$2:$P$1001,MATCH(ROWS($O$2:O597),$O$2:$O$1001,0),1)&gt;=100000,INDEX($V$1005:$AE$1005,1,MATCH(COLUMNS($V$1006:AB1006),$V$1006:$AE$1006,0))&gt;=100000), " ",IF(INDEX($V$2:$AE$1001,MATCH(ROWS($O$2:O597),$O$2:$O$1001,0),MATCH(COLUMNS($V$1006:AB1006),$V$1006:$AE$1006,0)), HYPERLINK("#",""), HYPERLINK(CONCATENATE("#Metadata!", ADDRESS(INDEX($Q$2:$Q$1001,MATCH(ROWS($O$2:O597),$O$2:$O$1001,0),0), INDEX($V$1004:$AE$1004,1,MATCH(COLUMNS($V$1006:AB1006),$V$1006:$AE$1006,0)))),"Fix")))</f>
        <v>0</v>
      </c>
      <c r="I597" s="3">
        <f>IF(OR(INDEX($P$2:$P$1001,MATCH(ROWS($O$2:O597),$O$2:$O$1001,0),1)&gt;=100000,INDEX($V$1005:$AE$1005,1,MATCH(COLUMNS($V$1006:AC1006),$V$1006:$AE$1006,0))&gt;=100000), " ",IF(INDEX($V$2:$AE$1001,MATCH(ROWS($O$2:O597),$O$2:$O$1001,0),MATCH(COLUMNS($V$1006:AC1006),$V$1006:$AE$1006,0)), HYPERLINK("#",""), HYPERLINK(CONCATENATE("#Metadata!", ADDRESS(INDEX($Q$2:$Q$1001,MATCH(ROWS($O$2:O597),$O$2:$O$1001,0),0), INDEX($V$1004:$AE$1004,1,MATCH(COLUMNS($V$1006:AC1006),$V$1006:$AE$1006,0)))),"Fix")))</f>
        <v>0</v>
      </c>
      <c r="J597" s="3">
        <f>IF(OR(INDEX($P$2:$P$1001,MATCH(ROWS($O$2:O597),$O$2:$O$1001,0),1)&gt;=100000,INDEX($V$1005:$AE$1005,1,MATCH(COLUMNS($V$1006:AD1006),$V$1006:$AE$1006,0))&gt;=100000), " ",IF(INDEX($V$2:$AE$1001,MATCH(ROWS($O$2:O597),$O$2:$O$1001,0),MATCH(COLUMNS($V$1006:AD1006),$V$1006:$AE$1006,0)), HYPERLINK("#",""), HYPERLINK(CONCATENATE("#Metadata!", ADDRESS(INDEX($Q$2:$Q$1001,MATCH(ROWS($O$2:O597),$O$2:$O$1001,0),0), INDEX($V$1004:$AE$1004,1,MATCH(COLUMNS($V$1006:AD1006),$V$1006:$AE$1006,0)))),"Fix")))</f>
        <v>0</v>
      </c>
      <c r="K597" s="3">
        <f>IF(OR(INDEX($P$2:$P$1001,MATCH(ROWS($O$2:O597),$O$2:$O$1001,0),1)&gt;=100000,INDEX($V$1005:$AE$1005,1,MATCH(COLUMNS($V$1006:AE1006),$V$1006:$AE$1006,0))&gt;=100000), " ",IF(INDEX($V$2:$AE$1001,MATCH(ROWS($O$2:O597),$O$2:$O$1001,0),MATCH(COLUMNS($V$1006:AE1006),$V$1006:$AE$1006,0)), HYPERLINK("#",""), HYPERLINK(CONCATENATE("#Metadata!", ADDRESS(INDEX($Q$2:$Q$1001,MATCH(ROWS($O$2:O597),$O$2:$O$1001,0),0), INDEX($V$1004:$AE$1004,1,MATCH(COLUMNS($V$1006:AE1006),$V$1006:$AE$1006,0)))),"Fix")))</f>
        <v>0</v>
      </c>
      <c r="O597">
        <v>0</v>
      </c>
      <c r="P597">
        <v>0</v>
      </c>
      <c r="Q597">
        <v>0</v>
      </c>
      <c r="R597">
        <f>IF(S597,TRUE,AND(V597:AE597))</f>
        <v>0</v>
      </c>
      <c r="S597">
        <f>COUNTBLANK(Metadata!B597:K597)=COLUMNS(Metadata!B597:K597)</f>
        <v>0</v>
      </c>
      <c r="T597">
        <v>0</v>
      </c>
      <c r="V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W597">
        <f>AND(IF(Metadata!C597="",FALSE,TRUE),exact(Metadata!C597,"animal secretion"))</f>
        <v>0</v>
      </c>
      <c r="X597">
        <f>AND(IF(Metadata!D597="",FALSE,TRUE),exact(Metadata!D597,"saliva"))</f>
        <v>0</v>
      </c>
      <c r="Y597">
        <f>AND(IF(Metadata!E597="",FALSE,TRUE),exact(Metadata!E597,"human-oral"))</f>
        <v>0</v>
      </c>
      <c r="Z597">
        <f>AND(IF(Metadata!F597="",FALSE,TRUE),exact(Metadata!F597,"UBERON:oral cavity"))</f>
        <v>0</v>
      </c>
      <c r="AA597">
        <f>AND(IF(Metadata!G597="",FALSE,TRUE),exact(Metadata!G597,"UBERON:saliva"))</f>
        <v>0</v>
      </c>
      <c r="AB597">
        <f>AND(IF(Metadata!H597="",FALSE,TRUE),exact(Metadata!H597,"UBERON:tongue"))</f>
        <v>0</v>
      </c>
      <c r="AC597">
        <f>AND(IF(Metadata!I597="",FALSE,TRUE),exact(Metadata!I597,"tongue"))</f>
        <v>0</v>
      </c>
      <c r="AD597">
        <f>AND(IF(Metadata!J597="",FALSE,TRUE),exact(Metadata!J597,"human oral metagenome"))</f>
        <v>0</v>
      </c>
      <c r="AE597">
        <f>AND(IF(Metadata!K597="",FALSE,TRUE),exact(Metadata!K597,"447426"))</f>
        <v>0</v>
      </c>
    </row>
    <row r="598" spans="1:31">
      <c r="A598" s="4">
        <f>IF(B598=" "," ",HYPERLINK(CONCATENATE("#metadata!",ADDRESS(INDEX($Q$2:$Q$1001,MATCH(ROWS($O$2:O598),$O$2:$O$1001,0),0),1)),INDEX($T$2:$T$1001,MATCH(ROWS($O$2:O598),$O$2:$O$1001,0),0)))</f>
        <v>0</v>
      </c>
      <c r="B598" s="3">
        <f>IF(OR(INDEX($P$2:$P$1001,MATCH(ROWS($O$2:O598),$O$2:$O$1001,0),1)&gt;=100000,INDEX($V$1005:$AE$1005,1,MATCH(COLUMNS($V$1006:V1006),$V$1006:$AE$1006,0))&gt;=100000), " ",IF(INDEX($V$2:$AE$1001,MATCH(ROWS($O$2:O598),$O$2:$O$1001,0),MATCH(COLUMNS($V$1006:V1006),$V$1006:$AE$1006,0)), HYPERLINK("#",""), HYPERLINK(CONCATENATE("#Metadata!", ADDRESS(INDEX($Q$2:$Q$1001,MATCH(ROWS($O$2:O598),$O$2:$O$1001,0),0), INDEX($V$1004:$AE$1004,1,MATCH(COLUMNS($V$1006:V1006),$V$1006:$AE$1006,0)))),"Fix")))</f>
        <v>0</v>
      </c>
      <c r="C598" s="3">
        <f>IF(OR(INDEX($P$2:$P$1001,MATCH(ROWS($O$2:O598),$O$2:$O$1001,0),1)&gt;=100000,INDEX($V$1005:$AE$1005,1,MATCH(COLUMNS($V$1006:W1006),$V$1006:$AE$1006,0))&gt;=100000), " ",IF(INDEX($V$2:$AE$1001,MATCH(ROWS($O$2:O598),$O$2:$O$1001,0),MATCH(COLUMNS($V$1006:W1006),$V$1006:$AE$1006,0)), HYPERLINK("#",""), HYPERLINK(CONCATENATE("#Metadata!", ADDRESS(INDEX($Q$2:$Q$1001,MATCH(ROWS($O$2:O598),$O$2:$O$1001,0),0), INDEX($V$1004:$AE$1004,1,MATCH(COLUMNS($V$1006:W1006),$V$1006:$AE$1006,0)))),"Fix")))</f>
        <v>0</v>
      </c>
      <c r="D598" s="3">
        <f>IF(OR(INDEX($P$2:$P$1001,MATCH(ROWS($O$2:O598),$O$2:$O$1001,0),1)&gt;=100000,INDEX($V$1005:$AE$1005,1,MATCH(COLUMNS($V$1006:X1006),$V$1006:$AE$1006,0))&gt;=100000), " ",IF(INDEX($V$2:$AE$1001,MATCH(ROWS($O$2:O598),$O$2:$O$1001,0),MATCH(COLUMNS($V$1006:X1006),$V$1006:$AE$1006,0)), HYPERLINK("#",""), HYPERLINK(CONCATENATE("#Metadata!", ADDRESS(INDEX($Q$2:$Q$1001,MATCH(ROWS($O$2:O598),$O$2:$O$1001,0),0), INDEX($V$1004:$AE$1004,1,MATCH(COLUMNS($V$1006:X1006),$V$1006:$AE$1006,0)))),"Fix")))</f>
        <v>0</v>
      </c>
      <c r="E598" s="3">
        <f>IF(OR(INDEX($P$2:$P$1001,MATCH(ROWS($O$2:O598),$O$2:$O$1001,0),1)&gt;=100000,INDEX($V$1005:$AE$1005,1,MATCH(COLUMNS($V$1006:Y1006),$V$1006:$AE$1006,0))&gt;=100000), " ",IF(INDEX($V$2:$AE$1001,MATCH(ROWS($O$2:O598),$O$2:$O$1001,0),MATCH(COLUMNS($V$1006:Y1006),$V$1006:$AE$1006,0)), HYPERLINK("#",""), HYPERLINK(CONCATENATE("#Metadata!", ADDRESS(INDEX($Q$2:$Q$1001,MATCH(ROWS($O$2:O598),$O$2:$O$1001,0),0), INDEX($V$1004:$AE$1004,1,MATCH(COLUMNS($V$1006:Y1006),$V$1006:$AE$1006,0)))),"Fix")))</f>
        <v>0</v>
      </c>
      <c r="F598" s="3">
        <f>IF(OR(INDEX($P$2:$P$1001,MATCH(ROWS($O$2:O598),$O$2:$O$1001,0),1)&gt;=100000,INDEX($V$1005:$AE$1005,1,MATCH(COLUMNS($V$1006:Z1006),$V$1006:$AE$1006,0))&gt;=100000), " ",IF(INDEX($V$2:$AE$1001,MATCH(ROWS($O$2:O598),$O$2:$O$1001,0),MATCH(COLUMNS($V$1006:Z1006),$V$1006:$AE$1006,0)), HYPERLINK("#",""), HYPERLINK(CONCATENATE("#Metadata!", ADDRESS(INDEX($Q$2:$Q$1001,MATCH(ROWS($O$2:O598),$O$2:$O$1001,0),0), INDEX($V$1004:$AE$1004,1,MATCH(COLUMNS($V$1006:Z1006),$V$1006:$AE$1006,0)))),"Fix")))</f>
        <v>0</v>
      </c>
      <c r="G598" s="3">
        <f>IF(OR(INDEX($P$2:$P$1001,MATCH(ROWS($O$2:O598),$O$2:$O$1001,0),1)&gt;=100000,INDEX($V$1005:$AE$1005,1,MATCH(COLUMNS($V$1006:AA1006),$V$1006:$AE$1006,0))&gt;=100000), " ",IF(INDEX($V$2:$AE$1001,MATCH(ROWS($O$2:O598),$O$2:$O$1001,0),MATCH(COLUMNS($V$1006:AA1006),$V$1006:$AE$1006,0)), HYPERLINK("#",""), HYPERLINK(CONCATENATE("#Metadata!", ADDRESS(INDEX($Q$2:$Q$1001,MATCH(ROWS($O$2:O598),$O$2:$O$1001,0),0), INDEX($V$1004:$AE$1004,1,MATCH(COLUMNS($V$1006:AA1006),$V$1006:$AE$1006,0)))),"Fix")))</f>
        <v>0</v>
      </c>
      <c r="H598" s="3">
        <f>IF(OR(INDEX($P$2:$P$1001,MATCH(ROWS($O$2:O598),$O$2:$O$1001,0),1)&gt;=100000,INDEX($V$1005:$AE$1005,1,MATCH(COLUMNS($V$1006:AB1006),$V$1006:$AE$1006,0))&gt;=100000), " ",IF(INDEX($V$2:$AE$1001,MATCH(ROWS($O$2:O598),$O$2:$O$1001,0),MATCH(COLUMNS($V$1006:AB1006),$V$1006:$AE$1006,0)), HYPERLINK("#",""), HYPERLINK(CONCATENATE("#Metadata!", ADDRESS(INDEX($Q$2:$Q$1001,MATCH(ROWS($O$2:O598),$O$2:$O$1001,0),0), INDEX($V$1004:$AE$1004,1,MATCH(COLUMNS($V$1006:AB1006),$V$1006:$AE$1006,0)))),"Fix")))</f>
        <v>0</v>
      </c>
      <c r="I598" s="3">
        <f>IF(OR(INDEX($P$2:$P$1001,MATCH(ROWS($O$2:O598),$O$2:$O$1001,0),1)&gt;=100000,INDEX($V$1005:$AE$1005,1,MATCH(COLUMNS($V$1006:AC1006),$V$1006:$AE$1006,0))&gt;=100000), " ",IF(INDEX($V$2:$AE$1001,MATCH(ROWS($O$2:O598),$O$2:$O$1001,0),MATCH(COLUMNS($V$1006:AC1006),$V$1006:$AE$1006,0)), HYPERLINK("#",""), HYPERLINK(CONCATENATE("#Metadata!", ADDRESS(INDEX($Q$2:$Q$1001,MATCH(ROWS($O$2:O598),$O$2:$O$1001,0),0), INDEX($V$1004:$AE$1004,1,MATCH(COLUMNS($V$1006:AC1006),$V$1006:$AE$1006,0)))),"Fix")))</f>
        <v>0</v>
      </c>
      <c r="J598" s="3">
        <f>IF(OR(INDEX($P$2:$P$1001,MATCH(ROWS($O$2:O598),$O$2:$O$1001,0),1)&gt;=100000,INDEX($V$1005:$AE$1005,1,MATCH(COLUMNS($V$1006:AD1006),$V$1006:$AE$1006,0))&gt;=100000), " ",IF(INDEX($V$2:$AE$1001,MATCH(ROWS($O$2:O598),$O$2:$O$1001,0),MATCH(COLUMNS($V$1006:AD1006),$V$1006:$AE$1006,0)), HYPERLINK("#",""), HYPERLINK(CONCATENATE("#Metadata!", ADDRESS(INDEX($Q$2:$Q$1001,MATCH(ROWS($O$2:O598),$O$2:$O$1001,0),0), INDEX($V$1004:$AE$1004,1,MATCH(COLUMNS($V$1006:AD1006),$V$1006:$AE$1006,0)))),"Fix")))</f>
        <v>0</v>
      </c>
      <c r="K598" s="3">
        <f>IF(OR(INDEX($P$2:$P$1001,MATCH(ROWS($O$2:O598),$O$2:$O$1001,0),1)&gt;=100000,INDEX($V$1005:$AE$1005,1,MATCH(COLUMNS($V$1006:AE1006),$V$1006:$AE$1006,0))&gt;=100000), " ",IF(INDEX($V$2:$AE$1001,MATCH(ROWS($O$2:O598),$O$2:$O$1001,0),MATCH(COLUMNS($V$1006:AE1006),$V$1006:$AE$1006,0)), HYPERLINK("#",""), HYPERLINK(CONCATENATE("#Metadata!", ADDRESS(INDEX($Q$2:$Q$1001,MATCH(ROWS($O$2:O598),$O$2:$O$1001,0),0), INDEX($V$1004:$AE$1004,1,MATCH(COLUMNS($V$1006:AE1006),$V$1006:$AE$1006,0)))),"Fix")))</f>
        <v>0</v>
      </c>
      <c r="O598">
        <v>0</v>
      </c>
      <c r="P598">
        <v>0</v>
      </c>
      <c r="Q598">
        <v>0</v>
      </c>
      <c r="R598">
        <f>IF(S598,TRUE,AND(V598:AE598))</f>
        <v>0</v>
      </c>
      <c r="S598">
        <f>COUNTBLANK(Metadata!B598:K598)=COLUMNS(Metadata!B598:K598)</f>
        <v>0</v>
      </c>
      <c r="T598">
        <v>0</v>
      </c>
      <c r="V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W598">
        <f>AND(IF(Metadata!C598="",FALSE,TRUE),exact(Metadata!C598,"animal secretion"))</f>
        <v>0</v>
      </c>
      <c r="X598">
        <f>AND(IF(Metadata!D598="",FALSE,TRUE),exact(Metadata!D598,"saliva"))</f>
        <v>0</v>
      </c>
      <c r="Y598">
        <f>AND(IF(Metadata!E598="",FALSE,TRUE),exact(Metadata!E598,"human-oral"))</f>
        <v>0</v>
      </c>
      <c r="Z598">
        <f>AND(IF(Metadata!F598="",FALSE,TRUE),exact(Metadata!F598,"UBERON:oral cavity"))</f>
        <v>0</v>
      </c>
      <c r="AA598">
        <f>AND(IF(Metadata!G598="",FALSE,TRUE),exact(Metadata!G598,"UBERON:saliva"))</f>
        <v>0</v>
      </c>
      <c r="AB598">
        <f>AND(IF(Metadata!H598="",FALSE,TRUE),exact(Metadata!H598,"UBERON:tongue"))</f>
        <v>0</v>
      </c>
      <c r="AC598">
        <f>AND(IF(Metadata!I598="",FALSE,TRUE),exact(Metadata!I598,"tongue"))</f>
        <v>0</v>
      </c>
      <c r="AD598">
        <f>AND(IF(Metadata!J598="",FALSE,TRUE),exact(Metadata!J598,"human oral metagenome"))</f>
        <v>0</v>
      </c>
      <c r="AE598">
        <f>AND(IF(Metadata!K598="",FALSE,TRUE),exact(Metadata!K598,"447426"))</f>
        <v>0</v>
      </c>
    </row>
    <row r="599" spans="1:31">
      <c r="A599" s="4">
        <f>IF(B599=" "," ",HYPERLINK(CONCATENATE("#metadata!",ADDRESS(INDEX($Q$2:$Q$1001,MATCH(ROWS($O$2:O599),$O$2:$O$1001,0),0),1)),INDEX($T$2:$T$1001,MATCH(ROWS($O$2:O599),$O$2:$O$1001,0),0)))</f>
        <v>0</v>
      </c>
      <c r="B599" s="3">
        <f>IF(OR(INDEX($P$2:$P$1001,MATCH(ROWS($O$2:O599),$O$2:$O$1001,0),1)&gt;=100000,INDEX($V$1005:$AE$1005,1,MATCH(COLUMNS($V$1006:V1006),$V$1006:$AE$1006,0))&gt;=100000), " ",IF(INDEX($V$2:$AE$1001,MATCH(ROWS($O$2:O599),$O$2:$O$1001,0),MATCH(COLUMNS($V$1006:V1006),$V$1006:$AE$1006,0)), HYPERLINK("#",""), HYPERLINK(CONCATENATE("#Metadata!", ADDRESS(INDEX($Q$2:$Q$1001,MATCH(ROWS($O$2:O599),$O$2:$O$1001,0),0), INDEX($V$1004:$AE$1004,1,MATCH(COLUMNS($V$1006:V1006),$V$1006:$AE$1006,0)))),"Fix")))</f>
        <v>0</v>
      </c>
      <c r="C599" s="3">
        <f>IF(OR(INDEX($P$2:$P$1001,MATCH(ROWS($O$2:O599),$O$2:$O$1001,0),1)&gt;=100000,INDEX($V$1005:$AE$1005,1,MATCH(COLUMNS($V$1006:W1006),$V$1006:$AE$1006,0))&gt;=100000), " ",IF(INDEX($V$2:$AE$1001,MATCH(ROWS($O$2:O599),$O$2:$O$1001,0),MATCH(COLUMNS($V$1006:W1006),$V$1006:$AE$1006,0)), HYPERLINK("#",""), HYPERLINK(CONCATENATE("#Metadata!", ADDRESS(INDEX($Q$2:$Q$1001,MATCH(ROWS($O$2:O599),$O$2:$O$1001,0),0), INDEX($V$1004:$AE$1004,1,MATCH(COLUMNS($V$1006:W1006),$V$1006:$AE$1006,0)))),"Fix")))</f>
        <v>0</v>
      </c>
      <c r="D599" s="3">
        <f>IF(OR(INDEX($P$2:$P$1001,MATCH(ROWS($O$2:O599),$O$2:$O$1001,0),1)&gt;=100000,INDEX($V$1005:$AE$1005,1,MATCH(COLUMNS($V$1006:X1006),$V$1006:$AE$1006,0))&gt;=100000), " ",IF(INDEX($V$2:$AE$1001,MATCH(ROWS($O$2:O599),$O$2:$O$1001,0),MATCH(COLUMNS($V$1006:X1006),$V$1006:$AE$1006,0)), HYPERLINK("#",""), HYPERLINK(CONCATENATE("#Metadata!", ADDRESS(INDEX($Q$2:$Q$1001,MATCH(ROWS($O$2:O599),$O$2:$O$1001,0),0), INDEX($V$1004:$AE$1004,1,MATCH(COLUMNS($V$1006:X1006),$V$1006:$AE$1006,0)))),"Fix")))</f>
        <v>0</v>
      </c>
      <c r="E599" s="3">
        <f>IF(OR(INDEX($P$2:$P$1001,MATCH(ROWS($O$2:O599),$O$2:$O$1001,0),1)&gt;=100000,INDEX($V$1005:$AE$1005,1,MATCH(COLUMNS($V$1006:Y1006),$V$1006:$AE$1006,0))&gt;=100000), " ",IF(INDEX($V$2:$AE$1001,MATCH(ROWS($O$2:O599),$O$2:$O$1001,0),MATCH(COLUMNS($V$1006:Y1006),$V$1006:$AE$1006,0)), HYPERLINK("#",""), HYPERLINK(CONCATENATE("#Metadata!", ADDRESS(INDEX($Q$2:$Q$1001,MATCH(ROWS($O$2:O599),$O$2:$O$1001,0),0), INDEX($V$1004:$AE$1004,1,MATCH(COLUMNS($V$1006:Y1006),$V$1006:$AE$1006,0)))),"Fix")))</f>
        <v>0</v>
      </c>
      <c r="F599" s="3">
        <f>IF(OR(INDEX($P$2:$P$1001,MATCH(ROWS($O$2:O599),$O$2:$O$1001,0),1)&gt;=100000,INDEX($V$1005:$AE$1005,1,MATCH(COLUMNS($V$1006:Z1006),$V$1006:$AE$1006,0))&gt;=100000), " ",IF(INDEX($V$2:$AE$1001,MATCH(ROWS($O$2:O599),$O$2:$O$1001,0),MATCH(COLUMNS($V$1006:Z1006),$V$1006:$AE$1006,0)), HYPERLINK("#",""), HYPERLINK(CONCATENATE("#Metadata!", ADDRESS(INDEX($Q$2:$Q$1001,MATCH(ROWS($O$2:O599),$O$2:$O$1001,0),0), INDEX($V$1004:$AE$1004,1,MATCH(COLUMNS($V$1006:Z1006),$V$1006:$AE$1006,0)))),"Fix")))</f>
        <v>0</v>
      </c>
      <c r="G599" s="3">
        <f>IF(OR(INDEX($P$2:$P$1001,MATCH(ROWS($O$2:O599),$O$2:$O$1001,0),1)&gt;=100000,INDEX($V$1005:$AE$1005,1,MATCH(COLUMNS($V$1006:AA1006),$V$1006:$AE$1006,0))&gt;=100000), " ",IF(INDEX($V$2:$AE$1001,MATCH(ROWS($O$2:O599),$O$2:$O$1001,0),MATCH(COLUMNS($V$1006:AA1006),$V$1006:$AE$1006,0)), HYPERLINK("#",""), HYPERLINK(CONCATENATE("#Metadata!", ADDRESS(INDEX($Q$2:$Q$1001,MATCH(ROWS($O$2:O599),$O$2:$O$1001,0),0), INDEX($V$1004:$AE$1004,1,MATCH(COLUMNS($V$1006:AA1006),$V$1006:$AE$1006,0)))),"Fix")))</f>
        <v>0</v>
      </c>
      <c r="H599" s="3">
        <f>IF(OR(INDEX($P$2:$P$1001,MATCH(ROWS($O$2:O599),$O$2:$O$1001,0),1)&gt;=100000,INDEX($V$1005:$AE$1005,1,MATCH(COLUMNS($V$1006:AB1006),$V$1006:$AE$1006,0))&gt;=100000), " ",IF(INDEX($V$2:$AE$1001,MATCH(ROWS($O$2:O599),$O$2:$O$1001,0),MATCH(COLUMNS($V$1006:AB1006),$V$1006:$AE$1006,0)), HYPERLINK("#",""), HYPERLINK(CONCATENATE("#Metadata!", ADDRESS(INDEX($Q$2:$Q$1001,MATCH(ROWS($O$2:O599),$O$2:$O$1001,0),0), INDEX($V$1004:$AE$1004,1,MATCH(COLUMNS($V$1006:AB1006),$V$1006:$AE$1006,0)))),"Fix")))</f>
        <v>0</v>
      </c>
      <c r="I599" s="3">
        <f>IF(OR(INDEX($P$2:$P$1001,MATCH(ROWS($O$2:O599),$O$2:$O$1001,0),1)&gt;=100000,INDEX($V$1005:$AE$1005,1,MATCH(COLUMNS($V$1006:AC1006),$V$1006:$AE$1006,0))&gt;=100000), " ",IF(INDEX($V$2:$AE$1001,MATCH(ROWS($O$2:O599),$O$2:$O$1001,0),MATCH(COLUMNS($V$1006:AC1006),$V$1006:$AE$1006,0)), HYPERLINK("#",""), HYPERLINK(CONCATENATE("#Metadata!", ADDRESS(INDEX($Q$2:$Q$1001,MATCH(ROWS($O$2:O599),$O$2:$O$1001,0),0), INDEX($V$1004:$AE$1004,1,MATCH(COLUMNS($V$1006:AC1006),$V$1006:$AE$1006,0)))),"Fix")))</f>
        <v>0</v>
      </c>
      <c r="J599" s="3">
        <f>IF(OR(INDEX($P$2:$P$1001,MATCH(ROWS($O$2:O599),$O$2:$O$1001,0),1)&gt;=100000,INDEX($V$1005:$AE$1005,1,MATCH(COLUMNS($V$1006:AD1006),$V$1006:$AE$1006,0))&gt;=100000), " ",IF(INDEX($V$2:$AE$1001,MATCH(ROWS($O$2:O599),$O$2:$O$1001,0),MATCH(COLUMNS($V$1006:AD1006),$V$1006:$AE$1006,0)), HYPERLINK("#",""), HYPERLINK(CONCATENATE("#Metadata!", ADDRESS(INDEX($Q$2:$Q$1001,MATCH(ROWS($O$2:O599),$O$2:$O$1001,0),0), INDEX($V$1004:$AE$1004,1,MATCH(COLUMNS($V$1006:AD1006),$V$1006:$AE$1006,0)))),"Fix")))</f>
        <v>0</v>
      </c>
      <c r="K599" s="3">
        <f>IF(OR(INDEX($P$2:$P$1001,MATCH(ROWS($O$2:O599),$O$2:$O$1001,0),1)&gt;=100000,INDEX($V$1005:$AE$1005,1,MATCH(COLUMNS($V$1006:AE1006),$V$1006:$AE$1006,0))&gt;=100000), " ",IF(INDEX($V$2:$AE$1001,MATCH(ROWS($O$2:O599),$O$2:$O$1001,0),MATCH(COLUMNS($V$1006:AE1006),$V$1006:$AE$1006,0)), HYPERLINK("#",""), HYPERLINK(CONCATENATE("#Metadata!", ADDRESS(INDEX($Q$2:$Q$1001,MATCH(ROWS($O$2:O599),$O$2:$O$1001,0),0), INDEX($V$1004:$AE$1004,1,MATCH(COLUMNS($V$1006:AE1006),$V$1006:$AE$1006,0)))),"Fix")))</f>
        <v>0</v>
      </c>
      <c r="O599">
        <v>0</v>
      </c>
      <c r="P599">
        <v>0</v>
      </c>
      <c r="Q599">
        <v>0</v>
      </c>
      <c r="R599">
        <f>IF(S599,TRUE,AND(V599:AE599))</f>
        <v>0</v>
      </c>
      <c r="S599">
        <f>COUNTBLANK(Metadata!B599:K599)=COLUMNS(Metadata!B599:K599)</f>
        <v>0</v>
      </c>
      <c r="T599">
        <v>0</v>
      </c>
      <c r="V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W599">
        <f>AND(IF(Metadata!C599="",FALSE,TRUE),exact(Metadata!C599,"animal secretion"))</f>
        <v>0</v>
      </c>
      <c r="X599">
        <f>AND(IF(Metadata!D599="",FALSE,TRUE),exact(Metadata!D599,"saliva"))</f>
        <v>0</v>
      </c>
      <c r="Y599">
        <f>AND(IF(Metadata!E599="",FALSE,TRUE),exact(Metadata!E599,"human-oral"))</f>
        <v>0</v>
      </c>
      <c r="Z599">
        <f>AND(IF(Metadata!F599="",FALSE,TRUE),exact(Metadata!F599,"UBERON:oral cavity"))</f>
        <v>0</v>
      </c>
      <c r="AA599">
        <f>AND(IF(Metadata!G599="",FALSE,TRUE),exact(Metadata!G599,"UBERON:saliva"))</f>
        <v>0</v>
      </c>
      <c r="AB599">
        <f>AND(IF(Metadata!H599="",FALSE,TRUE),exact(Metadata!H599,"UBERON:tongue"))</f>
        <v>0</v>
      </c>
      <c r="AC599">
        <f>AND(IF(Metadata!I599="",FALSE,TRUE),exact(Metadata!I599,"tongue"))</f>
        <v>0</v>
      </c>
      <c r="AD599">
        <f>AND(IF(Metadata!J599="",FALSE,TRUE),exact(Metadata!J599,"human oral metagenome"))</f>
        <v>0</v>
      </c>
      <c r="AE599">
        <f>AND(IF(Metadata!K599="",FALSE,TRUE),exact(Metadata!K599,"447426"))</f>
        <v>0</v>
      </c>
    </row>
    <row r="600" spans="1:31">
      <c r="A600" s="4">
        <f>IF(B600=" "," ",HYPERLINK(CONCATENATE("#metadata!",ADDRESS(INDEX($Q$2:$Q$1001,MATCH(ROWS($O$2:O600),$O$2:$O$1001,0),0),1)),INDEX($T$2:$T$1001,MATCH(ROWS($O$2:O600),$O$2:$O$1001,0),0)))</f>
        <v>0</v>
      </c>
      <c r="B600" s="3">
        <f>IF(OR(INDEX($P$2:$P$1001,MATCH(ROWS($O$2:O600),$O$2:$O$1001,0),1)&gt;=100000,INDEX($V$1005:$AE$1005,1,MATCH(COLUMNS($V$1006:V1006),$V$1006:$AE$1006,0))&gt;=100000), " ",IF(INDEX($V$2:$AE$1001,MATCH(ROWS($O$2:O600),$O$2:$O$1001,0),MATCH(COLUMNS($V$1006:V1006),$V$1006:$AE$1006,0)), HYPERLINK("#",""), HYPERLINK(CONCATENATE("#Metadata!", ADDRESS(INDEX($Q$2:$Q$1001,MATCH(ROWS($O$2:O600),$O$2:$O$1001,0),0), INDEX($V$1004:$AE$1004,1,MATCH(COLUMNS($V$1006:V1006),$V$1006:$AE$1006,0)))),"Fix")))</f>
        <v>0</v>
      </c>
      <c r="C600" s="3">
        <f>IF(OR(INDEX($P$2:$P$1001,MATCH(ROWS($O$2:O600),$O$2:$O$1001,0),1)&gt;=100000,INDEX($V$1005:$AE$1005,1,MATCH(COLUMNS($V$1006:W1006),$V$1006:$AE$1006,0))&gt;=100000), " ",IF(INDEX($V$2:$AE$1001,MATCH(ROWS($O$2:O600),$O$2:$O$1001,0),MATCH(COLUMNS($V$1006:W1006),$V$1006:$AE$1006,0)), HYPERLINK("#",""), HYPERLINK(CONCATENATE("#Metadata!", ADDRESS(INDEX($Q$2:$Q$1001,MATCH(ROWS($O$2:O600),$O$2:$O$1001,0),0), INDEX($V$1004:$AE$1004,1,MATCH(COLUMNS($V$1006:W1006),$V$1006:$AE$1006,0)))),"Fix")))</f>
        <v>0</v>
      </c>
      <c r="D600" s="3">
        <f>IF(OR(INDEX($P$2:$P$1001,MATCH(ROWS($O$2:O600),$O$2:$O$1001,0),1)&gt;=100000,INDEX($V$1005:$AE$1005,1,MATCH(COLUMNS($V$1006:X1006),$V$1006:$AE$1006,0))&gt;=100000), " ",IF(INDEX($V$2:$AE$1001,MATCH(ROWS($O$2:O600),$O$2:$O$1001,0),MATCH(COLUMNS($V$1006:X1006),$V$1006:$AE$1006,0)), HYPERLINK("#",""), HYPERLINK(CONCATENATE("#Metadata!", ADDRESS(INDEX($Q$2:$Q$1001,MATCH(ROWS($O$2:O600),$O$2:$O$1001,0),0), INDEX($V$1004:$AE$1004,1,MATCH(COLUMNS($V$1006:X1006),$V$1006:$AE$1006,0)))),"Fix")))</f>
        <v>0</v>
      </c>
      <c r="E600" s="3">
        <f>IF(OR(INDEX($P$2:$P$1001,MATCH(ROWS($O$2:O600),$O$2:$O$1001,0),1)&gt;=100000,INDEX($V$1005:$AE$1005,1,MATCH(COLUMNS($V$1006:Y1006),$V$1006:$AE$1006,0))&gt;=100000), " ",IF(INDEX($V$2:$AE$1001,MATCH(ROWS($O$2:O600),$O$2:$O$1001,0),MATCH(COLUMNS($V$1006:Y1006),$V$1006:$AE$1006,0)), HYPERLINK("#",""), HYPERLINK(CONCATENATE("#Metadata!", ADDRESS(INDEX($Q$2:$Q$1001,MATCH(ROWS($O$2:O600),$O$2:$O$1001,0),0), INDEX($V$1004:$AE$1004,1,MATCH(COLUMNS($V$1006:Y1006),$V$1006:$AE$1006,0)))),"Fix")))</f>
        <v>0</v>
      </c>
      <c r="F600" s="3">
        <f>IF(OR(INDEX($P$2:$P$1001,MATCH(ROWS($O$2:O600),$O$2:$O$1001,0),1)&gt;=100000,INDEX($V$1005:$AE$1005,1,MATCH(COLUMNS($V$1006:Z1006),$V$1006:$AE$1006,0))&gt;=100000), " ",IF(INDEX($V$2:$AE$1001,MATCH(ROWS($O$2:O600),$O$2:$O$1001,0),MATCH(COLUMNS($V$1006:Z1006),$V$1006:$AE$1006,0)), HYPERLINK("#",""), HYPERLINK(CONCATENATE("#Metadata!", ADDRESS(INDEX($Q$2:$Q$1001,MATCH(ROWS($O$2:O600),$O$2:$O$1001,0),0), INDEX($V$1004:$AE$1004,1,MATCH(COLUMNS($V$1006:Z1006),$V$1006:$AE$1006,0)))),"Fix")))</f>
        <v>0</v>
      </c>
      <c r="G600" s="3">
        <f>IF(OR(INDEX($P$2:$P$1001,MATCH(ROWS($O$2:O600),$O$2:$O$1001,0),1)&gt;=100000,INDEX($V$1005:$AE$1005,1,MATCH(COLUMNS($V$1006:AA1006),$V$1006:$AE$1006,0))&gt;=100000), " ",IF(INDEX($V$2:$AE$1001,MATCH(ROWS($O$2:O600),$O$2:$O$1001,0),MATCH(COLUMNS($V$1006:AA1006),$V$1006:$AE$1006,0)), HYPERLINK("#",""), HYPERLINK(CONCATENATE("#Metadata!", ADDRESS(INDEX($Q$2:$Q$1001,MATCH(ROWS($O$2:O600),$O$2:$O$1001,0),0), INDEX($V$1004:$AE$1004,1,MATCH(COLUMNS($V$1006:AA1006),$V$1006:$AE$1006,0)))),"Fix")))</f>
        <v>0</v>
      </c>
      <c r="H600" s="3">
        <f>IF(OR(INDEX($P$2:$P$1001,MATCH(ROWS($O$2:O600),$O$2:$O$1001,0),1)&gt;=100000,INDEX($V$1005:$AE$1005,1,MATCH(COLUMNS($V$1006:AB1006),$V$1006:$AE$1006,0))&gt;=100000), " ",IF(INDEX($V$2:$AE$1001,MATCH(ROWS($O$2:O600),$O$2:$O$1001,0),MATCH(COLUMNS($V$1006:AB1006),$V$1006:$AE$1006,0)), HYPERLINK("#",""), HYPERLINK(CONCATENATE("#Metadata!", ADDRESS(INDEX($Q$2:$Q$1001,MATCH(ROWS($O$2:O600),$O$2:$O$1001,0),0), INDEX($V$1004:$AE$1004,1,MATCH(COLUMNS($V$1006:AB1006),$V$1006:$AE$1006,0)))),"Fix")))</f>
        <v>0</v>
      </c>
      <c r="I600" s="3">
        <f>IF(OR(INDEX($P$2:$P$1001,MATCH(ROWS($O$2:O600),$O$2:$O$1001,0),1)&gt;=100000,INDEX($V$1005:$AE$1005,1,MATCH(COLUMNS($V$1006:AC1006),$V$1006:$AE$1006,0))&gt;=100000), " ",IF(INDEX($V$2:$AE$1001,MATCH(ROWS($O$2:O600),$O$2:$O$1001,0),MATCH(COLUMNS($V$1006:AC1006),$V$1006:$AE$1006,0)), HYPERLINK("#",""), HYPERLINK(CONCATENATE("#Metadata!", ADDRESS(INDEX($Q$2:$Q$1001,MATCH(ROWS($O$2:O600),$O$2:$O$1001,0),0), INDEX($V$1004:$AE$1004,1,MATCH(COLUMNS($V$1006:AC1006),$V$1006:$AE$1006,0)))),"Fix")))</f>
        <v>0</v>
      </c>
      <c r="J600" s="3">
        <f>IF(OR(INDEX($P$2:$P$1001,MATCH(ROWS($O$2:O600),$O$2:$O$1001,0),1)&gt;=100000,INDEX($V$1005:$AE$1005,1,MATCH(COLUMNS($V$1006:AD1006),$V$1006:$AE$1006,0))&gt;=100000), " ",IF(INDEX($V$2:$AE$1001,MATCH(ROWS($O$2:O600),$O$2:$O$1001,0),MATCH(COLUMNS($V$1006:AD1006),$V$1006:$AE$1006,0)), HYPERLINK("#",""), HYPERLINK(CONCATENATE("#Metadata!", ADDRESS(INDEX($Q$2:$Q$1001,MATCH(ROWS($O$2:O600),$O$2:$O$1001,0),0), INDEX($V$1004:$AE$1004,1,MATCH(COLUMNS($V$1006:AD1006),$V$1006:$AE$1006,0)))),"Fix")))</f>
        <v>0</v>
      </c>
      <c r="K600" s="3">
        <f>IF(OR(INDEX($P$2:$P$1001,MATCH(ROWS($O$2:O600),$O$2:$O$1001,0),1)&gt;=100000,INDEX($V$1005:$AE$1005,1,MATCH(COLUMNS($V$1006:AE1006),$V$1006:$AE$1006,0))&gt;=100000), " ",IF(INDEX($V$2:$AE$1001,MATCH(ROWS($O$2:O600),$O$2:$O$1001,0),MATCH(COLUMNS($V$1006:AE1006),$V$1006:$AE$1006,0)), HYPERLINK("#",""), HYPERLINK(CONCATENATE("#Metadata!", ADDRESS(INDEX($Q$2:$Q$1001,MATCH(ROWS($O$2:O600),$O$2:$O$1001,0),0), INDEX($V$1004:$AE$1004,1,MATCH(COLUMNS($V$1006:AE1006),$V$1006:$AE$1006,0)))),"Fix")))</f>
        <v>0</v>
      </c>
      <c r="O600">
        <v>0</v>
      </c>
      <c r="P600">
        <v>0</v>
      </c>
      <c r="Q600">
        <v>0</v>
      </c>
      <c r="R600">
        <f>IF(S600,TRUE,AND(V600:AE600))</f>
        <v>0</v>
      </c>
      <c r="S600">
        <f>COUNTBLANK(Metadata!B600:K600)=COLUMNS(Metadata!B600:K600)</f>
        <v>0</v>
      </c>
      <c r="T600">
        <v>0</v>
      </c>
      <c r="V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W600">
        <f>AND(IF(Metadata!C600="",FALSE,TRUE),exact(Metadata!C600,"animal secretion"))</f>
        <v>0</v>
      </c>
      <c r="X600">
        <f>AND(IF(Metadata!D600="",FALSE,TRUE),exact(Metadata!D600,"saliva"))</f>
        <v>0</v>
      </c>
      <c r="Y600">
        <f>AND(IF(Metadata!E600="",FALSE,TRUE),exact(Metadata!E600,"human-oral"))</f>
        <v>0</v>
      </c>
      <c r="Z600">
        <f>AND(IF(Metadata!F600="",FALSE,TRUE),exact(Metadata!F600,"UBERON:oral cavity"))</f>
        <v>0</v>
      </c>
      <c r="AA600">
        <f>AND(IF(Metadata!G600="",FALSE,TRUE),exact(Metadata!G600,"UBERON:saliva"))</f>
        <v>0</v>
      </c>
      <c r="AB600">
        <f>AND(IF(Metadata!H600="",FALSE,TRUE),exact(Metadata!H600,"UBERON:tongue"))</f>
        <v>0</v>
      </c>
      <c r="AC600">
        <f>AND(IF(Metadata!I600="",FALSE,TRUE),exact(Metadata!I600,"tongue"))</f>
        <v>0</v>
      </c>
      <c r="AD600">
        <f>AND(IF(Metadata!J600="",FALSE,TRUE),exact(Metadata!J600,"human oral metagenome"))</f>
        <v>0</v>
      </c>
      <c r="AE600">
        <f>AND(IF(Metadata!K600="",FALSE,TRUE),exact(Metadata!K600,"447426"))</f>
        <v>0</v>
      </c>
    </row>
    <row r="601" spans="1:31">
      <c r="A601" s="4">
        <f>IF(B601=" "," ",HYPERLINK(CONCATENATE("#metadata!",ADDRESS(INDEX($Q$2:$Q$1001,MATCH(ROWS($O$2:O601),$O$2:$O$1001,0),0),1)),INDEX($T$2:$T$1001,MATCH(ROWS($O$2:O601),$O$2:$O$1001,0),0)))</f>
        <v>0</v>
      </c>
      <c r="B601" s="3">
        <f>IF(OR(INDEX($P$2:$P$1001,MATCH(ROWS($O$2:O601),$O$2:$O$1001,0),1)&gt;=100000,INDEX($V$1005:$AE$1005,1,MATCH(COLUMNS($V$1006:V1006),$V$1006:$AE$1006,0))&gt;=100000), " ",IF(INDEX($V$2:$AE$1001,MATCH(ROWS($O$2:O601),$O$2:$O$1001,0),MATCH(COLUMNS($V$1006:V1006),$V$1006:$AE$1006,0)), HYPERLINK("#",""), HYPERLINK(CONCATENATE("#Metadata!", ADDRESS(INDEX($Q$2:$Q$1001,MATCH(ROWS($O$2:O601),$O$2:$O$1001,0),0), INDEX($V$1004:$AE$1004,1,MATCH(COLUMNS($V$1006:V1006),$V$1006:$AE$1006,0)))),"Fix")))</f>
        <v>0</v>
      </c>
      <c r="C601" s="3">
        <f>IF(OR(INDEX($P$2:$P$1001,MATCH(ROWS($O$2:O601),$O$2:$O$1001,0),1)&gt;=100000,INDEX($V$1005:$AE$1005,1,MATCH(COLUMNS($V$1006:W1006),$V$1006:$AE$1006,0))&gt;=100000), " ",IF(INDEX($V$2:$AE$1001,MATCH(ROWS($O$2:O601),$O$2:$O$1001,0),MATCH(COLUMNS($V$1006:W1006),$V$1006:$AE$1006,0)), HYPERLINK("#",""), HYPERLINK(CONCATENATE("#Metadata!", ADDRESS(INDEX($Q$2:$Q$1001,MATCH(ROWS($O$2:O601),$O$2:$O$1001,0),0), INDEX($V$1004:$AE$1004,1,MATCH(COLUMNS($V$1006:W1006),$V$1006:$AE$1006,0)))),"Fix")))</f>
        <v>0</v>
      </c>
      <c r="D601" s="3">
        <f>IF(OR(INDEX($P$2:$P$1001,MATCH(ROWS($O$2:O601),$O$2:$O$1001,0),1)&gt;=100000,INDEX($V$1005:$AE$1005,1,MATCH(COLUMNS($V$1006:X1006),$V$1006:$AE$1006,0))&gt;=100000), " ",IF(INDEX($V$2:$AE$1001,MATCH(ROWS($O$2:O601),$O$2:$O$1001,0),MATCH(COLUMNS($V$1006:X1006),$V$1006:$AE$1006,0)), HYPERLINK("#",""), HYPERLINK(CONCATENATE("#Metadata!", ADDRESS(INDEX($Q$2:$Q$1001,MATCH(ROWS($O$2:O601),$O$2:$O$1001,0),0), INDEX($V$1004:$AE$1004,1,MATCH(COLUMNS($V$1006:X1006),$V$1006:$AE$1006,0)))),"Fix")))</f>
        <v>0</v>
      </c>
      <c r="E601" s="3">
        <f>IF(OR(INDEX($P$2:$P$1001,MATCH(ROWS($O$2:O601),$O$2:$O$1001,0),1)&gt;=100000,INDEX($V$1005:$AE$1005,1,MATCH(COLUMNS($V$1006:Y1006),$V$1006:$AE$1006,0))&gt;=100000), " ",IF(INDEX($V$2:$AE$1001,MATCH(ROWS($O$2:O601),$O$2:$O$1001,0),MATCH(COLUMNS($V$1006:Y1006),$V$1006:$AE$1006,0)), HYPERLINK("#",""), HYPERLINK(CONCATENATE("#Metadata!", ADDRESS(INDEX($Q$2:$Q$1001,MATCH(ROWS($O$2:O601),$O$2:$O$1001,0),0), INDEX($V$1004:$AE$1004,1,MATCH(COLUMNS($V$1006:Y1006),$V$1006:$AE$1006,0)))),"Fix")))</f>
        <v>0</v>
      </c>
      <c r="F601" s="3">
        <f>IF(OR(INDEX($P$2:$P$1001,MATCH(ROWS($O$2:O601),$O$2:$O$1001,0),1)&gt;=100000,INDEX($V$1005:$AE$1005,1,MATCH(COLUMNS($V$1006:Z1006),$V$1006:$AE$1006,0))&gt;=100000), " ",IF(INDEX($V$2:$AE$1001,MATCH(ROWS($O$2:O601),$O$2:$O$1001,0),MATCH(COLUMNS($V$1006:Z1006),$V$1006:$AE$1006,0)), HYPERLINK("#",""), HYPERLINK(CONCATENATE("#Metadata!", ADDRESS(INDEX($Q$2:$Q$1001,MATCH(ROWS($O$2:O601),$O$2:$O$1001,0),0), INDEX($V$1004:$AE$1004,1,MATCH(COLUMNS($V$1006:Z1006),$V$1006:$AE$1006,0)))),"Fix")))</f>
        <v>0</v>
      </c>
      <c r="G601" s="3">
        <f>IF(OR(INDEX($P$2:$P$1001,MATCH(ROWS($O$2:O601),$O$2:$O$1001,0),1)&gt;=100000,INDEX($V$1005:$AE$1005,1,MATCH(COLUMNS($V$1006:AA1006),$V$1006:$AE$1006,0))&gt;=100000), " ",IF(INDEX($V$2:$AE$1001,MATCH(ROWS($O$2:O601),$O$2:$O$1001,0),MATCH(COLUMNS($V$1006:AA1006),$V$1006:$AE$1006,0)), HYPERLINK("#",""), HYPERLINK(CONCATENATE("#Metadata!", ADDRESS(INDEX($Q$2:$Q$1001,MATCH(ROWS($O$2:O601),$O$2:$O$1001,0),0), INDEX($V$1004:$AE$1004,1,MATCH(COLUMNS($V$1006:AA1006),$V$1006:$AE$1006,0)))),"Fix")))</f>
        <v>0</v>
      </c>
      <c r="H601" s="3">
        <f>IF(OR(INDEX($P$2:$P$1001,MATCH(ROWS($O$2:O601),$O$2:$O$1001,0),1)&gt;=100000,INDEX($V$1005:$AE$1005,1,MATCH(COLUMNS($V$1006:AB1006),$V$1006:$AE$1006,0))&gt;=100000), " ",IF(INDEX($V$2:$AE$1001,MATCH(ROWS($O$2:O601),$O$2:$O$1001,0),MATCH(COLUMNS($V$1006:AB1006),$V$1006:$AE$1006,0)), HYPERLINK("#",""), HYPERLINK(CONCATENATE("#Metadata!", ADDRESS(INDEX($Q$2:$Q$1001,MATCH(ROWS($O$2:O601),$O$2:$O$1001,0),0), INDEX($V$1004:$AE$1004,1,MATCH(COLUMNS($V$1006:AB1006),$V$1006:$AE$1006,0)))),"Fix")))</f>
        <v>0</v>
      </c>
      <c r="I601" s="3">
        <f>IF(OR(INDEX($P$2:$P$1001,MATCH(ROWS($O$2:O601),$O$2:$O$1001,0),1)&gt;=100000,INDEX($V$1005:$AE$1005,1,MATCH(COLUMNS($V$1006:AC1006),$V$1006:$AE$1006,0))&gt;=100000), " ",IF(INDEX($V$2:$AE$1001,MATCH(ROWS($O$2:O601),$O$2:$O$1001,0),MATCH(COLUMNS($V$1006:AC1006),$V$1006:$AE$1006,0)), HYPERLINK("#",""), HYPERLINK(CONCATENATE("#Metadata!", ADDRESS(INDEX($Q$2:$Q$1001,MATCH(ROWS($O$2:O601),$O$2:$O$1001,0),0), INDEX($V$1004:$AE$1004,1,MATCH(COLUMNS($V$1006:AC1006),$V$1006:$AE$1006,0)))),"Fix")))</f>
        <v>0</v>
      </c>
      <c r="J601" s="3">
        <f>IF(OR(INDEX($P$2:$P$1001,MATCH(ROWS($O$2:O601),$O$2:$O$1001,0),1)&gt;=100000,INDEX($V$1005:$AE$1005,1,MATCH(COLUMNS($V$1006:AD1006),$V$1006:$AE$1006,0))&gt;=100000), " ",IF(INDEX($V$2:$AE$1001,MATCH(ROWS($O$2:O601),$O$2:$O$1001,0),MATCH(COLUMNS($V$1006:AD1006),$V$1006:$AE$1006,0)), HYPERLINK("#",""), HYPERLINK(CONCATENATE("#Metadata!", ADDRESS(INDEX($Q$2:$Q$1001,MATCH(ROWS($O$2:O601),$O$2:$O$1001,0),0), INDEX($V$1004:$AE$1004,1,MATCH(COLUMNS($V$1006:AD1006),$V$1006:$AE$1006,0)))),"Fix")))</f>
        <v>0</v>
      </c>
      <c r="K601" s="3">
        <f>IF(OR(INDEX($P$2:$P$1001,MATCH(ROWS($O$2:O601),$O$2:$O$1001,0),1)&gt;=100000,INDEX($V$1005:$AE$1005,1,MATCH(COLUMNS($V$1006:AE1006),$V$1006:$AE$1006,0))&gt;=100000), " ",IF(INDEX($V$2:$AE$1001,MATCH(ROWS($O$2:O601),$O$2:$O$1001,0),MATCH(COLUMNS($V$1006:AE1006),$V$1006:$AE$1006,0)), HYPERLINK("#",""), HYPERLINK(CONCATENATE("#Metadata!", ADDRESS(INDEX($Q$2:$Q$1001,MATCH(ROWS($O$2:O601),$O$2:$O$1001,0),0), INDEX($V$1004:$AE$1004,1,MATCH(COLUMNS($V$1006:AE1006),$V$1006:$AE$1006,0)))),"Fix")))</f>
        <v>0</v>
      </c>
      <c r="O601">
        <v>0</v>
      </c>
      <c r="P601">
        <v>0</v>
      </c>
      <c r="Q601">
        <v>0</v>
      </c>
      <c r="R601">
        <f>IF(S601,TRUE,AND(V601:AE601))</f>
        <v>0</v>
      </c>
      <c r="S601">
        <f>COUNTBLANK(Metadata!B601:K601)=COLUMNS(Metadata!B601:K601)</f>
        <v>0</v>
      </c>
      <c r="T601">
        <v>0</v>
      </c>
      <c r="V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W601">
        <f>AND(IF(Metadata!C601="",FALSE,TRUE),exact(Metadata!C601,"animal secretion"))</f>
        <v>0</v>
      </c>
      <c r="X601">
        <f>AND(IF(Metadata!D601="",FALSE,TRUE),exact(Metadata!D601,"saliva"))</f>
        <v>0</v>
      </c>
      <c r="Y601">
        <f>AND(IF(Metadata!E601="",FALSE,TRUE),exact(Metadata!E601,"human-oral"))</f>
        <v>0</v>
      </c>
      <c r="Z601">
        <f>AND(IF(Metadata!F601="",FALSE,TRUE),exact(Metadata!F601,"UBERON:oral cavity"))</f>
        <v>0</v>
      </c>
      <c r="AA601">
        <f>AND(IF(Metadata!G601="",FALSE,TRUE),exact(Metadata!G601,"UBERON:saliva"))</f>
        <v>0</v>
      </c>
      <c r="AB601">
        <f>AND(IF(Metadata!H601="",FALSE,TRUE),exact(Metadata!H601,"UBERON:tongue"))</f>
        <v>0</v>
      </c>
      <c r="AC601">
        <f>AND(IF(Metadata!I601="",FALSE,TRUE),exact(Metadata!I601,"tongue"))</f>
        <v>0</v>
      </c>
      <c r="AD601">
        <f>AND(IF(Metadata!J601="",FALSE,TRUE),exact(Metadata!J601,"human oral metagenome"))</f>
        <v>0</v>
      </c>
      <c r="AE601">
        <f>AND(IF(Metadata!K601="",FALSE,TRUE),exact(Metadata!K601,"447426"))</f>
        <v>0</v>
      </c>
    </row>
    <row r="602" spans="1:31">
      <c r="A602" s="4">
        <f>IF(B602=" "," ",HYPERLINK(CONCATENATE("#metadata!",ADDRESS(INDEX($Q$2:$Q$1001,MATCH(ROWS($O$2:O602),$O$2:$O$1001,0),0),1)),INDEX($T$2:$T$1001,MATCH(ROWS($O$2:O602),$O$2:$O$1001,0),0)))</f>
        <v>0</v>
      </c>
      <c r="B602" s="3">
        <f>IF(OR(INDEX($P$2:$P$1001,MATCH(ROWS($O$2:O602),$O$2:$O$1001,0),1)&gt;=100000,INDEX($V$1005:$AE$1005,1,MATCH(COLUMNS($V$1006:V1006),$V$1006:$AE$1006,0))&gt;=100000), " ",IF(INDEX($V$2:$AE$1001,MATCH(ROWS($O$2:O602),$O$2:$O$1001,0),MATCH(COLUMNS($V$1006:V1006),$V$1006:$AE$1006,0)), HYPERLINK("#",""), HYPERLINK(CONCATENATE("#Metadata!", ADDRESS(INDEX($Q$2:$Q$1001,MATCH(ROWS($O$2:O602),$O$2:$O$1001,0),0), INDEX($V$1004:$AE$1004,1,MATCH(COLUMNS($V$1006:V1006),$V$1006:$AE$1006,0)))),"Fix")))</f>
        <v>0</v>
      </c>
      <c r="C602" s="3">
        <f>IF(OR(INDEX($P$2:$P$1001,MATCH(ROWS($O$2:O602),$O$2:$O$1001,0),1)&gt;=100000,INDEX($V$1005:$AE$1005,1,MATCH(COLUMNS($V$1006:W1006),$V$1006:$AE$1006,0))&gt;=100000), " ",IF(INDEX($V$2:$AE$1001,MATCH(ROWS($O$2:O602),$O$2:$O$1001,0),MATCH(COLUMNS($V$1006:W1006),$V$1006:$AE$1006,0)), HYPERLINK("#",""), HYPERLINK(CONCATENATE("#Metadata!", ADDRESS(INDEX($Q$2:$Q$1001,MATCH(ROWS($O$2:O602),$O$2:$O$1001,0),0), INDEX($V$1004:$AE$1004,1,MATCH(COLUMNS($V$1006:W1006),$V$1006:$AE$1006,0)))),"Fix")))</f>
        <v>0</v>
      </c>
      <c r="D602" s="3">
        <f>IF(OR(INDEX($P$2:$P$1001,MATCH(ROWS($O$2:O602),$O$2:$O$1001,0),1)&gt;=100000,INDEX($V$1005:$AE$1005,1,MATCH(COLUMNS($V$1006:X1006),$V$1006:$AE$1006,0))&gt;=100000), " ",IF(INDEX($V$2:$AE$1001,MATCH(ROWS($O$2:O602),$O$2:$O$1001,0),MATCH(COLUMNS($V$1006:X1006),$V$1006:$AE$1006,0)), HYPERLINK("#",""), HYPERLINK(CONCATENATE("#Metadata!", ADDRESS(INDEX($Q$2:$Q$1001,MATCH(ROWS($O$2:O602),$O$2:$O$1001,0),0), INDEX($V$1004:$AE$1004,1,MATCH(COLUMNS($V$1006:X1006),$V$1006:$AE$1006,0)))),"Fix")))</f>
        <v>0</v>
      </c>
      <c r="E602" s="3">
        <f>IF(OR(INDEX($P$2:$P$1001,MATCH(ROWS($O$2:O602),$O$2:$O$1001,0),1)&gt;=100000,INDEX($V$1005:$AE$1005,1,MATCH(COLUMNS($V$1006:Y1006),$V$1006:$AE$1006,0))&gt;=100000), " ",IF(INDEX($V$2:$AE$1001,MATCH(ROWS($O$2:O602),$O$2:$O$1001,0),MATCH(COLUMNS($V$1006:Y1006),$V$1006:$AE$1006,0)), HYPERLINK("#",""), HYPERLINK(CONCATENATE("#Metadata!", ADDRESS(INDEX($Q$2:$Q$1001,MATCH(ROWS($O$2:O602),$O$2:$O$1001,0),0), INDEX($V$1004:$AE$1004,1,MATCH(COLUMNS($V$1006:Y1006),$V$1006:$AE$1006,0)))),"Fix")))</f>
        <v>0</v>
      </c>
      <c r="F602" s="3">
        <f>IF(OR(INDEX($P$2:$P$1001,MATCH(ROWS($O$2:O602),$O$2:$O$1001,0),1)&gt;=100000,INDEX($V$1005:$AE$1005,1,MATCH(COLUMNS($V$1006:Z1006),$V$1006:$AE$1006,0))&gt;=100000), " ",IF(INDEX($V$2:$AE$1001,MATCH(ROWS($O$2:O602),$O$2:$O$1001,0),MATCH(COLUMNS($V$1006:Z1006),$V$1006:$AE$1006,0)), HYPERLINK("#",""), HYPERLINK(CONCATENATE("#Metadata!", ADDRESS(INDEX($Q$2:$Q$1001,MATCH(ROWS($O$2:O602),$O$2:$O$1001,0),0), INDEX($V$1004:$AE$1004,1,MATCH(COLUMNS($V$1006:Z1006),$V$1006:$AE$1006,0)))),"Fix")))</f>
        <v>0</v>
      </c>
      <c r="G602" s="3">
        <f>IF(OR(INDEX($P$2:$P$1001,MATCH(ROWS($O$2:O602),$O$2:$O$1001,0),1)&gt;=100000,INDEX($V$1005:$AE$1005,1,MATCH(COLUMNS($V$1006:AA1006),$V$1006:$AE$1006,0))&gt;=100000), " ",IF(INDEX($V$2:$AE$1001,MATCH(ROWS($O$2:O602),$O$2:$O$1001,0),MATCH(COLUMNS($V$1006:AA1006),$V$1006:$AE$1006,0)), HYPERLINK("#",""), HYPERLINK(CONCATENATE("#Metadata!", ADDRESS(INDEX($Q$2:$Q$1001,MATCH(ROWS($O$2:O602),$O$2:$O$1001,0),0), INDEX($V$1004:$AE$1004,1,MATCH(COLUMNS($V$1006:AA1006),$V$1006:$AE$1006,0)))),"Fix")))</f>
        <v>0</v>
      </c>
      <c r="H602" s="3">
        <f>IF(OR(INDEX($P$2:$P$1001,MATCH(ROWS($O$2:O602),$O$2:$O$1001,0),1)&gt;=100000,INDEX($V$1005:$AE$1005,1,MATCH(COLUMNS($V$1006:AB1006),$V$1006:$AE$1006,0))&gt;=100000), " ",IF(INDEX($V$2:$AE$1001,MATCH(ROWS($O$2:O602),$O$2:$O$1001,0),MATCH(COLUMNS($V$1006:AB1006),$V$1006:$AE$1006,0)), HYPERLINK("#",""), HYPERLINK(CONCATENATE("#Metadata!", ADDRESS(INDEX($Q$2:$Q$1001,MATCH(ROWS($O$2:O602),$O$2:$O$1001,0),0), INDEX($V$1004:$AE$1004,1,MATCH(COLUMNS($V$1006:AB1006),$V$1006:$AE$1006,0)))),"Fix")))</f>
        <v>0</v>
      </c>
      <c r="I602" s="3">
        <f>IF(OR(INDEX($P$2:$P$1001,MATCH(ROWS($O$2:O602),$O$2:$O$1001,0),1)&gt;=100000,INDEX($V$1005:$AE$1005,1,MATCH(COLUMNS($V$1006:AC1006),$V$1006:$AE$1006,0))&gt;=100000), " ",IF(INDEX($V$2:$AE$1001,MATCH(ROWS($O$2:O602),$O$2:$O$1001,0),MATCH(COLUMNS($V$1006:AC1006),$V$1006:$AE$1006,0)), HYPERLINK("#",""), HYPERLINK(CONCATENATE("#Metadata!", ADDRESS(INDEX($Q$2:$Q$1001,MATCH(ROWS($O$2:O602),$O$2:$O$1001,0),0), INDEX($V$1004:$AE$1004,1,MATCH(COLUMNS($V$1006:AC1006),$V$1006:$AE$1006,0)))),"Fix")))</f>
        <v>0</v>
      </c>
      <c r="J602" s="3">
        <f>IF(OR(INDEX($P$2:$P$1001,MATCH(ROWS($O$2:O602),$O$2:$O$1001,0),1)&gt;=100000,INDEX($V$1005:$AE$1005,1,MATCH(COLUMNS($V$1006:AD1006),$V$1006:$AE$1006,0))&gt;=100000), " ",IF(INDEX($V$2:$AE$1001,MATCH(ROWS($O$2:O602),$O$2:$O$1001,0),MATCH(COLUMNS($V$1006:AD1006),$V$1006:$AE$1006,0)), HYPERLINK("#",""), HYPERLINK(CONCATENATE("#Metadata!", ADDRESS(INDEX($Q$2:$Q$1001,MATCH(ROWS($O$2:O602),$O$2:$O$1001,0),0), INDEX($V$1004:$AE$1004,1,MATCH(COLUMNS($V$1006:AD1006),$V$1006:$AE$1006,0)))),"Fix")))</f>
        <v>0</v>
      </c>
      <c r="K602" s="3">
        <f>IF(OR(INDEX($P$2:$P$1001,MATCH(ROWS($O$2:O602),$O$2:$O$1001,0),1)&gt;=100000,INDEX($V$1005:$AE$1005,1,MATCH(COLUMNS($V$1006:AE1006),$V$1006:$AE$1006,0))&gt;=100000), " ",IF(INDEX($V$2:$AE$1001,MATCH(ROWS($O$2:O602),$O$2:$O$1001,0),MATCH(COLUMNS($V$1006:AE1006),$V$1006:$AE$1006,0)), HYPERLINK("#",""), HYPERLINK(CONCATENATE("#Metadata!", ADDRESS(INDEX($Q$2:$Q$1001,MATCH(ROWS($O$2:O602),$O$2:$O$1001,0),0), INDEX($V$1004:$AE$1004,1,MATCH(COLUMNS($V$1006:AE1006),$V$1006:$AE$1006,0)))),"Fix")))</f>
        <v>0</v>
      </c>
      <c r="O602">
        <v>0</v>
      </c>
      <c r="P602">
        <v>0</v>
      </c>
      <c r="Q602">
        <v>0</v>
      </c>
      <c r="R602">
        <f>IF(S602,TRUE,AND(V602:AE602))</f>
        <v>0</v>
      </c>
      <c r="S602">
        <f>COUNTBLANK(Metadata!B602:K602)=COLUMNS(Metadata!B602:K602)</f>
        <v>0</v>
      </c>
      <c r="T602">
        <v>0</v>
      </c>
      <c r="V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W602">
        <f>AND(IF(Metadata!C602="",FALSE,TRUE),exact(Metadata!C602,"animal secretion"))</f>
        <v>0</v>
      </c>
      <c r="X602">
        <f>AND(IF(Metadata!D602="",FALSE,TRUE),exact(Metadata!D602,"saliva"))</f>
        <v>0</v>
      </c>
      <c r="Y602">
        <f>AND(IF(Metadata!E602="",FALSE,TRUE),exact(Metadata!E602,"human-oral"))</f>
        <v>0</v>
      </c>
      <c r="Z602">
        <f>AND(IF(Metadata!F602="",FALSE,TRUE),exact(Metadata!F602,"UBERON:oral cavity"))</f>
        <v>0</v>
      </c>
      <c r="AA602">
        <f>AND(IF(Metadata!G602="",FALSE,TRUE),exact(Metadata!G602,"UBERON:saliva"))</f>
        <v>0</v>
      </c>
      <c r="AB602">
        <f>AND(IF(Metadata!H602="",FALSE,TRUE),exact(Metadata!H602,"UBERON:tongue"))</f>
        <v>0</v>
      </c>
      <c r="AC602">
        <f>AND(IF(Metadata!I602="",FALSE,TRUE),exact(Metadata!I602,"tongue"))</f>
        <v>0</v>
      </c>
      <c r="AD602">
        <f>AND(IF(Metadata!J602="",FALSE,TRUE),exact(Metadata!J602,"human oral metagenome"))</f>
        <v>0</v>
      </c>
      <c r="AE602">
        <f>AND(IF(Metadata!K602="",FALSE,TRUE),exact(Metadata!K602,"447426"))</f>
        <v>0</v>
      </c>
    </row>
    <row r="603" spans="1:31">
      <c r="A603" s="4">
        <f>IF(B603=" "," ",HYPERLINK(CONCATENATE("#metadata!",ADDRESS(INDEX($Q$2:$Q$1001,MATCH(ROWS($O$2:O603),$O$2:$O$1001,0),0),1)),INDEX($T$2:$T$1001,MATCH(ROWS($O$2:O603),$O$2:$O$1001,0),0)))</f>
        <v>0</v>
      </c>
      <c r="B603" s="3">
        <f>IF(OR(INDEX($P$2:$P$1001,MATCH(ROWS($O$2:O603),$O$2:$O$1001,0),1)&gt;=100000,INDEX($V$1005:$AE$1005,1,MATCH(COLUMNS($V$1006:V1006),$V$1006:$AE$1006,0))&gt;=100000), " ",IF(INDEX($V$2:$AE$1001,MATCH(ROWS($O$2:O603),$O$2:$O$1001,0),MATCH(COLUMNS($V$1006:V1006),$V$1006:$AE$1006,0)), HYPERLINK("#",""), HYPERLINK(CONCATENATE("#Metadata!", ADDRESS(INDEX($Q$2:$Q$1001,MATCH(ROWS($O$2:O603),$O$2:$O$1001,0),0), INDEX($V$1004:$AE$1004,1,MATCH(COLUMNS($V$1006:V1006),$V$1006:$AE$1006,0)))),"Fix")))</f>
        <v>0</v>
      </c>
      <c r="C603" s="3">
        <f>IF(OR(INDEX($P$2:$P$1001,MATCH(ROWS($O$2:O603),$O$2:$O$1001,0),1)&gt;=100000,INDEX($V$1005:$AE$1005,1,MATCH(COLUMNS($V$1006:W1006),$V$1006:$AE$1006,0))&gt;=100000), " ",IF(INDEX($V$2:$AE$1001,MATCH(ROWS($O$2:O603),$O$2:$O$1001,0),MATCH(COLUMNS($V$1006:W1006),$V$1006:$AE$1006,0)), HYPERLINK("#",""), HYPERLINK(CONCATENATE("#Metadata!", ADDRESS(INDEX($Q$2:$Q$1001,MATCH(ROWS($O$2:O603),$O$2:$O$1001,0),0), INDEX($V$1004:$AE$1004,1,MATCH(COLUMNS($V$1006:W1006),$V$1006:$AE$1006,0)))),"Fix")))</f>
        <v>0</v>
      </c>
      <c r="D603" s="3">
        <f>IF(OR(INDEX($P$2:$P$1001,MATCH(ROWS($O$2:O603),$O$2:$O$1001,0),1)&gt;=100000,INDEX($V$1005:$AE$1005,1,MATCH(COLUMNS($V$1006:X1006),$V$1006:$AE$1006,0))&gt;=100000), " ",IF(INDEX($V$2:$AE$1001,MATCH(ROWS($O$2:O603),$O$2:$O$1001,0),MATCH(COLUMNS($V$1006:X1006),$V$1006:$AE$1006,0)), HYPERLINK("#",""), HYPERLINK(CONCATENATE("#Metadata!", ADDRESS(INDEX($Q$2:$Q$1001,MATCH(ROWS($O$2:O603),$O$2:$O$1001,0),0), INDEX($V$1004:$AE$1004,1,MATCH(COLUMNS($V$1006:X1006),$V$1006:$AE$1006,0)))),"Fix")))</f>
        <v>0</v>
      </c>
      <c r="E603" s="3">
        <f>IF(OR(INDEX($P$2:$P$1001,MATCH(ROWS($O$2:O603),$O$2:$O$1001,0),1)&gt;=100000,INDEX($V$1005:$AE$1005,1,MATCH(COLUMNS($V$1006:Y1006),$V$1006:$AE$1006,0))&gt;=100000), " ",IF(INDEX($V$2:$AE$1001,MATCH(ROWS($O$2:O603),$O$2:$O$1001,0),MATCH(COLUMNS($V$1006:Y1006),$V$1006:$AE$1006,0)), HYPERLINK("#",""), HYPERLINK(CONCATENATE("#Metadata!", ADDRESS(INDEX($Q$2:$Q$1001,MATCH(ROWS($O$2:O603),$O$2:$O$1001,0),0), INDEX($V$1004:$AE$1004,1,MATCH(COLUMNS($V$1006:Y1006),$V$1006:$AE$1006,0)))),"Fix")))</f>
        <v>0</v>
      </c>
      <c r="F603" s="3">
        <f>IF(OR(INDEX($P$2:$P$1001,MATCH(ROWS($O$2:O603),$O$2:$O$1001,0),1)&gt;=100000,INDEX($V$1005:$AE$1005,1,MATCH(COLUMNS($V$1006:Z1006),$V$1006:$AE$1006,0))&gt;=100000), " ",IF(INDEX($V$2:$AE$1001,MATCH(ROWS($O$2:O603),$O$2:$O$1001,0),MATCH(COLUMNS($V$1006:Z1006),$V$1006:$AE$1006,0)), HYPERLINK("#",""), HYPERLINK(CONCATENATE("#Metadata!", ADDRESS(INDEX($Q$2:$Q$1001,MATCH(ROWS($O$2:O603),$O$2:$O$1001,0),0), INDEX($V$1004:$AE$1004,1,MATCH(COLUMNS($V$1006:Z1006),$V$1006:$AE$1006,0)))),"Fix")))</f>
        <v>0</v>
      </c>
      <c r="G603" s="3">
        <f>IF(OR(INDEX($P$2:$P$1001,MATCH(ROWS($O$2:O603),$O$2:$O$1001,0),1)&gt;=100000,INDEX($V$1005:$AE$1005,1,MATCH(COLUMNS($V$1006:AA1006),$V$1006:$AE$1006,0))&gt;=100000), " ",IF(INDEX($V$2:$AE$1001,MATCH(ROWS($O$2:O603),$O$2:$O$1001,0),MATCH(COLUMNS($V$1006:AA1006),$V$1006:$AE$1006,0)), HYPERLINK("#",""), HYPERLINK(CONCATENATE("#Metadata!", ADDRESS(INDEX($Q$2:$Q$1001,MATCH(ROWS($O$2:O603),$O$2:$O$1001,0),0), INDEX($V$1004:$AE$1004,1,MATCH(COLUMNS($V$1006:AA1006),$V$1006:$AE$1006,0)))),"Fix")))</f>
        <v>0</v>
      </c>
      <c r="H603" s="3">
        <f>IF(OR(INDEX($P$2:$P$1001,MATCH(ROWS($O$2:O603),$O$2:$O$1001,0),1)&gt;=100000,INDEX($V$1005:$AE$1005,1,MATCH(COLUMNS($V$1006:AB1006),$V$1006:$AE$1006,0))&gt;=100000), " ",IF(INDEX($V$2:$AE$1001,MATCH(ROWS($O$2:O603),$O$2:$O$1001,0),MATCH(COLUMNS($V$1006:AB1006),$V$1006:$AE$1006,0)), HYPERLINK("#",""), HYPERLINK(CONCATENATE("#Metadata!", ADDRESS(INDEX($Q$2:$Q$1001,MATCH(ROWS($O$2:O603),$O$2:$O$1001,0),0), INDEX($V$1004:$AE$1004,1,MATCH(COLUMNS($V$1006:AB1006),$V$1006:$AE$1006,0)))),"Fix")))</f>
        <v>0</v>
      </c>
      <c r="I603" s="3">
        <f>IF(OR(INDEX($P$2:$P$1001,MATCH(ROWS($O$2:O603),$O$2:$O$1001,0),1)&gt;=100000,INDEX($V$1005:$AE$1005,1,MATCH(COLUMNS($V$1006:AC1006),$V$1006:$AE$1006,0))&gt;=100000), " ",IF(INDEX($V$2:$AE$1001,MATCH(ROWS($O$2:O603),$O$2:$O$1001,0),MATCH(COLUMNS($V$1006:AC1006),$V$1006:$AE$1006,0)), HYPERLINK("#",""), HYPERLINK(CONCATENATE("#Metadata!", ADDRESS(INDEX($Q$2:$Q$1001,MATCH(ROWS($O$2:O603),$O$2:$O$1001,0),0), INDEX($V$1004:$AE$1004,1,MATCH(COLUMNS($V$1006:AC1006),$V$1006:$AE$1006,0)))),"Fix")))</f>
        <v>0</v>
      </c>
      <c r="J603" s="3">
        <f>IF(OR(INDEX($P$2:$P$1001,MATCH(ROWS($O$2:O603),$O$2:$O$1001,0),1)&gt;=100000,INDEX($V$1005:$AE$1005,1,MATCH(COLUMNS($V$1006:AD1006),$V$1006:$AE$1006,0))&gt;=100000), " ",IF(INDEX($V$2:$AE$1001,MATCH(ROWS($O$2:O603),$O$2:$O$1001,0),MATCH(COLUMNS($V$1006:AD1006),$V$1006:$AE$1006,0)), HYPERLINK("#",""), HYPERLINK(CONCATENATE("#Metadata!", ADDRESS(INDEX($Q$2:$Q$1001,MATCH(ROWS($O$2:O603),$O$2:$O$1001,0),0), INDEX($V$1004:$AE$1004,1,MATCH(COLUMNS($V$1006:AD1006),$V$1006:$AE$1006,0)))),"Fix")))</f>
        <v>0</v>
      </c>
      <c r="K603" s="3">
        <f>IF(OR(INDEX($P$2:$P$1001,MATCH(ROWS($O$2:O603),$O$2:$O$1001,0),1)&gt;=100000,INDEX($V$1005:$AE$1005,1,MATCH(COLUMNS($V$1006:AE1006),$V$1006:$AE$1006,0))&gt;=100000), " ",IF(INDEX($V$2:$AE$1001,MATCH(ROWS($O$2:O603),$O$2:$O$1001,0),MATCH(COLUMNS($V$1006:AE1006),$V$1006:$AE$1006,0)), HYPERLINK("#",""), HYPERLINK(CONCATENATE("#Metadata!", ADDRESS(INDEX($Q$2:$Q$1001,MATCH(ROWS($O$2:O603),$O$2:$O$1001,0),0), INDEX($V$1004:$AE$1004,1,MATCH(COLUMNS($V$1006:AE1006),$V$1006:$AE$1006,0)))),"Fix")))</f>
        <v>0</v>
      </c>
      <c r="O603">
        <v>0</v>
      </c>
      <c r="P603">
        <v>0</v>
      </c>
      <c r="Q603">
        <v>0</v>
      </c>
      <c r="R603">
        <f>IF(S603,TRUE,AND(V603:AE603))</f>
        <v>0</v>
      </c>
      <c r="S603">
        <f>COUNTBLANK(Metadata!B603:K603)=COLUMNS(Metadata!B603:K603)</f>
        <v>0</v>
      </c>
      <c r="T603">
        <v>0</v>
      </c>
      <c r="V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W603">
        <f>AND(IF(Metadata!C603="",FALSE,TRUE),exact(Metadata!C603,"animal secretion"))</f>
        <v>0</v>
      </c>
      <c r="X603">
        <f>AND(IF(Metadata!D603="",FALSE,TRUE),exact(Metadata!D603,"saliva"))</f>
        <v>0</v>
      </c>
      <c r="Y603">
        <f>AND(IF(Metadata!E603="",FALSE,TRUE),exact(Metadata!E603,"human-oral"))</f>
        <v>0</v>
      </c>
      <c r="Z603">
        <f>AND(IF(Metadata!F603="",FALSE,TRUE),exact(Metadata!F603,"UBERON:oral cavity"))</f>
        <v>0</v>
      </c>
      <c r="AA603">
        <f>AND(IF(Metadata!G603="",FALSE,TRUE),exact(Metadata!G603,"UBERON:saliva"))</f>
        <v>0</v>
      </c>
      <c r="AB603">
        <f>AND(IF(Metadata!H603="",FALSE,TRUE),exact(Metadata!H603,"UBERON:tongue"))</f>
        <v>0</v>
      </c>
      <c r="AC603">
        <f>AND(IF(Metadata!I603="",FALSE,TRUE),exact(Metadata!I603,"tongue"))</f>
        <v>0</v>
      </c>
      <c r="AD603">
        <f>AND(IF(Metadata!J603="",FALSE,TRUE),exact(Metadata!J603,"human oral metagenome"))</f>
        <v>0</v>
      </c>
      <c r="AE603">
        <f>AND(IF(Metadata!K603="",FALSE,TRUE),exact(Metadata!K603,"447426"))</f>
        <v>0</v>
      </c>
    </row>
    <row r="604" spans="1:31">
      <c r="A604" s="4">
        <f>IF(B604=" "," ",HYPERLINK(CONCATENATE("#metadata!",ADDRESS(INDEX($Q$2:$Q$1001,MATCH(ROWS($O$2:O604),$O$2:$O$1001,0),0),1)),INDEX($T$2:$T$1001,MATCH(ROWS($O$2:O604),$O$2:$O$1001,0),0)))</f>
        <v>0</v>
      </c>
      <c r="B604" s="3">
        <f>IF(OR(INDEX($P$2:$P$1001,MATCH(ROWS($O$2:O604),$O$2:$O$1001,0),1)&gt;=100000,INDEX($V$1005:$AE$1005,1,MATCH(COLUMNS($V$1006:V1006),$V$1006:$AE$1006,0))&gt;=100000), " ",IF(INDEX($V$2:$AE$1001,MATCH(ROWS($O$2:O604),$O$2:$O$1001,0),MATCH(COLUMNS($V$1006:V1006),$V$1006:$AE$1006,0)), HYPERLINK("#",""), HYPERLINK(CONCATENATE("#Metadata!", ADDRESS(INDEX($Q$2:$Q$1001,MATCH(ROWS($O$2:O604),$O$2:$O$1001,0),0), INDEX($V$1004:$AE$1004,1,MATCH(COLUMNS($V$1006:V1006),$V$1006:$AE$1006,0)))),"Fix")))</f>
        <v>0</v>
      </c>
      <c r="C604" s="3">
        <f>IF(OR(INDEX($P$2:$P$1001,MATCH(ROWS($O$2:O604),$O$2:$O$1001,0),1)&gt;=100000,INDEX($V$1005:$AE$1005,1,MATCH(COLUMNS($V$1006:W1006),$V$1006:$AE$1006,0))&gt;=100000), " ",IF(INDEX($V$2:$AE$1001,MATCH(ROWS($O$2:O604),$O$2:$O$1001,0),MATCH(COLUMNS($V$1006:W1006),$V$1006:$AE$1006,0)), HYPERLINK("#",""), HYPERLINK(CONCATENATE("#Metadata!", ADDRESS(INDEX($Q$2:$Q$1001,MATCH(ROWS($O$2:O604),$O$2:$O$1001,0),0), INDEX($V$1004:$AE$1004,1,MATCH(COLUMNS($V$1006:W1006),$V$1006:$AE$1006,0)))),"Fix")))</f>
        <v>0</v>
      </c>
      <c r="D604" s="3">
        <f>IF(OR(INDEX($P$2:$P$1001,MATCH(ROWS($O$2:O604),$O$2:$O$1001,0),1)&gt;=100000,INDEX($V$1005:$AE$1005,1,MATCH(COLUMNS($V$1006:X1006),$V$1006:$AE$1006,0))&gt;=100000), " ",IF(INDEX($V$2:$AE$1001,MATCH(ROWS($O$2:O604),$O$2:$O$1001,0),MATCH(COLUMNS($V$1006:X1006),$V$1006:$AE$1006,0)), HYPERLINK("#",""), HYPERLINK(CONCATENATE("#Metadata!", ADDRESS(INDEX($Q$2:$Q$1001,MATCH(ROWS($O$2:O604),$O$2:$O$1001,0),0), INDEX($V$1004:$AE$1004,1,MATCH(COLUMNS($V$1006:X1006),$V$1006:$AE$1006,0)))),"Fix")))</f>
        <v>0</v>
      </c>
      <c r="E604" s="3">
        <f>IF(OR(INDEX($P$2:$P$1001,MATCH(ROWS($O$2:O604),$O$2:$O$1001,0),1)&gt;=100000,INDEX($V$1005:$AE$1005,1,MATCH(COLUMNS($V$1006:Y1006),$V$1006:$AE$1006,0))&gt;=100000), " ",IF(INDEX($V$2:$AE$1001,MATCH(ROWS($O$2:O604),$O$2:$O$1001,0),MATCH(COLUMNS($V$1006:Y1006),$V$1006:$AE$1006,0)), HYPERLINK("#",""), HYPERLINK(CONCATENATE("#Metadata!", ADDRESS(INDEX($Q$2:$Q$1001,MATCH(ROWS($O$2:O604),$O$2:$O$1001,0),0), INDEX($V$1004:$AE$1004,1,MATCH(COLUMNS($V$1006:Y1006),$V$1006:$AE$1006,0)))),"Fix")))</f>
        <v>0</v>
      </c>
      <c r="F604" s="3">
        <f>IF(OR(INDEX($P$2:$P$1001,MATCH(ROWS($O$2:O604),$O$2:$O$1001,0),1)&gt;=100000,INDEX($V$1005:$AE$1005,1,MATCH(COLUMNS($V$1006:Z1006),$V$1006:$AE$1006,0))&gt;=100000), " ",IF(INDEX($V$2:$AE$1001,MATCH(ROWS($O$2:O604),$O$2:$O$1001,0),MATCH(COLUMNS($V$1006:Z1006),$V$1006:$AE$1006,0)), HYPERLINK("#",""), HYPERLINK(CONCATENATE("#Metadata!", ADDRESS(INDEX($Q$2:$Q$1001,MATCH(ROWS($O$2:O604),$O$2:$O$1001,0),0), INDEX($V$1004:$AE$1004,1,MATCH(COLUMNS($V$1006:Z1006),$V$1006:$AE$1006,0)))),"Fix")))</f>
        <v>0</v>
      </c>
      <c r="G604" s="3">
        <f>IF(OR(INDEX($P$2:$P$1001,MATCH(ROWS($O$2:O604),$O$2:$O$1001,0),1)&gt;=100000,INDEX($V$1005:$AE$1005,1,MATCH(COLUMNS($V$1006:AA1006),$V$1006:$AE$1006,0))&gt;=100000), " ",IF(INDEX($V$2:$AE$1001,MATCH(ROWS($O$2:O604),$O$2:$O$1001,0),MATCH(COLUMNS($V$1006:AA1006),$V$1006:$AE$1006,0)), HYPERLINK("#",""), HYPERLINK(CONCATENATE("#Metadata!", ADDRESS(INDEX($Q$2:$Q$1001,MATCH(ROWS($O$2:O604),$O$2:$O$1001,0),0), INDEX($V$1004:$AE$1004,1,MATCH(COLUMNS($V$1006:AA1006),$V$1006:$AE$1006,0)))),"Fix")))</f>
        <v>0</v>
      </c>
      <c r="H604" s="3">
        <f>IF(OR(INDEX($P$2:$P$1001,MATCH(ROWS($O$2:O604),$O$2:$O$1001,0),1)&gt;=100000,INDEX($V$1005:$AE$1005,1,MATCH(COLUMNS($V$1006:AB1006),$V$1006:$AE$1006,0))&gt;=100000), " ",IF(INDEX($V$2:$AE$1001,MATCH(ROWS($O$2:O604),$O$2:$O$1001,0),MATCH(COLUMNS($V$1006:AB1006),$V$1006:$AE$1006,0)), HYPERLINK("#",""), HYPERLINK(CONCATENATE("#Metadata!", ADDRESS(INDEX($Q$2:$Q$1001,MATCH(ROWS($O$2:O604),$O$2:$O$1001,0),0), INDEX($V$1004:$AE$1004,1,MATCH(COLUMNS($V$1006:AB1006),$V$1006:$AE$1006,0)))),"Fix")))</f>
        <v>0</v>
      </c>
      <c r="I604" s="3">
        <f>IF(OR(INDEX($P$2:$P$1001,MATCH(ROWS($O$2:O604),$O$2:$O$1001,0),1)&gt;=100000,INDEX($V$1005:$AE$1005,1,MATCH(COLUMNS($V$1006:AC1006),$V$1006:$AE$1006,0))&gt;=100000), " ",IF(INDEX($V$2:$AE$1001,MATCH(ROWS($O$2:O604),$O$2:$O$1001,0),MATCH(COLUMNS($V$1006:AC1006),$V$1006:$AE$1006,0)), HYPERLINK("#",""), HYPERLINK(CONCATENATE("#Metadata!", ADDRESS(INDEX($Q$2:$Q$1001,MATCH(ROWS($O$2:O604),$O$2:$O$1001,0),0), INDEX($V$1004:$AE$1004,1,MATCH(COLUMNS($V$1006:AC1006),$V$1006:$AE$1006,0)))),"Fix")))</f>
        <v>0</v>
      </c>
      <c r="J604" s="3">
        <f>IF(OR(INDEX($P$2:$P$1001,MATCH(ROWS($O$2:O604),$O$2:$O$1001,0),1)&gt;=100000,INDEX($V$1005:$AE$1005,1,MATCH(COLUMNS($V$1006:AD1006),$V$1006:$AE$1006,0))&gt;=100000), " ",IF(INDEX($V$2:$AE$1001,MATCH(ROWS($O$2:O604),$O$2:$O$1001,0),MATCH(COLUMNS($V$1006:AD1006),$V$1006:$AE$1006,0)), HYPERLINK("#",""), HYPERLINK(CONCATENATE("#Metadata!", ADDRESS(INDEX($Q$2:$Q$1001,MATCH(ROWS($O$2:O604),$O$2:$O$1001,0),0), INDEX($V$1004:$AE$1004,1,MATCH(COLUMNS($V$1006:AD1006),$V$1006:$AE$1006,0)))),"Fix")))</f>
        <v>0</v>
      </c>
      <c r="K604" s="3">
        <f>IF(OR(INDEX($P$2:$P$1001,MATCH(ROWS($O$2:O604),$O$2:$O$1001,0),1)&gt;=100000,INDEX($V$1005:$AE$1005,1,MATCH(COLUMNS($V$1006:AE1006),$V$1006:$AE$1006,0))&gt;=100000), " ",IF(INDEX($V$2:$AE$1001,MATCH(ROWS($O$2:O604),$O$2:$O$1001,0),MATCH(COLUMNS($V$1006:AE1006),$V$1006:$AE$1006,0)), HYPERLINK("#",""), HYPERLINK(CONCATENATE("#Metadata!", ADDRESS(INDEX($Q$2:$Q$1001,MATCH(ROWS($O$2:O604),$O$2:$O$1001,0),0), INDEX($V$1004:$AE$1004,1,MATCH(COLUMNS($V$1006:AE1006),$V$1006:$AE$1006,0)))),"Fix")))</f>
        <v>0</v>
      </c>
      <c r="O604">
        <v>0</v>
      </c>
      <c r="P604">
        <v>0</v>
      </c>
      <c r="Q604">
        <v>0</v>
      </c>
      <c r="R604">
        <f>IF(S604,TRUE,AND(V604:AE604))</f>
        <v>0</v>
      </c>
      <c r="S604">
        <f>COUNTBLANK(Metadata!B604:K604)=COLUMNS(Metadata!B604:K604)</f>
        <v>0</v>
      </c>
      <c r="T604">
        <v>0</v>
      </c>
      <c r="V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W604">
        <f>AND(IF(Metadata!C604="",FALSE,TRUE),exact(Metadata!C604,"animal secretion"))</f>
        <v>0</v>
      </c>
      <c r="X604">
        <f>AND(IF(Metadata!D604="",FALSE,TRUE),exact(Metadata!D604,"saliva"))</f>
        <v>0</v>
      </c>
      <c r="Y604">
        <f>AND(IF(Metadata!E604="",FALSE,TRUE),exact(Metadata!E604,"human-oral"))</f>
        <v>0</v>
      </c>
      <c r="Z604">
        <f>AND(IF(Metadata!F604="",FALSE,TRUE),exact(Metadata!F604,"UBERON:oral cavity"))</f>
        <v>0</v>
      </c>
      <c r="AA604">
        <f>AND(IF(Metadata!G604="",FALSE,TRUE),exact(Metadata!G604,"UBERON:saliva"))</f>
        <v>0</v>
      </c>
      <c r="AB604">
        <f>AND(IF(Metadata!H604="",FALSE,TRUE),exact(Metadata!H604,"UBERON:tongue"))</f>
        <v>0</v>
      </c>
      <c r="AC604">
        <f>AND(IF(Metadata!I604="",FALSE,TRUE),exact(Metadata!I604,"tongue"))</f>
        <v>0</v>
      </c>
      <c r="AD604">
        <f>AND(IF(Metadata!J604="",FALSE,TRUE),exact(Metadata!J604,"human oral metagenome"))</f>
        <v>0</v>
      </c>
      <c r="AE604">
        <f>AND(IF(Metadata!K604="",FALSE,TRUE),exact(Metadata!K604,"447426"))</f>
        <v>0</v>
      </c>
    </row>
    <row r="605" spans="1:31">
      <c r="A605" s="4">
        <f>IF(B605=" "," ",HYPERLINK(CONCATENATE("#metadata!",ADDRESS(INDEX($Q$2:$Q$1001,MATCH(ROWS($O$2:O605),$O$2:$O$1001,0),0),1)),INDEX($T$2:$T$1001,MATCH(ROWS($O$2:O605),$O$2:$O$1001,0),0)))</f>
        <v>0</v>
      </c>
      <c r="B605" s="3">
        <f>IF(OR(INDEX($P$2:$P$1001,MATCH(ROWS($O$2:O605),$O$2:$O$1001,0),1)&gt;=100000,INDEX($V$1005:$AE$1005,1,MATCH(COLUMNS($V$1006:V1006),$V$1006:$AE$1006,0))&gt;=100000), " ",IF(INDEX($V$2:$AE$1001,MATCH(ROWS($O$2:O605),$O$2:$O$1001,0),MATCH(COLUMNS($V$1006:V1006),$V$1006:$AE$1006,0)), HYPERLINK("#",""), HYPERLINK(CONCATENATE("#Metadata!", ADDRESS(INDEX($Q$2:$Q$1001,MATCH(ROWS($O$2:O605),$O$2:$O$1001,0),0), INDEX($V$1004:$AE$1004,1,MATCH(COLUMNS($V$1006:V1006),$V$1006:$AE$1006,0)))),"Fix")))</f>
        <v>0</v>
      </c>
      <c r="C605" s="3">
        <f>IF(OR(INDEX($P$2:$P$1001,MATCH(ROWS($O$2:O605),$O$2:$O$1001,0),1)&gt;=100000,INDEX($V$1005:$AE$1005,1,MATCH(COLUMNS($V$1006:W1006),$V$1006:$AE$1006,0))&gt;=100000), " ",IF(INDEX($V$2:$AE$1001,MATCH(ROWS($O$2:O605),$O$2:$O$1001,0),MATCH(COLUMNS($V$1006:W1006),$V$1006:$AE$1006,0)), HYPERLINK("#",""), HYPERLINK(CONCATENATE("#Metadata!", ADDRESS(INDEX($Q$2:$Q$1001,MATCH(ROWS($O$2:O605),$O$2:$O$1001,0),0), INDEX($V$1004:$AE$1004,1,MATCH(COLUMNS($V$1006:W1006),$V$1006:$AE$1006,0)))),"Fix")))</f>
        <v>0</v>
      </c>
      <c r="D605" s="3">
        <f>IF(OR(INDEX($P$2:$P$1001,MATCH(ROWS($O$2:O605),$O$2:$O$1001,0),1)&gt;=100000,INDEX($V$1005:$AE$1005,1,MATCH(COLUMNS($V$1006:X1006),$V$1006:$AE$1006,0))&gt;=100000), " ",IF(INDEX($V$2:$AE$1001,MATCH(ROWS($O$2:O605),$O$2:$O$1001,0),MATCH(COLUMNS($V$1006:X1006),$V$1006:$AE$1006,0)), HYPERLINK("#",""), HYPERLINK(CONCATENATE("#Metadata!", ADDRESS(INDEX($Q$2:$Q$1001,MATCH(ROWS($O$2:O605),$O$2:$O$1001,0),0), INDEX($V$1004:$AE$1004,1,MATCH(COLUMNS($V$1006:X1006),$V$1006:$AE$1006,0)))),"Fix")))</f>
        <v>0</v>
      </c>
      <c r="E605" s="3">
        <f>IF(OR(INDEX($P$2:$P$1001,MATCH(ROWS($O$2:O605),$O$2:$O$1001,0),1)&gt;=100000,INDEX($V$1005:$AE$1005,1,MATCH(COLUMNS($V$1006:Y1006),$V$1006:$AE$1006,0))&gt;=100000), " ",IF(INDEX($V$2:$AE$1001,MATCH(ROWS($O$2:O605),$O$2:$O$1001,0),MATCH(COLUMNS($V$1006:Y1006),$V$1006:$AE$1006,0)), HYPERLINK("#",""), HYPERLINK(CONCATENATE("#Metadata!", ADDRESS(INDEX($Q$2:$Q$1001,MATCH(ROWS($O$2:O605),$O$2:$O$1001,0),0), INDEX($V$1004:$AE$1004,1,MATCH(COLUMNS($V$1006:Y1006),$V$1006:$AE$1006,0)))),"Fix")))</f>
        <v>0</v>
      </c>
      <c r="F605" s="3">
        <f>IF(OR(INDEX($P$2:$P$1001,MATCH(ROWS($O$2:O605),$O$2:$O$1001,0),1)&gt;=100000,INDEX($V$1005:$AE$1005,1,MATCH(COLUMNS($V$1006:Z1006),$V$1006:$AE$1006,0))&gt;=100000), " ",IF(INDEX($V$2:$AE$1001,MATCH(ROWS($O$2:O605),$O$2:$O$1001,0),MATCH(COLUMNS($V$1006:Z1006),$V$1006:$AE$1006,0)), HYPERLINK("#",""), HYPERLINK(CONCATENATE("#Metadata!", ADDRESS(INDEX($Q$2:$Q$1001,MATCH(ROWS($O$2:O605),$O$2:$O$1001,0),0), INDEX($V$1004:$AE$1004,1,MATCH(COLUMNS($V$1006:Z1006),$V$1006:$AE$1006,0)))),"Fix")))</f>
        <v>0</v>
      </c>
      <c r="G605" s="3">
        <f>IF(OR(INDEX($P$2:$P$1001,MATCH(ROWS($O$2:O605),$O$2:$O$1001,0),1)&gt;=100000,INDEX($V$1005:$AE$1005,1,MATCH(COLUMNS($V$1006:AA1006),$V$1006:$AE$1006,0))&gt;=100000), " ",IF(INDEX($V$2:$AE$1001,MATCH(ROWS($O$2:O605),$O$2:$O$1001,0),MATCH(COLUMNS($V$1006:AA1006),$V$1006:$AE$1006,0)), HYPERLINK("#",""), HYPERLINK(CONCATENATE("#Metadata!", ADDRESS(INDEX($Q$2:$Q$1001,MATCH(ROWS($O$2:O605),$O$2:$O$1001,0),0), INDEX($V$1004:$AE$1004,1,MATCH(COLUMNS($V$1006:AA1006),$V$1006:$AE$1006,0)))),"Fix")))</f>
        <v>0</v>
      </c>
      <c r="H605" s="3">
        <f>IF(OR(INDEX($P$2:$P$1001,MATCH(ROWS($O$2:O605),$O$2:$O$1001,0),1)&gt;=100000,INDEX($V$1005:$AE$1005,1,MATCH(COLUMNS($V$1006:AB1006),$V$1006:$AE$1006,0))&gt;=100000), " ",IF(INDEX($V$2:$AE$1001,MATCH(ROWS($O$2:O605),$O$2:$O$1001,0),MATCH(COLUMNS($V$1006:AB1006),$V$1006:$AE$1006,0)), HYPERLINK("#",""), HYPERLINK(CONCATENATE("#Metadata!", ADDRESS(INDEX($Q$2:$Q$1001,MATCH(ROWS($O$2:O605),$O$2:$O$1001,0),0), INDEX($V$1004:$AE$1004,1,MATCH(COLUMNS($V$1006:AB1006),$V$1006:$AE$1006,0)))),"Fix")))</f>
        <v>0</v>
      </c>
      <c r="I605" s="3">
        <f>IF(OR(INDEX($P$2:$P$1001,MATCH(ROWS($O$2:O605),$O$2:$O$1001,0),1)&gt;=100000,INDEX($V$1005:$AE$1005,1,MATCH(COLUMNS($V$1006:AC1006),$V$1006:$AE$1006,0))&gt;=100000), " ",IF(INDEX($V$2:$AE$1001,MATCH(ROWS($O$2:O605),$O$2:$O$1001,0),MATCH(COLUMNS($V$1006:AC1006),$V$1006:$AE$1006,0)), HYPERLINK("#",""), HYPERLINK(CONCATENATE("#Metadata!", ADDRESS(INDEX($Q$2:$Q$1001,MATCH(ROWS($O$2:O605),$O$2:$O$1001,0),0), INDEX($V$1004:$AE$1004,1,MATCH(COLUMNS($V$1006:AC1006),$V$1006:$AE$1006,0)))),"Fix")))</f>
        <v>0</v>
      </c>
      <c r="J605" s="3">
        <f>IF(OR(INDEX($P$2:$P$1001,MATCH(ROWS($O$2:O605),$O$2:$O$1001,0),1)&gt;=100000,INDEX($V$1005:$AE$1005,1,MATCH(COLUMNS($V$1006:AD1006),$V$1006:$AE$1006,0))&gt;=100000), " ",IF(INDEX($V$2:$AE$1001,MATCH(ROWS($O$2:O605),$O$2:$O$1001,0),MATCH(COLUMNS($V$1006:AD1006),$V$1006:$AE$1006,0)), HYPERLINK("#",""), HYPERLINK(CONCATENATE("#Metadata!", ADDRESS(INDEX($Q$2:$Q$1001,MATCH(ROWS($O$2:O605),$O$2:$O$1001,0),0), INDEX($V$1004:$AE$1004,1,MATCH(COLUMNS($V$1006:AD1006),$V$1006:$AE$1006,0)))),"Fix")))</f>
        <v>0</v>
      </c>
      <c r="K605" s="3">
        <f>IF(OR(INDEX($P$2:$P$1001,MATCH(ROWS($O$2:O605),$O$2:$O$1001,0),1)&gt;=100000,INDEX($V$1005:$AE$1005,1,MATCH(COLUMNS($V$1006:AE1006),$V$1006:$AE$1006,0))&gt;=100000), " ",IF(INDEX($V$2:$AE$1001,MATCH(ROWS($O$2:O605),$O$2:$O$1001,0),MATCH(COLUMNS($V$1006:AE1006),$V$1006:$AE$1006,0)), HYPERLINK("#",""), HYPERLINK(CONCATENATE("#Metadata!", ADDRESS(INDEX($Q$2:$Q$1001,MATCH(ROWS($O$2:O605),$O$2:$O$1001,0),0), INDEX($V$1004:$AE$1004,1,MATCH(COLUMNS($V$1006:AE1006),$V$1006:$AE$1006,0)))),"Fix")))</f>
        <v>0</v>
      </c>
      <c r="O605">
        <v>0</v>
      </c>
      <c r="P605">
        <v>0</v>
      </c>
      <c r="Q605">
        <v>0</v>
      </c>
      <c r="R605">
        <f>IF(S605,TRUE,AND(V605:AE605))</f>
        <v>0</v>
      </c>
      <c r="S605">
        <f>COUNTBLANK(Metadata!B605:K605)=COLUMNS(Metadata!B605:K605)</f>
        <v>0</v>
      </c>
      <c r="T605">
        <v>0</v>
      </c>
      <c r="V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W605">
        <f>AND(IF(Metadata!C605="",FALSE,TRUE),exact(Metadata!C605,"animal secretion"))</f>
        <v>0</v>
      </c>
      <c r="X605">
        <f>AND(IF(Metadata!D605="",FALSE,TRUE),exact(Metadata!D605,"saliva"))</f>
        <v>0</v>
      </c>
      <c r="Y605">
        <f>AND(IF(Metadata!E605="",FALSE,TRUE),exact(Metadata!E605,"human-oral"))</f>
        <v>0</v>
      </c>
      <c r="Z605">
        <f>AND(IF(Metadata!F605="",FALSE,TRUE),exact(Metadata!F605,"UBERON:oral cavity"))</f>
        <v>0</v>
      </c>
      <c r="AA605">
        <f>AND(IF(Metadata!G605="",FALSE,TRUE),exact(Metadata!G605,"UBERON:saliva"))</f>
        <v>0</v>
      </c>
      <c r="AB605">
        <f>AND(IF(Metadata!H605="",FALSE,TRUE),exact(Metadata!H605,"UBERON:tongue"))</f>
        <v>0</v>
      </c>
      <c r="AC605">
        <f>AND(IF(Metadata!I605="",FALSE,TRUE),exact(Metadata!I605,"tongue"))</f>
        <v>0</v>
      </c>
      <c r="AD605">
        <f>AND(IF(Metadata!J605="",FALSE,TRUE),exact(Metadata!J605,"human oral metagenome"))</f>
        <v>0</v>
      </c>
      <c r="AE605">
        <f>AND(IF(Metadata!K605="",FALSE,TRUE),exact(Metadata!K605,"447426"))</f>
        <v>0</v>
      </c>
    </row>
    <row r="606" spans="1:31">
      <c r="A606" s="4">
        <f>IF(B606=" "," ",HYPERLINK(CONCATENATE("#metadata!",ADDRESS(INDEX($Q$2:$Q$1001,MATCH(ROWS($O$2:O606),$O$2:$O$1001,0),0),1)),INDEX($T$2:$T$1001,MATCH(ROWS($O$2:O606),$O$2:$O$1001,0),0)))</f>
        <v>0</v>
      </c>
      <c r="B606" s="3">
        <f>IF(OR(INDEX($P$2:$P$1001,MATCH(ROWS($O$2:O606),$O$2:$O$1001,0),1)&gt;=100000,INDEX($V$1005:$AE$1005,1,MATCH(COLUMNS($V$1006:V1006),$V$1006:$AE$1006,0))&gt;=100000), " ",IF(INDEX($V$2:$AE$1001,MATCH(ROWS($O$2:O606),$O$2:$O$1001,0),MATCH(COLUMNS($V$1006:V1006),$V$1006:$AE$1006,0)), HYPERLINK("#",""), HYPERLINK(CONCATENATE("#Metadata!", ADDRESS(INDEX($Q$2:$Q$1001,MATCH(ROWS($O$2:O606),$O$2:$O$1001,0),0), INDEX($V$1004:$AE$1004,1,MATCH(COLUMNS($V$1006:V1006),$V$1006:$AE$1006,0)))),"Fix")))</f>
        <v>0</v>
      </c>
      <c r="C606" s="3">
        <f>IF(OR(INDEX($P$2:$P$1001,MATCH(ROWS($O$2:O606),$O$2:$O$1001,0),1)&gt;=100000,INDEX($V$1005:$AE$1005,1,MATCH(COLUMNS($V$1006:W1006),$V$1006:$AE$1006,0))&gt;=100000), " ",IF(INDEX($V$2:$AE$1001,MATCH(ROWS($O$2:O606),$O$2:$O$1001,0),MATCH(COLUMNS($V$1006:W1006),$V$1006:$AE$1006,0)), HYPERLINK("#",""), HYPERLINK(CONCATENATE("#Metadata!", ADDRESS(INDEX($Q$2:$Q$1001,MATCH(ROWS($O$2:O606),$O$2:$O$1001,0),0), INDEX($V$1004:$AE$1004,1,MATCH(COLUMNS($V$1006:W1006),$V$1006:$AE$1006,0)))),"Fix")))</f>
        <v>0</v>
      </c>
      <c r="D606" s="3">
        <f>IF(OR(INDEX($P$2:$P$1001,MATCH(ROWS($O$2:O606),$O$2:$O$1001,0),1)&gt;=100000,INDEX($V$1005:$AE$1005,1,MATCH(COLUMNS($V$1006:X1006),$V$1006:$AE$1006,0))&gt;=100000), " ",IF(INDEX($V$2:$AE$1001,MATCH(ROWS($O$2:O606),$O$2:$O$1001,0),MATCH(COLUMNS($V$1006:X1006),$V$1006:$AE$1006,0)), HYPERLINK("#",""), HYPERLINK(CONCATENATE("#Metadata!", ADDRESS(INDEX($Q$2:$Q$1001,MATCH(ROWS($O$2:O606),$O$2:$O$1001,0),0), INDEX($V$1004:$AE$1004,1,MATCH(COLUMNS($V$1006:X1006),$V$1006:$AE$1006,0)))),"Fix")))</f>
        <v>0</v>
      </c>
      <c r="E606" s="3">
        <f>IF(OR(INDEX($P$2:$P$1001,MATCH(ROWS($O$2:O606),$O$2:$O$1001,0),1)&gt;=100000,INDEX($V$1005:$AE$1005,1,MATCH(COLUMNS($V$1006:Y1006),$V$1006:$AE$1006,0))&gt;=100000), " ",IF(INDEX($V$2:$AE$1001,MATCH(ROWS($O$2:O606),$O$2:$O$1001,0),MATCH(COLUMNS($V$1006:Y1006),$V$1006:$AE$1006,0)), HYPERLINK("#",""), HYPERLINK(CONCATENATE("#Metadata!", ADDRESS(INDEX($Q$2:$Q$1001,MATCH(ROWS($O$2:O606),$O$2:$O$1001,0),0), INDEX($V$1004:$AE$1004,1,MATCH(COLUMNS($V$1006:Y1006),$V$1006:$AE$1006,0)))),"Fix")))</f>
        <v>0</v>
      </c>
      <c r="F606" s="3">
        <f>IF(OR(INDEX($P$2:$P$1001,MATCH(ROWS($O$2:O606),$O$2:$O$1001,0),1)&gt;=100000,INDEX($V$1005:$AE$1005,1,MATCH(COLUMNS($V$1006:Z1006),$V$1006:$AE$1006,0))&gt;=100000), " ",IF(INDEX($V$2:$AE$1001,MATCH(ROWS($O$2:O606),$O$2:$O$1001,0),MATCH(COLUMNS($V$1006:Z1006),$V$1006:$AE$1006,0)), HYPERLINK("#",""), HYPERLINK(CONCATENATE("#Metadata!", ADDRESS(INDEX($Q$2:$Q$1001,MATCH(ROWS($O$2:O606),$O$2:$O$1001,0),0), INDEX($V$1004:$AE$1004,1,MATCH(COLUMNS($V$1006:Z1006),$V$1006:$AE$1006,0)))),"Fix")))</f>
        <v>0</v>
      </c>
      <c r="G606" s="3">
        <f>IF(OR(INDEX($P$2:$P$1001,MATCH(ROWS($O$2:O606),$O$2:$O$1001,0),1)&gt;=100000,INDEX($V$1005:$AE$1005,1,MATCH(COLUMNS($V$1006:AA1006),$V$1006:$AE$1006,0))&gt;=100000), " ",IF(INDEX($V$2:$AE$1001,MATCH(ROWS($O$2:O606),$O$2:$O$1001,0),MATCH(COLUMNS($V$1006:AA1006),$V$1006:$AE$1006,0)), HYPERLINK("#",""), HYPERLINK(CONCATENATE("#Metadata!", ADDRESS(INDEX($Q$2:$Q$1001,MATCH(ROWS($O$2:O606),$O$2:$O$1001,0),0), INDEX($V$1004:$AE$1004,1,MATCH(COLUMNS($V$1006:AA1006),$V$1006:$AE$1006,0)))),"Fix")))</f>
        <v>0</v>
      </c>
      <c r="H606" s="3">
        <f>IF(OR(INDEX($P$2:$P$1001,MATCH(ROWS($O$2:O606),$O$2:$O$1001,0),1)&gt;=100000,INDEX($V$1005:$AE$1005,1,MATCH(COLUMNS($V$1006:AB1006),$V$1006:$AE$1006,0))&gt;=100000), " ",IF(INDEX($V$2:$AE$1001,MATCH(ROWS($O$2:O606),$O$2:$O$1001,0),MATCH(COLUMNS($V$1006:AB1006),$V$1006:$AE$1006,0)), HYPERLINK("#",""), HYPERLINK(CONCATENATE("#Metadata!", ADDRESS(INDEX($Q$2:$Q$1001,MATCH(ROWS($O$2:O606),$O$2:$O$1001,0),0), INDEX($V$1004:$AE$1004,1,MATCH(COLUMNS($V$1006:AB1006),$V$1006:$AE$1006,0)))),"Fix")))</f>
        <v>0</v>
      </c>
      <c r="I606" s="3">
        <f>IF(OR(INDEX($P$2:$P$1001,MATCH(ROWS($O$2:O606),$O$2:$O$1001,0),1)&gt;=100000,INDEX($V$1005:$AE$1005,1,MATCH(COLUMNS($V$1006:AC1006),$V$1006:$AE$1006,0))&gt;=100000), " ",IF(INDEX($V$2:$AE$1001,MATCH(ROWS($O$2:O606),$O$2:$O$1001,0),MATCH(COLUMNS($V$1006:AC1006),$V$1006:$AE$1006,0)), HYPERLINK("#",""), HYPERLINK(CONCATENATE("#Metadata!", ADDRESS(INDEX($Q$2:$Q$1001,MATCH(ROWS($O$2:O606),$O$2:$O$1001,0),0), INDEX($V$1004:$AE$1004,1,MATCH(COLUMNS($V$1006:AC1006),$V$1006:$AE$1006,0)))),"Fix")))</f>
        <v>0</v>
      </c>
      <c r="J606" s="3">
        <f>IF(OR(INDEX($P$2:$P$1001,MATCH(ROWS($O$2:O606),$O$2:$O$1001,0),1)&gt;=100000,INDEX($V$1005:$AE$1005,1,MATCH(COLUMNS($V$1006:AD1006),$V$1006:$AE$1006,0))&gt;=100000), " ",IF(INDEX($V$2:$AE$1001,MATCH(ROWS($O$2:O606),$O$2:$O$1001,0),MATCH(COLUMNS($V$1006:AD1006),$V$1006:$AE$1006,0)), HYPERLINK("#",""), HYPERLINK(CONCATENATE("#Metadata!", ADDRESS(INDEX($Q$2:$Q$1001,MATCH(ROWS($O$2:O606),$O$2:$O$1001,0),0), INDEX($V$1004:$AE$1004,1,MATCH(COLUMNS($V$1006:AD1006),$V$1006:$AE$1006,0)))),"Fix")))</f>
        <v>0</v>
      </c>
      <c r="K606" s="3">
        <f>IF(OR(INDEX($P$2:$P$1001,MATCH(ROWS($O$2:O606),$O$2:$O$1001,0),1)&gt;=100000,INDEX($V$1005:$AE$1005,1,MATCH(COLUMNS($V$1006:AE1006),$V$1006:$AE$1006,0))&gt;=100000), " ",IF(INDEX($V$2:$AE$1001,MATCH(ROWS($O$2:O606),$O$2:$O$1001,0),MATCH(COLUMNS($V$1006:AE1006),$V$1006:$AE$1006,0)), HYPERLINK("#",""), HYPERLINK(CONCATENATE("#Metadata!", ADDRESS(INDEX($Q$2:$Q$1001,MATCH(ROWS($O$2:O606),$O$2:$O$1001,0),0), INDEX($V$1004:$AE$1004,1,MATCH(COLUMNS($V$1006:AE1006),$V$1006:$AE$1006,0)))),"Fix")))</f>
        <v>0</v>
      </c>
      <c r="O606">
        <v>0</v>
      </c>
      <c r="P606">
        <v>0</v>
      </c>
      <c r="Q606">
        <v>0</v>
      </c>
      <c r="R606">
        <f>IF(S606,TRUE,AND(V606:AE606))</f>
        <v>0</v>
      </c>
      <c r="S606">
        <f>COUNTBLANK(Metadata!B606:K606)=COLUMNS(Metadata!B606:K606)</f>
        <v>0</v>
      </c>
      <c r="T606">
        <v>0</v>
      </c>
      <c r="V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W606">
        <f>AND(IF(Metadata!C606="",FALSE,TRUE),exact(Metadata!C606,"animal secretion"))</f>
        <v>0</v>
      </c>
      <c r="X606">
        <f>AND(IF(Metadata!D606="",FALSE,TRUE),exact(Metadata!D606,"saliva"))</f>
        <v>0</v>
      </c>
      <c r="Y606">
        <f>AND(IF(Metadata!E606="",FALSE,TRUE),exact(Metadata!E606,"human-oral"))</f>
        <v>0</v>
      </c>
      <c r="Z606">
        <f>AND(IF(Metadata!F606="",FALSE,TRUE),exact(Metadata!F606,"UBERON:oral cavity"))</f>
        <v>0</v>
      </c>
      <c r="AA606">
        <f>AND(IF(Metadata!G606="",FALSE,TRUE),exact(Metadata!G606,"UBERON:saliva"))</f>
        <v>0</v>
      </c>
      <c r="AB606">
        <f>AND(IF(Metadata!H606="",FALSE,TRUE),exact(Metadata!H606,"UBERON:tongue"))</f>
        <v>0</v>
      </c>
      <c r="AC606">
        <f>AND(IF(Metadata!I606="",FALSE,TRUE),exact(Metadata!I606,"tongue"))</f>
        <v>0</v>
      </c>
      <c r="AD606">
        <f>AND(IF(Metadata!J606="",FALSE,TRUE),exact(Metadata!J606,"human oral metagenome"))</f>
        <v>0</v>
      </c>
      <c r="AE606">
        <f>AND(IF(Metadata!K606="",FALSE,TRUE),exact(Metadata!K606,"447426"))</f>
        <v>0</v>
      </c>
    </row>
    <row r="607" spans="1:31">
      <c r="A607" s="4">
        <f>IF(B607=" "," ",HYPERLINK(CONCATENATE("#metadata!",ADDRESS(INDEX($Q$2:$Q$1001,MATCH(ROWS($O$2:O607),$O$2:$O$1001,0),0),1)),INDEX($T$2:$T$1001,MATCH(ROWS($O$2:O607),$O$2:$O$1001,0),0)))</f>
        <v>0</v>
      </c>
      <c r="B607" s="3">
        <f>IF(OR(INDEX($P$2:$P$1001,MATCH(ROWS($O$2:O607),$O$2:$O$1001,0),1)&gt;=100000,INDEX($V$1005:$AE$1005,1,MATCH(COLUMNS($V$1006:V1006),$V$1006:$AE$1006,0))&gt;=100000), " ",IF(INDEX($V$2:$AE$1001,MATCH(ROWS($O$2:O607),$O$2:$O$1001,0),MATCH(COLUMNS($V$1006:V1006),$V$1006:$AE$1006,0)), HYPERLINK("#",""), HYPERLINK(CONCATENATE("#Metadata!", ADDRESS(INDEX($Q$2:$Q$1001,MATCH(ROWS($O$2:O607),$O$2:$O$1001,0),0), INDEX($V$1004:$AE$1004,1,MATCH(COLUMNS($V$1006:V1006),$V$1006:$AE$1006,0)))),"Fix")))</f>
        <v>0</v>
      </c>
      <c r="C607" s="3">
        <f>IF(OR(INDEX($P$2:$P$1001,MATCH(ROWS($O$2:O607),$O$2:$O$1001,0),1)&gt;=100000,INDEX($V$1005:$AE$1005,1,MATCH(COLUMNS($V$1006:W1006),$V$1006:$AE$1006,0))&gt;=100000), " ",IF(INDEX($V$2:$AE$1001,MATCH(ROWS($O$2:O607),$O$2:$O$1001,0),MATCH(COLUMNS($V$1006:W1006),$V$1006:$AE$1006,0)), HYPERLINK("#",""), HYPERLINK(CONCATENATE("#Metadata!", ADDRESS(INDEX($Q$2:$Q$1001,MATCH(ROWS($O$2:O607),$O$2:$O$1001,0),0), INDEX($V$1004:$AE$1004,1,MATCH(COLUMNS($V$1006:W1006),$V$1006:$AE$1006,0)))),"Fix")))</f>
        <v>0</v>
      </c>
      <c r="D607" s="3">
        <f>IF(OR(INDEX($P$2:$P$1001,MATCH(ROWS($O$2:O607),$O$2:$O$1001,0),1)&gt;=100000,INDEX($V$1005:$AE$1005,1,MATCH(COLUMNS($V$1006:X1006),$V$1006:$AE$1006,0))&gt;=100000), " ",IF(INDEX($V$2:$AE$1001,MATCH(ROWS($O$2:O607),$O$2:$O$1001,0),MATCH(COLUMNS($V$1006:X1006),$V$1006:$AE$1006,0)), HYPERLINK("#",""), HYPERLINK(CONCATENATE("#Metadata!", ADDRESS(INDEX($Q$2:$Q$1001,MATCH(ROWS($O$2:O607),$O$2:$O$1001,0),0), INDEX($V$1004:$AE$1004,1,MATCH(COLUMNS($V$1006:X1006),$V$1006:$AE$1006,0)))),"Fix")))</f>
        <v>0</v>
      </c>
      <c r="E607" s="3">
        <f>IF(OR(INDEX($P$2:$P$1001,MATCH(ROWS($O$2:O607),$O$2:$O$1001,0),1)&gt;=100000,INDEX($V$1005:$AE$1005,1,MATCH(COLUMNS($V$1006:Y1006),$V$1006:$AE$1006,0))&gt;=100000), " ",IF(INDEX($V$2:$AE$1001,MATCH(ROWS($O$2:O607),$O$2:$O$1001,0),MATCH(COLUMNS($V$1006:Y1006),$V$1006:$AE$1006,0)), HYPERLINK("#",""), HYPERLINK(CONCATENATE("#Metadata!", ADDRESS(INDEX($Q$2:$Q$1001,MATCH(ROWS($O$2:O607),$O$2:$O$1001,0),0), INDEX($V$1004:$AE$1004,1,MATCH(COLUMNS($V$1006:Y1006),$V$1006:$AE$1006,0)))),"Fix")))</f>
        <v>0</v>
      </c>
      <c r="F607" s="3">
        <f>IF(OR(INDEX($P$2:$P$1001,MATCH(ROWS($O$2:O607),$O$2:$O$1001,0),1)&gt;=100000,INDEX($V$1005:$AE$1005,1,MATCH(COLUMNS($V$1006:Z1006),$V$1006:$AE$1006,0))&gt;=100000), " ",IF(INDEX($V$2:$AE$1001,MATCH(ROWS($O$2:O607),$O$2:$O$1001,0),MATCH(COLUMNS($V$1006:Z1006),$V$1006:$AE$1006,0)), HYPERLINK("#",""), HYPERLINK(CONCATENATE("#Metadata!", ADDRESS(INDEX($Q$2:$Q$1001,MATCH(ROWS($O$2:O607),$O$2:$O$1001,0),0), INDEX($V$1004:$AE$1004,1,MATCH(COLUMNS($V$1006:Z1006),$V$1006:$AE$1006,0)))),"Fix")))</f>
        <v>0</v>
      </c>
      <c r="G607" s="3">
        <f>IF(OR(INDEX($P$2:$P$1001,MATCH(ROWS($O$2:O607),$O$2:$O$1001,0),1)&gt;=100000,INDEX($V$1005:$AE$1005,1,MATCH(COLUMNS($V$1006:AA1006),$V$1006:$AE$1006,0))&gt;=100000), " ",IF(INDEX($V$2:$AE$1001,MATCH(ROWS($O$2:O607),$O$2:$O$1001,0),MATCH(COLUMNS($V$1006:AA1006),$V$1006:$AE$1006,0)), HYPERLINK("#",""), HYPERLINK(CONCATENATE("#Metadata!", ADDRESS(INDEX($Q$2:$Q$1001,MATCH(ROWS($O$2:O607),$O$2:$O$1001,0),0), INDEX($V$1004:$AE$1004,1,MATCH(COLUMNS($V$1006:AA1006),$V$1006:$AE$1006,0)))),"Fix")))</f>
        <v>0</v>
      </c>
      <c r="H607" s="3">
        <f>IF(OR(INDEX($P$2:$P$1001,MATCH(ROWS($O$2:O607),$O$2:$O$1001,0),1)&gt;=100000,INDEX($V$1005:$AE$1005,1,MATCH(COLUMNS($V$1006:AB1006),$V$1006:$AE$1006,0))&gt;=100000), " ",IF(INDEX($V$2:$AE$1001,MATCH(ROWS($O$2:O607),$O$2:$O$1001,0),MATCH(COLUMNS($V$1006:AB1006),$V$1006:$AE$1006,0)), HYPERLINK("#",""), HYPERLINK(CONCATENATE("#Metadata!", ADDRESS(INDEX($Q$2:$Q$1001,MATCH(ROWS($O$2:O607),$O$2:$O$1001,0),0), INDEX($V$1004:$AE$1004,1,MATCH(COLUMNS($V$1006:AB1006),$V$1006:$AE$1006,0)))),"Fix")))</f>
        <v>0</v>
      </c>
      <c r="I607" s="3">
        <f>IF(OR(INDEX($P$2:$P$1001,MATCH(ROWS($O$2:O607),$O$2:$O$1001,0),1)&gt;=100000,INDEX($V$1005:$AE$1005,1,MATCH(COLUMNS($V$1006:AC1006),$V$1006:$AE$1006,0))&gt;=100000), " ",IF(INDEX($V$2:$AE$1001,MATCH(ROWS($O$2:O607),$O$2:$O$1001,0),MATCH(COLUMNS($V$1006:AC1006),$V$1006:$AE$1006,0)), HYPERLINK("#",""), HYPERLINK(CONCATENATE("#Metadata!", ADDRESS(INDEX($Q$2:$Q$1001,MATCH(ROWS($O$2:O607),$O$2:$O$1001,0),0), INDEX($V$1004:$AE$1004,1,MATCH(COLUMNS($V$1006:AC1006),$V$1006:$AE$1006,0)))),"Fix")))</f>
        <v>0</v>
      </c>
      <c r="J607" s="3">
        <f>IF(OR(INDEX($P$2:$P$1001,MATCH(ROWS($O$2:O607),$O$2:$O$1001,0),1)&gt;=100000,INDEX($V$1005:$AE$1005,1,MATCH(COLUMNS($V$1006:AD1006),$V$1006:$AE$1006,0))&gt;=100000), " ",IF(INDEX($V$2:$AE$1001,MATCH(ROWS($O$2:O607),$O$2:$O$1001,0),MATCH(COLUMNS($V$1006:AD1006),$V$1006:$AE$1006,0)), HYPERLINK("#",""), HYPERLINK(CONCATENATE("#Metadata!", ADDRESS(INDEX($Q$2:$Q$1001,MATCH(ROWS($O$2:O607),$O$2:$O$1001,0),0), INDEX($V$1004:$AE$1004,1,MATCH(COLUMNS($V$1006:AD1006),$V$1006:$AE$1006,0)))),"Fix")))</f>
        <v>0</v>
      </c>
      <c r="K607" s="3">
        <f>IF(OR(INDEX($P$2:$P$1001,MATCH(ROWS($O$2:O607),$O$2:$O$1001,0),1)&gt;=100000,INDEX($V$1005:$AE$1005,1,MATCH(COLUMNS($V$1006:AE1006),$V$1006:$AE$1006,0))&gt;=100000), " ",IF(INDEX($V$2:$AE$1001,MATCH(ROWS($O$2:O607),$O$2:$O$1001,0),MATCH(COLUMNS($V$1006:AE1006),$V$1006:$AE$1006,0)), HYPERLINK("#",""), HYPERLINK(CONCATENATE("#Metadata!", ADDRESS(INDEX($Q$2:$Q$1001,MATCH(ROWS($O$2:O607),$O$2:$O$1001,0),0), INDEX($V$1004:$AE$1004,1,MATCH(COLUMNS($V$1006:AE1006),$V$1006:$AE$1006,0)))),"Fix")))</f>
        <v>0</v>
      </c>
      <c r="O607">
        <v>0</v>
      </c>
      <c r="P607">
        <v>0</v>
      </c>
      <c r="Q607">
        <v>0</v>
      </c>
      <c r="R607">
        <f>IF(S607,TRUE,AND(V607:AE607))</f>
        <v>0</v>
      </c>
      <c r="S607">
        <f>COUNTBLANK(Metadata!B607:K607)=COLUMNS(Metadata!B607:K607)</f>
        <v>0</v>
      </c>
      <c r="T607">
        <v>0</v>
      </c>
      <c r="V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W607">
        <f>AND(IF(Metadata!C607="",FALSE,TRUE),exact(Metadata!C607,"animal secretion"))</f>
        <v>0</v>
      </c>
      <c r="X607">
        <f>AND(IF(Metadata!D607="",FALSE,TRUE),exact(Metadata!D607,"saliva"))</f>
        <v>0</v>
      </c>
      <c r="Y607">
        <f>AND(IF(Metadata!E607="",FALSE,TRUE),exact(Metadata!E607,"human-oral"))</f>
        <v>0</v>
      </c>
      <c r="Z607">
        <f>AND(IF(Metadata!F607="",FALSE,TRUE),exact(Metadata!F607,"UBERON:oral cavity"))</f>
        <v>0</v>
      </c>
      <c r="AA607">
        <f>AND(IF(Metadata!G607="",FALSE,TRUE),exact(Metadata!G607,"UBERON:saliva"))</f>
        <v>0</v>
      </c>
      <c r="AB607">
        <f>AND(IF(Metadata!H607="",FALSE,TRUE),exact(Metadata!H607,"UBERON:tongue"))</f>
        <v>0</v>
      </c>
      <c r="AC607">
        <f>AND(IF(Metadata!I607="",FALSE,TRUE),exact(Metadata!I607,"tongue"))</f>
        <v>0</v>
      </c>
      <c r="AD607">
        <f>AND(IF(Metadata!J607="",FALSE,TRUE),exact(Metadata!J607,"human oral metagenome"))</f>
        <v>0</v>
      </c>
      <c r="AE607">
        <f>AND(IF(Metadata!K607="",FALSE,TRUE),exact(Metadata!K607,"447426"))</f>
        <v>0</v>
      </c>
    </row>
    <row r="608" spans="1:31">
      <c r="A608" s="4">
        <f>IF(B608=" "," ",HYPERLINK(CONCATENATE("#metadata!",ADDRESS(INDEX($Q$2:$Q$1001,MATCH(ROWS($O$2:O608),$O$2:$O$1001,0),0),1)),INDEX($T$2:$T$1001,MATCH(ROWS($O$2:O608),$O$2:$O$1001,0),0)))</f>
        <v>0</v>
      </c>
      <c r="B608" s="3">
        <f>IF(OR(INDEX($P$2:$P$1001,MATCH(ROWS($O$2:O608),$O$2:$O$1001,0),1)&gt;=100000,INDEX($V$1005:$AE$1005,1,MATCH(COLUMNS($V$1006:V1006),$V$1006:$AE$1006,0))&gt;=100000), " ",IF(INDEX($V$2:$AE$1001,MATCH(ROWS($O$2:O608),$O$2:$O$1001,0),MATCH(COLUMNS($V$1006:V1006),$V$1006:$AE$1006,0)), HYPERLINK("#",""), HYPERLINK(CONCATENATE("#Metadata!", ADDRESS(INDEX($Q$2:$Q$1001,MATCH(ROWS($O$2:O608),$O$2:$O$1001,0),0), INDEX($V$1004:$AE$1004,1,MATCH(COLUMNS($V$1006:V1006),$V$1006:$AE$1006,0)))),"Fix")))</f>
        <v>0</v>
      </c>
      <c r="C608" s="3">
        <f>IF(OR(INDEX($P$2:$P$1001,MATCH(ROWS($O$2:O608),$O$2:$O$1001,0),1)&gt;=100000,INDEX($V$1005:$AE$1005,1,MATCH(COLUMNS($V$1006:W1006),$V$1006:$AE$1006,0))&gt;=100000), " ",IF(INDEX($V$2:$AE$1001,MATCH(ROWS($O$2:O608),$O$2:$O$1001,0),MATCH(COLUMNS($V$1006:W1006),$V$1006:$AE$1006,0)), HYPERLINK("#",""), HYPERLINK(CONCATENATE("#Metadata!", ADDRESS(INDEX($Q$2:$Q$1001,MATCH(ROWS($O$2:O608),$O$2:$O$1001,0),0), INDEX($V$1004:$AE$1004,1,MATCH(COLUMNS($V$1006:W1006),$V$1006:$AE$1006,0)))),"Fix")))</f>
        <v>0</v>
      </c>
      <c r="D608" s="3">
        <f>IF(OR(INDEX($P$2:$P$1001,MATCH(ROWS($O$2:O608),$O$2:$O$1001,0),1)&gt;=100000,INDEX($V$1005:$AE$1005,1,MATCH(COLUMNS($V$1006:X1006),$V$1006:$AE$1006,0))&gt;=100000), " ",IF(INDEX($V$2:$AE$1001,MATCH(ROWS($O$2:O608),$O$2:$O$1001,0),MATCH(COLUMNS($V$1006:X1006),$V$1006:$AE$1006,0)), HYPERLINK("#",""), HYPERLINK(CONCATENATE("#Metadata!", ADDRESS(INDEX($Q$2:$Q$1001,MATCH(ROWS($O$2:O608),$O$2:$O$1001,0),0), INDEX($V$1004:$AE$1004,1,MATCH(COLUMNS($V$1006:X1006),$V$1006:$AE$1006,0)))),"Fix")))</f>
        <v>0</v>
      </c>
      <c r="E608" s="3">
        <f>IF(OR(INDEX($P$2:$P$1001,MATCH(ROWS($O$2:O608),$O$2:$O$1001,0),1)&gt;=100000,INDEX($V$1005:$AE$1005,1,MATCH(COLUMNS($V$1006:Y1006),$V$1006:$AE$1006,0))&gt;=100000), " ",IF(INDEX($V$2:$AE$1001,MATCH(ROWS($O$2:O608),$O$2:$O$1001,0),MATCH(COLUMNS($V$1006:Y1006),$V$1006:$AE$1006,0)), HYPERLINK("#",""), HYPERLINK(CONCATENATE("#Metadata!", ADDRESS(INDEX($Q$2:$Q$1001,MATCH(ROWS($O$2:O608),$O$2:$O$1001,0),0), INDEX($V$1004:$AE$1004,1,MATCH(COLUMNS($V$1006:Y1006),$V$1006:$AE$1006,0)))),"Fix")))</f>
        <v>0</v>
      </c>
      <c r="F608" s="3">
        <f>IF(OR(INDEX($P$2:$P$1001,MATCH(ROWS($O$2:O608),$O$2:$O$1001,0),1)&gt;=100000,INDEX($V$1005:$AE$1005,1,MATCH(COLUMNS($V$1006:Z1006),$V$1006:$AE$1006,0))&gt;=100000), " ",IF(INDEX($V$2:$AE$1001,MATCH(ROWS($O$2:O608),$O$2:$O$1001,0),MATCH(COLUMNS($V$1006:Z1006),$V$1006:$AE$1006,0)), HYPERLINK("#",""), HYPERLINK(CONCATENATE("#Metadata!", ADDRESS(INDEX($Q$2:$Q$1001,MATCH(ROWS($O$2:O608),$O$2:$O$1001,0),0), INDEX($V$1004:$AE$1004,1,MATCH(COLUMNS($V$1006:Z1006),$V$1006:$AE$1006,0)))),"Fix")))</f>
        <v>0</v>
      </c>
      <c r="G608" s="3">
        <f>IF(OR(INDEX($P$2:$P$1001,MATCH(ROWS($O$2:O608),$O$2:$O$1001,0),1)&gt;=100000,INDEX($V$1005:$AE$1005,1,MATCH(COLUMNS($V$1006:AA1006),$V$1006:$AE$1006,0))&gt;=100000), " ",IF(INDEX($V$2:$AE$1001,MATCH(ROWS($O$2:O608),$O$2:$O$1001,0),MATCH(COLUMNS($V$1006:AA1006),$V$1006:$AE$1006,0)), HYPERLINK("#",""), HYPERLINK(CONCATENATE("#Metadata!", ADDRESS(INDEX($Q$2:$Q$1001,MATCH(ROWS($O$2:O608),$O$2:$O$1001,0),0), INDEX($V$1004:$AE$1004,1,MATCH(COLUMNS($V$1006:AA1006),$V$1006:$AE$1006,0)))),"Fix")))</f>
        <v>0</v>
      </c>
      <c r="H608" s="3">
        <f>IF(OR(INDEX($P$2:$P$1001,MATCH(ROWS($O$2:O608),$O$2:$O$1001,0),1)&gt;=100000,INDEX($V$1005:$AE$1005,1,MATCH(COLUMNS($V$1006:AB1006),$V$1006:$AE$1006,0))&gt;=100000), " ",IF(INDEX($V$2:$AE$1001,MATCH(ROWS($O$2:O608),$O$2:$O$1001,0),MATCH(COLUMNS($V$1006:AB1006),$V$1006:$AE$1006,0)), HYPERLINK("#",""), HYPERLINK(CONCATENATE("#Metadata!", ADDRESS(INDEX($Q$2:$Q$1001,MATCH(ROWS($O$2:O608),$O$2:$O$1001,0),0), INDEX($V$1004:$AE$1004,1,MATCH(COLUMNS($V$1006:AB1006),$V$1006:$AE$1006,0)))),"Fix")))</f>
        <v>0</v>
      </c>
      <c r="I608" s="3">
        <f>IF(OR(INDEX($P$2:$P$1001,MATCH(ROWS($O$2:O608),$O$2:$O$1001,0),1)&gt;=100000,INDEX($V$1005:$AE$1005,1,MATCH(COLUMNS($V$1006:AC1006),$V$1006:$AE$1006,0))&gt;=100000), " ",IF(INDEX($V$2:$AE$1001,MATCH(ROWS($O$2:O608),$O$2:$O$1001,0),MATCH(COLUMNS($V$1006:AC1006),$V$1006:$AE$1006,0)), HYPERLINK("#",""), HYPERLINK(CONCATENATE("#Metadata!", ADDRESS(INDEX($Q$2:$Q$1001,MATCH(ROWS($O$2:O608),$O$2:$O$1001,0),0), INDEX($V$1004:$AE$1004,1,MATCH(COLUMNS($V$1006:AC1006),$V$1006:$AE$1006,0)))),"Fix")))</f>
        <v>0</v>
      </c>
      <c r="J608" s="3">
        <f>IF(OR(INDEX($P$2:$P$1001,MATCH(ROWS($O$2:O608),$O$2:$O$1001,0),1)&gt;=100000,INDEX($V$1005:$AE$1005,1,MATCH(COLUMNS($V$1006:AD1006),$V$1006:$AE$1006,0))&gt;=100000), " ",IF(INDEX($V$2:$AE$1001,MATCH(ROWS($O$2:O608),$O$2:$O$1001,0),MATCH(COLUMNS($V$1006:AD1006),$V$1006:$AE$1006,0)), HYPERLINK("#",""), HYPERLINK(CONCATENATE("#Metadata!", ADDRESS(INDEX($Q$2:$Q$1001,MATCH(ROWS($O$2:O608),$O$2:$O$1001,0),0), INDEX($V$1004:$AE$1004,1,MATCH(COLUMNS($V$1006:AD1006),$V$1006:$AE$1006,0)))),"Fix")))</f>
        <v>0</v>
      </c>
      <c r="K608" s="3">
        <f>IF(OR(INDEX($P$2:$P$1001,MATCH(ROWS($O$2:O608),$O$2:$O$1001,0),1)&gt;=100000,INDEX($V$1005:$AE$1005,1,MATCH(COLUMNS($V$1006:AE1006),$V$1006:$AE$1006,0))&gt;=100000), " ",IF(INDEX($V$2:$AE$1001,MATCH(ROWS($O$2:O608),$O$2:$O$1001,0),MATCH(COLUMNS($V$1006:AE1006),$V$1006:$AE$1006,0)), HYPERLINK("#",""), HYPERLINK(CONCATENATE("#Metadata!", ADDRESS(INDEX($Q$2:$Q$1001,MATCH(ROWS($O$2:O608),$O$2:$O$1001,0),0), INDEX($V$1004:$AE$1004,1,MATCH(COLUMNS($V$1006:AE1006),$V$1006:$AE$1006,0)))),"Fix")))</f>
        <v>0</v>
      </c>
      <c r="O608">
        <v>0</v>
      </c>
      <c r="P608">
        <v>0</v>
      </c>
      <c r="Q608">
        <v>0</v>
      </c>
      <c r="R608">
        <f>IF(S608,TRUE,AND(V608:AE608))</f>
        <v>0</v>
      </c>
      <c r="S608">
        <f>COUNTBLANK(Metadata!B608:K608)=COLUMNS(Metadata!B608:K608)</f>
        <v>0</v>
      </c>
      <c r="T608">
        <v>0</v>
      </c>
      <c r="V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W608">
        <f>AND(IF(Metadata!C608="",FALSE,TRUE),exact(Metadata!C608,"animal secretion"))</f>
        <v>0</v>
      </c>
      <c r="X608">
        <f>AND(IF(Metadata!D608="",FALSE,TRUE),exact(Metadata!D608,"saliva"))</f>
        <v>0</v>
      </c>
      <c r="Y608">
        <f>AND(IF(Metadata!E608="",FALSE,TRUE),exact(Metadata!E608,"human-oral"))</f>
        <v>0</v>
      </c>
      <c r="Z608">
        <f>AND(IF(Metadata!F608="",FALSE,TRUE),exact(Metadata!F608,"UBERON:oral cavity"))</f>
        <v>0</v>
      </c>
      <c r="AA608">
        <f>AND(IF(Metadata!G608="",FALSE,TRUE),exact(Metadata!G608,"UBERON:saliva"))</f>
        <v>0</v>
      </c>
      <c r="AB608">
        <f>AND(IF(Metadata!H608="",FALSE,TRUE),exact(Metadata!H608,"UBERON:tongue"))</f>
        <v>0</v>
      </c>
      <c r="AC608">
        <f>AND(IF(Metadata!I608="",FALSE,TRUE),exact(Metadata!I608,"tongue"))</f>
        <v>0</v>
      </c>
      <c r="AD608">
        <f>AND(IF(Metadata!J608="",FALSE,TRUE),exact(Metadata!J608,"human oral metagenome"))</f>
        <v>0</v>
      </c>
      <c r="AE608">
        <f>AND(IF(Metadata!K608="",FALSE,TRUE),exact(Metadata!K608,"447426"))</f>
        <v>0</v>
      </c>
    </row>
    <row r="609" spans="1:31">
      <c r="A609" s="4">
        <f>IF(B609=" "," ",HYPERLINK(CONCATENATE("#metadata!",ADDRESS(INDEX($Q$2:$Q$1001,MATCH(ROWS($O$2:O609),$O$2:$O$1001,0),0),1)),INDEX($T$2:$T$1001,MATCH(ROWS($O$2:O609),$O$2:$O$1001,0),0)))</f>
        <v>0</v>
      </c>
      <c r="B609" s="3">
        <f>IF(OR(INDEX($P$2:$P$1001,MATCH(ROWS($O$2:O609),$O$2:$O$1001,0),1)&gt;=100000,INDEX($V$1005:$AE$1005,1,MATCH(COLUMNS($V$1006:V1006),$V$1006:$AE$1006,0))&gt;=100000), " ",IF(INDEX($V$2:$AE$1001,MATCH(ROWS($O$2:O609),$O$2:$O$1001,0),MATCH(COLUMNS($V$1006:V1006),$V$1006:$AE$1006,0)), HYPERLINK("#",""), HYPERLINK(CONCATENATE("#Metadata!", ADDRESS(INDEX($Q$2:$Q$1001,MATCH(ROWS($O$2:O609),$O$2:$O$1001,0),0), INDEX($V$1004:$AE$1004,1,MATCH(COLUMNS($V$1006:V1006),$V$1006:$AE$1006,0)))),"Fix")))</f>
        <v>0</v>
      </c>
      <c r="C609" s="3">
        <f>IF(OR(INDEX($P$2:$P$1001,MATCH(ROWS($O$2:O609),$O$2:$O$1001,0),1)&gt;=100000,INDEX($V$1005:$AE$1005,1,MATCH(COLUMNS($V$1006:W1006),$V$1006:$AE$1006,0))&gt;=100000), " ",IF(INDEX($V$2:$AE$1001,MATCH(ROWS($O$2:O609),$O$2:$O$1001,0),MATCH(COLUMNS($V$1006:W1006),$V$1006:$AE$1006,0)), HYPERLINK("#",""), HYPERLINK(CONCATENATE("#Metadata!", ADDRESS(INDEX($Q$2:$Q$1001,MATCH(ROWS($O$2:O609),$O$2:$O$1001,0),0), INDEX($V$1004:$AE$1004,1,MATCH(COLUMNS($V$1006:W1006),$V$1006:$AE$1006,0)))),"Fix")))</f>
        <v>0</v>
      </c>
      <c r="D609" s="3">
        <f>IF(OR(INDEX($P$2:$P$1001,MATCH(ROWS($O$2:O609),$O$2:$O$1001,0),1)&gt;=100000,INDEX($V$1005:$AE$1005,1,MATCH(COLUMNS($V$1006:X1006),$V$1006:$AE$1006,0))&gt;=100000), " ",IF(INDEX($V$2:$AE$1001,MATCH(ROWS($O$2:O609),$O$2:$O$1001,0),MATCH(COLUMNS($V$1006:X1006),$V$1006:$AE$1006,0)), HYPERLINK("#",""), HYPERLINK(CONCATENATE("#Metadata!", ADDRESS(INDEX($Q$2:$Q$1001,MATCH(ROWS($O$2:O609),$O$2:$O$1001,0),0), INDEX($V$1004:$AE$1004,1,MATCH(COLUMNS($V$1006:X1006),$V$1006:$AE$1006,0)))),"Fix")))</f>
        <v>0</v>
      </c>
      <c r="E609" s="3">
        <f>IF(OR(INDEX($P$2:$P$1001,MATCH(ROWS($O$2:O609),$O$2:$O$1001,0),1)&gt;=100000,INDEX($V$1005:$AE$1005,1,MATCH(COLUMNS($V$1006:Y1006),$V$1006:$AE$1006,0))&gt;=100000), " ",IF(INDEX($V$2:$AE$1001,MATCH(ROWS($O$2:O609),$O$2:$O$1001,0),MATCH(COLUMNS($V$1006:Y1006),$V$1006:$AE$1006,0)), HYPERLINK("#",""), HYPERLINK(CONCATENATE("#Metadata!", ADDRESS(INDEX($Q$2:$Q$1001,MATCH(ROWS($O$2:O609),$O$2:$O$1001,0),0), INDEX($V$1004:$AE$1004,1,MATCH(COLUMNS($V$1006:Y1006),$V$1006:$AE$1006,0)))),"Fix")))</f>
        <v>0</v>
      </c>
      <c r="F609" s="3">
        <f>IF(OR(INDEX($P$2:$P$1001,MATCH(ROWS($O$2:O609),$O$2:$O$1001,0),1)&gt;=100000,INDEX($V$1005:$AE$1005,1,MATCH(COLUMNS($V$1006:Z1006),$V$1006:$AE$1006,0))&gt;=100000), " ",IF(INDEX($V$2:$AE$1001,MATCH(ROWS($O$2:O609),$O$2:$O$1001,0),MATCH(COLUMNS($V$1006:Z1006),$V$1006:$AE$1006,0)), HYPERLINK("#",""), HYPERLINK(CONCATENATE("#Metadata!", ADDRESS(INDEX($Q$2:$Q$1001,MATCH(ROWS($O$2:O609),$O$2:$O$1001,0),0), INDEX($V$1004:$AE$1004,1,MATCH(COLUMNS($V$1006:Z1006),$V$1006:$AE$1006,0)))),"Fix")))</f>
        <v>0</v>
      </c>
      <c r="G609" s="3">
        <f>IF(OR(INDEX($P$2:$P$1001,MATCH(ROWS($O$2:O609),$O$2:$O$1001,0),1)&gt;=100000,INDEX($V$1005:$AE$1005,1,MATCH(COLUMNS($V$1006:AA1006),$V$1006:$AE$1006,0))&gt;=100000), " ",IF(INDEX($V$2:$AE$1001,MATCH(ROWS($O$2:O609),$O$2:$O$1001,0),MATCH(COLUMNS($V$1006:AA1006),$V$1006:$AE$1006,0)), HYPERLINK("#",""), HYPERLINK(CONCATENATE("#Metadata!", ADDRESS(INDEX($Q$2:$Q$1001,MATCH(ROWS($O$2:O609),$O$2:$O$1001,0),0), INDEX($V$1004:$AE$1004,1,MATCH(COLUMNS($V$1006:AA1006),$V$1006:$AE$1006,0)))),"Fix")))</f>
        <v>0</v>
      </c>
      <c r="H609" s="3">
        <f>IF(OR(INDEX($P$2:$P$1001,MATCH(ROWS($O$2:O609),$O$2:$O$1001,0),1)&gt;=100000,INDEX($V$1005:$AE$1005,1,MATCH(COLUMNS($V$1006:AB1006),$V$1006:$AE$1006,0))&gt;=100000), " ",IF(INDEX($V$2:$AE$1001,MATCH(ROWS($O$2:O609),$O$2:$O$1001,0),MATCH(COLUMNS($V$1006:AB1006),$V$1006:$AE$1006,0)), HYPERLINK("#",""), HYPERLINK(CONCATENATE("#Metadata!", ADDRESS(INDEX($Q$2:$Q$1001,MATCH(ROWS($O$2:O609),$O$2:$O$1001,0),0), INDEX($V$1004:$AE$1004,1,MATCH(COLUMNS($V$1006:AB1006),$V$1006:$AE$1006,0)))),"Fix")))</f>
        <v>0</v>
      </c>
      <c r="I609" s="3">
        <f>IF(OR(INDEX($P$2:$P$1001,MATCH(ROWS($O$2:O609),$O$2:$O$1001,0),1)&gt;=100000,INDEX($V$1005:$AE$1005,1,MATCH(COLUMNS($V$1006:AC1006),$V$1006:$AE$1006,0))&gt;=100000), " ",IF(INDEX($V$2:$AE$1001,MATCH(ROWS($O$2:O609),$O$2:$O$1001,0),MATCH(COLUMNS($V$1006:AC1006),$V$1006:$AE$1006,0)), HYPERLINK("#",""), HYPERLINK(CONCATENATE("#Metadata!", ADDRESS(INDEX($Q$2:$Q$1001,MATCH(ROWS($O$2:O609),$O$2:$O$1001,0),0), INDEX($V$1004:$AE$1004,1,MATCH(COLUMNS($V$1006:AC1006),$V$1006:$AE$1006,0)))),"Fix")))</f>
        <v>0</v>
      </c>
      <c r="J609" s="3">
        <f>IF(OR(INDEX($P$2:$P$1001,MATCH(ROWS($O$2:O609),$O$2:$O$1001,0),1)&gt;=100000,INDEX($V$1005:$AE$1005,1,MATCH(COLUMNS($V$1006:AD1006),$V$1006:$AE$1006,0))&gt;=100000), " ",IF(INDEX($V$2:$AE$1001,MATCH(ROWS($O$2:O609),$O$2:$O$1001,0),MATCH(COLUMNS($V$1006:AD1006),$V$1006:$AE$1006,0)), HYPERLINK("#",""), HYPERLINK(CONCATENATE("#Metadata!", ADDRESS(INDEX($Q$2:$Q$1001,MATCH(ROWS($O$2:O609),$O$2:$O$1001,0),0), INDEX($V$1004:$AE$1004,1,MATCH(COLUMNS($V$1006:AD1006),$V$1006:$AE$1006,0)))),"Fix")))</f>
        <v>0</v>
      </c>
      <c r="K609" s="3">
        <f>IF(OR(INDEX($P$2:$P$1001,MATCH(ROWS($O$2:O609),$O$2:$O$1001,0),1)&gt;=100000,INDEX($V$1005:$AE$1005,1,MATCH(COLUMNS($V$1006:AE1006),$V$1006:$AE$1006,0))&gt;=100000), " ",IF(INDEX($V$2:$AE$1001,MATCH(ROWS($O$2:O609),$O$2:$O$1001,0),MATCH(COLUMNS($V$1006:AE1006),$V$1006:$AE$1006,0)), HYPERLINK("#",""), HYPERLINK(CONCATENATE("#Metadata!", ADDRESS(INDEX($Q$2:$Q$1001,MATCH(ROWS($O$2:O609),$O$2:$O$1001,0),0), INDEX($V$1004:$AE$1004,1,MATCH(COLUMNS($V$1006:AE1006),$V$1006:$AE$1006,0)))),"Fix")))</f>
        <v>0</v>
      </c>
      <c r="O609">
        <v>0</v>
      </c>
      <c r="P609">
        <v>0</v>
      </c>
      <c r="Q609">
        <v>0</v>
      </c>
      <c r="R609">
        <f>IF(S609,TRUE,AND(V609:AE609))</f>
        <v>0</v>
      </c>
      <c r="S609">
        <f>COUNTBLANK(Metadata!B609:K609)=COLUMNS(Metadata!B609:K609)</f>
        <v>0</v>
      </c>
      <c r="T609">
        <v>0</v>
      </c>
      <c r="V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W609">
        <f>AND(IF(Metadata!C609="",FALSE,TRUE),exact(Metadata!C609,"animal secretion"))</f>
        <v>0</v>
      </c>
      <c r="X609">
        <f>AND(IF(Metadata!D609="",FALSE,TRUE),exact(Metadata!D609,"saliva"))</f>
        <v>0</v>
      </c>
      <c r="Y609">
        <f>AND(IF(Metadata!E609="",FALSE,TRUE),exact(Metadata!E609,"human-oral"))</f>
        <v>0</v>
      </c>
      <c r="Z609">
        <f>AND(IF(Metadata!F609="",FALSE,TRUE),exact(Metadata!F609,"UBERON:oral cavity"))</f>
        <v>0</v>
      </c>
      <c r="AA609">
        <f>AND(IF(Metadata!G609="",FALSE,TRUE),exact(Metadata!G609,"UBERON:saliva"))</f>
        <v>0</v>
      </c>
      <c r="AB609">
        <f>AND(IF(Metadata!H609="",FALSE,TRUE),exact(Metadata!H609,"UBERON:tongue"))</f>
        <v>0</v>
      </c>
      <c r="AC609">
        <f>AND(IF(Metadata!I609="",FALSE,TRUE),exact(Metadata!I609,"tongue"))</f>
        <v>0</v>
      </c>
      <c r="AD609">
        <f>AND(IF(Metadata!J609="",FALSE,TRUE),exact(Metadata!J609,"human oral metagenome"))</f>
        <v>0</v>
      </c>
      <c r="AE609">
        <f>AND(IF(Metadata!K609="",FALSE,TRUE),exact(Metadata!K609,"447426"))</f>
        <v>0</v>
      </c>
    </row>
    <row r="610" spans="1:31">
      <c r="A610" s="4">
        <f>IF(B610=" "," ",HYPERLINK(CONCATENATE("#metadata!",ADDRESS(INDEX($Q$2:$Q$1001,MATCH(ROWS($O$2:O610),$O$2:$O$1001,0),0),1)),INDEX($T$2:$T$1001,MATCH(ROWS($O$2:O610),$O$2:$O$1001,0),0)))</f>
        <v>0</v>
      </c>
      <c r="B610" s="3">
        <f>IF(OR(INDEX($P$2:$P$1001,MATCH(ROWS($O$2:O610),$O$2:$O$1001,0),1)&gt;=100000,INDEX($V$1005:$AE$1005,1,MATCH(COLUMNS($V$1006:V1006),$V$1006:$AE$1006,0))&gt;=100000), " ",IF(INDEX($V$2:$AE$1001,MATCH(ROWS($O$2:O610),$O$2:$O$1001,0),MATCH(COLUMNS($V$1006:V1006),$V$1006:$AE$1006,0)), HYPERLINK("#",""), HYPERLINK(CONCATENATE("#Metadata!", ADDRESS(INDEX($Q$2:$Q$1001,MATCH(ROWS($O$2:O610),$O$2:$O$1001,0),0), INDEX($V$1004:$AE$1004,1,MATCH(COLUMNS($V$1006:V1006),$V$1006:$AE$1006,0)))),"Fix")))</f>
        <v>0</v>
      </c>
      <c r="C610" s="3">
        <f>IF(OR(INDEX($P$2:$P$1001,MATCH(ROWS($O$2:O610),$O$2:$O$1001,0),1)&gt;=100000,INDEX($V$1005:$AE$1005,1,MATCH(COLUMNS($V$1006:W1006),$V$1006:$AE$1006,0))&gt;=100000), " ",IF(INDEX($V$2:$AE$1001,MATCH(ROWS($O$2:O610),$O$2:$O$1001,0),MATCH(COLUMNS($V$1006:W1006),$V$1006:$AE$1006,0)), HYPERLINK("#",""), HYPERLINK(CONCATENATE("#Metadata!", ADDRESS(INDEX($Q$2:$Q$1001,MATCH(ROWS($O$2:O610),$O$2:$O$1001,0),0), INDEX($V$1004:$AE$1004,1,MATCH(COLUMNS($V$1006:W1006),$V$1006:$AE$1006,0)))),"Fix")))</f>
        <v>0</v>
      </c>
      <c r="D610" s="3">
        <f>IF(OR(INDEX($P$2:$P$1001,MATCH(ROWS($O$2:O610),$O$2:$O$1001,0),1)&gt;=100000,INDEX($V$1005:$AE$1005,1,MATCH(COLUMNS($V$1006:X1006),$V$1006:$AE$1006,0))&gt;=100000), " ",IF(INDEX($V$2:$AE$1001,MATCH(ROWS($O$2:O610),$O$2:$O$1001,0),MATCH(COLUMNS($V$1006:X1006),$V$1006:$AE$1006,0)), HYPERLINK("#",""), HYPERLINK(CONCATENATE("#Metadata!", ADDRESS(INDEX($Q$2:$Q$1001,MATCH(ROWS($O$2:O610),$O$2:$O$1001,0),0), INDEX($V$1004:$AE$1004,1,MATCH(COLUMNS($V$1006:X1006),$V$1006:$AE$1006,0)))),"Fix")))</f>
        <v>0</v>
      </c>
      <c r="E610" s="3">
        <f>IF(OR(INDEX($P$2:$P$1001,MATCH(ROWS($O$2:O610),$O$2:$O$1001,0),1)&gt;=100000,INDEX($V$1005:$AE$1005,1,MATCH(COLUMNS($V$1006:Y1006),$V$1006:$AE$1006,0))&gt;=100000), " ",IF(INDEX($V$2:$AE$1001,MATCH(ROWS($O$2:O610),$O$2:$O$1001,0),MATCH(COLUMNS($V$1006:Y1006),$V$1006:$AE$1006,0)), HYPERLINK("#",""), HYPERLINK(CONCATENATE("#Metadata!", ADDRESS(INDEX($Q$2:$Q$1001,MATCH(ROWS($O$2:O610),$O$2:$O$1001,0),0), INDEX($V$1004:$AE$1004,1,MATCH(COLUMNS($V$1006:Y1006),$V$1006:$AE$1006,0)))),"Fix")))</f>
        <v>0</v>
      </c>
      <c r="F610" s="3">
        <f>IF(OR(INDEX($P$2:$P$1001,MATCH(ROWS($O$2:O610),$O$2:$O$1001,0),1)&gt;=100000,INDEX($V$1005:$AE$1005,1,MATCH(COLUMNS($V$1006:Z1006),$V$1006:$AE$1006,0))&gt;=100000), " ",IF(INDEX($V$2:$AE$1001,MATCH(ROWS($O$2:O610),$O$2:$O$1001,0),MATCH(COLUMNS($V$1006:Z1006),$V$1006:$AE$1006,0)), HYPERLINK("#",""), HYPERLINK(CONCATENATE("#Metadata!", ADDRESS(INDEX($Q$2:$Q$1001,MATCH(ROWS($O$2:O610),$O$2:$O$1001,0),0), INDEX($V$1004:$AE$1004,1,MATCH(COLUMNS($V$1006:Z1006),$V$1006:$AE$1006,0)))),"Fix")))</f>
        <v>0</v>
      </c>
      <c r="G610" s="3">
        <f>IF(OR(INDEX($P$2:$P$1001,MATCH(ROWS($O$2:O610),$O$2:$O$1001,0),1)&gt;=100000,INDEX($V$1005:$AE$1005,1,MATCH(COLUMNS($V$1006:AA1006),$V$1006:$AE$1006,0))&gt;=100000), " ",IF(INDEX($V$2:$AE$1001,MATCH(ROWS($O$2:O610),$O$2:$O$1001,0),MATCH(COLUMNS($V$1006:AA1006),$V$1006:$AE$1006,0)), HYPERLINK("#",""), HYPERLINK(CONCATENATE("#Metadata!", ADDRESS(INDEX($Q$2:$Q$1001,MATCH(ROWS($O$2:O610),$O$2:$O$1001,0),0), INDEX($V$1004:$AE$1004,1,MATCH(COLUMNS($V$1006:AA1006),$V$1006:$AE$1006,0)))),"Fix")))</f>
        <v>0</v>
      </c>
      <c r="H610" s="3">
        <f>IF(OR(INDEX($P$2:$P$1001,MATCH(ROWS($O$2:O610),$O$2:$O$1001,0),1)&gt;=100000,INDEX($V$1005:$AE$1005,1,MATCH(COLUMNS($V$1006:AB1006),$V$1006:$AE$1006,0))&gt;=100000), " ",IF(INDEX($V$2:$AE$1001,MATCH(ROWS($O$2:O610),$O$2:$O$1001,0),MATCH(COLUMNS($V$1006:AB1006),$V$1006:$AE$1006,0)), HYPERLINK("#",""), HYPERLINK(CONCATENATE("#Metadata!", ADDRESS(INDEX($Q$2:$Q$1001,MATCH(ROWS($O$2:O610),$O$2:$O$1001,0),0), INDEX($V$1004:$AE$1004,1,MATCH(COLUMNS($V$1006:AB1006),$V$1006:$AE$1006,0)))),"Fix")))</f>
        <v>0</v>
      </c>
      <c r="I610" s="3">
        <f>IF(OR(INDEX($P$2:$P$1001,MATCH(ROWS($O$2:O610),$O$2:$O$1001,0),1)&gt;=100000,INDEX($V$1005:$AE$1005,1,MATCH(COLUMNS($V$1006:AC1006),$V$1006:$AE$1006,0))&gt;=100000), " ",IF(INDEX($V$2:$AE$1001,MATCH(ROWS($O$2:O610),$O$2:$O$1001,0),MATCH(COLUMNS($V$1006:AC1006),$V$1006:$AE$1006,0)), HYPERLINK("#",""), HYPERLINK(CONCATENATE("#Metadata!", ADDRESS(INDEX($Q$2:$Q$1001,MATCH(ROWS($O$2:O610),$O$2:$O$1001,0),0), INDEX($V$1004:$AE$1004,1,MATCH(COLUMNS($V$1006:AC1006),$V$1006:$AE$1006,0)))),"Fix")))</f>
        <v>0</v>
      </c>
      <c r="J610" s="3">
        <f>IF(OR(INDEX($P$2:$P$1001,MATCH(ROWS($O$2:O610),$O$2:$O$1001,0),1)&gt;=100000,INDEX($V$1005:$AE$1005,1,MATCH(COLUMNS($V$1006:AD1006),$V$1006:$AE$1006,0))&gt;=100000), " ",IF(INDEX($V$2:$AE$1001,MATCH(ROWS($O$2:O610),$O$2:$O$1001,0),MATCH(COLUMNS($V$1006:AD1006),$V$1006:$AE$1006,0)), HYPERLINK("#",""), HYPERLINK(CONCATENATE("#Metadata!", ADDRESS(INDEX($Q$2:$Q$1001,MATCH(ROWS($O$2:O610),$O$2:$O$1001,0),0), INDEX($V$1004:$AE$1004,1,MATCH(COLUMNS($V$1006:AD1006),$V$1006:$AE$1006,0)))),"Fix")))</f>
        <v>0</v>
      </c>
      <c r="K610" s="3">
        <f>IF(OR(INDEX($P$2:$P$1001,MATCH(ROWS($O$2:O610),$O$2:$O$1001,0),1)&gt;=100000,INDEX($V$1005:$AE$1005,1,MATCH(COLUMNS($V$1006:AE1006),$V$1006:$AE$1006,0))&gt;=100000), " ",IF(INDEX($V$2:$AE$1001,MATCH(ROWS($O$2:O610),$O$2:$O$1001,0),MATCH(COLUMNS($V$1006:AE1006),$V$1006:$AE$1006,0)), HYPERLINK("#",""), HYPERLINK(CONCATENATE("#Metadata!", ADDRESS(INDEX($Q$2:$Q$1001,MATCH(ROWS($O$2:O610),$O$2:$O$1001,0),0), INDEX($V$1004:$AE$1004,1,MATCH(COLUMNS($V$1006:AE1006),$V$1006:$AE$1006,0)))),"Fix")))</f>
        <v>0</v>
      </c>
      <c r="O610">
        <v>0</v>
      </c>
      <c r="P610">
        <v>0</v>
      </c>
      <c r="Q610">
        <v>0</v>
      </c>
      <c r="R610">
        <f>IF(S610,TRUE,AND(V610:AE610))</f>
        <v>0</v>
      </c>
      <c r="S610">
        <f>COUNTBLANK(Metadata!B610:K610)=COLUMNS(Metadata!B610:K610)</f>
        <v>0</v>
      </c>
      <c r="T610">
        <v>0</v>
      </c>
      <c r="V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W610">
        <f>AND(IF(Metadata!C610="",FALSE,TRUE),exact(Metadata!C610,"animal secretion"))</f>
        <v>0</v>
      </c>
      <c r="X610">
        <f>AND(IF(Metadata!D610="",FALSE,TRUE),exact(Metadata!D610,"saliva"))</f>
        <v>0</v>
      </c>
      <c r="Y610">
        <f>AND(IF(Metadata!E610="",FALSE,TRUE),exact(Metadata!E610,"human-oral"))</f>
        <v>0</v>
      </c>
      <c r="Z610">
        <f>AND(IF(Metadata!F610="",FALSE,TRUE),exact(Metadata!F610,"UBERON:oral cavity"))</f>
        <v>0</v>
      </c>
      <c r="AA610">
        <f>AND(IF(Metadata!G610="",FALSE,TRUE),exact(Metadata!G610,"UBERON:saliva"))</f>
        <v>0</v>
      </c>
      <c r="AB610">
        <f>AND(IF(Metadata!H610="",FALSE,TRUE),exact(Metadata!H610,"UBERON:tongue"))</f>
        <v>0</v>
      </c>
      <c r="AC610">
        <f>AND(IF(Metadata!I610="",FALSE,TRUE),exact(Metadata!I610,"tongue"))</f>
        <v>0</v>
      </c>
      <c r="AD610">
        <f>AND(IF(Metadata!J610="",FALSE,TRUE),exact(Metadata!J610,"human oral metagenome"))</f>
        <v>0</v>
      </c>
      <c r="AE610">
        <f>AND(IF(Metadata!K610="",FALSE,TRUE),exact(Metadata!K610,"447426"))</f>
        <v>0</v>
      </c>
    </row>
    <row r="611" spans="1:31">
      <c r="A611" s="4">
        <f>IF(B611=" "," ",HYPERLINK(CONCATENATE("#metadata!",ADDRESS(INDEX($Q$2:$Q$1001,MATCH(ROWS($O$2:O611),$O$2:$O$1001,0),0),1)),INDEX($T$2:$T$1001,MATCH(ROWS($O$2:O611),$O$2:$O$1001,0),0)))</f>
        <v>0</v>
      </c>
      <c r="B611" s="3">
        <f>IF(OR(INDEX($P$2:$P$1001,MATCH(ROWS($O$2:O611),$O$2:$O$1001,0),1)&gt;=100000,INDEX($V$1005:$AE$1005,1,MATCH(COLUMNS($V$1006:V1006),$V$1006:$AE$1006,0))&gt;=100000), " ",IF(INDEX($V$2:$AE$1001,MATCH(ROWS($O$2:O611),$O$2:$O$1001,0),MATCH(COLUMNS($V$1006:V1006),$V$1006:$AE$1006,0)), HYPERLINK("#",""), HYPERLINK(CONCATENATE("#Metadata!", ADDRESS(INDEX($Q$2:$Q$1001,MATCH(ROWS($O$2:O611),$O$2:$O$1001,0),0), INDEX($V$1004:$AE$1004,1,MATCH(COLUMNS($V$1006:V1006),$V$1006:$AE$1006,0)))),"Fix")))</f>
        <v>0</v>
      </c>
      <c r="C611" s="3">
        <f>IF(OR(INDEX($P$2:$P$1001,MATCH(ROWS($O$2:O611),$O$2:$O$1001,0),1)&gt;=100000,INDEX($V$1005:$AE$1005,1,MATCH(COLUMNS($V$1006:W1006),$V$1006:$AE$1006,0))&gt;=100000), " ",IF(INDEX($V$2:$AE$1001,MATCH(ROWS($O$2:O611),$O$2:$O$1001,0),MATCH(COLUMNS($V$1006:W1006),$V$1006:$AE$1006,0)), HYPERLINK("#",""), HYPERLINK(CONCATENATE("#Metadata!", ADDRESS(INDEX($Q$2:$Q$1001,MATCH(ROWS($O$2:O611),$O$2:$O$1001,0),0), INDEX($V$1004:$AE$1004,1,MATCH(COLUMNS($V$1006:W1006),$V$1006:$AE$1006,0)))),"Fix")))</f>
        <v>0</v>
      </c>
      <c r="D611" s="3">
        <f>IF(OR(INDEX($P$2:$P$1001,MATCH(ROWS($O$2:O611),$O$2:$O$1001,0),1)&gt;=100000,INDEX($V$1005:$AE$1005,1,MATCH(COLUMNS($V$1006:X1006),$V$1006:$AE$1006,0))&gt;=100000), " ",IF(INDEX($V$2:$AE$1001,MATCH(ROWS($O$2:O611),$O$2:$O$1001,0),MATCH(COLUMNS($V$1006:X1006),$V$1006:$AE$1006,0)), HYPERLINK("#",""), HYPERLINK(CONCATENATE("#Metadata!", ADDRESS(INDEX($Q$2:$Q$1001,MATCH(ROWS($O$2:O611),$O$2:$O$1001,0),0), INDEX($V$1004:$AE$1004,1,MATCH(COLUMNS($V$1006:X1006),$V$1006:$AE$1006,0)))),"Fix")))</f>
        <v>0</v>
      </c>
      <c r="E611" s="3">
        <f>IF(OR(INDEX($P$2:$P$1001,MATCH(ROWS($O$2:O611),$O$2:$O$1001,0),1)&gt;=100000,INDEX($V$1005:$AE$1005,1,MATCH(COLUMNS($V$1006:Y1006),$V$1006:$AE$1006,0))&gt;=100000), " ",IF(INDEX($V$2:$AE$1001,MATCH(ROWS($O$2:O611),$O$2:$O$1001,0),MATCH(COLUMNS($V$1006:Y1006),$V$1006:$AE$1006,0)), HYPERLINK("#",""), HYPERLINK(CONCATENATE("#Metadata!", ADDRESS(INDEX($Q$2:$Q$1001,MATCH(ROWS($O$2:O611),$O$2:$O$1001,0),0), INDEX($V$1004:$AE$1004,1,MATCH(COLUMNS($V$1006:Y1006),$V$1006:$AE$1006,0)))),"Fix")))</f>
        <v>0</v>
      </c>
      <c r="F611" s="3">
        <f>IF(OR(INDEX($P$2:$P$1001,MATCH(ROWS($O$2:O611),$O$2:$O$1001,0),1)&gt;=100000,INDEX($V$1005:$AE$1005,1,MATCH(COLUMNS($V$1006:Z1006),$V$1006:$AE$1006,0))&gt;=100000), " ",IF(INDEX($V$2:$AE$1001,MATCH(ROWS($O$2:O611),$O$2:$O$1001,0),MATCH(COLUMNS($V$1006:Z1006),$V$1006:$AE$1006,0)), HYPERLINK("#",""), HYPERLINK(CONCATENATE("#Metadata!", ADDRESS(INDEX($Q$2:$Q$1001,MATCH(ROWS($O$2:O611),$O$2:$O$1001,0),0), INDEX($V$1004:$AE$1004,1,MATCH(COLUMNS($V$1006:Z1006),$V$1006:$AE$1006,0)))),"Fix")))</f>
        <v>0</v>
      </c>
      <c r="G611" s="3">
        <f>IF(OR(INDEX($P$2:$P$1001,MATCH(ROWS($O$2:O611),$O$2:$O$1001,0),1)&gt;=100000,INDEX($V$1005:$AE$1005,1,MATCH(COLUMNS($V$1006:AA1006),$V$1006:$AE$1006,0))&gt;=100000), " ",IF(INDEX($V$2:$AE$1001,MATCH(ROWS($O$2:O611),$O$2:$O$1001,0),MATCH(COLUMNS($V$1006:AA1006),$V$1006:$AE$1006,0)), HYPERLINK("#",""), HYPERLINK(CONCATENATE("#Metadata!", ADDRESS(INDEX($Q$2:$Q$1001,MATCH(ROWS($O$2:O611),$O$2:$O$1001,0),0), INDEX($V$1004:$AE$1004,1,MATCH(COLUMNS($V$1006:AA1006),$V$1006:$AE$1006,0)))),"Fix")))</f>
        <v>0</v>
      </c>
      <c r="H611" s="3">
        <f>IF(OR(INDEX($P$2:$P$1001,MATCH(ROWS($O$2:O611),$O$2:$O$1001,0),1)&gt;=100000,INDEX($V$1005:$AE$1005,1,MATCH(COLUMNS($V$1006:AB1006),$V$1006:$AE$1006,0))&gt;=100000), " ",IF(INDEX($V$2:$AE$1001,MATCH(ROWS($O$2:O611),$O$2:$O$1001,0),MATCH(COLUMNS($V$1006:AB1006),$V$1006:$AE$1006,0)), HYPERLINK("#",""), HYPERLINK(CONCATENATE("#Metadata!", ADDRESS(INDEX($Q$2:$Q$1001,MATCH(ROWS($O$2:O611),$O$2:$O$1001,0),0), INDEX($V$1004:$AE$1004,1,MATCH(COLUMNS($V$1006:AB1006),$V$1006:$AE$1006,0)))),"Fix")))</f>
        <v>0</v>
      </c>
      <c r="I611" s="3">
        <f>IF(OR(INDEX($P$2:$P$1001,MATCH(ROWS($O$2:O611),$O$2:$O$1001,0),1)&gt;=100000,INDEX($V$1005:$AE$1005,1,MATCH(COLUMNS($V$1006:AC1006),$V$1006:$AE$1006,0))&gt;=100000), " ",IF(INDEX($V$2:$AE$1001,MATCH(ROWS($O$2:O611),$O$2:$O$1001,0),MATCH(COLUMNS($V$1006:AC1006),$V$1006:$AE$1006,0)), HYPERLINK("#",""), HYPERLINK(CONCATENATE("#Metadata!", ADDRESS(INDEX($Q$2:$Q$1001,MATCH(ROWS($O$2:O611),$O$2:$O$1001,0),0), INDEX($V$1004:$AE$1004,1,MATCH(COLUMNS($V$1006:AC1006),$V$1006:$AE$1006,0)))),"Fix")))</f>
        <v>0</v>
      </c>
      <c r="J611" s="3">
        <f>IF(OR(INDEX($P$2:$P$1001,MATCH(ROWS($O$2:O611),$O$2:$O$1001,0),1)&gt;=100000,INDEX($V$1005:$AE$1005,1,MATCH(COLUMNS($V$1006:AD1006),$V$1006:$AE$1006,0))&gt;=100000), " ",IF(INDEX($V$2:$AE$1001,MATCH(ROWS($O$2:O611),$O$2:$O$1001,0),MATCH(COLUMNS($V$1006:AD1006),$V$1006:$AE$1006,0)), HYPERLINK("#",""), HYPERLINK(CONCATENATE("#Metadata!", ADDRESS(INDEX($Q$2:$Q$1001,MATCH(ROWS($O$2:O611),$O$2:$O$1001,0),0), INDEX($V$1004:$AE$1004,1,MATCH(COLUMNS($V$1006:AD1006),$V$1006:$AE$1006,0)))),"Fix")))</f>
        <v>0</v>
      </c>
      <c r="K611" s="3">
        <f>IF(OR(INDEX($P$2:$P$1001,MATCH(ROWS($O$2:O611),$O$2:$O$1001,0),1)&gt;=100000,INDEX($V$1005:$AE$1005,1,MATCH(COLUMNS($V$1006:AE1006),$V$1006:$AE$1006,0))&gt;=100000), " ",IF(INDEX($V$2:$AE$1001,MATCH(ROWS($O$2:O611),$O$2:$O$1001,0),MATCH(COLUMNS($V$1006:AE1006),$V$1006:$AE$1006,0)), HYPERLINK("#",""), HYPERLINK(CONCATENATE("#Metadata!", ADDRESS(INDEX($Q$2:$Q$1001,MATCH(ROWS($O$2:O611),$O$2:$O$1001,0),0), INDEX($V$1004:$AE$1004,1,MATCH(COLUMNS($V$1006:AE1006),$V$1006:$AE$1006,0)))),"Fix")))</f>
        <v>0</v>
      </c>
      <c r="O611">
        <v>0</v>
      </c>
      <c r="P611">
        <v>0</v>
      </c>
      <c r="Q611">
        <v>0</v>
      </c>
      <c r="R611">
        <f>IF(S611,TRUE,AND(V611:AE611))</f>
        <v>0</v>
      </c>
      <c r="S611">
        <f>COUNTBLANK(Metadata!B611:K611)=COLUMNS(Metadata!B611:K611)</f>
        <v>0</v>
      </c>
      <c r="T611">
        <v>0</v>
      </c>
      <c r="V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W611">
        <f>AND(IF(Metadata!C611="",FALSE,TRUE),exact(Metadata!C611,"animal secretion"))</f>
        <v>0</v>
      </c>
      <c r="X611">
        <f>AND(IF(Metadata!D611="",FALSE,TRUE),exact(Metadata!D611,"saliva"))</f>
        <v>0</v>
      </c>
      <c r="Y611">
        <f>AND(IF(Metadata!E611="",FALSE,TRUE),exact(Metadata!E611,"human-oral"))</f>
        <v>0</v>
      </c>
      <c r="Z611">
        <f>AND(IF(Metadata!F611="",FALSE,TRUE),exact(Metadata!F611,"UBERON:oral cavity"))</f>
        <v>0</v>
      </c>
      <c r="AA611">
        <f>AND(IF(Metadata!G611="",FALSE,TRUE),exact(Metadata!G611,"UBERON:saliva"))</f>
        <v>0</v>
      </c>
      <c r="AB611">
        <f>AND(IF(Metadata!H611="",FALSE,TRUE),exact(Metadata!H611,"UBERON:tongue"))</f>
        <v>0</v>
      </c>
      <c r="AC611">
        <f>AND(IF(Metadata!I611="",FALSE,TRUE),exact(Metadata!I611,"tongue"))</f>
        <v>0</v>
      </c>
      <c r="AD611">
        <f>AND(IF(Metadata!J611="",FALSE,TRUE),exact(Metadata!J611,"human oral metagenome"))</f>
        <v>0</v>
      </c>
      <c r="AE611">
        <f>AND(IF(Metadata!K611="",FALSE,TRUE),exact(Metadata!K611,"447426"))</f>
        <v>0</v>
      </c>
    </row>
    <row r="612" spans="1:31">
      <c r="A612" s="4">
        <f>IF(B612=" "," ",HYPERLINK(CONCATENATE("#metadata!",ADDRESS(INDEX($Q$2:$Q$1001,MATCH(ROWS($O$2:O612),$O$2:$O$1001,0),0),1)),INDEX($T$2:$T$1001,MATCH(ROWS($O$2:O612),$O$2:$O$1001,0),0)))</f>
        <v>0</v>
      </c>
      <c r="B612" s="3">
        <f>IF(OR(INDEX($P$2:$P$1001,MATCH(ROWS($O$2:O612),$O$2:$O$1001,0),1)&gt;=100000,INDEX($V$1005:$AE$1005,1,MATCH(COLUMNS($V$1006:V1006),$V$1006:$AE$1006,0))&gt;=100000), " ",IF(INDEX($V$2:$AE$1001,MATCH(ROWS($O$2:O612),$O$2:$O$1001,0),MATCH(COLUMNS($V$1006:V1006),$V$1006:$AE$1006,0)), HYPERLINK("#",""), HYPERLINK(CONCATENATE("#Metadata!", ADDRESS(INDEX($Q$2:$Q$1001,MATCH(ROWS($O$2:O612),$O$2:$O$1001,0),0), INDEX($V$1004:$AE$1004,1,MATCH(COLUMNS($V$1006:V1006),$V$1006:$AE$1006,0)))),"Fix")))</f>
        <v>0</v>
      </c>
      <c r="C612" s="3">
        <f>IF(OR(INDEX($P$2:$P$1001,MATCH(ROWS($O$2:O612),$O$2:$O$1001,0),1)&gt;=100000,INDEX($V$1005:$AE$1005,1,MATCH(COLUMNS($V$1006:W1006),$V$1006:$AE$1006,0))&gt;=100000), " ",IF(INDEX($V$2:$AE$1001,MATCH(ROWS($O$2:O612),$O$2:$O$1001,0),MATCH(COLUMNS($V$1006:W1006),$V$1006:$AE$1006,0)), HYPERLINK("#",""), HYPERLINK(CONCATENATE("#Metadata!", ADDRESS(INDEX($Q$2:$Q$1001,MATCH(ROWS($O$2:O612),$O$2:$O$1001,0),0), INDEX($V$1004:$AE$1004,1,MATCH(COLUMNS($V$1006:W1006),$V$1006:$AE$1006,0)))),"Fix")))</f>
        <v>0</v>
      </c>
      <c r="D612" s="3">
        <f>IF(OR(INDEX($P$2:$P$1001,MATCH(ROWS($O$2:O612),$O$2:$O$1001,0),1)&gt;=100000,INDEX($V$1005:$AE$1005,1,MATCH(COLUMNS($V$1006:X1006),$V$1006:$AE$1006,0))&gt;=100000), " ",IF(INDEX($V$2:$AE$1001,MATCH(ROWS($O$2:O612),$O$2:$O$1001,0),MATCH(COLUMNS($V$1006:X1006),$V$1006:$AE$1006,0)), HYPERLINK("#",""), HYPERLINK(CONCATENATE("#Metadata!", ADDRESS(INDEX($Q$2:$Q$1001,MATCH(ROWS($O$2:O612),$O$2:$O$1001,0),0), INDEX($V$1004:$AE$1004,1,MATCH(COLUMNS($V$1006:X1006),$V$1006:$AE$1006,0)))),"Fix")))</f>
        <v>0</v>
      </c>
      <c r="E612" s="3">
        <f>IF(OR(INDEX($P$2:$P$1001,MATCH(ROWS($O$2:O612),$O$2:$O$1001,0),1)&gt;=100000,INDEX($V$1005:$AE$1005,1,MATCH(COLUMNS($V$1006:Y1006),$V$1006:$AE$1006,0))&gt;=100000), " ",IF(INDEX($V$2:$AE$1001,MATCH(ROWS($O$2:O612),$O$2:$O$1001,0),MATCH(COLUMNS($V$1006:Y1006),$V$1006:$AE$1006,0)), HYPERLINK("#",""), HYPERLINK(CONCATENATE("#Metadata!", ADDRESS(INDEX($Q$2:$Q$1001,MATCH(ROWS($O$2:O612),$O$2:$O$1001,0),0), INDEX($V$1004:$AE$1004,1,MATCH(COLUMNS($V$1006:Y1006),$V$1006:$AE$1006,0)))),"Fix")))</f>
        <v>0</v>
      </c>
      <c r="F612" s="3">
        <f>IF(OR(INDEX($P$2:$P$1001,MATCH(ROWS($O$2:O612),$O$2:$O$1001,0),1)&gt;=100000,INDEX($V$1005:$AE$1005,1,MATCH(COLUMNS($V$1006:Z1006),$V$1006:$AE$1006,0))&gt;=100000), " ",IF(INDEX($V$2:$AE$1001,MATCH(ROWS($O$2:O612),$O$2:$O$1001,0),MATCH(COLUMNS($V$1006:Z1006),$V$1006:$AE$1006,0)), HYPERLINK("#",""), HYPERLINK(CONCATENATE("#Metadata!", ADDRESS(INDEX($Q$2:$Q$1001,MATCH(ROWS($O$2:O612),$O$2:$O$1001,0),0), INDEX($V$1004:$AE$1004,1,MATCH(COLUMNS($V$1006:Z1006),$V$1006:$AE$1006,0)))),"Fix")))</f>
        <v>0</v>
      </c>
      <c r="G612" s="3">
        <f>IF(OR(INDEX($P$2:$P$1001,MATCH(ROWS($O$2:O612),$O$2:$O$1001,0),1)&gt;=100000,INDEX($V$1005:$AE$1005,1,MATCH(COLUMNS($V$1006:AA1006),$V$1006:$AE$1006,0))&gt;=100000), " ",IF(INDEX($V$2:$AE$1001,MATCH(ROWS($O$2:O612),$O$2:$O$1001,0),MATCH(COLUMNS($V$1006:AA1006),$V$1006:$AE$1006,0)), HYPERLINK("#",""), HYPERLINK(CONCATENATE("#Metadata!", ADDRESS(INDEX($Q$2:$Q$1001,MATCH(ROWS($O$2:O612),$O$2:$O$1001,0),0), INDEX($V$1004:$AE$1004,1,MATCH(COLUMNS($V$1006:AA1006),$V$1006:$AE$1006,0)))),"Fix")))</f>
        <v>0</v>
      </c>
      <c r="H612" s="3">
        <f>IF(OR(INDEX($P$2:$P$1001,MATCH(ROWS($O$2:O612),$O$2:$O$1001,0),1)&gt;=100000,INDEX($V$1005:$AE$1005,1,MATCH(COLUMNS($V$1006:AB1006),$V$1006:$AE$1006,0))&gt;=100000), " ",IF(INDEX($V$2:$AE$1001,MATCH(ROWS($O$2:O612),$O$2:$O$1001,0),MATCH(COLUMNS($V$1006:AB1006),$V$1006:$AE$1006,0)), HYPERLINK("#",""), HYPERLINK(CONCATENATE("#Metadata!", ADDRESS(INDEX($Q$2:$Q$1001,MATCH(ROWS($O$2:O612),$O$2:$O$1001,0),0), INDEX($V$1004:$AE$1004,1,MATCH(COLUMNS($V$1006:AB1006),$V$1006:$AE$1006,0)))),"Fix")))</f>
        <v>0</v>
      </c>
      <c r="I612" s="3">
        <f>IF(OR(INDEX($P$2:$P$1001,MATCH(ROWS($O$2:O612),$O$2:$O$1001,0),1)&gt;=100000,INDEX($V$1005:$AE$1005,1,MATCH(COLUMNS($V$1006:AC1006),$V$1006:$AE$1006,0))&gt;=100000), " ",IF(INDEX($V$2:$AE$1001,MATCH(ROWS($O$2:O612),$O$2:$O$1001,0),MATCH(COLUMNS($V$1006:AC1006),$V$1006:$AE$1006,0)), HYPERLINK("#",""), HYPERLINK(CONCATENATE("#Metadata!", ADDRESS(INDEX($Q$2:$Q$1001,MATCH(ROWS($O$2:O612),$O$2:$O$1001,0),0), INDEX($V$1004:$AE$1004,1,MATCH(COLUMNS($V$1006:AC1006),$V$1006:$AE$1006,0)))),"Fix")))</f>
        <v>0</v>
      </c>
      <c r="J612" s="3">
        <f>IF(OR(INDEX($P$2:$P$1001,MATCH(ROWS($O$2:O612),$O$2:$O$1001,0),1)&gt;=100000,INDEX($V$1005:$AE$1005,1,MATCH(COLUMNS($V$1006:AD1006),$V$1006:$AE$1006,0))&gt;=100000), " ",IF(INDEX($V$2:$AE$1001,MATCH(ROWS($O$2:O612),$O$2:$O$1001,0),MATCH(COLUMNS($V$1006:AD1006),$V$1006:$AE$1006,0)), HYPERLINK("#",""), HYPERLINK(CONCATENATE("#Metadata!", ADDRESS(INDEX($Q$2:$Q$1001,MATCH(ROWS($O$2:O612),$O$2:$O$1001,0),0), INDEX($V$1004:$AE$1004,1,MATCH(COLUMNS($V$1006:AD1006),$V$1006:$AE$1006,0)))),"Fix")))</f>
        <v>0</v>
      </c>
      <c r="K612" s="3">
        <f>IF(OR(INDEX($P$2:$P$1001,MATCH(ROWS($O$2:O612),$O$2:$O$1001,0),1)&gt;=100000,INDEX($V$1005:$AE$1005,1,MATCH(COLUMNS($V$1006:AE1006),$V$1006:$AE$1006,0))&gt;=100000), " ",IF(INDEX($V$2:$AE$1001,MATCH(ROWS($O$2:O612),$O$2:$O$1001,0),MATCH(COLUMNS($V$1006:AE1006),$V$1006:$AE$1006,0)), HYPERLINK("#",""), HYPERLINK(CONCATENATE("#Metadata!", ADDRESS(INDEX($Q$2:$Q$1001,MATCH(ROWS($O$2:O612),$O$2:$O$1001,0),0), INDEX($V$1004:$AE$1004,1,MATCH(COLUMNS($V$1006:AE1006),$V$1006:$AE$1006,0)))),"Fix")))</f>
        <v>0</v>
      </c>
      <c r="O612">
        <v>0</v>
      </c>
      <c r="P612">
        <v>0</v>
      </c>
      <c r="Q612">
        <v>0</v>
      </c>
      <c r="R612">
        <f>IF(S612,TRUE,AND(V612:AE612))</f>
        <v>0</v>
      </c>
      <c r="S612">
        <f>COUNTBLANK(Metadata!B612:K612)=COLUMNS(Metadata!B612:K612)</f>
        <v>0</v>
      </c>
      <c r="T612">
        <v>0</v>
      </c>
      <c r="V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W612">
        <f>AND(IF(Metadata!C612="",FALSE,TRUE),exact(Metadata!C612,"animal secretion"))</f>
        <v>0</v>
      </c>
      <c r="X612">
        <f>AND(IF(Metadata!D612="",FALSE,TRUE),exact(Metadata!D612,"saliva"))</f>
        <v>0</v>
      </c>
      <c r="Y612">
        <f>AND(IF(Metadata!E612="",FALSE,TRUE),exact(Metadata!E612,"human-oral"))</f>
        <v>0</v>
      </c>
      <c r="Z612">
        <f>AND(IF(Metadata!F612="",FALSE,TRUE),exact(Metadata!F612,"UBERON:oral cavity"))</f>
        <v>0</v>
      </c>
      <c r="AA612">
        <f>AND(IF(Metadata!G612="",FALSE,TRUE),exact(Metadata!G612,"UBERON:saliva"))</f>
        <v>0</v>
      </c>
      <c r="AB612">
        <f>AND(IF(Metadata!H612="",FALSE,TRUE),exact(Metadata!H612,"UBERON:tongue"))</f>
        <v>0</v>
      </c>
      <c r="AC612">
        <f>AND(IF(Metadata!I612="",FALSE,TRUE),exact(Metadata!I612,"tongue"))</f>
        <v>0</v>
      </c>
      <c r="AD612">
        <f>AND(IF(Metadata!J612="",FALSE,TRUE),exact(Metadata!J612,"human oral metagenome"))</f>
        <v>0</v>
      </c>
      <c r="AE612">
        <f>AND(IF(Metadata!K612="",FALSE,TRUE),exact(Metadata!K612,"447426"))</f>
        <v>0</v>
      </c>
    </row>
    <row r="613" spans="1:31">
      <c r="A613" s="4">
        <f>IF(B613=" "," ",HYPERLINK(CONCATENATE("#metadata!",ADDRESS(INDEX($Q$2:$Q$1001,MATCH(ROWS($O$2:O613),$O$2:$O$1001,0),0),1)),INDEX($T$2:$T$1001,MATCH(ROWS($O$2:O613),$O$2:$O$1001,0),0)))</f>
        <v>0</v>
      </c>
      <c r="B613" s="3">
        <f>IF(OR(INDEX($P$2:$P$1001,MATCH(ROWS($O$2:O613),$O$2:$O$1001,0),1)&gt;=100000,INDEX($V$1005:$AE$1005,1,MATCH(COLUMNS($V$1006:V1006),$V$1006:$AE$1006,0))&gt;=100000), " ",IF(INDEX($V$2:$AE$1001,MATCH(ROWS($O$2:O613),$O$2:$O$1001,0),MATCH(COLUMNS($V$1006:V1006),$V$1006:$AE$1006,0)), HYPERLINK("#",""), HYPERLINK(CONCATENATE("#Metadata!", ADDRESS(INDEX($Q$2:$Q$1001,MATCH(ROWS($O$2:O613),$O$2:$O$1001,0),0), INDEX($V$1004:$AE$1004,1,MATCH(COLUMNS($V$1006:V1006),$V$1006:$AE$1006,0)))),"Fix")))</f>
        <v>0</v>
      </c>
      <c r="C613" s="3">
        <f>IF(OR(INDEX($P$2:$P$1001,MATCH(ROWS($O$2:O613),$O$2:$O$1001,0),1)&gt;=100000,INDEX($V$1005:$AE$1005,1,MATCH(COLUMNS($V$1006:W1006),$V$1006:$AE$1006,0))&gt;=100000), " ",IF(INDEX($V$2:$AE$1001,MATCH(ROWS($O$2:O613),$O$2:$O$1001,0),MATCH(COLUMNS($V$1006:W1006),$V$1006:$AE$1006,0)), HYPERLINK("#",""), HYPERLINK(CONCATENATE("#Metadata!", ADDRESS(INDEX($Q$2:$Q$1001,MATCH(ROWS($O$2:O613),$O$2:$O$1001,0),0), INDEX($V$1004:$AE$1004,1,MATCH(COLUMNS($V$1006:W1006),$V$1006:$AE$1006,0)))),"Fix")))</f>
        <v>0</v>
      </c>
      <c r="D613" s="3">
        <f>IF(OR(INDEX($P$2:$P$1001,MATCH(ROWS($O$2:O613),$O$2:$O$1001,0),1)&gt;=100000,INDEX($V$1005:$AE$1005,1,MATCH(COLUMNS($V$1006:X1006),$V$1006:$AE$1006,0))&gt;=100000), " ",IF(INDEX($V$2:$AE$1001,MATCH(ROWS($O$2:O613),$O$2:$O$1001,0),MATCH(COLUMNS($V$1006:X1006),$V$1006:$AE$1006,0)), HYPERLINK("#",""), HYPERLINK(CONCATENATE("#Metadata!", ADDRESS(INDEX($Q$2:$Q$1001,MATCH(ROWS($O$2:O613),$O$2:$O$1001,0),0), INDEX($V$1004:$AE$1004,1,MATCH(COLUMNS($V$1006:X1006),$V$1006:$AE$1006,0)))),"Fix")))</f>
        <v>0</v>
      </c>
      <c r="E613" s="3">
        <f>IF(OR(INDEX($P$2:$P$1001,MATCH(ROWS($O$2:O613),$O$2:$O$1001,0),1)&gt;=100000,INDEX($V$1005:$AE$1005,1,MATCH(COLUMNS($V$1006:Y1006),$V$1006:$AE$1006,0))&gt;=100000), " ",IF(INDEX($V$2:$AE$1001,MATCH(ROWS($O$2:O613),$O$2:$O$1001,0),MATCH(COLUMNS($V$1006:Y1006),$V$1006:$AE$1006,0)), HYPERLINK("#",""), HYPERLINK(CONCATENATE("#Metadata!", ADDRESS(INDEX($Q$2:$Q$1001,MATCH(ROWS($O$2:O613),$O$2:$O$1001,0),0), INDEX($V$1004:$AE$1004,1,MATCH(COLUMNS($V$1006:Y1006),$V$1006:$AE$1006,0)))),"Fix")))</f>
        <v>0</v>
      </c>
      <c r="F613" s="3">
        <f>IF(OR(INDEX($P$2:$P$1001,MATCH(ROWS($O$2:O613),$O$2:$O$1001,0),1)&gt;=100000,INDEX($V$1005:$AE$1005,1,MATCH(COLUMNS($V$1006:Z1006),$V$1006:$AE$1006,0))&gt;=100000), " ",IF(INDEX($V$2:$AE$1001,MATCH(ROWS($O$2:O613),$O$2:$O$1001,0),MATCH(COLUMNS($V$1006:Z1006),$V$1006:$AE$1006,0)), HYPERLINK("#",""), HYPERLINK(CONCATENATE("#Metadata!", ADDRESS(INDEX($Q$2:$Q$1001,MATCH(ROWS($O$2:O613),$O$2:$O$1001,0),0), INDEX($V$1004:$AE$1004,1,MATCH(COLUMNS($V$1006:Z1006),$V$1006:$AE$1006,0)))),"Fix")))</f>
        <v>0</v>
      </c>
      <c r="G613" s="3">
        <f>IF(OR(INDEX($P$2:$P$1001,MATCH(ROWS($O$2:O613),$O$2:$O$1001,0),1)&gt;=100000,INDEX($V$1005:$AE$1005,1,MATCH(COLUMNS($V$1006:AA1006),$V$1006:$AE$1006,0))&gt;=100000), " ",IF(INDEX($V$2:$AE$1001,MATCH(ROWS($O$2:O613),$O$2:$O$1001,0),MATCH(COLUMNS($V$1006:AA1006),$V$1006:$AE$1006,0)), HYPERLINK("#",""), HYPERLINK(CONCATENATE("#Metadata!", ADDRESS(INDEX($Q$2:$Q$1001,MATCH(ROWS($O$2:O613),$O$2:$O$1001,0),0), INDEX($V$1004:$AE$1004,1,MATCH(COLUMNS($V$1006:AA1006),$V$1006:$AE$1006,0)))),"Fix")))</f>
        <v>0</v>
      </c>
      <c r="H613" s="3">
        <f>IF(OR(INDEX($P$2:$P$1001,MATCH(ROWS($O$2:O613),$O$2:$O$1001,0),1)&gt;=100000,INDEX($V$1005:$AE$1005,1,MATCH(COLUMNS($V$1006:AB1006),$V$1006:$AE$1006,0))&gt;=100000), " ",IF(INDEX($V$2:$AE$1001,MATCH(ROWS($O$2:O613),$O$2:$O$1001,0),MATCH(COLUMNS($V$1006:AB1006),$V$1006:$AE$1006,0)), HYPERLINK("#",""), HYPERLINK(CONCATENATE("#Metadata!", ADDRESS(INDEX($Q$2:$Q$1001,MATCH(ROWS($O$2:O613),$O$2:$O$1001,0),0), INDEX($V$1004:$AE$1004,1,MATCH(COLUMNS($V$1006:AB1006),$V$1006:$AE$1006,0)))),"Fix")))</f>
        <v>0</v>
      </c>
      <c r="I613" s="3">
        <f>IF(OR(INDEX($P$2:$P$1001,MATCH(ROWS($O$2:O613),$O$2:$O$1001,0),1)&gt;=100000,INDEX($V$1005:$AE$1005,1,MATCH(COLUMNS($V$1006:AC1006),$V$1006:$AE$1006,0))&gt;=100000), " ",IF(INDEX($V$2:$AE$1001,MATCH(ROWS($O$2:O613),$O$2:$O$1001,0),MATCH(COLUMNS($V$1006:AC1006),$V$1006:$AE$1006,0)), HYPERLINK("#",""), HYPERLINK(CONCATENATE("#Metadata!", ADDRESS(INDEX($Q$2:$Q$1001,MATCH(ROWS($O$2:O613),$O$2:$O$1001,0),0), INDEX($V$1004:$AE$1004,1,MATCH(COLUMNS($V$1006:AC1006),$V$1006:$AE$1006,0)))),"Fix")))</f>
        <v>0</v>
      </c>
      <c r="J613" s="3">
        <f>IF(OR(INDEX($P$2:$P$1001,MATCH(ROWS($O$2:O613),$O$2:$O$1001,0),1)&gt;=100000,INDEX($V$1005:$AE$1005,1,MATCH(COLUMNS($V$1006:AD1006),$V$1006:$AE$1006,0))&gt;=100000), " ",IF(INDEX($V$2:$AE$1001,MATCH(ROWS($O$2:O613),$O$2:$O$1001,0),MATCH(COLUMNS($V$1006:AD1006),$V$1006:$AE$1006,0)), HYPERLINK("#",""), HYPERLINK(CONCATENATE("#Metadata!", ADDRESS(INDEX($Q$2:$Q$1001,MATCH(ROWS($O$2:O613),$O$2:$O$1001,0),0), INDEX($V$1004:$AE$1004,1,MATCH(COLUMNS($V$1006:AD1006),$V$1006:$AE$1006,0)))),"Fix")))</f>
        <v>0</v>
      </c>
      <c r="K613" s="3">
        <f>IF(OR(INDEX($P$2:$P$1001,MATCH(ROWS($O$2:O613),$O$2:$O$1001,0),1)&gt;=100000,INDEX($V$1005:$AE$1005,1,MATCH(COLUMNS($V$1006:AE1006),$V$1006:$AE$1006,0))&gt;=100000), " ",IF(INDEX($V$2:$AE$1001,MATCH(ROWS($O$2:O613),$O$2:$O$1001,0),MATCH(COLUMNS($V$1006:AE1006),$V$1006:$AE$1006,0)), HYPERLINK("#",""), HYPERLINK(CONCATENATE("#Metadata!", ADDRESS(INDEX($Q$2:$Q$1001,MATCH(ROWS($O$2:O613),$O$2:$O$1001,0),0), INDEX($V$1004:$AE$1004,1,MATCH(COLUMNS($V$1006:AE1006),$V$1006:$AE$1006,0)))),"Fix")))</f>
        <v>0</v>
      </c>
      <c r="O613">
        <v>0</v>
      </c>
      <c r="P613">
        <v>0</v>
      </c>
      <c r="Q613">
        <v>0</v>
      </c>
      <c r="R613">
        <f>IF(S613,TRUE,AND(V613:AE613))</f>
        <v>0</v>
      </c>
      <c r="S613">
        <f>COUNTBLANK(Metadata!B613:K613)=COLUMNS(Metadata!B613:K613)</f>
        <v>0</v>
      </c>
      <c r="T613">
        <v>0</v>
      </c>
      <c r="V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W613">
        <f>AND(IF(Metadata!C613="",FALSE,TRUE),exact(Metadata!C613,"animal secretion"))</f>
        <v>0</v>
      </c>
      <c r="X613">
        <f>AND(IF(Metadata!D613="",FALSE,TRUE),exact(Metadata!D613,"saliva"))</f>
        <v>0</v>
      </c>
      <c r="Y613">
        <f>AND(IF(Metadata!E613="",FALSE,TRUE),exact(Metadata!E613,"human-oral"))</f>
        <v>0</v>
      </c>
      <c r="Z613">
        <f>AND(IF(Metadata!F613="",FALSE,TRUE),exact(Metadata!F613,"UBERON:oral cavity"))</f>
        <v>0</v>
      </c>
      <c r="AA613">
        <f>AND(IF(Metadata!G613="",FALSE,TRUE),exact(Metadata!G613,"UBERON:saliva"))</f>
        <v>0</v>
      </c>
      <c r="AB613">
        <f>AND(IF(Metadata!H613="",FALSE,TRUE),exact(Metadata!H613,"UBERON:tongue"))</f>
        <v>0</v>
      </c>
      <c r="AC613">
        <f>AND(IF(Metadata!I613="",FALSE,TRUE),exact(Metadata!I613,"tongue"))</f>
        <v>0</v>
      </c>
      <c r="AD613">
        <f>AND(IF(Metadata!J613="",FALSE,TRUE),exact(Metadata!J613,"human oral metagenome"))</f>
        <v>0</v>
      </c>
      <c r="AE613">
        <f>AND(IF(Metadata!K613="",FALSE,TRUE),exact(Metadata!K613,"447426"))</f>
        <v>0</v>
      </c>
    </row>
    <row r="614" spans="1:31">
      <c r="A614" s="4">
        <f>IF(B614=" "," ",HYPERLINK(CONCATENATE("#metadata!",ADDRESS(INDEX($Q$2:$Q$1001,MATCH(ROWS($O$2:O614),$O$2:$O$1001,0),0),1)),INDEX($T$2:$T$1001,MATCH(ROWS($O$2:O614),$O$2:$O$1001,0),0)))</f>
        <v>0</v>
      </c>
      <c r="B614" s="3">
        <f>IF(OR(INDEX($P$2:$P$1001,MATCH(ROWS($O$2:O614),$O$2:$O$1001,0),1)&gt;=100000,INDEX($V$1005:$AE$1005,1,MATCH(COLUMNS($V$1006:V1006),$V$1006:$AE$1006,0))&gt;=100000), " ",IF(INDEX($V$2:$AE$1001,MATCH(ROWS($O$2:O614),$O$2:$O$1001,0),MATCH(COLUMNS($V$1006:V1006),$V$1006:$AE$1006,0)), HYPERLINK("#",""), HYPERLINK(CONCATENATE("#Metadata!", ADDRESS(INDEX($Q$2:$Q$1001,MATCH(ROWS($O$2:O614),$O$2:$O$1001,0),0), INDEX($V$1004:$AE$1004,1,MATCH(COLUMNS($V$1006:V1006),$V$1006:$AE$1006,0)))),"Fix")))</f>
        <v>0</v>
      </c>
      <c r="C614" s="3">
        <f>IF(OR(INDEX($P$2:$P$1001,MATCH(ROWS($O$2:O614),$O$2:$O$1001,0),1)&gt;=100000,INDEX($V$1005:$AE$1005,1,MATCH(COLUMNS($V$1006:W1006),$V$1006:$AE$1006,0))&gt;=100000), " ",IF(INDEX($V$2:$AE$1001,MATCH(ROWS($O$2:O614),$O$2:$O$1001,0),MATCH(COLUMNS($V$1006:W1006),$V$1006:$AE$1006,0)), HYPERLINK("#",""), HYPERLINK(CONCATENATE("#Metadata!", ADDRESS(INDEX($Q$2:$Q$1001,MATCH(ROWS($O$2:O614),$O$2:$O$1001,0),0), INDEX($V$1004:$AE$1004,1,MATCH(COLUMNS($V$1006:W1006),$V$1006:$AE$1006,0)))),"Fix")))</f>
        <v>0</v>
      </c>
      <c r="D614" s="3">
        <f>IF(OR(INDEX($P$2:$P$1001,MATCH(ROWS($O$2:O614),$O$2:$O$1001,0),1)&gt;=100000,INDEX($V$1005:$AE$1005,1,MATCH(COLUMNS($V$1006:X1006),$V$1006:$AE$1006,0))&gt;=100000), " ",IF(INDEX($V$2:$AE$1001,MATCH(ROWS($O$2:O614),$O$2:$O$1001,0),MATCH(COLUMNS($V$1006:X1006),$V$1006:$AE$1006,0)), HYPERLINK("#",""), HYPERLINK(CONCATENATE("#Metadata!", ADDRESS(INDEX($Q$2:$Q$1001,MATCH(ROWS($O$2:O614),$O$2:$O$1001,0),0), INDEX($V$1004:$AE$1004,1,MATCH(COLUMNS($V$1006:X1006),$V$1006:$AE$1006,0)))),"Fix")))</f>
        <v>0</v>
      </c>
      <c r="E614" s="3">
        <f>IF(OR(INDEX($P$2:$P$1001,MATCH(ROWS($O$2:O614),$O$2:$O$1001,0),1)&gt;=100000,INDEX($V$1005:$AE$1005,1,MATCH(COLUMNS($V$1006:Y1006),$V$1006:$AE$1006,0))&gt;=100000), " ",IF(INDEX($V$2:$AE$1001,MATCH(ROWS($O$2:O614),$O$2:$O$1001,0),MATCH(COLUMNS($V$1006:Y1006),$V$1006:$AE$1006,0)), HYPERLINK("#",""), HYPERLINK(CONCATENATE("#Metadata!", ADDRESS(INDEX($Q$2:$Q$1001,MATCH(ROWS($O$2:O614),$O$2:$O$1001,0),0), INDEX($V$1004:$AE$1004,1,MATCH(COLUMNS($V$1006:Y1006),$V$1006:$AE$1006,0)))),"Fix")))</f>
        <v>0</v>
      </c>
      <c r="F614" s="3">
        <f>IF(OR(INDEX($P$2:$P$1001,MATCH(ROWS($O$2:O614),$O$2:$O$1001,0),1)&gt;=100000,INDEX($V$1005:$AE$1005,1,MATCH(COLUMNS($V$1006:Z1006),$V$1006:$AE$1006,0))&gt;=100000), " ",IF(INDEX($V$2:$AE$1001,MATCH(ROWS($O$2:O614),$O$2:$O$1001,0),MATCH(COLUMNS($V$1006:Z1006),$V$1006:$AE$1006,0)), HYPERLINK("#",""), HYPERLINK(CONCATENATE("#Metadata!", ADDRESS(INDEX($Q$2:$Q$1001,MATCH(ROWS($O$2:O614),$O$2:$O$1001,0),0), INDEX($V$1004:$AE$1004,1,MATCH(COLUMNS($V$1006:Z1006),$V$1006:$AE$1006,0)))),"Fix")))</f>
        <v>0</v>
      </c>
      <c r="G614" s="3">
        <f>IF(OR(INDEX($P$2:$P$1001,MATCH(ROWS($O$2:O614),$O$2:$O$1001,0),1)&gt;=100000,INDEX($V$1005:$AE$1005,1,MATCH(COLUMNS($V$1006:AA1006),$V$1006:$AE$1006,0))&gt;=100000), " ",IF(INDEX($V$2:$AE$1001,MATCH(ROWS($O$2:O614),$O$2:$O$1001,0),MATCH(COLUMNS($V$1006:AA1006),$V$1006:$AE$1006,0)), HYPERLINK("#",""), HYPERLINK(CONCATENATE("#Metadata!", ADDRESS(INDEX($Q$2:$Q$1001,MATCH(ROWS($O$2:O614),$O$2:$O$1001,0),0), INDEX($V$1004:$AE$1004,1,MATCH(COLUMNS($V$1006:AA1006),$V$1006:$AE$1006,0)))),"Fix")))</f>
        <v>0</v>
      </c>
      <c r="H614" s="3">
        <f>IF(OR(INDEX($P$2:$P$1001,MATCH(ROWS($O$2:O614),$O$2:$O$1001,0),1)&gt;=100000,INDEX($V$1005:$AE$1005,1,MATCH(COLUMNS($V$1006:AB1006),$V$1006:$AE$1006,0))&gt;=100000), " ",IF(INDEX($V$2:$AE$1001,MATCH(ROWS($O$2:O614),$O$2:$O$1001,0),MATCH(COLUMNS($V$1006:AB1006),$V$1006:$AE$1006,0)), HYPERLINK("#",""), HYPERLINK(CONCATENATE("#Metadata!", ADDRESS(INDEX($Q$2:$Q$1001,MATCH(ROWS($O$2:O614),$O$2:$O$1001,0),0), INDEX($V$1004:$AE$1004,1,MATCH(COLUMNS($V$1006:AB1006),$V$1006:$AE$1006,0)))),"Fix")))</f>
        <v>0</v>
      </c>
      <c r="I614" s="3">
        <f>IF(OR(INDEX($P$2:$P$1001,MATCH(ROWS($O$2:O614),$O$2:$O$1001,0),1)&gt;=100000,INDEX($V$1005:$AE$1005,1,MATCH(COLUMNS($V$1006:AC1006),$V$1006:$AE$1006,0))&gt;=100000), " ",IF(INDEX($V$2:$AE$1001,MATCH(ROWS($O$2:O614),$O$2:$O$1001,0),MATCH(COLUMNS($V$1006:AC1006),$V$1006:$AE$1006,0)), HYPERLINK("#",""), HYPERLINK(CONCATENATE("#Metadata!", ADDRESS(INDEX($Q$2:$Q$1001,MATCH(ROWS($O$2:O614),$O$2:$O$1001,0),0), INDEX($V$1004:$AE$1004,1,MATCH(COLUMNS($V$1006:AC1006),$V$1006:$AE$1006,0)))),"Fix")))</f>
        <v>0</v>
      </c>
      <c r="J614" s="3">
        <f>IF(OR(INDEX($P$2:$P$1001,MATCH(ROWS($O$2:O614),$O$2:$O$1001,0),1)&gt;=100000,INDEX($V$1005:$AE$1005,1,MATCH(COLUMNS($V$1006:AD1006),$V$1006:$AE$1006,0))&gt;=100000), " ",IF(INDEX($V$2:$AE$1001,MATCH(ROWS($O$2:O614),$O$2:$O$1001,0),MATCH(COLUMNS($V$1006:AD1006),$V$1006:$AE$1006,0)), HYPERLINK("#",""), HYPERLINK(CONCATENATE("#Metadata!", ADDRESS(INDEX($Q$2:$Q$1001,MATCH(ROWS($O$2:O614),$O$2:$O$1001,0),0), INDEX($V$1004:$AE$1004,1,MATCH(COLUMNS($V$1006:AD1006),$V$1006:$AE$1006,0)))),"Fix")))</f>
        <v>0</v>
      </c>
      <c r="K614" s="3">
        <f>IF(OR(INDEX($P$2:$P$1001,MATCH(ROWS($O$2:O614),$O$2:$O$1001,0),1)&gt;=100000,INDEX($V$1005:$AE$1005,1,MATCH(COLUMNS($V$1006:AE1006),$V$1006:$AE$1006,0))&gt;=100000), " ",IF(INDEX($V$2:$AE$1001,MATCH(ROWS($O$2:O614),$O$2:$O$1001,0),MATCH(COLUMNS($V$1006:AE1006),$V$1006:$AE$1006,0)), HYPERLINK("#",""), HYPERLINK(CONCATENATE("#Metadata!", ADDRESS(INDEX($Q$2:$Q$1001,MATCH(ROWS($O$2:O614),$O$2:$O$1001,0),0), INDEX($V$1004:$AE$1004,1,MATCH(COLUMNS($V$1006:AE1006),$V$1006:$AE$1006,0)))),"Fix")))</f>
        <v>0</v>
      </c>
      <c r="O614">
        <v>0</v>
      </c>
      <c r="P614">
        <v>0</v>
      </c>
      <c r="Q614">
        <v>0</v>
      </c>
      <c r="R614">
        <f>IF(S614,TRUE,AND(V614:AE614))</f>
        <v>0</v>
      </c>
      <c r="S614">
        <f>COUNTBLANK(Metadata!B614:K614)=COLUMNS(Metadata!B614:K614)</f>
        <v>0</v>
      </c>
      <c r="T614">
        <v>0</v>
      </c>
      <c r="V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W614">
        <f>AND(IF(Metadata!C614="",FALSE,TRUE),exact(Metadata!C614,"animal secretion"))</f>
        <v>0</v>
      </c>
      <c r="X614">
        <f>AND(IF(Metadata!D614="",FALSE,TRUE),exact(Metadata!D614,"saliva"))</f>
        <v>0</v>
      </c>
      <c r="Y614">
        <f>AND(IF(Metadata!E614="",FALSE,TRUE),exact(Metadata!E614,"human-oral"))</f>
        <v>0</v>
      </c>
      <c r="Z614">
        <f>AND(IF(Metadata!F614="",FALSE,TRUE),exact(Metadata!F614,"UBERON:oral cavity"))</f>
        <v>0</v>
      </c>
      <c r="AA614">
        <f>AND(IF(Metadata!G614="",FALSE,TRUE),exact(Metadata!G614,"UBERON:saliva"))</f>
        <v>0</v>
      </c>
      <c r="AB614">
        <f>AND(IF(Metadata!H614="",FALSE,TRUE),exact(Metadata!H614,"UBERON:tongue"))</f>
        <v>0</v>
      </c>
      <c r="AC614">
        <f>AND(IF(Metadata!I614="",FALSE,TRUE),exact(Metadata!I614,"tongue"))</f>
        <v>0</v>
      </c>
      <c r="AD614">
        <f>AND(IF(Metadata!J614="",FALSE,TRUE),exact(Metadata!J614,"human oral metagenome"))</f>
        <v>0</v>
      </c>
      <c r="AE614">
        <f>AND(IF(Metadata!K614="",FALSE,TRUE),exact(Metadata!K614,"447426"))</f>
        <v>0</v>
      </c>
    </row>
    <row r="615" spans="1:31">
      <c r="A615" s="4">
        <f>IF(B615=" "," ",HYPERLINK(CONCATENATE("#metadata!",ADDRESS(INDEX($Q$2:$Q$1001,MATCH(ROWS($O$2:O615),$O$2:$O$1001,0),0),1)),INDEX($T$2:$T$1001,MATCH(ROWS($O$2:O615),$O$2:$O$1001,0),0)))</f>
        <v>0</v>
      </c>
      <c r="B615" s="3">
        <f>IF(OR(INDEX($P$2:$P$1001,MATCH(ROWS($O$2:O615),$O$2:$O$1001,0),1)&gt;=100000,INDEX($V$1005:$AE$1005,1,MATCH(COLUMNS($V$1006:V1006),$V$1006:$AE$1006,0))&gt;=100000), " ",IF(INDEX($V$2:$AE$1001,MATCH(ROWS($O$2:O615),$O$2:$O$1001,0),MATCH(COLUMNS($V$1006:V1006),$V$1006:$AE$1006,0)), HYPERLINK("#",""), HYPERLINK(CONCATENATE("#Metadata!", ADDRESS(INDEX($Q$2:$Q$1001,MATCH(ROWS($O$2:O615),$O$2:$O$1001,0),0), INDEX($V$1004:$AE$1004,1,MATCH(COLUMNS($V$1006:V1006),$V$1006:$AE$1006,0)))),"Fix")))</f>
        <v>0</v>
      </c>
      <c r="C615" s="3">
        <f>IF(OR(INDEX($P$2:$P$1001,MATCH(ROWS($O$2:O615),$O$2:$O$1001,0),1)&gt;=100000,INDEX($V$1005:$AE$1005,1,MATCH(COLUMNS($V$1006:W1006),$V$1006:$AE$1006,0))&gt;=100000), " ",IF(INDEX($V$2:$AE$1001,MATCH(ROWS($O$2:O615),$O$2:$O$1001,0),MATCH(COLUMNS($V$1006:W1006),$V$1006:$AE$1006,0)), HYPERLINK("#",""), HYPERLINK(CONCATENATE("#Metadata!", ADDRESS(INDEX($Q$2:$Q$1001,MATCH(ROWS($O$2:O615),$O$2:$O$1001,0),0), INDEX($V$1004:$AE$1004,1,MATCH(COLUMNS($V$1006:W1006),$V$1006:$AE$1006,0)))),"Fix")))</f>
        <v>0</v>
      </c>
      <c r="D615" s="3">
        <f>IF(OR(INDEX($P$2:$P$1001,MATCH(ROWS($O$2:O615),$O$2:$O$1001,0),1)&gt;=100000,INDEX($V$1005:$AE$1005,1,MATCH(COLUMNS($V$1006:X1006),$V$1006:$AE$1006,0))&gt;=100000), " ",IF(INDEX($V$2:$AE$1001,MATCH(ROWS($O$2:O615),$O$2:$O$1001,0),MATCH(COLUMNS($V$1006:X1006),$V$1006:$AE$1006,0)), HYPERLINK("#",""), HYPERLINK(CONCATENATE("#Metadata!", ADDRESS(INDEX($Q$2:$Q$1001,MATCH(ROWS($O$2:O615),$O$2:$O$1001,0),0), INDEX($V$1004:$AE$1004,1,MATCH(COLUMNS($V$1006:X1006),$V$1006:$AE$1006,0)))),"Fix")))</f>
        <v>0</v>
      </c>
      <c r="E615" s="3">
        <f>IF(OR(INDEX($P$2:$P$1001,MATCH(ROWS($O$2:O615),$O$2:$O$1001,0),1)&gt;=100000,INDEX($V$1005:$AE$1005,1,MATCH(COLUMNS($V$1006:Y1006),$V$1006:$AE$1006,0))&gt;=100000), " ",IF(INDEX($V$2:$AE$1001,MATCH(ROWS($O$2:O615),$O$2:$O$1001,0),MATCH(COLUMNS($V$1006:Y1006),$V$1006:$AE$1006,0)), HYPERLINK("#",""), HYPERLINK(CONCATENATE("#Metadata!", ADDRESS(INDEX($Q$2:$Q$1001,MATCH(ROWS($O$2:O615),$O$2:$O$1001,0),0), INDEX($V$1004:$AE$1004,1,MATCH(COLUMNS($V$1006:Y1006),$V$1006:$AE$1006,0)))),"Fix")))</f>
        <v>0</v>
      </c>
      <c r="F615" s="3">
        <f>IF(OR(INDEX($P$2:$P$1001,MATCH(ROWS($O$2:O615),$O$2:$O$1001,0),1)&gt;=100000,INDEX($V$1005:$AE$1005,1,MATCH(COLUMNS($V$1006:Z1006),$V$1006:$AE$1006,0))&gt;=100000), " ",IF(INDEX($V$2:$AE$1001,MATCH(ROWS($O$2:O615),$O$2:$O$1001,0),MATCH(COLUMNS($V$1006:Z1006),$V$1006:$AE$1006,0)), HYPERLINK("#",""), HYPERLINK(CONCATENATE("#Metadata!", ADDRESS(INDEX($Q$2:$Q$1001,MATCH(ROWS($O$2:O615),$O$2:$O$1001,0),0), INDEX($V$1004:$AE$1004,1,MATCH(COLUMNS($V$1006:Z1006),$V$1006:$AE$1006,0)))),"Fix")))</f>
        <v>0</v>
      </c>
      <c r="G615" s="3">
        <f>IF(OR(INDEX($P$2:$P$1001,MATCH(ROWS($O$2:O615),$O$2:$O$1001,0),1)&gt;=100000,INDEX($V$1005:$AE$1005,1,MATCH(COLUMNS($V$1006:AA1006),$V$1006:$AE$1006,0))&gt;=100000), " ",IF(INDEX($V$2:$AE$1001,MATCH(ROWS($O$2:O615),$O$2:$O$1001,0),MATCH(COLUMNS($V$1006:AA1006),$V$1006:$AE$1006,0)), HYPERLINK("#",""), HYPERLINK(CONCATENATE("#Metadata!", ADDRESS(INDEX($Q$2:$Q$1001,MATCH(ROWS($O$2:O615),$O$2:$O$1001,0),0), INDEX($V$1004:$AE$1004,1,MATCH(COLUMNS($V$1006:AA1006),$V$1006:$AE$1006,0)))),"Fix")))</f>
        <v>0</v>
      </c>
      <c r="H615" s="3">
        <f>IF(OR(INDEX($P$2:$P$1001,MATCH(ROWS($O$2:O615),$O$2:$O$1001,0),1)&gt;=100000,INDEX($V$1005:$AE$1005,1,MATCH(COLUMNS($V$1006:AB1006),$V$1006:$AE$1006,0))&gt;=100000), " ",IF(INDEX($V$2:$AE$1001,MATCH(ROWS($O$2:O615),$O$2:$O$1001,0),MATCH(COLUMNS($V$1006:AB1006),$V$1006:$AE$1006,0)), HYPERLINK("#",""), HYPERLINK(CONCATENATE("#Metadata!", ADDRESS(INDEX($Q$2:$Q$1001,MATCH(ROWS($O$2:O615),$O$2:$O$1001,0),0), INDEX($V$1004:$AE$1004,1,MATCH(COLUMNS($V$1006:AB1006),$V$1006:$AE$1006,0)))),"Fix")))</f>
        <v>0</v>
      </c>
      <c r="I615" s="3">
        <f>IF(OR(INDEX($P$2:$P$1001,MATCH(ROWS($O$2:O615),$O$2:$O$1001,0),1)&gt;=100000,INDEX($V$1005:$AE$1005,1,MATCH(COLUMNS($V$1006:AC1006),$V$1006:$AE$1006,0))&gt;=100000), " ",IF(INDEX($V$2:$AE$1001,MATCH(ROWS($O$2:O615),$O$2:$O$1001,0),MATCH(COLUMNS($V$1006:AC1006),$V$1006:$AE$1006,0)), HYPERLINK("#",""), HYPERLINK(CONCATENATE("#Metadata!", ADDRESS(INDEX($Q$2:$Q$1001,MATCH(ROWS($O$2:O615),$O$2:$O$1001,0),0), INDEX($V$1004:$AE$1004,1,MATCH(COLUMNS($V$1006:AC1006),$V$1006:$AE$1006,0)))),"Fix")))</f>
        <v>0</v>
      </c>
      <c r="J615" s="3">
        <f>IF(OR(INDEX($P$2:$P$1001,MATCH(ROWS($O$2:O615),$O$2:$O$1001,0),1)&gt;=100000,INDEX($V$1005:$AE$1005,1,MATCH(COLUMNS($V$1006:AD1006),$V$1006:$AE$1006,0))&gt;=100000), " ",IF(INDEX($V$2:$AE$1001,MATCH(ROWS($O$2:O615),$O$2:$O$1001,0),MATCH(COLUMNS($V$1006:AD1006),$V$1006:$AE$1006,0)), HYPERLINK("#",""), HYPERLINK(CONCATENATE("#Metadata!", ADDRESS(INDEX($Q$2:$Q$1001,MATCH(ROWS($O$2:O615),$O$2:$O$1001,0),0), INDEX($V$1004:$AE$1004,1,MATCH(COLUMNS($V$1006:AD1006),$V$1006:$AE$1006,0)))),"Fix")))</f>
        <v>0</v>
      </c>
      <c r="K615" s="3">
        <f>IF(OR(INDEX($P$2:$P$1001,MATCH(ROWS($O$2:O615),$O$2:$O$1001,0),1)&gt;=100000,INDEX($V$1005:$AE$1005,1,MATCH(COLUMNS($V$1006:AE1006),$V$1006:$AE$1006,0))&gt;=100000), " ",IF(INDEX($V$2:$AE$1001,MATCH(ROWS($O$2:O615),$O$2:$O$1001,0),MATCH(COLUMNS($V$1006:AE1006),$V$1006:$AE$1006,0)), HYPERLINK("#",""), HYPERLINK(CONCATENATE("#Metadata!", ADDRESS(INDEX($Q$2:$Q$1001,MATCH(ROWS($O$2:O615),$O$2:$O$1001,0),0), INDEX($V$1004:$AE$1004,1,MATCH(COLUMNS($V$1006:AE1006),$V$1006:$AE$1006,0)))),"Fix")))</f>
        <v>0</v>
      </c>
      <c r="O615">
        <v>0</v>
      </c>
      <c r="P615">
        <v>0</v>
      </c>
      <c r="Q615">
        <v>0</v>
      </c>
      <c r="R615">
        <f>IF(S615,TRUE,AND(V615:AE615))</f>
        <v>0</v>
      </c>
      <c r="S615">
        <f>COUNTBLANK(Metadata!B615:K615)=COLUMNS(Metadata!B615:K615)</f>
        <v>0</v>
      </c>
      <c r="T615">
        <v>0</v>
      </c>
      <c r="V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W615">
        <f>AND(IF(Metadata!C615="",FALSE,TRUE),exact(Metadata!C615,"animal secretion"))</f>
        <v>0</v>
      </c>
      <c r="X615">
        <f>AND(IF(Metadata!D615="",FALSE,TRUE),exact(Metadata!D615,"saliva"))</f>
        <v>0</v>
      </c>
      <c r="Y615">
        <f>AND(IF(Metadata!E615="",FALSE,TRUE),exact(Metadata!E615,"human-oral"))</f>
        <v>0</v>
      </c>
      <c r="Z615">
        <f>AND(IF(Metadata!F615="",FALSE,TRUE),exact(Metadata!F615,"UBERON:oral cavity"))</f>
        <v>0</v>
      </c>
      <c r="AA615">
        <f>AND(IF(Metadata!G615="",FALSE,TRUE),exact(Metadata!G615,"UBERON:saliva"))</f>
        <v>0</v>
      </c>
      <c r="AB615">
        <f>AND(IF(Metadata!H615="",FALSE,TRUE),exact(Metadata!H615,"UBERON:tongue"))</f>
        <v>0</v>
      </c>
      <c r="AC615">
        <f>AND(IF(Metadata!I615="",FALSE,TRUE),exact(Metadata!I615,"tongue"))</f>
        <v>0</v>
      </c>
      <c r="AD615">
        <f>AND(IF(Metadata!J615="",FALSE,TRUE),exact(Metadata!J615,"human oral metagenome"))</f>
        <v>0</v>
      </c>
      <c r="AE615">
        <f>AND(IF(Metadata!K615="",FALSE,TRUE),exact(Metadata!K615,"447426"))</f>
        <v>0</v>
      </c>
    </row>
    <row r="616" spans="1:31">
      <c r="A616" s="4">
        <f>IF(B616=" "," ",HYPERLINK(CONCATENATE("#metadata!",ADDRESS(INDEX($Q$2:$Q$1001,MATCH(ROWS($O$2:O616),$O$2:$O$1001,0),0),1)),INDEX($T$2:$T$1001,MATCH(ROWS($O$2:O616),$O$2:$O$1001,0),0)))</f>
        <v>0</v>
      </c>
      <c r="B616" s="3">
        <f>IF(OR(INDEX($P$2:$P$1001,MATCH(ROWS($O$2:O616),$O$2:$O$1001,0),1)&gt;=100000,INDEX($V$1005:$AE$1005,1,MATCH(COLUMNS($V$1006:V1006),$V$1006:$AE$1006,0))&gt;=100000), " ",IF(INDEX($V$2:$AE$1001,MATCH(ROWS($O$2:O616),$O$2:$O$1001,0),MATCH(COLUMNS($V$1006:V1006),$V$1006:$AE$1006,0)), HYPERLINK("#",""), HYPERLINK(CONCATENATE("#Metadata!", ADDRESS(INDEX($Q$2:$Q$1001,MATCH(ROWS($O$2:O616),$O$2:$O$1001,0),0), INDEX($V$1004:$AE$1004,1,MATCH(COLUMNS($V$1006:V1006),$V$1006:$AE$1006,0)))),"Fix")))</f>
        <v>0</v>
      </c>
      <c r="C616" s="3">
        <f>IF(OR(INDEX($P$2:$P$1001,MATCH(ROWS($O$2:O616),$O$2:$O$1001,0),1)&gt;=100000,INDEX($V$1005:$AE$1005,1,MATCH(COLUMNS($V$1006:W1006),$V$1006:$AE$1006,0))&gt;=100000), " ",IF(INDEX($V$2:$AE$1001,MATCH(ROWS($O$2:O616),$O$2:$O$1001,0),MATCH(COLUMNS($V$1006:W1006),$V$1006:$AE$1006,0)), HYPERLINK("#",""), HYPERLINK(CONCATENATE("#Metadata!", ADDRESS(INDEX($Q$2:$Q$1001,MATCH(ROWS($O$2:O616),$O$2:$O$1001,0),0), INDEX($V$1004:$AE$1004,1,MATCH(COLUMNS($V$1006:W1006),$V$1006:$AE$1006,0)))),"Fix")))</f>
        <v>0</v>
      </c>
      <c r="D616" s="3">
        <f>IF(OR(INDEX($P$2:$P$1001,MATCH(ROWS($O$2:O616),$O$2:$O$1001,0),1)&gt;=100000,INDEX($V$1005:$AE$1005,1,MATCH(COLUMNS($V$1006:X1006),$V$1006:$AE$1006,0))&gt;=100000), " ",IF(INDEX($V$2:$AE$1001,MATCH(ROWS($O$2:O616),$O$2:$O$1001,0),MATCH(COLUMNS($V$1006:X1006),$V$1006:$AE$1006,0)), HYPERLINK("#",""), HYPERLINK(CONCATENATE("#Metadata!", ADDRESS(INDEX($Q$2:$Q$1001,MATCH(ROWS($O$2:O616),$O$2:$O$1001,0),0), INDEX($V$1004:$AE$1004,1,MATCH(COLUMNS($V$1006:X1006),$V$1006:$AE$1006,0)))),"Fix")))</f>
        <v>0</v>
      </c>
      <c r="E616" s="3">
        <f>IF(OR(INDEX($P$2:$P$1001,MATCH(ROWS($O$2:O616),$O$2:$O$1001,0),1)&gt;=100000,INDEX($V$1005:$AE$1005,1,MATCH(COLUMNS($V$1006:Y1006),$V$1006:$AE$1006,0))&gt;=100000), " ",IF(INDEX($V$2:$AE$1001,MATCH(ROWS($O$2:O616),$O$2:$O$1001,0),MATCH(COLUMNS($V$1006:Y1006),$V$1006:$AE$1006,0)), HYPERLINK("#",""), HYPERLINK(CONCATENATE("#Metadata!", ADDRESS(INDEX($Q$2:$Q$1001,MATCH(ROWS($O$2:O616),$O$2:$O$1001,0),0), INDEX($V$1004:$AE$1004,1,MATCH(COLUMNS($V$1006:Y1006),$V$1006:$AE$1006,0)))),"Fix")))</f>
        <v>0</v>
      </c>
      <c r="F616" s="3">
        <f>IF(OR(INDEX($P$2:$P$1001,MATCH(ROWS($O$2:O616),$O$2:$O$1001,0),1)&gt;=100000,INDEX($V$1005:$AE$1005,1,MATCH(COLUMNS($V$1006:Z1006),$V$1006:$AE$1006,0))&gt;=100000), " ",IF(INDEX($V$2:$AE$1001,MATCH(ROWS($O$2:O616),$O$2:$O$1001,0),MATCH(COLUMNS($V$1006:Z1006),$V$1006:$AE$1006,0)), HYPERLINK("#",""), HYPERLINK(CONCATENATE("#Metadata!", ADDRESS(INDEX($Q$2:$Q$1001,MATCH(ROWS($O$2:O616),$O$2:$O$1001,0),0), INDEX($V$1004:$AE$1004,1,MATCH(COLUMNS($V$1006:Z1006),$V$1006:$AE$1006,0)))),"Fix")))</f>
        <v>0</v>
      </c>
      <c r="G616" s="3">
        <f>IF(OR(INDEX($P$2:$P$1001,MATCH(ROWS($O$2:O616),$O$2:$O$1001,0),1)&gt;=100000,INDEX($V$1005:$AE$1005,1,MATCH(COLUMNS($V$1006:AA1006),$V$1006:$AE$1006,0))&gt;=100000), " ",IF(INDEX($V$2:$AE$1001,MATCH(ROWS($O$2:O616),$O$2:$O$1001,0),MATCH(COLUMNS($V$1006:AA1006),$V$1006:$AE$1006,0)), HYPERLINK("#",""), HYPERLINK(CONCATENATE("#Metadata!", ADDRESS(INDEX($Q$2:$Q$1001,MATCH(ROWS($O$2:O616),$O$2:$O$1001,0),0), INDEX($V$1004:$AE$1004,1,MATCH(COLUMNS($V$1006:AA1006),$V$1006:$AE$1006,0)))),"Fix")))</f>
        <v>0</v>
      </c>
      <c r="H616" s="3">
        <f>IF(OR(INDEX($P$2:$P$1001,MATCH(ROWS($O$2:O616),$O$2:$O$1001,0),1)&gt;=100000,INDEX($V$1005:$AE$1005,1,MATCH(COLUMNS($V$1006:AB1006),$V$1006:$AE$1006,0))&gt;=100000), " ",IF(INDEX($V$2:$AE$1001,MATCH(ROWS($O$2:O616),$O$2:$O$1001,0),MATCH(COLUMNS($V$1006:AB1006),$V$1006:$AE$1006,0)), HYPERLINK("#",""), HYPERLINK(CONCATENATE("#Metadata!", ADDRESS(INDEX($Q$2:$Q$1001,MATCH(ROWS($O$2:O616),$O$2:$O$1001,0),0), INDEX($V$1004:$AE$1004,1,MATCH(COLUMNS($V$1006:AB1006),$V$1006:$AE$1006,0)))),"Fix")))</f>
        <v>0</v>
      </c>
      <c r="I616" s="3">
        <f>IF(OR(INDEX($P$2:$P$1001,MATCH(ROWS($O$2:O616),$O$2:$O$1001,0),1)&gt;=100000,INDEX($V$1005:$AE$1005,1,MATCH(COLUMNS($V$1006:AC1006),$V$1006:$AE$1006,0))&gt;=100000), " ",IF(INDEX($V$2:$AE$1001,MATCH(ROWS($O$2:O616),$O$2:$O$1001,0),MATCH(COLUMNS($V$1006:AC1006),$V$1006:$AE$1006,0)), HYPERLINK("#",""), HYPERLINK(CONCATENATE("#Metadata!", ADDRESS(INDEX($Q$2:$Q$1001,MATCH(ROWS($O$2:O616),$O$2:$O$1001,0),0), INDEX($V$1004:$AE$1004,1,MATCH(COLUMNS($V$1006:AC1006),$V$1006:$AE$1006,0)))),"Fix")))</f>
        <v>0</v>
      </c>
      <c r="J616" s="3">
        <f>IF(OR(INDEX($P$2:$P$1001,MATCH(ROWS($O$2:O616),$O$2:$O$1001,0),1)&gt;=100000,INDEX($V$1005:$AE$1005,1,MATCH(COLUMNS($V$1006:AD1006),$V$1006:$AE$1006,0))&gt;=100000), " ",IF(INDEX($V$2:$AE$1001,MATCH(ROWS($O$2:O616),$O$2:$O$1001,0),MATCH(COLUMNS($V$1006:AD1006),$V$1006:$AE$1006,0)), HYPERLINK("#",""), HYPERLINK(CONCATENATE("#Metadata!", ADDRESS(INDEX($Q$2:$Q$1001,MATCH(ROWS($O$2:O616),$O$2:$O$1001,0),0), INDEX($V$1004:$AE$1004,1,MATCH(COLUMNS($V$1006:AD1006),$V$1006:$AE$1006,0)))),"Fix")))</f>
        <v>0</v>
      </c>
      <c r="K616" s="3">
        <f>IF(OR(INDEX($P$2:$P$1001,MATCH(ROWS($O$2:O616),$O$2:$O$1001,0),1)&gt;=100000,INDEX($V$1005:$AE$1005,1,MATCH(COLUMNS($V$1006:AE1006),$V$1006:$AE$1006,0))&gt;=100000), " ",IF(INDEX($V$2:$AE$1001,MATCH(ROWS($O$2:O616),$O$2:$O$1001,0),MATCH(COLUMNS($V$1006:AE1006),$V$1006:$AE$1006,0)), HYPERLINK("#",""), HYPERLINK(CONCATENATE("#Metadata!", ADDRESS(INDEX($Q$2:$Q$1001,MATCH(ROWS($O$2:O616),$O$2:$O$1001,0),0), INDEX($V$1004:$AE$1004,1,MATCH(COLUMNS($V$1006:AE1006),$V$1006:$AE$1006,0)))),"Fix")))</f>
        <v>0</v>
      </c>
      <c r="O616">
        <v>0</v>
      </c>
      <c r="P616">
        <v>0</v>
      </c>
      <c r="Q616">
        <v>0</v>
      </c>
      <c r="R616">
        <f>IF(S616,TRUE,AND(V616:AE616))</f>
        <v>0</v>
      </c>
      <c r="S616">
        <f>COUNTBLANK(Metadata!B616:K616)=COLUMNS(Metadata!B616:K616)</f>
        <v>0</v>
      </c>
      <c r="T616">
        <v>0</v>
      </c>
      <c r="V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W616">
        <f>AND(IF(Metadata!C616="",FALSE,TRUE),exact(Metadata!C616,"animal secretion"))</f>
        <v>0</v>
      </c>
      <c r="X616">
        <f>AND(IF(Metadata!D616="",FALSE,TRUE),exact(Metadata!D616,"saliva"))</f>
        <v>0</v>
      </c>
      <c r="Y616">
        <f>AND(IF(Metadata!E616="",FALSE,TRUE),exact(Metadata!E616,"human-oral"))</f>
        <v>0</v>
      </c>
      <c r="Z616">
        <f>AND(IF(Metadata!F616="",FALSE,TRUE),exact(Metadata!F616,"UBERON:oral cavity"))</f>
        <v>0</v>
      </c>
      <c r="AA616">
        <f>AND(IF(Metadata!G616="",FALSE,TRUE),exact(Metadata!G616,"UBERON:saliva"))</f>
        <v>0</v>
      </c>
      <c r="AB616">
        <f>AND(IF(Metadata!H616="",FALSE,TRUE),exact(Metadata!H616,"UBERON:tongue"))</f>
        <v>0</v>
      </c>
      <c r="AC616">
        <f>AND(IF(Metadata!I616="",FALSE,TRUE),exact(Metadata!I616,"tongue"))</f>
        <v>0</v>
      </c>
      <c r="AD616">
        <f>AND(IF(Metadata!J616="",FALSE,TRUE),exact(Metadata!J616,"human oral metagenome"))</f>
        <v>0</v>
      </c>
      <c r="AE616">
        <f>AND(IF(Metadata!K616="",FALSE,TRUE),exact(Metadata!K616,"447426"))</f>
        <v>0</v>
      </c>
    </row>
    <row r="617" spans="1:31">
      <c r="A617" s="4">
        <f>IF(B617=" "," ",HYPERLINK(CONCATENATE("#metadata!",ADDRESS(INDEX($Q$2:$Q$1001,MATCH(ROWS($O$2:O617),$O$2:$O$1001,0),0),1)),INDEX($T$2:$T$1001,MATCH(ROWS($O$2:O617),$O$2:$O$1001,0),0)))</f>
        <v>0</v>
      </c>
      <c r="B617" s="3">
        <f>IF(OR(INDEX($P$2:$P$1001,MATCH(ROWS($O$2:O617),$O$2:$O$1001,0),1)&gt;=100000,INDEX($V$1005:$AE$1005,1,MATCH(COLUMNS($V$1006:V1006),$V$1006:$AE$1006,0))&gt;=100000), " ",IF(INDEX($V$2:$AE$1001,MATCH(ROWS($O$2:O617),$O$2:$O$1001,0),MATCH(COLUMNS($V$1006:V1006),$V$1006:$AE$1006,0)), HYPERLINK("#",""), HYPERLINK(CONCATENATE("#Metadata!", ADDRESS(INDEX($Q$2:$Q$1001,MATCH(ROWS($O$2:O617),$O$2:$O$1001,0),0), INDEX($V$1004:$AE$1004,1,MATCH(COLUMNS($V$1006:V1006),$V$1006:$AE$1006,0)))),"Fix")))</f>
        <v>0</v>
      </c>
      <c r="C617" s="3">
        <f>IF(OR(INDEX($P$2:$P$1001,MATCH(ROWS($O$2:O617),$O$2:$O$1001,0),1)&gt;=100000,INDEX($V$1005:$AE$1005,1,MATCH(COLUMNS($V$1006:W1006),$V$1006:$AE$1006,0))&gt;=100000), " ",IF(INDEX($V$2:$AE$1001,MATCH(ROWS($O$2:O617),$O$2:$O$1001,0),MATCH(COLUMNS($V$1006:W1006),$V$1006:$AE$1006,0)), HYPERLINK("#",""), HYPERLINK(CONCATENATE("#Metadata!", ADDRESS(INDEX($Q$2:$Q$1001,MATCH(ROWS($O$2:O617),$O$2:$O$1001,0),0), INDEX($V$1004:$AE$1004,1,MATCH(COLUMNS($V$1006:W1006),$V$1006:$AE$1006,0)))),"Fix")))</f>
        <v>0</v>
      </c>
      <c r="D617" s="3">
        <f>IF(OR(INDEX($P$2:$P$1001,MATCH(ROWS($O$2:O617),$O$2:$O$1001,0),1)&gt;=100000,INDEX($V$1005:$AE$1005,1,MATCH(COLUMNS($V$1006:X1006),$V$1006:$AE$1006,0))&gt;=100000), " ",IF(INDEX($V$2:$AE$1001,MATCH(ROWS($O$2:O617),$O$2:$O$1001,0),MATCH(COLUMNS($V$1006:X1006),$V$1006:$AE$1006,0)), HYPERLINK("#",""), HYPERLINK(CONCATENATE("#Metadata!", ADDRESS(INDEX($Q$2:$Q$1001,MATCH(ROWS($O$2:O617),$O$2:$O$1001,0),0), INDEX($V$1004:$AE$1004,1,MATCH(COLUMNS($V$1006:X1006),$V$1006:$AE$1006,0)))),"Fix")))</f>
        <v>0</v>
      </c>
      <c r="E617" s="3">
        <f>IF(OR(INDEX($P$2:$P$1001,MATCH(ROWS($O$2:O617),$O$2:$O$1001,0),1)&gt;=100000,INDEX($V$1005:$AE$1005,1,MATCH(COLUMNS($V$1006:Y1006),$V$1006:$AE$1006,0))&gt;=100000), " ",IF(INDEX($V$2:$AE$1001,MATCH(ROWS($O$2:O617),$O$2:$O$1001,0),MATCH(COLUMNS($V$1006:Y1006),$V$1006:$AE$1006,0)), HYPERLINK("#",""), HYPERLINK(CONCATENATE("#Metadata!", ADDRESS(INDEX($Q$2:$Q$1001,MATCH(ROWS($O$2:O617),$O$2:$O$1001,0),0), INDEX($V$1004:$AE$1004,1,MATCH(COLUMNS($V$1006:Y1006),$V$1006:$AE$1006,0)))),"Fix")))</f>
        <v>0</v>
      </c>
      <c r="F617" s="3">
        <f>IF(OR(INDEX($P$2:$P$1001,MATCH(ROWS($O$2:O617),$O$2:$O$1001,0),1)&gt;=100000,INDEX($V$1005:$AE$1005,1,MATCH(COLUMNS($V$1006:Z1006),$V$1006:$AE$1006,0))&gt;=100000), " ",IF(INDEX($V$2:$AE$1001,MATCH(ROWS($O$2:O617),$O$2:$O$1001,0),MATCH(COLUMNS($V$1006:Z1006),$V$1006:$AE$1006,0)), HYPERLINK("#",""), HYPERLINK(CONCATENATE("#Metadata!", ADDRESS(INDEX($Q$2:$Q$1001,MATCH(ROWS($O$2:O617),$O$2:$O$1001,0),0), INDEX($V$1004:$AE$1004,1,MATCH(COLUMNS($V$1006:Z1006),$V$1006:$AE$1006,0)))),"Fix")))</f>
        <v>0</v>
      </c>
      <c r="G617" s="3">
        <f>IF(OR(INDEX($P$2:$P$1001,MATCH(ROWS($O$2:O617),$O$2:$O$1001,0),1)&gt;=100000,INDEX($V$1005:$AE$1005,1,MATCH(COLUMNS($V$1006:AA1006),$V$1006:$AE$1006,0))&gt;=100000), " ",IF(INDEX($V$2:$AE$1001,MATCH(ROWS($O$2:O617),$O$2:$O$1001,0),MATCH(COLUMNS($V$1006:AA1006),$V$1006:$AE$1006,0)), HYPERLINK("#",""), HYPERLINK(CONCATENATE("#Metadata!", ADDRESS(INDEX($Q$2:$Q$1001,MATCH(ROWS($O$2:O617),$O$2:$O$1001,0),0), INDEX($V$1004:$AE$1004,1,MATCH(COLUMNS($V$1006:AA1006),$V$1006:$AE$1006,0)))),"Fix")))</f>
        <v>0</v>
      </c>
      <c r="H617" s="3">
        <f>IF(OR(INDEX($P$2:$P$1001,MATCH(ROWS($O$2:O617),$O$2:$O$1001,0),1)&gt;=100000,INDEX($V$1005:$AE$1005,1,MATCH(COLUMNS($V$1006:AB1006),$V$1006:$AE$1006,0))&gt;=100000), " ",IF(INDEX($V$2:$AE$1001,MATCH(ROWS($O$2:O617),$O$2:$O$1001,0),MATCH(COLUMNS($V$1006:AB1006),$V$1006:$AE$1006,0)), HYPERLINK("#",""), HYPERLINK(CONCATENATE("#Metadata!", ADDRESS(INDEX($Q$2:$Q$1001,MATCH(ROWS($O$2:O617),$O$2:$O$1001,0),0), INDEX($V$1004:$AE$1004,1,MATCH(COLUMNS($V$1006:AB1006),$V$1006:$AE$1006,0)))),"Fix")))</f>
        <v>0</v>
      </c>
      <c r="I617" s="3">
        <f>IF(OR(INDEX($P$2:$P$1001,MATCH(ROWS($O$2:O617),$O$2:$O$1001,0),1)&gt;=100000,INDEX($V$1005:$AE$1005,1,MATCH(COLUMNS($V$1006:AC1006),$V$1006:$AE$1006,0))&gt;=100000), " ",IF(INDEX($V$2:$AE$1001,MATCH(ROWS($O$2:O617),$O$2:$O$1001,0),MATCH(COLUMNS($V$1006:AC1006),$V$1006:$AE$1006,0)), HYPERLINK("#",""), HYPERLINK(CONCATENATE("#Metadata!", ADDRESS(INDEX($Q$2:$Q$1001,MATCH(ROWS($O$2:O617),$O$2:$O$1001,0),0), INDEX($V$1004:$AE$1004,1,MATCH(COLUMNS($V$1006:AC1006),$V$1006:$AE$1006,0)))),"Fix")))</f>
        <v>0</v>
      </c>
      <c r="J617" s="3">
        <f>IF(OR(INDEX($P$2:$P$1001,MATCH(ROWS($O$2:O617),$O$2:$O$1001,0),1)&gt;=100000,INDEX($V$1005:$AE$1005,1,MATCH(COLUMNS($V$1006:AD1006),$V$1006:$AE$1006,0))&gt;=100000), " ",IF(INDEX($V$2:$AE$1001,MATCH(ROWS($O$2:O617),$O$2:$O$1001,0),MATCH(COLUMNS($V$1006:AD1006),$V$1006:$AE$1006,0)), HYPERLINK("#",""), HYPERLINK(CONCATENATE("#Metadata!", ADDRESS(INDEX($Q$2:$Q$1001,MATCH(ROWS($O$2:O617),$O$2:$O$1001,0),0), INDEX($V$1004:$AE$1004,1,MATCH(COLUMNS($V$1006:AD1006),$V$1006:$AE$1006,0)))),"Fix")))</f>
        <v>0</v>
      </c>
      <c r="K617" s="3">
        <f>IF(OR(INDEX($P$2:$P$1001,MATCH(ROWS($O$2:O617),$O$2:$O$1001,0),1)&gt;=100000,INDEX($V$1005:$AE$1005,1,MATCH(COLUMNS($V$1006:AE1006),$V$1006:$AE$1006,0))&gt;=100000), " ",IF(INDEX($V$2:$AE$1001,MATCH(ROWS($O$2:O617),$O$2:$O$1001,0),MATCH(COLUMNS($V$1006:AE1006),$V$1006:$AE$1006,0)), HYPERLINK("#",""), HYPERLINK(CONCATENATE("#Metadata!", ADDRESS(INDEX($Q$2:$Q$1001,MATCH(ROWS($O$2:O617),$O$2:$O$1001,0),0), INDEX($V$1004:$AE$1004,1,MATCH(COLUMNS($V$1006:AE1006),$V$1006:$AE$1006,0)))),"Fix")))</f>
        <v>0</v>
      </c>
      <c r="O617">
        <v>0</v>
      </c>
      <c r="P617">
        <v>0</v>
      </c>
      <c r="Q617">
        <v>0</v>
      </c>
      <c r="R617">
        <f>IF(S617,TRUE,AND(V617:AE617))</f>
        <v>0</v>
      </c>
      <c r="S617">
        <f>COUNTBLANK(Metadata!B617:K617)=COLUMNS(Metadata!B617:K617)</f>
        <v>0</v>
      </c>
      <c r="T617">
        <v>0</v>
      </c>
      <c r="V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W617">
        <f>AND(IF(Metadata!C617="",FALSE,TRUE),exact(Metadata!C617,"animal secretion"))</f>
        <v>0</v>
      </c>
      <c r="X617">
        <f>AND(IF(Metadata!D617="",FALSE,TRUE),exact(Metadata!D617,"saliva"))</f>
        <v>0</v>
      </c>
      <c r="Y617">
        <f>AND(IF(Metadata!E617="",FALSE,TRUE),exact(Metadata!E617,"human-oral"))</f>
        <v>0</v>
      </c>
      <c r="Z617">
        <f>AND(IF(Metadata!F617="",FALSE,TRUE),exact(Metadata!F617,"UBERON:oral cavity"))</f>
        <v>0</v>
      </c>
      <c r="AA617">
        <f>AND(IF(Metadata!G617="",FALSE,TRUE),exact(Metadata!G617,"UBERON:saliva"))</f>
        <v>0</v>
      </c>
      <c r="AB617">
        <f>AND(IF(Metadata!H617="",FALSE,TRUE),exact(Metadata!H617,"UBERON:tongue"))</f>
        <v>0</v>
      </c>
      <c r="AC617">
        <f>AND(IF(Metadata!I617="",FALSE,TRUE),exact(Metadata!I617,"tongue"))</f>
        <v>0</v>
      </c>
      <c r="AD617">
        <f>AND(IF(Metadata!J617="",FALSE,TRUE),exact(Metadata!J617,"human oral metagenome"))</f>
        <v>0</v>
      </c>
      <c r="AE617">
        <f>AND(IF(Metadata!K617="",FALSE,TRUE),exact(Metadata!K617,"447426"))</f>
        <v>0</v>
      </c>
    </row>
    <row r="618" spans="1:31">
      <c r="A618" s="4">
        <f>IF(B618=" "," ",HYPERLINK(CONCATENATE("#metadata!",ADDRESS(INDEX($Q$2:$Q$1001,MATCH(ROWS($O$2:O618),$O$2:$O$1001,0),0),1)),INDEX($T$2:$T$1001,MATCH(ROWS($O$2:O618),$O$2:$O$1001,0),0)))</f>
        <v>0</v>
      </c>
      <c r="B618" s="3">
        <f>IF(OR(INDEX($P$2:$P$1001,MATCH(ROWS($O$2:O618),$O$2:$O$1001,0),1)&gt;=100000,INDEX($V$1005:$AE$1005,1,MATCH(COLUMNS($V$1006:V1006),$V$1006:$AE$1006,0))&gt;=100000), " ",IF(INDEX($V$2:$AE$1001,MATCH(ROWS($O$2:O618),$O$2:$O$1001,0),MATCH(COLUMNS($V$1006:V1006),$V$1006:$AE$1006,0)), HYPERLINK("#",""), HYPERLINK(CONCATENATE("#Metadata!", ADDRESS(INDEX($Q$2:$Q$1001,MATCH(ROWS($O$2:O618),$O$2:$O$1001,0),0), INDEX($V$1004:$AE$1004,1,MATCH(COLUMNS($V$1006:V1006),$V$1006:$AE$1006,0)))),"Fix")))</f>
        <v>0</v>
      </c>
      <c r="C618" s="3">
        <f>IF(OR(INDEX($P$2:$P$1001,MATCH(ROWS($O$2:O618),$O$2:$O$1001,0),1)&gt;=100000,INDEX($V$1005:$AE$1005,1,MATCH(COLUMNS($V$1006:W1006),$V$1006:$AE$1006,0))&gt;=100000), " ",IF(INDEX($V$2:$AE$1001,MATCH(ROWS($O$2:O618),$O$2:$O$1001,0),MATCH(COLUMNS($V$1006:W1006),$V$1006:$AE$1006,0)), HYPERLINK("#",""), HYPERLINK(CONCATENATE("#Metadata!", ADDRESS(INDEX($Q$2:$Q$1001,MATCH(ROWS($O$2:O618),$O$2:$O$1001,0),0), INDEX($V$1004:$AE$1004,1,MATCH(COLUMNS($V$1006:W1006),$V$1006:$AE$1006,0)))),"Fix")))</f>
        <v>0</v>
      </c>
      <c r="D618" s="3">
        <f>IF(OR(INDEX($P$2:$P$1001,MATCH(ROWS($O$2:O618),$O$2:$O$1001,0),1)&gt;=100000,INDEX($V$1005:$AE$1005,1,MATCH(COLUMNS($V$1006:X1006),$V$1006:$AE$1006,0))&gt;=100000), " ",IF(INDEX($V$2:$AE$1001,MATCH(ROWS($O$2:O618),$O$2:$O$1001,0),MATCH(COLUMNS($V$1006:X1006),$V$1006:$AE$1006,0)), HYPERLINK("#",""), HYPERLINK(CONCATENATE("#Metadata!", ADDRESS(INDEX($Q$2:$Q$1001,MATCH(ROWS($O$2:O618),$O$2:$O$1001,0),0), INDEX($V$1004:$AE$1004,1,MATCH(COLUMNS($V$1006:X1006),$V$1006:$AE$1006,0)))),"Fix")))</f>
        <v>0</v>
      </c>
      <c r="E618" s="3">
        <f>IF(OR(INDEX($P$2:$P$1001,MATCH(ROWS($O$2:O618),$O$2:$O$1001,0),1)&gt;=100000,INDEX($V$1005:$AE$1005,1,MATCH(COLUMNS($V$1006:Y1006),$V$1006:$AE$1006,0))&gt;=100000), " ",IF(INDEX($V$2:$AE$1001,MATCH(ROWS($O$2:O618),$O$2:$O$1001,0),MATCH(COLUMNS($V$1006:Y1006),$V$1006:$AE$1006,0)), HYPERLINK("#",""), HYPERLINK(CONCATENATE("#Metadata!", ADDRESS(INDEX($Q$2:$Q$1001,MATCH(ROWS($O$2:O618),$O$2:$O$1001,0),0), INDEX($V$1004:$AE$1004,1,MATCH(COLUMNS($V$1006:Y1006),$V$1006:$AE$1006,0)))),"Fix")))</f>
        <v>0</v>
      </c>
      <c r="F618" s="3">
        <f>IF(OR(INDEX($P$2:$P$1001,MATCH(ROWS($O$2:O618),$O$2:$O$1001,0),1)&gt;=100000,INDEX($V$1005:$AE$1005,1,MATCH(COLUMNS($V$1006:Z1006),$V$1006:$AE$1006,0))&gt;=100000), " ",IF(INDEX($V$2:$AE$1001,MATCH(ROWS($O$2:O618),$O$2:$O$1001,0),MATCH(COLUMNS($V$1006:Z1006),$V$1006:$AE$1006,0)), HYPERLINK("#",""), HYPERLINK(CONCATENATE("#Metadata!", ADDRESS(INDEX($Q$2:$Q$1001,MATCH(ROWS($O$2:O618),$O$2:$O$1001,0),0), INDEX($V$1004:$AE$1004,1,MATCH(COLUMNS($V$1006:Z1006),$V$1006:$AE$1006,0)))),"Fix")))</f>
        <v>0</v>
      </c>
      <c r="G618" s="3">
        <f>IF(OR(INDEX($P$2:$P$1001,MATCH(ROWS($O$2:O618),$O$2:$O$1001,0),1)&gt;=100000,INDEX($V$1005:$AE$1005,1,MATCH(COLUMNS($V$1006:AA1006),$V$1006:$AE$1006,0))&gt;=100000), " ",IF(INDEX($V$2:$AE$1001,MATCH(ROWS($O$2:O618),$O$2:$O$1001,0),MATCH(COLUMNS($V$1006:AA1006),$V$1006:$AE$1006,0)), HYPERLINK("#",""), HYPERLINK(CONCATENATE("#Metadata!", ADDRESS(INDEX($Q$2:$Q$1001,MATCH(ROWS($O$2:O618),$O$2:$O$1001,0),0), INDEX($V$1004:$AE$1004,1,MATCH(COLUMNS($V$1006:AA1006),$V$1006:$AE$1006,0)))),"Fix")))</f>
        <v>0</v>
      </c>
      <c r="H618" s="3">
        <f>IF(OR(INDEX($P$2:$P$1001,MATCH(ROWS($O$2:O618),$O$2:$O$1001,0),1)&gt;=100000,INDEX($V$1005:$AE$1005,1,MATCH(COLUMNS($V$1006:AB1006),$V$1006:$AE$1006,0))&gt;=100000), " ",IF(INDEX($V$2:$AE$1001,MATCH(ROWS($O$2:O618),$O$2:$O$1001,0),MATCH(COLUMNS($V$1006:AB1006),$V$1006:$AE$1006,0)), HYPERLINK("#",""), HYPERLINK(CONCATENATE("#Metadata!", ADDRESS(INDEX($Q$2:$Q$1001,MATCH(ROWS($O$2:O618),$O$2:$O$1001,0),0), INDEX($V$1004:$AE$1004,1,MATCH(COLUMNS($V$1006:AB1006),$V$1006:$AE$1006,0)))),"Fix")))</f>
        <v>0</v>
      </c>
      <c r="I618" s="3">
        <f>IF(OR(INDEX($P$2:$P$1001,MATCH(ROWS($O$2:O618),$O$2:$O$1001,0),1)&gt;=100000,INDEX($V$1005:$AE$1005,1,MATCH(COLUMNS($V$1006:AC1006),$V$1006:$AE$1006,0))&gt;=100000), " ",IF(INDEX($V$2:$AE$1001,MATCH(ROWS($O$2:O618),$O$2:$O$1001,0),MATCH(COLUMNS($V$1006:AC1006),$V$1006:$AE$1006,0)), HYPERLINK("#",""), HYPERLINK(CONCATENATE("#Metadata!", ADDRESS(INDEX($Q$2:$Q$1001,MATCH(ROWS($O$2:O618),$O$2:$O$1001,0),0), INDEX($V$1004:$AE$1004,1,MATCH(COLUMNS($V$1006:AC1006),$V$1006:$AE$1006,0)))),"Fix")))</f>
        <v>0</v>
      </c>
      <c r="J618" s="3">
        <f>IF(OR(INDEX($P$2:$P$1001,MATCH(ROWS($O$2:O618),$O$2:$O$1001,0),1)&gt;=100000,INDEX($V$1005:$AE$1005,1,MATCH(COLUMNS($V$1006:AD1006),$V$1006:$AE$1006,0))&gt;=100000), " ",IF(INDEX($V$2:$AE$1001,MATCH(ROWS($O$2:O618),$O$2:$O$1001,0),MATCH(COLUMNS($V$1006:AD1006),$V$1006:$AE$1006,0)), HYPERLINK("#",""), HYPERLINK(CONCATENATE("#Metadata!", ADDRESS(INDEX($Q$2:$Q$1001,MATCH(ROWS($O$2:O618),$O$2:$O$1001,0),0), INDEX($V$1004:$AE$1004,1,MATCH(COLUMNS($V$1006:AD1006),$V$1006:$AE$1006,0)))),"Fix")))</f>
        <v>0</v>
      </c>
      <c r="K618" s="3">
        <f>IF(OR(INDEX($P$2:$P$1001,MATCH(ROWS($O$2:O618),$O$2:$O$1001,0),1)&gt;=100000,INDEX($V$1005:$AE$1005,1,MATCH(COLUMNS($V$1006:AE1006),$V$1006:$AE$1006,0))&gt;=100000), " ",IF(INDEX($V$2:$AE$1001,MATCH(ROWS($O$2:O618),$O$2:$O$1001,0),MATCH(COLUMNS($V$1006:AE1006),$V$1006:$AE$1006,0)), HYPERLINK("#",""), HYPERLINK(CONCATENATE("#Metadata!", ADDRESS(INDEX($Q$2:$Q$1001,MATCH(ROWS($O$2:O618),$O$2:$O$1001,0),0), INDEX($V$1004:$AE$1004,1,MATCH(COLUMNS($V$1006:AE1006),$V$1006:$AE$1006,0)))),"Fix")))</f>
        <v>0</v>
      </c>
      <c r="O618">
        <v>0</v>
      </c>
      <c r="P618">
        <v>0</v>
      </c>
      <c r="Q618">
        <v>0</v>
      </c>
      <c r="R618">
        <f>IF(S618,TRUE,AND(V618:AE618))</f>
        <v>0</v>
      </c>
      <c r="S618">
        <f>COUNTBLANK(Metadata!B618:K618)=COLUMNS(Metadata!B618:K618)</f>
        <v>0</v>
      </c>
      <c r="T618">
        <v>0</v>
      </c>
      <c r="V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W618">
        <f>AND(IF(Metadata!C618="",FALSE,TRUE),exact(Metadata!C618,"animal secretion"))</f>
        <v>0</v>
      </c>
      <c r="X618">
        <f>AND(IF(Metadata!D618="",FALSE,TRUE),exact(Metadata!D618,"saliva"))</f>
        <v>0</v>
      </c>
      <c r="Y618">
        <f>AND(IF(Metadata!E618="",FALSE,TRUE),exact(Metadata!E618,"human-oral"))</f>
        <v>0</v>
      </c>
      <c r="Z618">
        <f>AND(IF(Metadata!F618="",FALSE,TRUE),exact(Metadata!F618,"UBERON:oral cavity"))</f>
        <v>0</v>
      </c>
      <c r="AA618">
        <f>AND(IF(Metadata!G618="",FALSE,TRUE),exact(Metadata!G618,"UBERON:saliva"))</f>
        <v>0</v>
      </c>
      <c r="AB618">
        <f>AND(IF(Metadata!H618="",FALSE,TRUE),exact(Metadata!H618,"UBERON:tongue"))</f>
        <v>0</v>
      </c>
      <c r="AC618">
        <f>AND(IF(Metadata!I618="",FALSE,TRUE),exact(Metadata!I618,"tongue"))</f>
        <v>0</v>
      </c>
      <c r="AD618">
        <f>AND(IF(Metadata!J618="",FALSE,TRUE),exact(Metadata!J618,"human oral metagenome"))</f>
        <v>0</v>
      </c>
      <c r="AE618">
        <f>AND(IF(Metadata!K618="",FALSE,TRUE),exact(Metadata!K618,"447426"))</f>
        <v>0</v>
      </c>
    </row>
    <row r="619" spans="1:31">
      <c r="A619" s="4">
        <f>IF(B619=" "," ",HYPERLINK(CONCATENATE("#metadata!",ADDRESS(INDEX($Q$2:$Q$1001,MATCH(ROWS($O$2:O619),$O$2:$O$1001,0),0),1)),INDEX($T$2:$T$1001,MATCH(ROWS($O$2:O619),$O$2:$O$1001,0),0)))</f>
        <v>0</v>
      </c>
      <c r="B619" s="3">
        <f>IF(OR(INDEX($P$2:$P$1001,MATCH(ROWS($O$2:O619),$O$2:$O$1001,0),1)&gt;=100000,INDEX($V$1005:$AE$1005,1,MATCH(COLUMNS($V$1006:V1006),$V$1006:$AE$1006,0))&gt;=100000), " ",IF(INDEX($V$2:$AE$1001,MATCH(ROWS($O$2:O619),$O$2:$O$1001,0),MATCH(COLUMNS($V$1006:V1006),$V$1006:$AE$1006,0)), HYPERLINK("#",""), HYPERLINK(CONCATENATE("#Metadata!", ADDRESS(INDEX($Q$2:$Q$1001,MATCH(ROWS($O$2:O619),$O$2:$O$1001,0),0), INDEX($V$1004:$AE$1004,1,MATCH(COLUMNS($V$1006:V1006),$V$1006:$AE$1006,0)))),"Fix")))</f>
        <v>0</v>
      </c>
      <c r="C619" s="3">
        <f>IF(OR(INDEX($P$2:$P$1001,MATCH(ROWS($O$2:O619),$O$2:$O$1001,0),1)&gt;=100000,INDEX($V$1005:$AE$1005,1,MATCH(COLUMNS($V$1006:W1006),$V$1006:$AE$1006,0))&gt;=100000), " ",IF(INDEX($V$2:$AE$1001,MATCH(ROWS($O$2:O619),$O$2:$O$1001,0),MATCH(COLUMNS($V$1006:W1006),$V$1006:$AE$1006,0)), HYPERLINK("#",""), HYPERLINK(CONCATENATE("#Metadata!", ADDRESS(INDEX($Q$2:$Q$1001,MATCH(ROWS($O$2:O619),$O$2:$O$1001,0),0), INDEX($V$1004:$AE$1004,1,MATCH(COLUMNS($V$1006:W1006),$V$1006:$AE$1006,0)))),"Fix")))</f>
        <v>0</v>
      </c>
      <c r="D619" s="3">
        <f>IF(OR(INDEX($P$2:$P$1001,MATCH(ROWS($O$2:O619),$O$2:$O$1001,0),1)&gt;=100000,INDEX($V$1005:$AE$1005,1,MATCH(COLUMNS($V$1006:X1006),$V$1006:$AE$1006,0))&gt;=100000), " ",IF(INDEX($V$2:$AE$1001,MATCH(ROWS($O$2:O619),$O$2:$O$1001,0),MATCH(COLUMNS($V$1006:X1006),$V$1006:$AE$1006,0)), HYPERLINK("#",""), HYPERLINK(CONCATENATE("#Metadata!", ADDRESS(INDEX($Q$2:$Q$1001,MATCH(ROWS($O$2:O619),$O$2:$O$1001,0),0), INDEX($V$1004:$AE$1004,1,MATCH(COLUMNS($V$1006:X1006),$V$1006:$AE$1006,0)))),"Fix")))</f>
        <v>0</v>
      </c>
      <c r="E619" s="3">
        <f>IF(OR(INDEX($P$2:$P$1001,MATCH(ROWS($O$2:O619),$O$2:$O$1001,0),1)&gt;=100000,INDEX($V$1005:$AE$1005,1,MATCH(COLUMNS($V$1006:Y1006),$V$1006:$AE$1006,0))&gt;=100000), " ",IF(INDEX($V$2:$AE$1001,MATCH(ROWS($O$2:O619),$O$2:$O$1001,0),MATCH(COLUMNS($V$1006:Y1006),$V$1006:$AE$1006,0)), HYPERLINK("#",""), HYPERLINK(CONCATENATE("#Metadata!", ADDRESS(INDEX($Q$2:$Q$1001,MATCH(ROWS($O$2:O619),$O$2:$O$1001,0),0), INDEX($V$1004:$AE$1004,1,MATCH(COLUMNS($V$1006:Y1006),$V$1006:$AE$1006,0)))),"Fix")))</f>
        <v>0</v>
      </c>
      <c r="F619" s="3">
        <f>IF(OR(INDEX($P$2:$P$1001,MATCH(ROWS($O$2:O619),$O$2:$O$1001,0),1)&gt;=100000,INDEX($V$1005:$AE$1005,1,MATCH(COLUMNS($V$1006:Z1006),$V$1006:$AE$1006,0))&gt;=100000), " ",IF(INDEX($V$2:$AE$1001,MATCH(ROWS($O$2:O619),$O$2:$O$1001,0),MATCH(COLUMNS($V$1006:Z1006),$V$1006:$AE$1006,0)), HYPERLINK("#",""), HYPERLINK(CONCATENATE("#Metadata!", ADDRESS(INDEX($Q$2:$Q$1001,MATCH(ROWS($O$2:O619),$O$2:$O$1001,0),0), INDEX($V$1004:$AE$1004,1,MATCH(COLUMNS($V$1006:Z1006),$V$1006:$AE$1006,0)))),"Fix")))</f>
        <v>0</v>
      </c>
      <c r="G619" s="3">
        <f>IF(OR(INDEX($P$2:$P$1001,MATCH(ROWS($O$2:O619),$O$2:$O$1001,0),1)&gt;=100000,INDEX($V$1005:$AE$1005,1,MATCH(COLUMNS($V$1006:AA1006),$V$1006:$AE$1006,0))&gt;=100000), " ",IF(INDEX($V$2:$AE$1001,MATCH(ROWS($O$2:O619),$O$2:$O$1001,0),MATCH(COLUMNS($V$1006:AA1006),$V$1006:$AE$1006,0)), HYPERLINK("#",""), HYPERLINK(CONCATENATE("#Metadata!", ADDRESS(INDEX($Q$2:$Q$1001,MATCH(ROWS($O$2:O619),$O$2:$O$1001,0),0), INDEX($V$1004:$AE$1004,1,MATCH(COLUMNS($V$1006:AA1006),$V$1006:$AE$1006,0)))),"Fix")))</f>
        <v>0</v>
      </c>
      <c r="H619" s="3">
        <f>IF(OR(INDEX($P$2:$P$1001,MATCH(ROWS($O$2:O619),$O$2:$O$1001,0),1)&gt;=100000,INDEX($V$1005:$AE$1005,1,MATCH(COLUMNS($V$1006:AB1006),$V$1006:$AE$1006,0))&gt;=100000), " ",IF(INDEX($V$2:$AE$1001,MATCH(ROWS($O$2:O619),$O$2:$O$1001,0),MATCH(COLUMNS($V$1006:AB1006),$V$1006:$AE$1006,0)), HYPERLINK("#",""), HYPERLINK(CONCATENATE("#Metadata!", ADDRESS(INDEX($Q$2:$Q$1001,MATCH(ROWS($O$2:O619),$O$2:$O$1001,0),0), INDEX($V$1004:$AE$1004,1,MATCH(COLUMNS($V$1006:AB1006),$V$1006:$AE$1006,0)))),"Fix")))</f>
        <v>0</v>
      </c>
      <c r="I619" s="3">
        <f>IF(OR(INDEX($P$2:$P$1001,MATCH(ROWS($O$2:O619),$O$2:$O$1001,0),1)&gt;=100000,INDEX($V$1005:$AE$1005,1,MATCH(COLUMNS($V$1006:AC1006),$V$1006:$AE$1006,0))&gt;=100000), " ",IF(INDEX($V$2:$AE$1001,MATCH(ROWS($O$2:O619),$O$2:$O$1001,0),MATCH(COLUMNS($V$1006:AC1006),$V$1006:$AE$1006,0)), HYPERLINK("#",""), HYPERLINK(CONCATENATE("#Metadata!", ADDRESS(INDEX($Q$2:$Q$1001,MATCH(ROWS($O$2:O619),$O$2:$O$1001,0),0), INDEX($V$1004:$AE$1004,1,MATCH(COLUMNS($V$1006:AC1006),$V$1006:$AE$1006,0)))),"Fix")))</f>
        <v>0</v>
      </c>
      <c r="J619" s="3">
        <f>IF(OR(INDEX($P$2:$P$1001,MATCH(ROWS($O$2:O619),$O$2:$O$1001,0),1)&gt;=100000,INDEX($V$1005:$AE$1005,1,MATCH(COLUMNS($V$1006:AD1006),$V$1006:$AE$1006,0))&gt;=100000), " ",IF(INDEX($V$2:$AE$1001,MATCH(ROWS($O$2:O619),$O$2:$O$1001,0),MATCH(COLUMNS($V$1006:AD1006),$V$1006:$AE$1006,0)), HYPERLINK("#",""), HYPERLINK(CONCATENATE("#Metadata!", ADDRESS(INDEX($Q$2:$Q$1001,MATCH(ROWS($O$2:O619),$O$2:$O$1001,0),0), INDEX($V$1004:$AE$1004,1,MATCH(COLUMNS($V$1006:AD1006),$V$1006:$AE$1006,0)))),"Fix")))</f>
        <v>0</v>
      </c>
      <c r="K619" s="3">
        <f>IF(OR(INDEX($P$2:$P$1001,MATCH(ROWS($O$2:O619),$O$2:$O$1001,0),1)&gt;=100000,INDEX($V$1005:$AE$1005,1,MATCH(COLUMNS($V$1006:AE1006),$V$1006:$AE$1006,0))&gt;=100000), " ",IF(INDEX($V$2:$AE$1001,MATCH(ROWS($O$2:O619),$O$2:$O$1001,0),MATCH(COLUMNS($V$1006:AE1006),$V$1006:$AE$1006,0)), HYPERLINK("#",""), HYPERLINK(CONCATENATE("#Metadata!", ADDRESS(INDEX($Q$2:$Q$1001,MATCH(ROWS($O$2:O619),$O$2:$O$1001,0),0), INDEX($V$1004:$AE$1004,1,MATCH(COLUMNS($V$1006:AE1006),$V$1006:$AE$1006,0)))),"Fix")))</f>
        <v>0</v>
      </c>
      <c r="O619">
        <v>0</v>
      </c>
      <c r="P619">
        <v>0</v>
      </c>
      <c r="Q619">
        <v>0</v>
      </c>
      <c r="R619">
        <f>IF(S619,TRUE,AND(V619:AE619))</f>
        <v>0</v>
      </c>
      <c r="S619">
        <f>COUNTBLANK(Metadata!B619:K619)=COLUMNS(Metadata!B619:K619)</f>
        <v>0</v>
      </c>
      <c r="T619">
        <v>0</v>
      </c>
      <c r="V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W619">
        <f>AND(IF(Metadata!C619="",FALSE,TRUE),exact(Metadata!C619,"animal secretion"))</f>
        <v>0</v>
      </c>
      <c r="X619">
        <f>AND(IF(Metadata!D619="",FALSE,TRUE),exact(Metadata!D619,"saliva"))</f>
        <v>0</v>
      </c>
      <c r="Y619">
        <f>AND(IF(Metadata!E619="",FALSE,TRUE),exact(Metadata!E619,"human-oral"))</f>
        <v>0</v>
      </c>
      <c r="Z619">
        <f>AND(IF(Metadata!F619="",FALSE,TRUE),exact(Metadata!F619,"UBERON:oral cavity"))</f>
        <v>0</v>
      </c>
      <c r="AA619">
        <f>AND(IF(Metadata!G619="",FALSE,TRUE),exact(Metadata!G619,"UBERON:saliva"))</f>
        <v>0</v>
      </c>
      <c r="AB619">
        <f>AND(IF(Metadata!H619="",FALSE,TRUE),exact(Metadata!H619,"UBERON:tongue"))</f>
        <v>0</v>
      </c>
      <c r="AC619">
        <f>AND(IF(Metadata!I619="",FALSE,TRUE),exact(Metadata!I619,"tongue"))</f>
        <v>0</v>
      </c>
      <c r="AD619">
        <f>AND(IF(Metadata!J619="",FALSE,TRUE),exact(Metadata!J619,"human oral metagenome"))</f>
        <v>0</v>
      </c>
      <c r="AE619">
        <f>AND(IF(Metadata!K619="",FALSE,TRUE),exact(Metadata!K619,"447426"))</f>
        <v>0</v>
      </c>
    </row>
    <row r="620" spans="1:31">
      <c r="A620" s="4">
        <f>IF(B620=" "," ",HYPERLINK(CONCATENATE("#metadata!",ADDRESS(INDEX($Q$2:$Q$1001,MATCH(ROWS($O$2:O620),$O$2:$O$1001,0),0),1)),INDEX($T$2:$T$1001,MATCH(ROWS($O$2:O620),$O$2:$O$1001,0),0)))</f>
        <v>0</v>
      </c>
      <c r="B620" s="3">
        <f>IF(OR(INDEX($P$2:$P$1001,MATCH(ROWS($O$2:O620),$O$2:$O$1001,0),1)&gt;=100000,INDEX($V$1005:$AE$1005,1,MATCH(COLUMNS($V$1006:V1006),$V$1006:$AE$1006,0))&gt;=100000), " ",IF(INDEX($V$2:$AE$1001,MATCH(ROWS($O$2:O620),$O$2:$O$1001,0),MATCH(COLUMNS($V$1006:V1006),$V$1006:$AE$1006,0)), HYPERLINK("#",""), HYPERLINK(CONCATENATE("#Metadata!", ADDRESS(INDEX($Q$2:$Q$1001,MATCH(ROWS($O$2:O620),$O$2:$O$1001,0),0), INDEX($V$1004:$AE$1004,1,MATCH(COLUMNS($V$1006:V1006),$V$1006:$AE$1006,0)))),"Fix")))</f>
        <v>0</v>
      </c>
      <c r="C620" s="3">
        <f>IF(OR(INDEX($P$2:$P$1001,MATCH(ROWS($O$2:O620),$O$2:$O$1001,0),1)&gt;=100000,INDEX($V$1005:$AE$1005,1,MATCH(COLUMNS($V$1006:W1006),$V$1006:$AE$1006,0))&gt;=100000), " ",IF(INDEX($V$2:$AE$1001,MATCH(ROWS($O$2:O620),$O$2:$O$1001,0),MATCH(COLUMNS($V$1006:W1006),$V$1006:$AE$1006,0)), HYPERLINK("#",""), HYPERLINK(CONCATENATE("#Metadata!", ADDRESS(INDEX($Q$2:$Q$1001,MATCH(ROWS($O$2:O620),$O$2:$O$1001,0),0), INDEX($V$1004:$AE$1004,1,MATCH(COLUMNS($V$1006:W1006),$V$1006:$AE$1006,0)))),"Fix")))</f>
        <v>0</v>
      </c>
      <c r="D620" s="3">
        <f>IF(OR(INDEX($P$2:$P$1001,MATCH(ROWS($O$2:O620),$O$2:$O$1001,0),1)&gt;=100000,INDEX($V$1005:$AE$1005,1,MATCH(COLUMNS($V$1006:X1006),$V$1006:$AE$1006,0))&gt;=100000), " ",IF(INDEX($V$2:$AE$1001,MATCH(ROWS($O$2:O620),$O$2:$O$1001,0),MATCH(COLUMNS($V$1006:X1006),$V$1006:$AE$1006,0)), HYPERLINK("#",""), HYPERLINK(CONCATENATE("#Metadata!", ADDRESS(INDEX($Q$2:$Q$1001,MATCH(ROWS($O$2:O620),$O$2:$O$1001,0),0), INDEX($V$1004:$AE$1004,1,MATCH(COLUMNS($V$1006:X1006),$V$1006:$AE$1006,0)))),"Fix")))</f>
        <v>0</v>
      </c>
      <c r="E620" s="3">
        <f>IF(OR(INDEX($P$2:$P$1001,MATCH(ROWS($O$2:O620),$O$2:$O$1001,0),1)&gt;=100000,INDEX($V$1005:$AE$1005,1,MATCH(COLUMNS($V$1006:Y1006),$V$1006:$AE$1006,0))&gt;=100000), " ",IF(INDEX($V$2:$AE$1001,MATCH(ROWS($O$2:O620),$O$2:$O$1001,0),MATCH(COLUMNS($V$1006:Y1006),$V$1006:$AE$1006,0)), HYPERLINK("#",""), HYPERLINK(CONCATENATE("#Metadata!", ADDRESS(INDEX($Q$2:$Q$1001,MATCH(ROWS($O$2:O620),$O$2:$O$1001,0),0), INDEX($V$1004:$AE$1004,1,MATCH(COLUMNS($V$1006:Y1006),$V$1006:$AE$1006,0)))),"Fix")))</f>
        <v>0</v>
      </c>
      <c r="F620" s="3">
        <f>IF(OR(INDEX($P$2:$P$1001,MATCH(ROWS($O$2:O620),$O$2:$O$1001,0),1)&gt;=100000,INDEX($V$1005:$AE$1005,1,MATCH(COLUMNS($V$1006:Z1006),$V$1006:$AE$1006,0))&gt;=100000), " ",IF(INDEX($V$2:$AE$1001,MATCH(ROWS($O$2:O620),$O$2:$O$1001,0),MATCH(COLUMNS($V$1006:Z1006),$V$1006:$AE$1006,0)), HYPERLINK("#",""), HYPERLINK(CONCATENATE("#Metadata!", ADDRESS(INDEX($Q$2:$Q$1001,MATCH(ROWS($O$2:O620),$O$2:$O$1001,0),0), INDEX($V$1004:$AE$1004,1,MATCH(COLUMNS($V$1006:Z1006),$V$1006:$AE$1006,0)))),"Fix")))</f>
        <v>0</v>
      </c>
      <c r="G620" s="3">
        <f>IF(OR(INDEX($P$2:$P$1001,MATCH(ROWS($O$2:O620),$O$2:$O$1001,0),1)&gt;=100000,INDEX($V$1005:$AE$1005,1,MATCH(COLUMNS($V$1006:AA1006),$V$1006:$AE$1006,0))&gt;=100000), " ",IF(INDEX($V$2:$AE$1001,MATCH(ROWS($O$2:O620),$O$2:$O$1001,0),MATCH(COLUMNS($V$1006:AA1006),$V$1006:$AE$1006,0)), HYPERLINK("#",""), HYPERLINK(CONCATENATE("#Metadata!", ADDRESS(INDEX($Q$2:$Q$1001,MATCH(ROWS($O$2:O620),$O$2:$O$1001,0),0), INDEX($V$1004:$AE$1004,1,MATCH(COLUMNS($V$1006:AA1006),$V$1006:$AE$1006,0)))),"Fix")))</f>
        <v>0</v>
      </c>
      <c r="H620" s="3">
        <f>IF(OR(INDEX($P$2:$P$1001,MATCH(ROWS($O$2:O620),$O$2:$O$1001,0),1)&gt;=100000,INDEX($V$1005:$AE$1005,1,MATCH(COLUMNS($V$1006:AB1006),$V$1006:$AE$1006,0))&gt;=100000), " ",IF(INDEX($V$2:$AE$1001,MATCH(ROWS($O$2:O620),$O$2:$O$1001,0),MATCH(COLUMNS($V$1006:AB1006),$V$1006:$AE$1006,0)), HYPERLINK("#",""), HYPERLINK(CONCATENATE("#Metadata!", ADDRESS(INDEX($Q$2:$Q$1001,MATCH(ROWS($O$2:O620),$O$2:$O$1001,0),0), INDEX($V$1004:$AE$1004,1,MATCH(COLUMNS($V$1006:AB1006),$V$1006:$AE$1006,0)))),"Fix")))</f>
        <v>0</v>
      </c>
      <c r="I620" s="3">
        <f>IF(OR(INDEX($P$2:$P$1001,MATCH(ROWS($O$2:O620),$O$2:$O$1001,0),1)&gt;=100000,INDEX($V$1005:$AE$1005,1,MATCH(COLUMNS($V$1006:AC1006),$V$1006:$AE$1006,0))&gt;=100000), " ",IF(INDEX($V$2:$AE$1001,MATCH(ROWS($O$2:O620),$O$2:$O$1001,0),MATCH(COLUMNS($V$1006:AC1006),$V$1006:$AE$1006,0)), HYPERLINK("#",""), HYPERLINK(CONCATENATE("#Metadata!", ADDRESS(INDEX($Q$2:$Q$1001,MATCH(ROWS($O$2:O620),$O$2:$O$1001,0),0), INDEX($V$1004:$AE$1004,1,MATCH(COLUMNS($V$1006:AC1006),$V$1006:$AE$1006,0)))),"Fix")))</f>
        <v>0</v>
      </c>
      <c r="J620" s="3">
        <f>IF(OR(INDEX($P$2:$P$1001,MATCH(ROWS($O$2:O620),$O$2:$O$1001,0),1)&gt;=100000,INDEX($V$1005:$AE$1005,1,MATCH(COLUMNS($V$1006:AD1006),$V$1006:$AE$1006,0))&gt;=100000), " ",IF(INDEX($V$2:$AE$1001,MATCH(ROWS($O$2:O620),$O$2:$O$1001,0),MATCH(COLUMNS($V$1006:AD1006),$V$1006:$AE$1006,0)), HYPERLINK("#",""), HYPERLINK(CONCATENATE("#Metadata!", ADDRESS(INDEX($Q$2:$Q$1001,MATCH(ROWS($O$2:O620),$O$2:$O$1001,0),0), INDEX($V$1004:$AE$1004,1,MATCH(COLUMNS($V$1006:AD1006),$V$1006:$AE$1006,0)))),"Fix")))</f>
        <v>0</v>
      </c>
      <c r="K620" s="3">
        <f>IF(OR(INDEX($P$2:$P$1001,MATCH(ROWS($O$2:O620),$O$2:$O$1001,0),1)&gt;=100000,INDEX($V$1005:$AE$1005,1,MATCH(COLUMNS($V$1006:AE1006),$V$1006:$AE$1006,0))&gt;=100000), " ",IF(INDEX($V$2:$AE$1001,MATCH(ROWS($O$2:O620),$O$2:$O$1001,0),MATCH(COLUMNS($V$1006:AE1006),$V$1006:$AE$1006,0)), HYPERLINK("#",""), HYPERLINK(CONCATENATE("#Metadata!", ADDRESS(INDEX($Q$2:$Q$1001,MATCH(ROWS($O$2:O620),$O$2:$O$1001,0),0), INDEX($V$1004:$AE$1004,1,MATCH(COLUMNS($V$1006:AE1006),$V$1006:$AE$1006,0)))),"Fix")))</f>
        <v>0</v>
      </c>
      <c r="O620">
        <v>0</v>
      </c>
      <c r="P620">
        <v>0</v>
      </c>
      <c r="Q620">
        <v>0</v>
      </c>
      <c r="R620">
        <f>IF(S620,TRUE,AND(V620:AE620))</f>
        <v>0</v>
      </c>
      <c r="S620">
        <f>COUNTBLANK(Metadata!B620:K620)=COLUMNS(Metadata!B620:K620)</f>
        <v>0</v>
      </c>
      <c r="T620">
        <v>0</v>
      </c>
      <c r="V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W620">
        <f>AND(IF(Metadata!C620="",FALSE,TRUE),exact(Metadata!C620,"animal secretion"))</f>
        <v>0</v>
      </c>
      <c r="X620">
        <f>AND(IF(Metadata!D620="",FALSE,TRUE),exact(Metadata!D620,"saliva"))</f>
        <v>0</v>
      </c>
      <c r="Y620">
        <f>AND(IF(Metadata!E620="",FALSE,TRUE),exact(Metadata!E620,"human-oral"))</f>
        <v>0</v>
      </c>
      <c r="Z620">
        <f>AND(IF(Metadata!F620="",FALSE,TRUE),exact(Metadata!F620,"UBERON:oral cavity"))</f>
        <v>0</v>
      </c>
      <c r="AA620">
        <f>AND(IF(Metadata!G620="",FALSE,TRUE),exact(Metadata!G620,"UBERON:saliva"))</f>
        <v>0</v>
      </c>
      <c r="AB620">
        <f>AND(IF(Metadata!H620="",FALSE,TRUE),exact(Metadata!H620,"UBERON:tongue"))</f>
        <v>0</v>
      </c>
      <c r="AC620">
        <f>AND(IF(Metadata!I620="",FALSE,TRUE),exact(Metadata!I620,"tongue"))</f>
        <v>0</v>
      </c>
      <c r="AD620">
        <f>AND(IF(Metadata!J620="",FALSE,TRUE),exact(Metadata!J620,"human oral metagenome"))</f>
        <v>0</v>
      </c>
      <c r="AE620">
        <f>AND(IF(Metadata!K620="",FALSE,TRUE),exact(Metadata!K620,"447426"))</f>
        <v>0</v>
      </c>
    </row>
    <row r="621" spans="1:31">
      <c r="A621" s="4">
        <f>IF(B621=" "," ",HYPERLINK(CONCATENATE("#metadata!",ADDRESS(INDEX($Q$2:$Q$1001,MATCH(ROWS($O$2:O621),$O$2:$O$1001,0),0),1)),INDEX($T$2:$T$1001,MATCH(ROWS($O$2:O621),$O$2:$O$1001,0),0)))</f>
        <v>0</v>
      </c>
      <c r="B621" s="3">
        <f>IF(OR(INDEX($P$2:$P$1001,MATCH(ROWS($O$2:O621),$O$2:$O$1001,0),1)&gt;=100000,INDEX($V$1005:$AE$1005,1,MATCH(COLUMNS($V$1006:V1006),$V$1006:$AE$1006,0))&gt;=100000), " ",IF(INDEX($V$2:$AE$1001,MATCH(ROWS($O$2:O621),$O$2:$O$1001,0),MATCH(COLUMNS($V$1006:V1006),$V$1006:$AE$1006,0)), HYPERLINK("#",""), HYPERLINK(CONCATENATE("#Metadata!", ADDRESS(INDEX($Q$2:$Q$1001,MATCH(ROWS($O$2:O621),$O$2:$O$1001,0),0), INDEX($V$1004:$AE$1004,1,MATCH(COLUMNS($V$1006:V1006),$V$1006:$AE$1006,0)))),"Fix")))</f>
        <v>0</v>
      </c>
      <c r="C621" s="3">
        <f>IF(OR(INDEX($P$2:$P$1001,MATCH(ROWS($O$2:O621),$O$2:$O$1001,0),1)&gt;=100000,INDEX($V$1005:$AE$1005,1,MATCH(COLUMNS($V$1006:W1006),$V$1006:$AE$1006,0))&gt;=100000), " ",IF(INDEX($V$2:$AE$1001,MATCH(ROWS($O$2:O621),$O$2:$O$1001,0),MATCH(COLUMNS($V$1006:W1006),$V$1006:$AE$1006,0)), HYPERLINK("#",""), HYPERLINK(CONCATENATE("#Metadata!", ADDRESS(INDEX($Q$2:$Q$1001,MATCH(ROWS($O$2:O621),$O$2:$O$1001,0),0), INDEX($V$1004:$AE$1004,1,MATCH(COLUMNS($V$1006:W1006),$V$1006:$AE$1006,0)))),"Fix")))</f>
        <v>0</v>
      </c>
      <c r="D621" s="3">
        <f>IF(OR(INDEX($P$2:$P$1001,MATCH(ROWS($O$2:O621),$O$2:$O$1001,0),1)&gt;=100000,INDEX($V$1005:$AE$1005,1,MATCH(COLUMNS($V$1006:X1006),$V$1006:$AE$1006,0))&gt;=100000), " ",IF(INDEX($V$2:$AE$1001,MATCH(ROWS($O$2:O621),$O$2:$O$1001,0),MATCH(COLUMNS($V$1006:X1006),$V$1006:$AE$1006,0)), HYPERLINK("#",""), HYPERLINK(CONCATENATE("#Metadata!", ADDRESS(INDEX($Q$2:$Q$1001,MATCH(ROWS($O$2:O621),$O$2:$O$1001,0),0), INDEX($V$1004:$AE$1004,1,MATCH(COLUMNS($V$1006:X1006),$V$1006:$AE$1006,0)))),"Fix")))</f>
        <v>0</v>
      </c>
      <c r="E621" s="3">
        <f>IF(OR(INDEX($P$2:$P$1001,MATCH(ROWS($O$2:O621),$O$2:$O$1001,0),1)&gt;=100000,INDEX($V$1005:$AE$1005,1,MATCH(COLUMNS($V$1006:Y1006),$V$1006:$AE$1006,0))&gt;=100000), " ",IF(INDEX($V$2:$AE$1001,MATCH(ROWS($O$2:O621),$O$2:$O$1001,0),MATCH(COLUMNS($V$1006:Y1006),$V$1006:$AE$1006,0)), HYPERLINK("#",""), HYPERLINK(CONCATENATE("#Metadata!", ADDRESS(INDEX($Q$2:$Q$1001,MATCH(ROWS($O$2:O621),$O$2:$O$1001,0),0), INDEX($V$1004:$AE$1004,1,MATCH(COLUMNS($V$1006:Y1006),$V$1006:$AE$1006,0)))),"Fix")))</f>
        <v>0</v>
      </c>
      <c r="F621" s="3">
        <f>IF(OR(INDEX($P$2:$P$1001,MATCH(ROWS($O$2:O621),$O$2:$O$1001,0),1)&gt;=100000,INDEX($V$1005:$AE$1005,1,MATCH(COLUMNS($V$1006:Z1006),$V$1006:$AE$1006,0))&gt;=100000), " ",IF(INDEX($V$2:$AE$1001,MATCH(ROWS($O$2:O621),$O$2:$O$1001,0),MATCH(COLUMNS($V$1006:Z1006),$V$1006:$AE$1006,0)), HYPERLINK("#",""), HYPERLINK(CONCATENATE("#Metadata!", ADDRESS(INDEX($Q$2:$Q$1001,MATCH(ROWS($O$2:O621),$O$2:$O$1001,0),0), INDEX($V$1004:$AE$1004,1,MATCH(COLUMNS($V$1006:Z1006),$V$1006:$AE$1006,0)))),"Fix")))</f>
        <v>0</v>
      </c>
      <c r="G621" s="3">
        <f>IF(OR(INDEX($P$2:$P$1001,MATCH(ROWS($O$2:O621),$O$2:$O$1001,0),1)&gt;=100000,INDEX($V$1005:$AE$1005,1,MATCH(COLUMNS($V$1006:AA1006),$V$1006:$AE$1006,0))&gt;=100000), " ",IF(INDEX($V$2:$AE$1001,MATCH(ROWS($O$2:O621),$O$2:$O$1001,0),MATCH(COLUMNS($V$1006:AA1006),$V$1006:$AE$1006,0)), HYPERLINK("#",""), HYPERLINK(CONCATENATE("#Metadata!", ADDRESS(INDEX($Q$2:$Q$1001,MATCH(ROWS($O$2:O621),$O$2:$O$1001,0),0), INDEX($V$1004:$AE$1004,1,MATCH(COLUMNS($V$1006:AA1006),$V$1006:$AE$1006,0)))),"Fix")))</f>
        <v>0</v>
      </c>
      <c r="H621" s="3">
        <f>IF(OR(INDEX($P$2:$P$1001,MATCH(ROWS($O$2:O621),$O$2:$O$1001,0),1)&gt;=100000,INDEX($V$1005:$AE$1005,1,MATCH(COLUMNS($V$1006:AB1006),$V$1006:$AE$1006,0))&gt;=100000), " ",IF(INDEX($V$2:$AE$1001,MATCH(ROWS($O$2:O621),$O$2:$O$1001,0),MATCH(COLUMNS($V$1006:AB1006),$V$1006:$AE$1006,0)), HYPERLINK("#",""), HYPERLINK(CONCATENATE("#Metadata!", ADDRESS(INDEX($Q$2:$Q$1001,MATCH(ROWS($O$2:O621),$O$2:$O$1001,0),0), INDEX($V$1004:$AE$1004,1,MATCH(COLUMNS($V$1006:AB1006),$V$1006:$AE$1006,0)))),"Fix")))</f>
        <v>0</v>
      </c>
      <c r="I621" s="3">
        <f>IF(OR(INDEX($P$2:$P$1001,MATCH(ROWS($O$2:O621),$O$2:$O$1001,0),1)&gt;=100000,INDEX($V$1005:$AE$1005,1,MATCH(COLUMNS($V$1006:AC1006),$V$1006:$AE$1006,0))&gt;=100000), " ",IF(INDEX($V$2:$AE$1001,MATCH(ROWS($O$2:O621),$O$2:$O$1001,0),MATCH(COLUMNS($V$1006:AC1006),$V$1006:$AE$1006,0)), HYPERLINK("#",""), HYPERLINK(CONCATENATE("#Metadata!", ADDRESS(INDEX($Q$2:$Q$1001,MATCH(ROWS($O$2:O621),$O$2:$O$1001,0),0), INDEX($V$1004:$AE$1004,1,MATCH(COLUMNS($V$1006:AC1006),$V$1006:$AE$1006,0)))),"Fix")))</f>
        <v>0</v>
      </c>
      <c r="J621" s="3">
        <f>IF(OR(INDEX($P$2:$P$1001,MATCH(ROWS($O$2:O621),$O$2:$O$1001,0),1)&gt;=100000,INDEX($V$1005:$AE$1005,1,MATCH(COLUMNS($V$1006:AD1006),$V$1006:$AE$1006,0))&gt;=100000), " ",IF(INDEX($V$2:$AE$1001,MATCH(ROWS($O$2:O621),$O$2:$O$1001,0),MATCH(COLUMNS($V$1006:AD1006),$V$1006:$AE$1006,0)), HYPERLINK("#",""), HYPERLINK(CONCATENATE("#Metadata!", ADDRESS(INDEX($Q$2:$Q$1001,MATCH(ROWS($O$2:O621),$O$2:$O$1001,0),0), INDEX($V$1004:$AE$1004,1,MATCH(COLUMNS($V$1006:AD1006),$V$1006:$AE$1006,0)))),"Fix")))</f>
        <v>0</v>
      </c>
      <c r="K621" s="3">
        <f>IF(OR(INDEX($P$2:$P$1001,MATCH(ROWS($O$2:O621),$O$2:$O$1001,0),1)&gt;=100000,INDEX($V$1005:$AE$1005,1,MATCH(COLUMNS($V$1006:AE1006),$V$1006:$AE$1006,0))&gt;=100000), " ",IF(INDEX($V$2:$AE$1001,MATCH(ROWS($O$2:O621),$O$2:$O$1001,0),MATCH(COLUMNS($V$1006:AE1006),$V$1006:$AE$1006,0)), HYPERLINK("#",""), HYPERLINK(CONCATENATE("#Metadata!", ADDRESS(INDEX($Q$2:$Q$1001,MATCH(ROWS($O$2:O621),$O$2:$O$1001,0),0), INDEX($V$1004:$AE$1004,1,MATCH(COLUMNS($V$1006:AE1006),$V$1006:$AE$1006,0)))),"Fix")))</f>
        <v>0</v>
      </c>
      <c r="O621">
        <v>0</v>
      </c>
      <c r="P621">
        <v>0</v>
      </c>
      <c r="Q621">
        <v>0</v>
      </c>
      <c r="R621">
        <f>IF(S621,TRUE,AND(V621:AE621))</f>
        <v>0</v>
      </c>
      <c r="S621">
        <f>COUNTBLANK(Metadata!B621:K621)=COLUMNS(Metadata!B621:K621)</f>
        <v>0</v>
      </c>
      <c r="T621">
        <v>0</v>
      </c>
      <c r="V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W621">
        <f>AND(IF(Metadata!C621="",FALSE,TRUE),exact(Metadata!C621,"animal secretion"))</f>
        <v>0</v>
      </c>
      <c r="X621">
        <f>AND(IF(Metadata!D621="",FALSE,TRUE),exact(Metadata!D621,"saliva"))</f>
        <v>0</v>
      </c>
      <c r="Y621">
        <f>AND(IF(Metadata!E621="",FALSE,TRUE),exact(Metadata!E621,"human-oral"))</f>
        <v>0</v>
      </c>
      <c r="Z621">
        <f>AND(IF(Metadata!F621="",FALSE,TRUE),exact(Metadata!F621,"UBERON:oral cavity"))</f>
        <v>0</v>
      </c>
      <c r="AA621">
        <f>AND(IF(Metadata!G621="",FALSE,TRUE),exact(Metadata!G621,"UBERON:saliva"))</f>
        <v>0</v>
      </c>
      <c r="AB621">
        <f>AND(IF(Metadata!H621="",FALSE,TRUE),exact(Metadata!H621,"UBERON:tongue"))</f>
        <v>0</v>
      </c>
      <c r="AC621">
        <f>AND(IF(Metadata!I621="",FALSE,TRUE),exact(Metadata!I621,"tongue"))</f>
        <v>0</v>
      </c>
      <c r="AD621">
        <f>AND(IF(Metadata!J621="",FALSE,TRUE),exact(Metadata!J621,"human oral metagenome"))</f>
        <v>0</v>
      </c>
      <c r="AE621">
        <f>AND(IF(Metadata!K621="",FALSE,TRUE),exact(Metadata!K621,"447426"))</f>
        <v>0</v>
      </c>
    </row>
    <row r="622" spans="1:31">
      <c r="A622" s="4">
        <f>IF(B622=" "," ",HYPERLINK(CONCATENATE("#metadata!",ADDRESS(INDEX($Q$2:$Q$1001,MATCH(ROWS($O$2:O622),$O$2:$O$1001,0),0),1)),INDEX($T$2:$T$1001,MATCH(ROWS($O$2:O622),$O$2:$O$1001,0),0)))</f>
        <v>0</v>
      </c>
      <c r="B622" s="3">
        <f>IF(OR(INDEX($P$2:$P$1001,MATCH(ROWS($O$2:O622),$O$2:$O$1001,0),1)&gt;=100000,INDEX($V$1005:$AE$1005,1,MATCH(COLUMNS($V$1006:V1006),$V$1006:$AE$1006,0))&gt;=100000), " ",IF(INDEX($V$2:$AE$1001,MATCH(ROWS($O$2:O622),$O$2:$O$1001,0),MATCH(COLUMNS($V$1006:V1006),$V$1006:$AE$1006,0)), HYPERLINK("#",""), HYPERLINK(CONCATENATE("#Metadata!", ADDRESS(INDEX($Q$2:$Q$1001,MATCH(ROWS($O$2:O622),$O$2:$O$1001,0),0), INDEX($V$1004:$AE$1004,1,MATCH(COLUMNS($V$1006:V1006),$V$1006:$AE$1006,0)))),"Fix")))</f>
        <v>0</v>
      </c>
      <c r="C622" s="3">
        <f>IF(OR(INDEX($P$2:$P$1001,MATCH(ROWS($O$2:O622),$O$2:$O$1001,0),1)&gt;=100000,INDEX($V$1005:$AE$1005,1,MATCH(COLUMNS($V$1006:W1006),$V$1006:$AE$1006,0))&gt;=100000), " ",IF(INDEX($V$2:$AE$1001,MATCH(ROWS($O$2:O622),$O$2:$O$1001,0),MATCH(COLUMNS($V$1006:W1006),$V$1006:$AE$1006,0)), HYPERLINK("#",""), HYPERLINK(CONCATENATE("#Metadata!", ADDRESS(INDEX($Q$2:$Q$1001,MATCH(ROWS($O$2:O622),$O$2:$O$1001,0),0), INDEX($V$1004:$AE$1004,1,MATCH(COLUMNS($V$1006:W1006),$V$1006:$AE$1006,0)))),"Fix")))</f>
        <v>0</v>
      </c>
      <c r="D622" s="3">
        <f>IF(OR(INDEX($P$2:$P$1001,MATCH(ROWS($O$2:O622),$O$2:$O$1001,0),1)&gt;=100000,INDEX($V$1005:$AE$1005,1,MATCH(COLUMNS($V$1006:X1006),$V$1006:$AE$1006,0))&gt;=100000), " ",IF(INDEX($V$2:$AE$1001,MATCH(ROWS($O$2:O622),$O$2:$O$1001,0),MATCH(COLUMNS($V$1006:X1006),$V$1006:$AE$1006,0)), HYPERLINK("#",""), HYPERLINK(CONCATENATE("#Metadata!", ADDRESS(INDEX($Q$2:$Q$1001,MATCH(ROWS($O$2:O622),$O$2:$O$1001,0),0), INDEX($V$1004:$AE$1004,1,MATCH(COLUMNS($V$1006:X1006),$V$1006:$AE$1006,0)))),"Fix")))</f>
        <v>0</v>
      </c>
      <c r="E622" s="3">
        <f>IF(OR(INDEX($P$2:$P$1001,MATCH(ROWS($O$2:O622),$O$2:$O$1001,0),1)&gt;=100000,INDEX($V$1005:$AE$1005,1,MATCH(COLUMNS($V$1006:Y1006),$V$1006:$AE$1006,0))&gt;=100000), " ",IF(INDEX($V$2:$AE$1001,MATCH(ROWS($O$2:O622),$O$2:$O$1001,0),MATCH(COLUMNS($V$1006:Y1006),$V$1006:$AE$1006,0)), HYPERLINK("#",""), HYPERLINK(CONCATENATE("#Metadata!", ADDRESS(INDEX($Q$2:$Q$1001,MATCH(ROWS($O$2:O622),$O$2:$O$1001,0),0), INDEX($V$1004:$AE$1004,1,MATCH(COLUMNS($V$1006:Y1006),$V$1006:$AE$1006,0)))),"Fix")))</f>
        <v>0</v>
      </c>
      <c r="F622" s="3">
        <f>IF(OR(INDEX($P$2:$P$1001,MATCH(ROWS($O$2:O622),$O$2:$O$1001,0),1)&gt;=100000,INDEX($V$1005:$AE$1005,1,MATCH(COLUMNS($V$1006:Z1006),$V$1006:$AE$1006,0))&gt;=100000), " ",IF(INDEX($V$2:$AE$1001,MATCH(ROWS($O$2:O622),$O$2:$O$1001,0),MATCH(COLUMNS($V$1006:Z1006),$V$1006:$AE$1006,0)), HYPERLINK("#",""), HYPERLINK(CONCATENATE("#Metadata!", ADDRESS(INDEX($Q$2:$Q$1001,MATCH(ROWS($O$2:O622),$O$2:$O$1001,0),0), INDEX($V$1004:$AE$1004,1,MATCH(COLUMNS($V$1006:Z1006),$V$1006:$AE$1006,0)))),"Fix")))</f>
        <v>0</v>
      </c>
      <c r="G622" s="3">
        <f>IF(OR(INDEX($P$2:$P$1001,MATCH(ROWS($O$2:O622),$O$2:$O$1001,0),1)&gt;=100000,INDEX($V$1005:$AE$1005,1,MATCH(COLUMNS($V$1006:AA1006),$V$1006:$AE$1006,0))&gt;=100000), " ",IF(INDEX($V$2:$AE$1001,MATCH(ROWS($O$2:O622),$O$2:$O$1001,0),MATCH(COLUMNS($V$1006:AA1006),$V$1006:$AE$1006,0)), HYPERLINK("#",""), HYPERLINK(CONCATENATE("#Metadata!", ADDRESS(INDEX($Q$2:$Q$1001,MATCH(ROWS($O$2:O622),$O$2:$O$1001,0),0), INDEX($V$1004:$AE$1004,1,MATCH(COLUMNS($V$1006:AA1006),$V$1006:$AE$1006,0)))),"Fix")))</f>
        <v>0</v>
      </c>
      <c r="H622" s="3">
        <f>IF(OR(INDEX($P$2:$P$1001,MATCH(ROWS($O$2:O622),$O$2:$O$1001,0),1)&gt;=100000,INDEX($V$1005:$AE$1005,1,MATCH(COLUMNS($V$1006:AB1006),$V$1006:$AE$1006,0))&gt;=100000), " ",IF(INDEX($V$2:$AE$1001,MATCH(ROWS($O$2:O622),$O$2:$O$1001,0),MATCH(COLUMNS($V$1006:AB1006),$V$1006:$AE$1006,0)), HYPERLINK("#",""), HYPERLINK(CONCATENATE("#Metadata!", ADDRESS(INDEX($Q$2:$Q$1001,MATCH(ROWS($O$2:O622),$O$2:$O$1001,0),0), INDEX($V$1004:$AE$1004,1,MATCH(COLUMNS($V$1006:AB1006),$V$1006:$AE$1006,0)))),"Fix")))</f>
        <v>0</v>
      </c>
      <c r="I622" s="3">
        <f>IF(OR(INDEX($P$2:$P$1001,MATCH(ROWS($O$2:O622),$O$2:$O$1001,0),1)&gt;=100000,INDEX($V$1005:$AE$1005,1,MATCH(COLUMNS($V$1006:AC1006),$V$1006:$AE$1006,0))&gt;=100000), " ",IF(INDEX($V$2:$AE$1001,MATCH(ROWS($O$2:O622),$O$2:$O$1001,0),MATCH(COLUMNS($V$1006:AC1006),$V$1006:$AE$1006,0)), HYPERLINK("#",""), HYPERLINK(CONCATENATE("#Metadata!", ADDRESS(INDEX($Q$2:$Q$1001,MATCH(ROWS($O$2:O622),$O$2:$O$1001,0),0), INDEX($V$1004:$AE$1004,1,MATCH(COLUMNS($V$1006:AC1006),$V$1006:$AE$1006,0)))),"Fix")))</f>
        <v>0</v>
      </c>
      <c r="J622" s="3">
        <f>IF(OR(INDEX($P$2:$P$1001,MATCH(ROWS($O$2:O622),$O$2:$O$1001,0),1)&gt;=100000,INDEX($V$1005:$AE$1005,1,MATCH(COLUMNS($V$1006:AD1006),$V$1006:$AE$1006,0))&gt;=100000), " ",IF(INDEX($V$2:$AE$1001,MATCH(ROWS($O$2:O622),$O$2:$O$1001,0),MATCH(COLUMNS($V$1006:AD1006),$V$1006:$AE$1006,0)), HYPERLINK("#",""), HYPERLINK(CONCATENATE("#Metadata!", ADDRESS(INDEX($Q$2:$Q$1001,MATCH(ROWS($O$2:O622),$O$2:$O$1001,0),0), INDEX($V$1004:$AE$1004,1,MATCH(COLUMNS($V$1006:AD1006),$V$1006:$AE$1006,0)))),"Fix")))</f>
        <v>0</v>
      </c>
      <c r="K622" s="3">
        <f>IF(OR(INDEX($P$2:$P$1001,MATCH(ROWS($O$2:O622),$O$2:$O$1001,0),1)&gt;=100000,INDEX($V$1005:$AE$1005,1,MATCH(COLUMNS($V$1006:AE1006),$V$1006:$AE$1006,0))&gt;=100000), " ",IF(INDEX($V$2:$AE$1001,MATCH(ROWS($O$2:O622),$O$2:$O$1001,0),MATCH(COLUMNS($V$1006:AE1006),$V$1006:$AE$1006,0)), HYPERLINK("#",""), HYPERLINK(CONCATENATE("#Metadata!", ADDRESS(INDEX($Q$2:$Q$1001,MATCH(ROWS($O$2:O622),$O$2:$O$1001,0),0), INDEX($V$1004:$AE$1004,1,MATCH(COLUMNS($V$1006:AE1006),$V$1006:$AE$1006,0)))),"Fix")))</f>
        <v>0</v>
      </c>
      <c r="O622">
        <v>0</v>
      </c>
      <c r="P622">
        <v>0</v>
      </c>
      <c r="Q622">
        <v>0</v>
      </c>
      <c r="R622">
        <f>IF(S622,TRUE,AND(V622:AE622))</f>
        <v>0</v>
      </c>
      <c r="S622">
        <f>COUNTBLANK(Metadata!B622:K622)=COLUMNS(Metadata!B622:K622)</f>
        <v>0</v>
      </c>
      <c r="T622">
        <v>0</v>
      </c>
      <c r="V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W622">
        <f>AND(IF(Metadata!C622="",FALSE,TRUE),exact(Metadata!C622,"animal secretion"))</f>
        <v>0</v>
      </c>
      <c r="X622">
        <f>AND(IF(Metadata!D622="",FALSE,TRUE),exact(Metadata!D622,"saliva"))</f>
        <v>0</v>
      </c>
      <c r="Y622">
        <f>AND(IF(Metadata!E622="",FALSE,TRUE),exact(Metadata!E622,"human-oral"))</f>
        <v>0</v>
      </c>
      <c r="Z622">
        <f>AND(IF(Metadata!F622="",FALSE,TRUE),exact(Metadata!F622,"UBERON:oral cavity"))</f>
        <v>0</v>
      </c>
      <c r="AA622">
        <f>AND(IF(Metadata!G622="",FALSE,TRUE),exact(Metadata!G622,"UBERON:saliva"))</f>
        <v>0</v>
      </c>
      <c r="AB622">
        <f>AND(IF(Metadata!H622="",FALSE,TRUE),exact(Metadata!H622,"UBERON:tongue"))</f>
        <v>0</v>
      </c>
      <c r="AC622">
        <f>AND(IF(Metadata!I622="",FALSE,TRUE),exact(Metadata!I622,"tongue"))</f>
        <v>0</v>
      </c>
      <c r="AD622">
        <f>AND(IF(Metadata!J622="",FALSE,TRUE),exact(Metadata!J622,"human oral metagenome"))</f>
        <v>0</v>
      </c>
      <c r="AE622">
        <f>AND(IF(Metadata!K622="",FALSE,TRUE),exact(Metadata!K622,"447426"))</f>
        <v>0</v>
      </c>
    </row>
    <row r="623" spans="1:31">
      <c r="A623" s="4">
        <f>IF(B623=" "," ",HYPERLINK(CONCATENATE("#metadata!",ADDRESS(INDEX($Q$2:$Q$1001,MATCH(ROWS($O$2:O623),$O$2:$O$1001,0),0),1)),INDEX($T$2:$T$1001,MATCH(ROWS($O$2:O623),$O$2:$O$1001,0),0)))</f>
        <v>0</v>
      </c>
      <c r="B623" s="3">
        <f>IF(OR(INDEX($P$2:$P$1001,MATCH(ROWS($O$2:O623),$O$2:$O$1001,0),1)&gt;=100000,INDEX($V$1005:$AE$1005,1,MATCH(COLUMNS($V$1006:V1006),$V$1006:$AE$1006,0))&gt;=100000), " ",IF(INDEX($V$2:$AE$1001,MATCH(ROWS($O$2:O623),$O$2:$O$1001,0),MATCH(COLUMNS($V$1006:V1006),$V$1006:$AE$1006,0)), HYPERLINK("#",""), HYPERLINK(CONCATENATE("#Metadata!", ADDRESS(INDEX($Q$2:$Q$1001,MATCH(ROWS($O$2:O623),$O$2:$O$1001,0),0), INDEX($V$1004:$AE$1004,1,MATCH(COLUMNS($V$1006:V1006),$V$1006:$AE$1006,0)))),"Fix")))</f>
        <v>0</v>
      </c>
      <c r="C623" s="3">
        <f>IF(OR(INDEX($P$2:$P$1001,MATCH(ROWS($O$2:O623),$O$2:$O$1001,0),1)&gt;=100000,INDEX($V$1005:$AE$1005,1,MATCH(COLUMNS($V$1006:W1006),$V$1006:$AE$1006,0))&gt;=100000), " ",IF(INDEX($V$2:$AE$1001,MATCH(ROWS($O$2:O623),$O$2:$O$1001,0),MATCH(COLUMNS($V$1006:W1006),$V$1006:$AE$1006,0)), HYPERLINK("#",""), HYPERLINK(CONCATENATE("#Metadata!", ADDRESS(INDEX($Q$2:$Q$1001,MATCH(ROWS($O$2:O623),$O$2:$O$1001,0),0), INDEX($V$1004:$AE$1004,1,MATCH(COLUMNS($V$1006:W1006),$V$1006:$AE$1006,0)))),"Fix")))</f>
        <v>0</v>
      </c>
      <c r="D623" s="3">
        <f>IF(OR(INDEX($P$2:$P$1001,MATCH(ROWS($O$2:O623),$O$2:$O$1001,0),1)&gt;=100000,INDEX($V$1005:$AE$1005,1,MATCH(COLUMNS($V$1006:X1006),$V$1006:$AE$1006,0))&gt;=100000), " ",IF(INDEX($V$2:$AE$1001,MATCH(ROWS($O$2:O623),$O$2:$O$1001,0),MATCH(COLUMNS($V$1006:X1006),$V$1006:$AE$1006,0)), HYPERLINK("#",""), HYPERLINK(CONCATENATE("#Metadata!", ADDRESS(INDEX($Q$2:$Q$1001,MATCH(ROWS($O$2:O623),$O$2:$O$1001,0),0), INDEX($V$1004:$AE$1004,1,MATCH(COLUMNS($V$1006:X1006),$V$1006:$AE$1006,0)))),"Fix")))</f>
        <v>0</v>
      </c>
      <c r="E623" s="3">
        <f>IF(OR(INDEX($P$2:$P$1001,MATCH(ROWS($O$2:O623),$O$2:$O$1001,0),1)&gt;=100000,INDEX($V$1005:$AE$1005,1,MATCH(COLUMNS($V$1006:Y1006),$V$1006:$AE$1006,0))&gt;=100000), " ",IF(INDEX($V$2:$AE$1001,MATCH(ROWS($O$2:O623),$O$2:$O$1001,0),MATCH(COLUMNS($V$1006:Y1006),$V$1006:$AE$1006,0)), HYPERLINK("#",""), HYPERLINK(CONCATENATE("#Metadata!", ADDRESS(INDEX($Q$2:$Q$1001,MATCH(ROWS($O$2:O623),$O$2:$O$1001,0),0), INDEX($V$1004:$AE$1004,1,MATCH(COLUMNS($V$1006:Y1006),$V$1006:$AE$1006,0)))),"Fix")))</f>
        <v>0</v>
      </c>
      <c r="F623" s="3">
        <f>IF(OR(INDEX($P$2:$P$1001,MATCH(ROWS($O$2:O623),$O$2:$O$1001,0),1)&gt;=100000,INDEX($V$1005:$AE$1005,1,MATCH(COLUMNS($V$1006:Z1006),$V$1006:$AE$1006,0))&gt;=100000), " ",IF(INDEX($V$2:$AE$1001,MATCH(ROWS($O$2:O623),$O$2:$O$1001,0),MATCH(COLUMNS($V$1006:Z1006),$V$1006:$AE$1006,0)), HYPERLINK("#",""), HYPERLINK(CONCATENATE("#Metadata!", ADDRESS(INDEX($Q$2:$Q$1001,MATCH(ROWS($O$2:O623),$O$2:$O$1001,0),0), INDEX($V$1004:$AE$1004,1,MATCH(COLUMNS($V$1006:Z1006),$V$1006:$AE$1006,0)))),"Fix")))</f>
        <v>0</v>
      </c>
      <c r="G623" s="3">
        <f>IF(OR(INDEX($P$2:$P$1001,MATCH(ROWS($O$2:O623),$O$2:$O$1001,0),1)&gt;=100000,INDEX($V$1005:$AE$1005,1,MATCH(COLUMNS($V$1006:AA1006),$V$1006:$AE$1006,0))&gt;=100000), " ",IF(INDEX($V$2:$AE$1001,MATCH(ROWS($O$2:O623),$O$2:$O$1001,0),MATCH(COLUMNS($V$1006:AA1006),$V$1006:$AE$1006,0)), HYPERLINK("#",""), HYPERLINK(CONCATENATE("#Metadata!", ADDRESS(INDEX($Q$2:$Q$1001,MATCH(ROWS($O$2:O623),$O$2:$O$1001,0),0), INDEX($V$1004:$AE$1004,1,MATCH(COLUMNS($V$1006:AA1006),$V$1006:$AE$1006,0)))),"Fix")))</f>
        <v>0</v>
      </c>
      <c r="H623" s="3">
        <f>IF(OR(INDEX($P$2:$P$1001,MATCH(ROWS($O$2:O623),$O$2:$O$1001,0),1)&gt;=100000,INDEX($V$1005:$AE$1005,1,MATCH(COLUMNS($V$1006:AB1006),$V$1006:$AE$1006,0))&gt;=100000), " ",IF(INDEX($V$2:$AE$1001,MATCH(ROWS($O$2:O623),$O$2:$O$1001,0),MATCH(COLUMNS($V$1006:AB1006),$V$1006:$AE$1006,0)), HYPERLINK("#",""), HYPERLINK(CONCATENATE("#Metadata!", ADDRESS(INDEX($Q$2:$Q$1001,MATCH(ROWS($O$2:O623),$O$2:$O$1001,0),0), INDEX($V$1004:$AE$1004,1,MATCH(COLUMNS($V$1006:AB1006),$V$1006:$AE$1006,0)))),"Fix")))</f>
        <v>0</v>
      </c>
      <c r="I623" s="3">
        <f>IF(OR(INDEX($P$2:$P$1001,MATCH(ROWS($O$2:O623),$O$2:$O$1001,0),1)&gt;=100000,INDEX($V$1005:$AE$1005,1,MATCH(COLUMNS($V$1006:AC1006),$V$1006:$AE$1006,0))&gt;=100000), " ",IF(INDEX($V$2:$AE$1001,MATCH(ROWS($O$2:O623),$O$2:$O$1001,0),MATCH(COLUMNS($V$1006:AC1006),$V$1006:$AE$1006,0)), HYPERLINK("#",""), HYPERLINK(CONCATENATE("#Metadata!", ADDRESS(INDEX($Q$2:$Q$1001,MATCH(ROWS($O$2:O623),$O$2:$O$1001,0),0), INDEX($V$1004:$AE$1004,1,MATCH(COLUMNS($V$1006:AC1006),$V$1006:$AE$1006,0)))),"Fix")))</f>
        <v>0</v>
      </c>
      <c r="J623" s="3">
        <f>IF(OR(INDEX($P$2:$P$1001,MATCH(ROWS($O$2:O623),$O$2:$O$1001,0),1)&gt;=100000,INDEX($V$1005:$AE$1005,1,MATCH(COLUMNS($V$1006:AD1006),$V$1006:$AE$1006,0))&gt;=100000), " ",IF(INDEX($V$2:$AE$1001,MATCH(ROWS($O$2:O623),$O$2:$O$1001,0),MATCH(COLUMNS($V$1006:AD1006),$V$1006:$AE$1006,0)), HYPERLINK("#",""), HYPERLINK(CONCATENATE("#Metadata!", ADDRESS(INDEX($Q$2:$Q$1001,MATCH(ROWS($O$2:O623),$O$2:$O$1001,0),0), INDEX($V$1004:$AE$1004,1,MATCH(COLUMNS($V$1006:AD1006),$V$1006:$AE$1006,0)))),"Fix")))</f>
        <v>0</v>
      </c>
      <c r="K623" s="3">
        <f>IF(OR(INDEX($P$2:$P$1001,MATCH(ROWS($O$2:O623),$O$2:$O$1001,0),1)&gt;=100000,INDEX($V$1005:$AE$1005,1,MATCH(COLUMNS($V$1006:AE1006),$V$1006:$AE$1006,0))&gt;=100000), " ",IF(INDEX($V$2:$AE$1001,MATCH(ROWS($O$2:O623),$O$2:$O$1001,0),MATCH(COLUMNS($V$1006:AE1006),$V$1006:$AE$1006,0)), HYPERLINK("#",""), HYPERLINK(CONCATENATE("#Metadata!", ADDRESS(INDEX($Q$2:$Q$1001,MATCH(ROWS($O$2:O623),$O$2:$O$1001,0),0), INDEX($V$1004:$AE$1004,1,MATCH(COLUMNS($V$1006:AE1006),$V$1006:$AE$1006,0)))),"Fix")))</f>
        <v>0</v>
      </c>
      <c r="O623">
        <v>0</v>
      </c>
      <c r="P623">
        <v>0</v>
      </c>
      <c r="Q623">
        <v>0</v>
      </c>
      <c r="R623">
        <f>IF(S623,TRUE,AND(V623:AE623))</f>
        <v>0</v>
      </c>
      <c r="S623">
        <f>COUNTBLANK(Metadata!B623:K623)=COLUMNS(Metadata!B623:K623)</f>
        <v>0</v>
      </c>
      <c r="T623">
        <v>0</v>
      </c>
      <c r="V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W623">
        <f>AND(IF(Metadata!C623="",FALSE,TRUE),exact(Metadata!C623,"animal secretion"))</f>
        <v>0</v>
      </c>
      <c r="X623">
        <f>AND(IF(Metadata!D623="",FALSE,TRUE),exact(Metadata!D623,"saliva"))</f>
        <v>0</v>
      </c>
      <c r="Y623">
        <f>AND(IF(Metadata!E623="",FALSE,TRUE),exact(Metadata!E623,"human-oral"))</f>
        <v>0</v>
      </c>
      <c r="Z623">
        <f>AND(IF(Metadata!F623="",FALSE,TRUE),exact(Metadata!F623,"UBERON:oral cavity"))</f>
        <v>0</v>
      </c>
      <c r="AA623">
        <f>AND(IF(Metadata!G623="",FALSE,TRUE),exact(Metadata!G623,"UBERON:saliva"))</f>
        <v>0</v>
      </c>
      <c r="AB623">
        <f>AND(IF(Metadata!H623="",FALSE,TRUE),exact(Metadata!H623,"UBERON:tongue"))</f>
        <v>0</v>
      </c>
      <c r="AC623">
        <f>AND(IF(Metadata!I623="",FALSE,TRUE),exact(Metadata!I623,"tongue"))</f>
        <v>0</v>
      </c>
      <c r="AD623">
        <f>AND(IF(Metadata!J623="",FALSE,TRUE),exact(Metadata!J623,"human oral metagenome"))</f>
        <v>0</v>
      </c>
      <c r="AE623">
        <f>AND(IF(Metadata!K623="",FALSE,TRUE),exact(Metadata!K623,"447426"))</f>
        <v>0</v>
      </c>
    </row>
    <row r="624" spans="1:31">
      <c r="A624" s="4">
        <f>IF(B624=" "," ",HYPERLINK(CONCATENATE("#metadata!",ADDRESS(INDEX($Q$2:$Q$1001,MATCH(ROWS($O$2:O624),$O$2:$O$1001,0),0),1)),INDEX($T$2:$T$1001,MATCH(ROWS($O$2:O624),$O$2:$O$1001,0),0)))</f>
        <v>0</v>
      </c>
      <c r="B624" s="3">
        <f>IF(OR(INDEX($P$2:$P$1001,MATCH(ROWS($O$2:O624),$O$2:$O$1001,0),1)&gt;=100000,INDEX($V$1005:$AE$1005,1,MATCH(COLUMNS($V$1006:V1006),$V$1006:$AE$1006,0))&gt;=100000), " ",IF(INDEX($V$2:$AE$1001,MATCH(ROWS($O$2:O624),$O$2:$O$1001,0),MATCH(COLUMNS($V$1006:V1006),$V$1006:$AE$1006,0)), HYPERLINK("#",""), HYPERLINK(CONCATENATE("#Metadata!", ADDRESS(INDEX($Q$2:$Q$1001,MATCH(ROWS($O$2:O624),$O$2:$O$1001,0),0), INDEX($V$1004:$AE$1004,1,MATCH(COLUMNS($V$1006:V1006),$V$1006:$AE$1006,0)))),"Fix")))</f>
        <v>0</v>
      </c>
      <c r="C624" s="3">
        <f>IF(OR(INDEX($P$2:$P$1001,MATCH(ROWS($O$2:O624),$O$2:$O$1001,0),1)&gt;=100000,INDEX($V$1005:$AE$1005,1,MATCH(COLUMNS($V$1006:W1006),$V$1006:$AE$1006,0))&gt;=100000), " ",IF(INDEX($V$2:$AE$1001,MATCH(ROWS($O$2:O624),$O$2:$O$1001,0),MATCH(COLUMNS($V$1006:W1006),$V$1006:$AE$1006,0)), HYPERLINK("#",""), HYPERLINK(CONCATENATE("#Metadata!", ADDRESS(INDEX($Q$2:$Q$1001,MATCH(ROWS($O$2:O624),$O$2:$O$1001,0),0), INDEX($V$1004:$AE$1004,1,MATCH(COLUMNS($V$1006:W1006),$V$1006:$AE$1006,0)))),"Fix")))</f>
        <v>0</v>
      </c>
      <c r="D624" s="3">
        <f>IF(OR(INDEX($P$2:$P$1001,MATCH(ROWS($O$2:O624),$O$2:$O$1001,0),1)&gt;=100000,INDEX($V$1005:$AE$1005,1,MATCH(COLUMNS($V$1006:X1006),$V$1006:$AE$1006,0))&gt;=100000), " ",IF(INDEX($V$2:$AE$1001,MATCH(ROWS($O$2:O624),$O$2:$O$1001,0),MATCH(COLUMNS($V$1006:X1006),$V$1006:$AE$1006,0)), HYPERLINK("#",""), HYPERLINK(CONCATENATE("#Metadata!", ADDRESS(INDEX($Q$2:$Q$1001,MATCH(ROWS($O$2:O624),$O$2:$O$1001,0),0), INDEX($V$1004:$AE$1004,1,MATCH(COLUMNS($V$1006:X1006),$V$1006:$AE$1006,0)))),"Fix")))</f>
        <v>0</v>
      </c>
      <c r="E624" s="3">
        <f>IF(OR(INDEX($P$2:$P$1001,MATCH(ROWS($O$2:O624),$O$2:$O$1001,0),1)&gt;=100000,INDEX($V$1005:$AE$1005,1,MATCH(COLUMNS($V$1006:Y1006),$V$1006:$AE$1006,0))&gt;=100000), " ",IF(INDEX($V$2:$AE$1001,MATCH(ROWS($O$2:O624),$O$2:$O$1001,0),MATCH(COLUMNS($V$1006:Y1006),$V$1006:$AE$1006,0)), HYPERLINK("#",""), HYPERLINK(CONCATENATE("#Metadata!", ADDRESS(INDEX($Q$2:$Q$1001,MATCH(ROWS($O$2:O624),$O$2:$O$1001,0),0), INDEX($V$1004:$AE$1004,1,MATCH(COLUMNS($V$1006:Y1006),$V$1006:$AE$1006,0)))),"Fix")))</f>
        <v>0</v>
      </c>
      <c r="F624" s="3">
        <f>IF(OR(INDEX($P$2:$P$1001,MATCH(ROWS($O$2:O624),$O$2:$O$1001,0),1)&gt;=100000,INDEX($V$1005:$AE$1005,1,MATCH(COLUMNS($V$1006:Z1006),$V$1006:$AE$1006,0))&gt;=100000), " ",IF(INDEX($V$2:$AE$1001,MATCH(ROWS($O$2:O624),$O$2:$O$1001,0),MATCH(COLUMNS($V$1006:Z1006),$V$1006:$AE$1006,0)), HYPERLINK("#",""), HYPERLINK(CONCATENATE("#Metadata!", ADDRESS(INDEX($Q$2:$Q$1001,MATCH(ROWS($O$2:O624),$O$2:$O$1001,0),0), INDEX($V$1004:$AE$1004,1,MATCH(COLUMNS($V$1006:Z1006),$V$1006:$AE$1006,0)))),"Fix")))</f>
        <v>0</v>
      </c>
      <c r="G624" s="3">
        <f>IF(OR(INDEX($P$2:$P$1001,MATCH(ROWS($O$2:O624),$O$2:$O$1001,0),1)&gt;=100000,INDEX($V$1005:$AE$1005,1,MATCH(COLUMNS($V$1006:AA1006),$V$1006:$AE$1006,0))&gt;=100000), " ",IF(INDEX($V$2:$AE$1001,MATCH(ROWS($O$2:O624),$O$2:$O$1001,0),MATCH(COLUMNS($V$1006:AA1006),$V$1006:$AE$1006,0)), HYPERLINK("#",""), HYPERLINK(CONCATENATE("#Metadata!", ADDRESS(INDEX($Q$2:$Q$1001,MATCH(ROWS($O$2:O624),$O$2:$O$1001,0),0), INDEX($V$1004:$AE$1004,1,MATCH(COLUMNS($V$1006:AA1006),$V$1006:$AE$1006,0)))),"Fix")))</f>
        <v>0</v>
      </c>
      <c r="H624" s="3">
        <f>IF(OR(INDEX($P$2:$P$1001,MATCH(ROWS($O$2:O624),$O$2:$O$1001,0),1)&gt;=100000,INDEX($V$1005:$AE$1005,1,MATCH(COLUMNS($V$1006:AB1006),$V$1006:$AE$1006,0))&gt;=100000), " ",IF(INDEX($V$2:$AE$1001,MATCH(ROWS($O$2:O624),$O$2:$O$1001,0),MATCH(COLUMNS($V$1006:AB1006),$V$1006:$AE$1006,0)), HYPERLINK("#",""), HYPERLINK(CONCATENATE("#Metadata!", ADDRESS(INDEX($Q$2:$Q$1001,MATCH(ROWS($O$2:O624),$O$2:$O$1001,0),0), INDEX($V$1004:$AE$1004,1,MATCH(COLUMNS($V$1006:AB1006),$V$1006:$AE$1006,0)))),"Fix")))</f>
        <v>0</v>
      </c>
      <c r="I624" s="3">
        <f>IF(OR(INDEX($P$2:$P$1001,MATCH(ROWS($O$2:O624),$O$2:$O$1001,0),1)&gt;=100000,INDEX($V$1005:$AE$1005,1,MATCH(COLUMNS($V$1006:AC1006),$V$1006:$AE$1006,0))&gt;=100000), " ",IF(INDEX($V$2:$AE$1001,MATCH(ROWS($O$2:O624),$O$2:$O$1001,0),MATCH(COLUMNS($V$1006:AC1006),$V$1006:$AE$1006,0)), HYPERLINK("#",""), HYPERLINK(CONCATENATE("#Metadata!", ADDRESS(INDEX($Q$2:$Q$1001,MATCH(ROWS($O$2:O624),$O$2:$O$1001,0),0), INDEX($V$1004:$AE$1004,1,MATCH(COLUMNS($V$1006:AC1006),$V$1006:$AE$1006,0)))),"Fix")))</f>
        <v>0</v>
      </c>
      <c r="J624" s="3">
        <f>IF(OR(INDEX($P$2:$P$1001,MATCH(ROWS($O$2:O624),$O$2:$O$1001,0),1)&gt;=100000,INDEX($V$1005:$AE$1005,1,MATCH(COLUMNS($V$1006:AD1006),$V$1006:$AE$1006,0))&gt;=100000), " ",IF(INDEX($V$2:$AE$1001,MATCH(ROWS($O$2:O624),$O$2:$O$1001,0),MATCH(COLUMNS($V$1006:AD1006),$V$1006:$AE$1006,0)), HYPERLINK("#",""), HYPERLINK(CONCATENATE("#Metadata!", ADDRESS(INDEX($Q$2:$Q$1001,MATCH(ROWS($O$2:O624),$O$2:$O$1001,0),0), INDEX($V$1004:$AE$1004,1,MATCH(COLUMNS($V$1006:AD1006),$V$1006:$AE$1006,0)))),"Fix")))</f>
        <v>0</v>
      </c>
      <c r="K624" s="3">
        <f>IF(OR(INDEX($P$2:$P$1001,MATCH(ROWS($O$2:O624),$O$2:$O$1001,0),1)&gt;=100000,INDEX($V$1005:$AE$1005,1,MATCH(COLUMNS($V$1006:AE1006),$V$1006:$AE$1006,0))&gt;=100000), " ",IF(INDEX($V$2:$AE$1001,MATCH(ROWS($O$2:O624),$O$2:$O$1001,0),MATCH(COLUMNS($V$1006:AE1006),$V$1006:$AE$1006,0)), HYPERLINK("#",""), HYPERLINK(CONCATENATE("#Metadata!", ADDRESS(INDEX($Q$2:$Q$1001,MATCH(ROWS($O$2:O624),$O$2:$O$1001,0),0), INDEX($V$1004:$AE$1004,1,MATCH(COLUMNS($V$1006:AE1006),$V$1006:$AE$1006,0)))),"Fix")))</f>
        <v>0</v>
      </c>
      <c r="O624">
        <v>0</v>
      </c>
      <c r="P624">
        <v>0</v>
      </c>
      <c r="Q624">
        <v>0</v>
      </c>
      <c r="R624">
        <f>IF(S624,TRUE,AND(V624:AE624))</f>
        <v>0</v>
      </c>
      <c r="S624">
        <f>COUNTBLANK(Metadata!B624:K624)=COLUMNS(Metadata!B624:K624)</f>
        <v>0</v>
      </c>
      <c r="T624">
        <v>0</v>
      </c>
      <c r="V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W624">
        <f>AND(IF(Metadata!C624="",FALSE,TRUE),exact(Metadata!C624,"animal secretion"))</f>
        <v>0</v>
      </c>
      <c r="X624">
        <f>AND(IF(Metadata!D624="",FALSE,TRUE),exact(Metadata!D624,"saliva"))</f>
        <v>0</v>
      </c>
      <c r="Y624">
        <f>AND(IF(Metadata!E624="",FALSE,TRUE),exact(Metadata!E624,"human-oral"))</f>
        <v>0</v>
      </c>
      <c r="Z624">
        <f>AND(IF(Metadata!F624="",FALSE,TRUE),exact(Metadata!F624,"UBERON:oral cavity"))</f>
        <v>0</v>
      </c>
      <c r="AA624">
        <f>AND(IF(Metadata!G624="",FALSE,TRUE),exact(Metadata!G624,"UBERON:saliva"))</f>
        <v>0</v>
      </c>
      <c r="AB624">
        <f>AND(IF(Metadata!H624="",FALSE,TRUE),exact(Metadata!H624,"UBERON:tongue"))</f>
        <v>0</v>
      </c>
      <c r="AC624">
        <f>AND(IF(Metadata!I624="",FALSE,TRUE),exact(Metadata!I624,"tongue"))</f>
        <v>0</v>
      </c>
      <c r="AD624">
        <f>AND(IF(Metadata!J624="",FALSE,TRUE),exact(Metadata!J624,"human oral metagenome"))</f>
        <v>0</v>
      </c>
      <c r="AE624">
        <f>AND(IF(Metadata!K624="",FALSE,TRUE),exact(Metadata!K624,"447426"))</f>
        <v>0</v>
      </c>
    </row>
    <row r="625" spans="1:31">
      <c r="A625" s="4">
        <f>IF(B625=" "," ",HYPERLINK(CONCATENATE("#metadata!",ADDRESS(INDEX($Q$2:$Q$1001,MATCH(ROWS($O$2:O625),$O$2:$O$1001,0),0),1)),INDEX($T$2:$T$1001,MATCH(ROWS($O$2:O625),$O$2:$O$1001,0),0)))</f>
        <v>0</v>
      </c>
      <c r="B625" s="3">
        <f>IF(OR(INDEX($P$2:$P$1001,MATCH(ROWS($O$2:O625),$O$2:$O$1001,0),1)&gt;=100000,INDEX($V$1005:$AE$1005,1,MATCH(COLUMNS($V$1006:V1006),$V$1006:$AE$1006,0))&gt;=100000), " ",IF(INDEX($V$2:$AE$1001,MATCH(ROWS($O$2:O625),$O$2:$O$1001,0),MATCH(COLUMNS($V$1006:V1006),$V$1006:$AE$1006,0)), HYPERLINK("#",""), HYPERLINK(CONCATENATE("#Metadata!", ADDRESS(INDEX($Q$2:$Q$1001,MATCH(ROWS($O$2:O625),$O$2:$O$1001,0),0), INDEX($V$1004:$AE$1004,1,MATCH(COLUMNS($V$1006:V1006),$V$1006:$AE$1006,0)))),"Fix")))</f>
        <v>0</v>
      </c>
      <c r="C625" s="3">
        <f>IF(OR(INDEX($P$2:$P$1001,MATCH(ROWS($O$2:O625),$O$2:$O$1001,0),1)&gt;=100000,INDEX($V$1005:$AE$1005,1,MATCH(COLUMNS($V$1006:W1006),$V$1006:$AE$1006,0))&gt;=100000), " ",IF(INDEX($V$2:$AE$1001,MATCH(ROWS($O$2:O625),$O$2:$O$1001,0),MATCH(COLUMNS($V$1006:W1006),$V$1006:$AE$1006,0)), HYPERLINK("#",""), HYPERLINK(CONCATENATE("#Metadata!", ADDRESS(INDEX($Q$2:$Q$1001,MATCH(ROWS($O$2:O625),$O$2:$O$1001,0),0), INDEX($V$1004:$AE$1004,1,MATCH(COLUMNS($V$1006:W1006),$V$1006:$AE$1006,0)))),"Fix")))</f>
        <v>0</v>
      </c>
      <c r="D625" s="3">
        <f>IF(OR(INDEX($P$2:$P$1001,MATCH(ROWS($O$2:O625),$O$2:$O$1001,0),1)&gt;=100000,INDEX($V$1005:$AE$1005,1,MATCH(COLUMNS($V$1006:X1006),$V$1006:$AE$1006,0))&gt;=100000), " ",IF(INDEX($V$2:$AE$1001,MATCH(ROWS($O$2:O625),$O$2:$O$1001,0),MATCH(COLUMNS($V$1006:X1006),$V$1006:$AE$1006,0)), HYPERLINK("#",""), HYPERLINK(CONCATENATE("#Metadata!", ADDRESS(INDEX($Q$2:$Q$1001,MATCH(ROWS($O$2:O625),$O$2:$O$1001,0),0), INDEX($V$1004:$AE$1004,1,MATCH(COLUMNS($V$1006:X1006),$V$1006:$AE$1006,0)))),"Fix")))</f>
        <v>0</v>
      </c>
      <c r="E625" s="3">
        <f>IF(OR(INDEX($P$2:$P$1001,MATCH(ROWS($O$2:O625),$O$2:$O$1001,0),1)&gt;=100000,INDEX($V$1005:$AE$1005,1,MATCH(COLUMNS($V$1006:Y1006),$V$1006:$AE$1006,0))&gt;=100000), " ",IF(INDEX($V$2:$AE$1001,MATCH(ROWS($O$2:O625),$O$2:$O$1001,0),MATCH(COLUMNS($V$1006:Y1006),$V$1006:$AE$1006,0)), HYPERLINK("#",""), HYPERLINK(CONCATENATE("#Metadata!", ADDRESS(INDEX($Q$2:$Q$1001,MATCH(ROWS($O$2:O625),$O$2:$O$1001,0),0), INDEX($V$1004:$AE$1004,1,MATCH(COLUMNS($V$1006:Y1006),$V$1006:$AE$1006,0)))),"Fix")))</f>
        <v>0</v>
      </c>
      <c r="F625" s="3">
        <f>IF(OR(INDEX($P$2:$P$1001,MATCH(ROWS($O$2:O625),$O$2:$O$1001,0),1)&gt;=100000,INDEX($V$1005:$AE$1005,1,MATCH(COLUMNS($V$1006:Z1006),$V$1006:$AE$1006,0))&gt;=100000), " ",IF(INDEX($V$2:$AE$1001,MATCH(ROWS($O$2:O625),$O$2:$O$1001,0),MATCH(COLUMNS($V$1006:Z1006),$V$1006:$AE$1006,0)), HYPERLINK("#",""), HYPERLINK(CONCATENATE("#Metadata!", ADDRESS(INDEX($Q$2:$Q$1001,MATCH(ROWS($O$2:O625),$O$2:$O$1001,0),0), INDEX($V$1004:$AE$1004,1,MATCH(COLUMNS($V$1006:Z1006),$V$1006:$AE$1006,0)))),"Fix")))</f>
        <v>0</v>
      </c>
      <c r="G625" s="3">
        <f>IF(OR(INDEX($P$2:$P$1001,MATCH(ROWS($O$2:O625),$O$2:$O$1001,0),1)&gt;=100000,INDEX($V$1005:$AE$1005,1,MATCH(COLUMNS($V$1006:AA1006),$V$1006:$AE$1006,0))&gt;=100000), " ",IF(INDEX($V$2:$AE$1001,MATCH(ROWS($O$2:O625),$O$2:$O$1001,0),MATCH(COLUMNS($V$1006:AA1006),$V$1006:$AE$1006,0)), HYPERLINK("#",""), HYPERLINK(CONCATENATE("#Metadata!", ADDRESS(INDEX($Q$2:$Q$1001,MATCH(ROWS($O$2:O625),$O$2:$O$1001,0),0), INDEX($V$1004:$AE$1004,1,MATCH(COLUMNS($V$1006:AA1006),$V$1006:$AE$1006,0)))),"Fix")))</f>
        <v>0</v>
      </c>
      <c r="H625" s="3">
        <f>IF(OR(INDEX($P$2:$P$1001,MATCH(ROWS($O$2:O625),$O$2:$O$1001,0),1)&gt;=100000,INDEX($V$1005:$AE$1005,1,MATCH(COLUMNS($V$1006:AB1006),$V$1006:$AE$1006,0))&gt;=100000), " ",IF(INDEX($V$2:$AE$1001,MATCH(ROWS($O$2:O625),$O$2:$O$1001,0),MATCH(COLUMNS($V$1006:AB1006),$V$1006:$AE$1006,0)), HYPERLINK("#",""), HYPERLINK(CONCATENATE("#Metadata!", ADDRESS(INDEX($Q$2:$Q$1001,MATCH(ROWS($O$2:O625),$O$2:$O$1001,0),0), INDEX($V$1004:$AE$1004,1,MATCH(COLUMNS($V$1006:AB1006),$V$1006:$AE$1006,0)))),"Fix")))</f>
        <v>0</v>
      </c>
      <c r="I625" s="3">
        <f>IF(OR(INDEX($P$2:$P$1001,MATCH(ROWS($O$2:O625),$O$2:$O$1001,0),1)&gt;=100000,INDEX($V$1005:$AE$1005,1,MATCH(COLUMNS($V$1006:AC1006),$V$1006:$AE$1006,0))&gt;=100000), " ",IF(INDEX($V$2:$AE$1001,MATCH(ROWS($O$2:O625),$O$2:$O$1001,0),MATCH(COLUMNS($V$1006:AC1006),$V$1006:$AE$1006,0)), HYPERLINK("#",""), HYPERLINK(CONCATENATE("#Metadata!", ADDRESS(INDEX($Q$2:$Q$1001,MATCH(ROWS($O$2:O625),$O$2:$O$1001,0),0), INDEX($V$1004:$AE$1004,1,MATCH(COLUMNS($V$1006:AC1006),$V$1006:$AE$1006,0)))),"Fix")))</f>
        <v>0</v>
      </c>
      <c r="J625" s="3">
        <f>IF(OR(INDEX($P$2:$P$1001,MATCH(ROWS($O$2:O625),$O$2:$O$1001,0),1)&gt;=100000,INDEX($V$1005:$AE$1005,1,MATCH(COLUMNS($V$1006:AD1006),$V$1006:$AE$1006,0))&gt;=100000), " ",IF(INDEX($V$2:$AE$1001,MATCH(ROWS($O$2:O625),$O$2:$O$1001,0),MATCH(COLUMNS($V$1006:AD1006),$V$1006:$AE$1006,0)), HYPERLINK("#",""), HYPERLINK(CONCATENATE("#Metadata!", ADDRESS(INDEX($Q$2:$Q$1001,MATCH(ROWS($O$2:O625),$O$2:$O$1001,0),0), INDEX($V$1004:$AE$1004,1,MATCH(COLUMNS($V$1006:AD1006),$V$1006:$AE$1006,0)))),"Fix")))</f>
        <v>0</v>
      </c>
      <c r="K625" s="3">
        <f>IF(OR(INDEX($P$2:$P$1001,MATCH(ROWS($O$2:O625),$O$2:$O$1001,0),1)&gt;=100000,INDEX($V$1005:$AE$1005,1,MATCH(COLUMNS($V$1006:AE1006),$V$1006:$AE$1006,0))&gt;=100000), " ",IF(INDEX($V$2:$AE$1001,MATCH(ROWS($O$2:O625),$O$2:$O$1001,0),MATCH(COLUMNS($V$1006:AE1006),$V$1006:$AE$1006,0)), HYPERLINK("#",""), HYPERLINK(CONCATENATE("#Metadata!", ADDRESS(INDEX($Q$2:$Q$1001,MATCH(ROWS($O$2:O625),$O$2:$O$1001,0),0), INDEX($V$1004:$AE$1004,1,MATCH(COLUMNS($V$1006:AE1006),$V$1006:$AE$1006,0)))),"Fix")))</f>
        <v>0</v>
      </c>
      <c r="O625">
        <v>0</v>
      </c>
      <c r="P625">
        <v>0</v>
      </c>
      <c r="Q625">
        <v>0</v>
      </c>
      <c r="R625">
        <f>IF(S625,TRUE,AND(V625:AE625))</f>
        <v>0</v>
      </c>
      <c r="S625">
        <f>COUNTBLANK(Metadata!B625:K625)=COLUMNS(Metadata!B625:K625)</f>
        <v>0</v>
      </c>
      <c r="T625">
        <v>0</v>
      </c>
      <c r="V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W625">
        <f>AND(IF(Metadata!C625="",FALSE,TRUE),exact(Metadata!C625,"animal secretion"))</f>
        <v>0</v>
      </c>
      <c r="X625">
        <f>AND(IF(Metadata!D625="",FALSE,TRUE),exact(Metadata!D625,"saliva"))</f>
        <v>0</v>
      </c>
      <c r="Y625">
        <f>AND(IF(Metadata!E625="",FALSE,TRUE),exact(Metadata!E625,"human-oral"))</f>
        <v>0</v>
      </c>
      <c r="Z625">
        <f>AND(IF(Metadata!F625="",FALSE,TRUE),exact(Metadata!F625,"UBERON:oral cavity"))</f>
        <v>0</v>
      </c>
      <c r="AA625">
        <f>AND(IF(Metadata!G625="",FALSE,TRUE),exact(Metadata!G625,"UBERON:saliva"))</f>
        <v>0</v>
      </c>
      <c r="AB625">
        <f>AND(IF(Metadata!H625="",FALSE,TRUE),exact(Metadata!H625,"UBERON:tongue"))</f>
        <v>0</v>
      </c>
      <c r="AC625">
        <f>AND(IF(Metadata!I625="",FALSE,TRUE),exact(Metadata!I625,"tongue"))</f>
        <v>0</v>
      </c>
      <c r="AD625">
        <f>AND(IF(Metadata!J625="",FALSE,TRUE),exact(Metadata!J625,"human oral metagenome"))</f>
        <v>0</v>
      </c>
      <c r="AE625">
        <f>AND(IF(Metadata!K625="",FALSE,TRUE),exact(Metadata!K625,"447426"))</f>
        <v>0</v>
      </c>
    </row>
    <row r="626" spans="1:31">
      <c r="A626" s="4">
        <f>IF(B626=" "," ",HYPERLINK(CONCATENATE("#metadata!",ADDRESS(INDEX($Q$2:$Q$1001,MATCH(ROWS($O$2:O626),$O$2:$O$1001,0),0),1)),INDEX($T$2:$T$1001,MATCH(ROWS($O$2:O626),$O$2:$O$1001,0),0)))</f>
        <v>0</v>
      </c>
      <c r="B626" s="3">
        <f>IF(OR(INDEX($P$2:$P$1001,MATCH(ROWS($O$2:O626),$O$2:$O$1001,0),1)&gt;=100000,INDEX($V$1005:$AE$1005,1,MATCH(COLUMNS($V$1006:V1006),$V$1006:$AE$1006,0))&gt;=100000), " ",IF(INDEX($V$2:$AE$1001,MATCH(ROWS($O$2:O626),$O$2:$O$1001,0),MATCH(COLUMNS($V$1006:V1006),$V$1006:$AE$1006,0)), HYPERLINK("#",""), HYPERLINK(CONCATENATE("#Metadata!", ADDRESS(INDEX($Q$2:$Q$1001,MATCH(ROWS($O$2:O626),$O$2:$O$1001,0),0), INDEX($V$1004:$AE$1004,1,MATCH(COLUMNS($V$1006:V1006),$V$1006:$AE$1006,0)))),"Fix")))</f>
        <v>0</v>
      </c>
      <c r="C626" s="3">
        <f>IF(OR(INDEX($P$2:$P$1001,MATCH(ROWS($O$2:O626),$O$2:$O$1001,0),1)&gt;=100000,INDEX($V$1005:$AE$1005,1,MATCH(COLUMNS($V$1006:W1006),$V$1006:$AE$1006,0))&gt;=100000), " ",IF(INDEX($V$2:$AE$1001,MATCH(ROWS($O$2:O626),$O$2:$O$1001,0),MATCH(COLUMNS($V$1006:W1006),$V$1006:$AE$1006,0)), HYPERLINK("#",""), HYPERLINK(CONCATENATE("#Metadata!", ADDRESS(INDEX($Q$2:$Q$1001,MATCH(ROWS($O$2:O626),$O$2:$O$1001,0),0), INDEX($V$1004:$AE$1004,1,MATCH(COLUMNS($V$1006:W1006),$V$1006:$AE$1006,0)))),"Fix")))</f>
        <v>0</v>
      </c>
      <c r="D626" s="3">
        <f>IF(OR(INDEX($P$2:$P$1001,MATCH(ROWS($O$2:O626),$O$2:$O$1001,0),1)&gt;=100000,INDEX($V$1005:$AE$1005,1,MATCH(COLUMNS($V$1006:X1006),$V$1006:$AE$1006,0))&gt;=100000), " ",IF(INDEX($V$2:$AE$1001,MATCH(ROWS($O$2:O626),$O$2:$O$1001,0),MATCH(COLUMNS($V$1006:X1006),$V$1006:$AE$1006,0)), HYPERLINK("#",""), HYPERLINK(CONCATENATE("#Metadata!", ADDRESS(INDEX($Q$2:$Q$1001,MATCH(ROWS($O$2:O626),$O$2:$O$1001,0),0), INDEX($V$1004:$AE$1004,1,MATCH(COLUMNS($V$1006:X1006),$V$1006:$AE$1006,0)))),"Fix")))</f>
        <v>0</v>
      </c>
      <c r="E626" s="3">
        <f>IF(OR(INDEX($P$2:$P$1001,MATCH(ROWS($O$2:O626),$O$2:$O$1001,0),1)&gt;=100000,INDEX($V$1005:$AE$1005,1,MATCH(COLUMNS($V$1006:Y1006),$V$1006:$AE$1006,0))&gt;=100000), " ",IF(INDEX($V$2:$AE$1001,MATCH(ROWS($O$2:O626),$O$2:$O$1001,0),MATCH(COLUMNS($V$1006:Y1006),$V$1006:$AE$1006,0)), HYPERLINK("#",""), HYPERLINK(CONCATENATE("#Metadata!", ADDRESS(INDEX($Q$2:$Q$1001,MATCH(ROWS($O$2:O626),$O$2:$O$1001,0),0), INDEX($V$1004:$AE$1004,1,MATCH(COLUMNS($V$1006:Y1006),$V$1006:$AE$1006,0)))),"Fix")))</f>
        <v>0</v>
      </c>
      <c r="F626" s="3">
        <f>IF(OR(INDEX($P$2:$P$1001,MATCH(ROWS($O$2:O626),$O$2:$O$1001,0),1)&gt;=100000,INDEX($V$1005:$AE$1005,1,MATCH(COLUMNS($V$1006:Z1006),$V$1006:$AE$1006,0))&gt;=100000), " ",IF(INDEX($V$2:$AE$1001,MATCH(ROWS($O$2:O626),$O$2:$O$1001,0),MATCH(COLUMNS($V$1006:Z1006),$V$1006:$AE$1006,0)), HYPERLINK("#",""), HYPERLINK(CONCATENATE("#Metadata!", ADDRESS(INDEX($Q$2:$Q$1001,MATCH(ROWS($O$2:O626),$O$2:$O$1001,0),0), INDEX($V$1004:$AE$1004,1,MATCH(COLUMNS($V$1006:Z1006),$V$1006:$AE$1006,0)))),"Fix")))</f>
        <v>0</v>
      </c>
      <c r="G626" s="3">
        <f>IF(OR(INDEX($P$2:$P$1001,MATCH(ROWS($O$2:O626),$O$2:$O$1001,0),1)&gt;=100000,INDEX($V$1005:$AE$1005,1,MATCH(COLUMNS($V$1006:AA1006),$V$1006:$AE$1006,0))&gt;=100000), " ",IF(INDEX($V$2:$AE$1001,MATCH(ROWS($O$2:O626),$O$2:$O$1001,0),MATCH(COLUMNS($V$1006:AA1006),$V$1006:$AE$1006,0)), HYPERLINK("#",""), HYPERLINK(CONCATENATE("#Metadata!", ADDRESS(INDEX($Q$2:$Q$1001,MATCH(ROWS($O$2:O626),$O$2:$O$1001,0),0), INDEX($V$1004:$AE$1004,1,MATCH(COLUMNS($V$1006:AA1006),$V$1006:$AE$1006,0)))),"Fix")))</f>
        <v>0</v>
      </c>
      <c r="H626" s="3">
        <f>IF(OR(INDEX($P$2:$P$1001,MATCH(ROWS($O$2:O626),$O$2:$O$1001,0),1)&gt;=100000,INDEX($V$1005:$AE$1005,1,MATCH(COLUMNS($V$1006:AB1006),$V$1006:$AE$1006,0))&gt;=100000), " ",IF(INDEX($V$2:$AE$1001,MATCH(ROWS($O$2:O626),$O$2:$O$1001,0),MATCH(COLUMNS($V$1006:AB1006),$V$1006:$AE$1006,0)), HYPERLINK("#",""), HYPERLINK(CONCATENATE("#Metadata!", ADDRESS(INDEX($Q$2:$Q$1001,MATCH(ROWS($O$2:O626),$O$2:$O$1001,0),0), INDEX($V$1004:$AE$1004,1,MATCH(COLUMNS($V$1006:AB1006),$V$1006:$AE$1006,0)))),"Fix")))</f>
        <v>0</v>
      </c>
      <c r="I626" s="3">
        <f>IF(OR(INDEX($P$2:$P$1001,MATCH(ROWS($O$2:O626),$O$2:$O$1001,0),1)&gt;=100000,INDEX($V$1005:$AE$1005,1,MATCH(COLUMNS($V$1006:AC1006),$V$1006:$AE$1006,0))&gt;=100000), " ",IF(INDEX($V$2:$AE$1001,MATCH(ROWS($O$2:O626),$O$2:$O$1001,0),MATCH(COLUMNS($V$1006:AC1006),$V$1006:$AE$1006,0)), HYPERLINK("#",""), HYPERLINK(CONCATENATE("#Metadata!", ADDRESS(INDEX($Q$2:$Q$1001,MATCH(ROWS($O$2:O626),$O$2:$O$1001,0),0), INDEX($V$1004:$AE$1004,1,MATCH(COLUMNS($V$1006:AC1006),$V$1006:$AE$1006,0)))),"Fix")))</f>
        <v>0</v>
      </c>
      <c r="J626" s="3">
        <f>IF(OR(INDEX($P$2:$P$1001,MATCH(ROWS($O$2:O626),$O$2:$O$1001,0),1)&gt;=100000,INDEX($V$1005:$AE$1005,1,MATCH(COLUMNS($V$1006:AD1006),$V$1006:$AE$1006,0))&gt;=100000), " ",IF(INDEX($V$2:$AE$1001,MATCH(ROWS($O$2:O626),$O$2:$O$1001,0),MATCH(COLUMNS($V$1006:AD1006),$V$1006:$AE$1006,0)), HYPERLINK("#",""), HYPERLINK(CONCATENATE("#Metadata!", ADDRESS(INDEX($Q$2:$Q$1001,MATCH(ROWS($O$2:O626),$O$2:$O$1001,0),0), INDEX($V$1004:$AE$1004,1,MATCH(COLUMNS($V$1006:AD1006),$V$1006:$AE$1006,0)))),"Fix")))</f>
        <v>0</v>
      </c>
      <c r="K626" s="3">
        <f>IF(OR(INDEX($P$2:$P$1001,MATCH(ROWS($O$2:O626),$O$2:$O$1001,0),1)&gt;=100000,INDEX($V$1005:$AE$1005,1,MATCH(COLUMNS($V$1006:AE1006),$V$1006:$AE$1006,0))&gt;=100000), " ",IF(INDEX($V$2:$AE$1001,MATCH(ROWS($O$2:O626),$O$2:$O$1001,0),MATCH(COLUMNS($V$1006:AE1006),$V$1006:$AE$1006,0)), HYPERLINK("#",""), HYPERLINK(CONCATENATE("#Metadata!", ADDRESS(INDEX($Q$2:$Q$1001,MATCH(ROWS($O$2:O626),$O$2:$O$1001,0),0), INDEX($V$1004:$AE$1004,1,MATCH(COLUMNS($V$1006:AE1006),$V$1006:$AE$1006,0)))),"Fix")))</f>
        <v>0</v>
      </c>
      <c r="O626">
        <v>0</v>
      </c>
      <c r="P626">
        <v>0</v>
      </c>
      <c r="Q626">
        <v>0</v>
      </c>
      <c r="R626">
        <f>IF(S626,TRUE,AND(V626:AE626))</f>
        <v>0</v>
      </c>
      <c r="S626">
        <f>COUNTBLANK(Metadata!B626:K626)=COLUMNS(Metadata!B626:K626)</f>
        <v>0</v>
      </c>
      <c r="T626">
        <v>0</v>
      </c>
      <c r="V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W626">
        <f>AND(IF(Metadata!C626="",FALSE,TRUE),exact(Metadata!C626,"animal secretion"))</f>
        <v>0</v>
      </c>
      <c r="X626">
        <f>AND(IF(Metadata!D626="",FALSE,TRUE),exact(Metadata!D626,"saliva"))</f>
        <v>0</v>
      </c>
      <c r="Y626">
        <f>AND(IF(Metadata!E626="",FALSE,TRUE),exact(Metadata!E626,"human-oral"))</f>
        <v>0</v>
      </c>
      <c r="Z626">
        <f>AND(IF(Metadata!F626="",FALSE,TRUE),exact(Metadata!F626,"UBERON:oral cavity"))</f>
        <v>0</v>
      </c>
      <c r="AA626">
        <f>AND(IF(Metadata!G626="",FALSE,TRUE),exact(Metadata!G626,"UBERON:saliva"))</f>
        <v>0</v>
      </c>
      <c r="AB626">
        <f>AND(IF(Metadata!H626="",FALSE,TRUE),exact(Metadata!H626,"UBERON:tongue"))</f>
        <v>0</v>
      </c>
      <c r="AC626">
        <f>AND(IF(Metadata!I626="",FALSE,TRUE),exact(Metadata!I626,"tongue"))</f>
        <v>0</v>
      </c>
      <c r="AD626">
        <f>AND(IF(Metadata!J626="",FALSE,TRUE),exact(Metadata!J626,"human oral metagenome"))</f>
        <v>0</v>
      </c>
      <c r="AE626">
        <f>AND(IF(Metadata!K626="",FALSE,TRUE),exact(Metadata!K626,"447426"))</f>
        <v>0</v>
      </c>
    </row>
    <row r="627" spans="1:31">
      <c r="A627" s="4">
        <f>IF(B627=" "," ",HYPERLINK(CONCATENATE("#metadata!",ADDRESS(INDEX($Q$2:$Q$1001,MATCH(ROWS($O$2:O627),$O$2:$O$1001,0),0),1)),INDEX($T$2:$T$1001,MATCH(ROWS($O$2:O627),$O$2:$O$1001,0),0)))</f>
        <v>0</v>
      </c>
      <c r="B627" s="3">
        <f>IF(OR(INDEX($P$2:$P$1001,MATCH(ROWS($O$2:O627),$O$2:$O$1001,0),1)&gt;=100000,INDEX($V$1005:$AE$1005,1,MATCH(COLUMNS($V$1006:V1006),$V$1006:$AE$1006,0))&gt;=100000), " ",IF(INDEX($V$2:$AE$1001,MATCH(ROWS($O$2:O627),$O$2:$O$1001,0),MATCH(COLUMNS($V$1006:V1006),$V$1006:$AE$1006,0)), HYPERLINK("#",""), HYPERLINK(CONCATENATE("#Metadata!", ADDRESS(INDEX($Q$2:$Q$1001,MATCH(ROWS($O$2:O627),$O$2:$O$1001,0),0), INDEX($V$1004:$AE$1004,1,MATCH(COLUMNS($V$1006:V1006),$V$1006:$AE$1006,0)))),"Fix")))</f>
        <v>0</v>
      </c>
      <c r="C627" s="3">
        <f>IF(OR(INDEX($P$2:$P$1001,MATCH(ROWS($O$2:O627),$O$2:$O$1001,0),1)&gt;=100000,INDEX($V$1005:$AE$1005,1,MATCH(COLUMNS($V$1006:W1006),$V$1006:$AE$1006,0))&gt;=100000), " ",IF(INDEX($V$2:$AE$1001,MATCH(ROWS($O$2:O627),$O$2:$O$1001,0),MATCH(COLUMNS($V$1006:W1006),$V$1006:$AE$1006,0)), HYPERLINK("#",""), HYPERLINK(CONCATENATE("#Metadata!", ADDRESS(INDEX($Q$2:$Q$1001,MATCH(ROWS($O$2:O627),$O$2:$O$1001,0),0), INDEX($V$1004:$AE$1004,1,MATCH(COLUMNS($V$1006:W1006),$V$1006:$AE$1006,0)))),"Fix")))</f>
        <v>0</v>
      </c>
      <c r="D627" s="3">
        <f>IF(OR(INDEX($P$2:$P$1001,MATCH(ROWS($O$2:O627),$O$2:$O$1001,0),1)&gt;=100000,INDEX($V$1005:$AE$1005,1,MATCH(COLUMNS($V$1006:X1006),$V$1006:$AE$1006,0))&gt;=100000), " ",IF(INDEX($V$2:$AE$1001,MATCH(ROWS($O$2:O627),$O$2:$O$1001,0),MATCH(COLUMNS($V$1006:X1006),$V$1006:$AE$1006,0)), HYPERLINK("#",""), HYPERLINK(CONCATENATE("#Metadata!", ADDRESS(INDEX($Q$2:$Q$1001,MATCH(ROWS($O$2:O627),$O$2:$O$1001,0),0), INDEX($V$1004:$AE$1004,1,MATCH(COLUMNS($V$1006:X1006),$V$1006:$AE$1006,0)))),"Fix")))</f>
        <v>0</v>
      </c>
      <c r="E627" s="3">
        <f>IF(OR(INDEX($P$2:$P$1001,MATCH(ROWS($O$2:O627),$O$2:$O$1001,0),1)&gt;=100000,INDEX($V$1005:$AE$1005,1,MATCH(COLUMNS($V$1006:Y1006),$V$1006:$AE$1006,0))&gt;=100000), " ",IF(INDEX($V$2:$AE$1001,MATCH(ROWS($O$2:O627),$O$2:$O$1001,0),MATCH(COLUMNS($V$1006:Y1006),$V$1006:$AE$1006,0)), HYPERLINK("#",""), HYPERLINK(CONCATENATE("#Metadata!", ADDRESS(INDEX($Q$2:$Q$1001,MATCH(ROWS($O$2:O627),$O$2:$O$1001,0),0), INDEX($V$1004:$AE$1004,1,MATCH(COLUMNS($V$1006:Y1006),$V$1006:$AE$1006,0)))),"Fix")))</f>
        <v>0</v>
      </c>
      <c r="F627" s="3">
        <f>IF(OR(INDEX($P$2:$P$1001,MATCH(ROWS($O$2:O627),$O$2:$O$1001,0),1)&gt;=100000,INDEX($V$1005:$AE$1005,1,MATCH(COLUMNS($V$1006:Z1006),$V$1006:$AE$1006,0))&gt;=100000), " ",IF(INDEX($V$2:$AE$1001,MATCH(ROWS($O$2:O627),$O$2:$O$1001,0),MATCH(COLUMNS($V$1006:Z1006),$V$1006:$AE$1006,0)), HYPERLINK("#",""), HYPERLINK(CONCATENATE("#Metadata!", ADDRESS(INDEX($Q$2:$Q$1001,MATCH(ROWS($O$2:O627),$O$2:$O$1001,0),0), INDEX($V$1004:$AE$1004,1,MATCH(COLUMNS($V$1006:Z1006),$V$1006:$AE$1006,0)))),"Fix")))</f>
        <v>0</v>
      </c>
      <c r="G627" s="3">
        <f>IF(OR(INDEX($P$2:$P$1001,MATCH(ROWS($O$2:O627),$O$2:$O$1001,0),1)&gt;=100000,INDEX($V$1005:$AE$1005,1,MATCH(COLUMNS($V$1006:AA1006),$V$1006:$AE$1006,0))&gt;=100000), " ",IF(INDEX($V$2:$AE$1001,MATCH(ROWS($O$2:O627),$O$2:$O$1001,0),MATCH(COLUMNS($V$1006:AA1006),$V$1006:$AE$1006,0)), HYPERLINK("#",""), HYPERLINK(CONCATENATE("#Metadata!", ADDRESS(INDEX($Q$2:$Q$1001,MATCH(ROWS($O$2:O627),$O$2:$O$1001,0),0), INDEX($V$1004:$AE$1004,1,MATCH(COLUMNS($V$1006:AA1006),$V$1006:$AE$1006,0)))),"Fix")))</f>
        <v>0</v>
      </c>
      <c r="H627" s="3">
        <f>IF(OR(INDEX($P$2:$P$1001,MATCH(ROWS($O$2:O627),$O$2:$O$1001,0),1)&gt;=100000,INDEX($V$1005:$AE$1005,1,MATCH(COLUMNS($V$1006:AB1006),$V$1006:$AE$1006,0))&gt;=100000), " ",IF(INDEX($V$2:$AE$1001,MATCH(ROWS($O$2:O627),$O$2:$O$1001,0),MATCH(COLUMNS($V$1006:AB1006),$V$1006:$AE$1006,0)), HYPERLINK("#",""), HYPERLINK(CONCATENATE("#Metadata!", ADDRESS(INDEX($Q$2:$Q$1001,MATCH(ROWS($O$2:O627),$O$2:$O$1001,0),0), INDEX($V$1004:$AE$1004,1,MATCH(COLUMNS($V$1006:AB1006),$V$1006:$AE$1006,0)))),"Fix")))</f>
        <v>0</v>
      </c>
      <c r="I627" s="3">
        <f>IF(OR(INDEX($P$2:$P$1001,MATCH(ROWS($O$2:O627),$O$2:$O$1001,0),1)&gt;=100000,INDEX($V$1005:$AE$1005,1,MATCH(COLUMNS($V$1006:AC1006),$V$1006:$AE$1006,0))&gt;=100000), " ",IF(INDEX($V$2:$AE$1001,MATCH(ROWS($O$2:O627),$O$2:$O$1001,0),MATCH(COLUMNS($V$1006:AC1006),$V$1006:$AE$1006,0)), HYPERLINK("#",""), HYPERLINK(CONCATENATE("#Metadata!", ADDRESS(INDEX($Q$2:$Q$1001,MATCH(ROWS($O$2:O627),$O$2:$O$1001,0),0), INDEX($V$1004:$AE$1004,1,MATCH(COLUMNS($V$1006:AC1006),$V$1006:$AE$1006,0)))),"Fix")))</f>
        <v>0</v>
      </c>
      <c r="J627" s="3">
        <f>IF(OR(INDEX($P$2:$P$1001,MATCH(ROWS($O$2:O627),$O$2:$O$1001,0),1)&gt;=100000,INDEX($V$1005:$AE$1005,1,MATCH(COLUMNS($V$1006:AD1006),$V$1006:$AE$1006,0))&gt;=100000), " ",IF(INDEX($V$2:$AE$1001,MATCH(ROWS($O$2:O627),$O$2:$O$1001,0),MATCH(COLUMNS($V$1006:AD1006),$V$1006:$AE$1006,0)), HYPERLINK("#",""), HYPERLINK(CONCATENATE("#Metadata!", ADDRESS(INDEX($Q$2:$Q$1001,MATCH(ROWS($O$2:O627),$O$2:$O$1001,0),0), INDEX($V$1004:$AE$1004,1,MATCH(COLUMNS($V$1006:AD1006),$V$1006:$AE$1006,0)))),"Fix")))</f>
        <v>0</v>
      </c>
      <c r="K627" s="3">
        <f>IF(OR(INDEX($P$2:$P$1001,MATCH(ROWS($O$2:O627),$O$2:$O$1001,0),1)&gt;=100000,INDEX($V$1005:$AE$1005,1,MATCH(COLUMNS($V$1006:AE1006),$V$1006:$AE$1006,0))&gt;=100000), " ",IF(INDEX($V$2:$AE$1001,MATCH(ROWS($O$2:O627),$O$2:$O$1001,0),MATCH(COLUMNS($V$1006:AE1006),$V$1006:$AE$1006,0)), HYPERLINK("#",""), HYPERLINK(CONCATENATE("#Metadata!", ADDRESS(INDEX($Q$2:$Q$1001,MATCH(ROWS($O$2:O627),$O$2:$O$1001,0),0), INDEX($V$1004:$AE$1004,1,MATCH(COLUMNS($V$1006:AE1006),$V$1006:$AE$1006,0)))),"Fix")))</f>
        <v>0</v>
      </c>
      <c r="O627">
        <v>0</v>
      </c>
      <c r="P627">
        <v>0</v>
      </c>
      <c r="Q627">
        <v>0</v>
      </c>
      <c r="R627">
        <f>IF(S627,TRUE,AND(V627:AE627))</f>
        <v>0</v>
      </c>
      <c r="S627">
        <f>COUNTBLANK(Metadata!B627:K627)=COLUMNS(Metadata!B627:K627)</f>
        <v>0</v>
      </c>
      <c r="T627">
        <v>0</v>
      </c>
      <c r="V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W627">
        <f>AND(IF(Metadata!C627="",FALSE,TRUE),exact(Metadata!C627,"animal secretion"))</f>
        <v>0</v>
      </c>
      <c r="X627">
        <f>AND(IF(Metadata!D627="",FALSE,TRUE),exact(Metadata!D627,"saliva"))</f>
        <v>0</v>
      </c>
      <c r="Y627">
        <f>AND(IF(Metadata!E627="",FALSE,TRUE),exact(Metadata!E627,"human-oral"))</f>
        <v>0</v>
      </c>
      <c r="Z627">
        <f>AND(IF(Metadata!F627="",FALSE,TRUE),exact(Metadata!F627,"UBERON:oral cavity"))</f>
        <v>0</v>
      </c>
      <c r="AA627">
        <f>AND(IF(Metadata!G627="",FALSE,TRUE),exact(Metadata!G627,"UBERON:saliva"))</f>
        <v>0</v>
      </c>
      <c r="AB627">
        <f>AND(IF(Metadata!H627="",FALSE,TRUE),exact(Metadata!H627,"UBERON:tongue"))</f>
        <v>0</v>
      </c>
      <c r="AC627">
        <f>AND(IF(Metadata!I627="",FALSE,TRUE),exact(Metadata!I627,"tongue"))</f>
        <v>0</v>
      </c>
      <c r="AD627">
        <f>AND(IF(Metadata!J627="",FALSE,TRUE),exact(Metadata!J627,"human oral metagenome"))</f>
        <v>0</v>
      </c>
      <c r="AE627">
        <f>AND(IF(Metadata!K627="",FALSE,TRUE),exact(Metadata!K627,"447426"))</f>
        <v>0</v>
      </c>
    </row>
    <row r="628" spans="1:31">
      <c r="A628" s="4">
        <f>IF(B628=" "," ",HYPERLINK(CONCATENATE("#metadata!",ADDRESS(INDEX($Q$2:$Q$1001,MATCH(ROWS($O$2:O628),$O$2:$O$1001,0),0),1)),INDEX($T$2:$T$1001,MATCH(ROWS($O$2:O628),$O$2:$O$1001,0),0)))</f>
        <v>0</v>
      </c>
      <c r="B628" s="3">
        <f>IF(OR(INDEX($P$2:$P$1001,MATCH(ROWS($O$2:O628),$O$2:$O$1001,0),1)&gt;=100000,INDEX($V$1005:$AE$1005,1,MATCH(COLUMNS($V$1006:V1006),$V$1006:$AE$1006,0))&gt;=100000), " ",IF(INDEX($V$2:$AE$1001,MATCH(ROWS($O$2:O628),$O$2:$O$1001,0),MATCH(COLUMNS($V$1006:V1006),$V$1006:$AE$1006,0)), HYPERLINK("#",""), HYPERLINK(CONCATENATE("#Metadata!", ADDRESS(INDEX($Q$2:$Q$1001,MATCH(ROWS($O$2:O628),$O$2:$O$1001,0),0), INDEX($V$1004:$AE$1004,1,MATCH(COLUMNS($V$1006:V1006),$V$1006:$AE$1006,0)))),"Fix")))</f>
        <v>0</v>
      </c>
      <c r="C628" s="3">
        <f>IF(OR(INDEX($P$2:$P$1001,MATCH(ROWS($O$2:O628),$O$2:$O$1001,0),1)&gt;=100000,INDEX($V$1005:$AE$1005,1,MATCH(COLUMNS($V$1006:W1006),$V$1006:$AE$1006,0))&gt;=100000), " ",IF(INDEX($V$2:$AE$1001,MATCH(ROWS($O$2:O628),$O$2:$O$1001,0),MATCH(COLUMNS($V$1006:W1006),$V$1006:$AE$1006,0)), HYPERLINK("#",""), HYPERLINK(CONCATENATE("#Metadata!", ADDRESS(INDEX($Q$2:$Q$1001,MATCH(ROWS($O$2:O628),$O$2:$O$1001,0),0), INDEX($V$1004:$AE$1004,1,MATCH(COLUMNS($V$1006:W1006),$V$1006:$AE$1006,0)))),"Fix")))</f>
        <v>0</v>
      </c>
      <c r="D628" s="3">
        <f>IF(OR(INDEX($P$2:$P$1001,MATCH(ROWS($O$2:O628),$O$2:$O$1001,0),1)&gt;=100000,INDEX($V$1005:$AE$1005,1,MATCH(COLUMNS($V$1006:X1006),$V$1006:$AE$1006,0))&gt;=100000), " ",IF(INDEX($V$2:$AE$1001,MATCH(ROWS($O$2:O628),$O$2:$O$1001,0),MATCH(COLUMNS($V$1006:X1006),$V$1006:$AE$1006,0)), HYPERLINK("#",""), HYPERLINK(CONCATENATE("#Metadata!", ADDRESS(INDEX($Q$2:$Q$1001,MATCH(ROWS($O$2:O628),$O$2:$O$1001,0),0), INDEX($V$1004:$AE$1004,1,MATCH(COLUMNS($V$1006:X1006),$V$1006:$AE$1006,0)))),"Fix")))</f>
        <v>0</v>
      </c>
      <c r="E628" s="3">
        <f>IF(OR(INDEX($P$2:$P$1001,MATCH(ROWS($O$2:O628),$O$2:$O$1001,0),1)&gt;=100000,INDEX($V$1005:$AE$1005,1,MATCH(COLUMNS($V$1006:Y1006),$V$1006:$AE$1006,0))&gt;=100000), " ",IF(INDEX($V$2:$AE$1001,MATCH(ROWS($O$2:O628),$O$2:$O$1001,0),MATCH(COLUMNS($V$1006:Y1006),$V$1006:$AE$1006,0)), HYPERLINK("#",""), HYPERLINK(CONCATENATE("#Metadata!", ADDRESS(INDEX($Q$2:$Q$1001,MATCH(ROWS($O$2:O628),$O$2:$O$1001,0),0), INDEX($V$1004:$AE$1004,1,MATCH(COLUMNS($V$1006:Y1006),$V$1006:$AE$1006,0)))),"Fix")))</f>
        <v>0</v>
      </c>
      <c r="F628" s="3">
        <f>IF(OR(INDEX($P$2:$P$1001,MATCH(ROWS($O$2:O628),$O$2:$O$1001,0),1)&gt;=100000,INDEX($V$1005:$AE$1005,1,MATCH(COLUMNS($V$1006:Z1006),$V$1006:$AE$1006,0))&gt;=100000), " ",IF(INDEX($V$2:$AE$1001,MATCH(ROWS($O$2:O628),$O$2:$O$1001,0),MATCH(COLUMNS($V$1006:Z1006),$V$1006:$AE$1006,0)), HYPERLINK("#",""), HYPERLINK(CONCATENATE("#Metadata!", ADDRESS(INDEX($Q$2:$Q$1001,MATCH(ROWS($O$2:O628),$O$2:$O$1001,0),0), INDEX($V$1004:$AE$1004,1,MATCH(COLUMNS($V$1006:Z1006),$V$1006:$AE$1006,0)))),"Fix")))</f>
        <v>0</v>
      </c>
      <c r="G628" s="3">
        <f>IF(OR(INDEX($P$2:$P$1001,MATCH(ROWS($O$2:O628),$O$2:$O$1001,0),1)&gt;=100000,INDEX($V$1005:$AE$1005,1,MATCH(COLUMNS($V$1006:AA1006),$V$1006:$AE$1006,0))&gt;=100000), " ",IF(INDEX($V$2:$AE$1001,MATCH(ROWS($O$2:O628),$O$2:$O$1001,0),MATCH(COLUMNS($V$1006:AA1006),$V$1006:$AE$1006,0)), HYPERLINK("#",""), HYPERLINK(CONCATENATE("#Metadata!", ADDRESS(INDEX($Q$2:$Q$1001,MATCH(ROWS($O$2:O628),$O$2:$O$1001,0),0), INDEX($V$1004:$AE$1004,1,MATCH(COLUMNS($V$1006:AA1006),$V$1006:$AE$1006,0)))),"Fix")))</f>
        <v>0</v>
      </c>
      <c r="H628" s="3">
        <f>IF(OR(INDEX($P$2:$P$1001,MATCH(ROWS($O$2:O628),$O$2:$O$1001,0),1)&gt;=100000,INDEX($V$1005:$AE$1005,1,MATCH(COLUMNS($V$1006:AB1006),$V$1006:$AE$1006,0))&gt;=100000), " ",IF(INDEX($V$2:$AE$1001,MATCH(ROWS($O$2:O628),$O$2:$O$1001,0),MATCH(COLUMNS($V$1006:AB1006),$V$1006:$AE$1006,0)), HYPERLINK("#",""), HYPERLINK(CONCATENATE("#Metadata!", ADDRESS(INDEX($Q$2:$Q$1001,MATCH(ROWS($O$2:O628),$O$2:$O$1001,0),0), INDEX($V$1004:$AE$1004,1,MATCH(COLUMNS($V$1006:AB1006),$V$1006:$AE$1006,0)))),"Fix")))</f>
        <v>0</v>
      </c>
      <c r="I628" s="3">
        <f>IF(OR(INDEX($P$2:$P$1001,MATCH(ROWS($O$2:O628),$O$2:$O$1001,0),1)&gt;=100000,INDEX($V$1005:$AE$1005,1,MATCH(COLUMNS($V$1006:AC1006),$V$1006:$AE$1006,0))&gt;=100000), " ",IF(INDEX($V$2:$AE$1001,MATCH(ROWS($O$2:O628),$O$2:$O$1001,0),MATCH(COLUMNS($V$1006:AC1006),$V$1006:$AE$1006,0)), HYPERLINK("#",""), HYPERLINK(CONCATENATE("#Metadata!", ADDRESS(INDEX($Q$2:$Q$1001,MATCH(ROWS($O$2:O628),$O$2:$O$1001,0),0), INDEX($V$1004:$AE$1004,1,MATCH(COLUMNS($V$1006:AC1006),$V$1006:$AE$1006,0)))),"Fix")))</f>
        <v>0</v>
      </c>
      <c r="J628" s="3">
        <f>IF(OR(INDEX($P$2:$P$1001,MATCH(ROWS($O$2:O628),$O$2:$O$1001,0),1)&gt;=100000,INDEX($V$1005:$AE$1005,1,MATCH(COLUMNS($V$1006:AD1006),$V$1006:$AE$1006,0))&gt;=100000), " ",IF(INDEX($V$2:$AE$1001,MATCH(ROWS($O$2:O628),$O$2:$O$1001,0),MATCH(COLUMNS($V$1006:AD1006),$V$1006:$AE$1006,0)), HYPERLINK("#",""), HYPERLINK(CONCATENATE("#Metadata!", ADDRESS(INDEX($Q$2:$Q$1001,MATCH(ROWS($O$2:O628),$O$2:$O$1001,0),0), INDEX($V$1004:$AE$1004,1,MATCH(COLUMNS($V$1006:AD1006),$V$1006:$AE$1006,0)))),"Fix")))</f>
        <v>0</v>
      </c>
      <c r="K628" s="3">
        <f>IF(OR(INDEX($P$2:$P$1001,MATCH(ROWS($O$2:O628),$O$2:$O$1001,0),1)&gt;=100000,INDEX($V$1005:$AE$1005,1,MATCH(COLUMNS($V$1006:AE1006),$V$1006:$AE$1006,0))&gt;=100000), " ",IF(INDEX($V$2:$AE$1001,MATCH(ROWS($O$2:O628),$O$2:$O$1001,0),MATCH(COLUMNS($V$1006:AE1006),$V$1006:$AE$1006,0)), HYPERLINK("#",""), HYPERLINK(CONCATENATE("#Metadata!", ADDRESS(INDEX($Q$2:$Q$1001,MATCH(ROWS($O$2:O628),$O$2:$O$1001,0),0), INDEX($V$1004:$AE$1004,1,MATCH(COLUMNS($V$1006:AE1006),$V$1006:$AE$1006,0)))),"Fix")))</f>
        <v>0</v>
      </c>
      <c r="O628">
        <v>0</v>
      </c>
      <c r="P628">
        <v>0</v>
      </c>
      <c r="Q628">
        <v>0</v>
      </c>
      <c r="R628">
        <f>IF(S628,TRUE,AND(V628:AE628))</f>
        <v>0</v>
      </c>
      <c r="S628">
        <f>COUNTBLANK(Metadata!B628:K628)=COLUMNS(Metadata!B628:K628)</f>
        <v>0</v>
      </c>
      <c r="T628">
        <v>0</v>
      </c>
      <c r="V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W628">
        <f>AND(IF(Metadata!C628="",FALSE,TRUE),exact(Metadata!C628,"animal secretion"))</f>
        <v>0</v>
      </c>
      <c r="X628">
        <f>AND(IF(Metadata!D628="",FALSE,TRUE),exact(Metadata!D628,"saliva"))</f>
        <v>0</v>
      </c>
      <c r="Y628">
        <f>AND(IF(Metadata!E628="",FALSE,TRUE),exact(Metadata!E628,"human-oral"))</f>
        <v>0</v>
      </c>
      <c r="Z628">
        <f>AND(IF(Metadata!F628="",FALSE,TRUE),exact(Metadata!F628,"UBERON:oral cavity"))</f>
        <v>0</v>
      </c>
      <c r="AA628">
        <f>AND(IF(Metadata!G628="",FALSE,TRUE),exact(Metadata!G628,"UBERON:saliva"))</f>
        <v>0</v>
      </c>
      <c r="AB628">
        <f>AND(IF(Metadata!H628="",FALSE,TRUE),exact(Metadata!H628,"UBERON:tongue"))</f>
        <v>0</v>
      </c>
      <c r="AC628">
        <f>AND(IF(Metadata!I628="",FALSE,TRUE),exact(Metadata!I628,"tongue"))</f>
        <v>0</v>
      </c>
      <c r="AD628">
        <f>AND(IF(Metadata!J628="",FALSE,TRUE),exact(Metadata!J628,"human oral metagenome"))</f>
        <v>0</v>
      </c>
      <c r="AE628">
        <f>AND(IF(Metadata!K628="",FALSE,TRUE),exact(Metadata!K628,"447426"))</f>
        <v>0</v>
      </c>
    </row>
    <row r="629" spans="1:31">
      <c r="A629" s="4">
        <f>IF(B629=" "," ",HYPERLINK(CONCATENATE("#metadata!",ADDRESS(INDEX($Q$2:$Q$1001,MATCH(ROWS($O$2:O629),$O$2:$O$1001,0),0),1)),INDEX($T$2:$T$1001,MATCH(ROWS($O$2:O629),$O$2:$O$1001,0),0)))</f>
        <v>0</v>
      </c>
      <c r="B629" s="3">
        <f>IF(OR(INDEX($P$2:$P$1001,MATCH(ROWS($O$2:O629),$O$2:$O$1001,0),1)&gt;=100000,INDEX($V$1005:$AE$1005,1,MATCH(COLUMNS($V$1006:V1006),$V$1006:$AE$1006,0))&gt;=100000), " ",IF(INDEX($V$2:$AE$1001,MATCH(ROWS($O$2:O629),$O$2:$O$1001,0),MATCH(COLUMNS($V$1006:V1006),$V$1006:$AE$1006,0)), HYPERLINK("#",""), HYPERLINK(CONCATENATE("#Metadata!", ADDRESS(INDEX($Q$2:$Q$1001,MATCH(ROWS($O$2:O629),$O$2:$O$1001,0),0), INDEX($V$1004:$AE$1004,1,MATCH(COLUMNS($V$1006:V1006),$V$1006:$AE$1006,0)))),"Fix")))</f>
        <v>0</v>
      </c>
      <c r="C629" s="3">
        <f>IF(OR(INDEX($P$2:$P$1001,MATCH(ROWS($O$2:O629),$O$2:$O$1001,0),1)&gt;=100000,INDEX($V$1005:$AE$1005,1,MATCH(COLUMNS($V$1006:W1006),$V$1006:$AE$1006,0))&gt;=100000), " ",IF(INDEX($V$2:$AE$1001,MATCH(ROWS($O$2:O629),$O$2:$O$1001,0),MATCH(COLUMNS($V$1006:W1006),$V$1006:$AE$1006,0)), HYPERLINK("#",""), HYPERLINK(CONCATENATE("#Metadata!", ADDRESS(INDEX($Q$2:$Q$1001,MATCH(ROWS($O$2:O629),$O$2:$O$1001,0),0), INDEX($V$1004:$AE$1004,1,MATCH(COLUMNS($V$1006:W1006),$V$1006:$AE$1006,0)))),"Fix")))</f>
        <v>0</v>
      </c>
      <c r="D629" s="3">
        <f>IF(OR(INDEX($P$2:$P$1001,MATCH(ROWS($O$2:O629),$O$2:$O$1001,0),1)&gt;=100000,INDEX($V$1005:$AE$1005,1,MATCH(COLUMNS($V$1006:X1006),$V$1006:$AE$1006,0))&gt;=100000), " ",IF(INDEX($V$2:$AE$1001,MATCH(ROWS($O$2:O629),$O$2:$O$1001,0),MATCH(COLUMNS($V$1006:X1006),$V$1006:$AE$1006,0)), HYPERLINK("#",""), HYPERLINK(CONCATENATE("#Metadata!", ADDRESS(INDEX($Q$2:$Q$1001,MATCH(ROWS($O$2:O629),$O$2:$O$1001,0),0), INDEX($V$1004:$AE$1004,1,MATCH(COLUMNS($V$1006:X1006),$V$1006:$AE$1006,0)))),"Fix")))</f>
        <v>0</v>
      </c>
      <c r="E629" s="3">
        <f>IF(OR(INDEX($P$2:$P$1001,MATCH(ROWS($O$2:O629),$O$2:$O$1001,0),1)&gt;=100000,INDEX($V$1005:$AE$1005,1,MATCH(COLUMNS($V$1006:Y1006),$V$1006:$AE$1006,0))&gt;=100000), " ",IF(INDEX($V$2:$AE$1001,MATCH(ROWS($O$2:O629),$O$2:$O$1001,0),MATCH(COLUMNS($V$1006:Y1006),$V$1006:$AE$1006,0)), HYPERLINK("#",""), HYPERLINK(CONCATENATE("#Metadata!", ADDRESS(INDEX($Q$2:$Q$1001,MATCH(ROWS($O$2:O629),$O$2:$O$1001,0),0), INDEX($V$1004:$AE$1004,1,MATCH(COLUMNS($V$1006:Y1006),$V$1006:$AE$1006,0)))),"Fix")))</f>
        <v>0</v>
      </c>
      <c r="F629" s="3">
        <f>IF(OR(INDEX($P$2:$P$1001,MATCH(ROWS($O$2:O629),$O$2:$O$1001,0),1)&gt;=100000,INDEX($V$1005:$AE$1005,1,MATCH(COLUMNS($V$1006:Z1006),$V$1006:$AE$1006,0))&gt;=100000), " ",IF(INDEX($V$2:$AE$1001,MATCH(ROWS($O$2:O629),$O$2:$O$1001,0),MATCH(COLUMNS($V$1006:Z1006),$V$1006:$AE$1006,0)), HYPERLINK("#",""), HYPERLINK(CONCATENATE("#Metadata!", ADDRESS(INDEX($Q$2:$Q$1001,MATCH(ROWS($O$2:O629),$O$2:$O$1001,0),0), INDEX($V$1004:$AE$1004,1,MATCH(COLUMNS($V$1006:Z1006),$V$1006:$AE$1006,0)))),"Fix")))</f>
        <v>0</v>
      </c>
      <c r="G629" s="3">
        <f>IF(OR(INDEX($P$2:$P$1001,MATCH(ROWS($O$2:O629),$O$2:$O$1001,0),1)&gt;=100000,INDEX($V$1005:$AE$1005,1,MATCH(COLUMNS($V$1006:AA1006),$V$1006:$AE$1006,0))&gt;=100000), " ",IF(INDEX($V$2:$AE$1001,MATCH(ROWS($O$2:O629),$O$2:$O$1001,0),MATCH(COLUMNS($V$1006:AA1006),$V$1006:$AE$1006,0)), HYPERLINK("#",""), HYPERLINK(CONCATENATE("#Metadata!", ADDRESS(INDEX($Q$2:$Q$1001,MATCH(ROWS($O$2:O629),$O$2:$O$1001,0),0), INDEX($V$1004:$AE$1004,1,MATCH(COLUMNS($V$1006:AA1006),$V$1006:$AE$1006,0)))),"Fix")))</f>
        <v>0</v>
      </c>
      <c r="H629" s="3">
        <f>IF(OR(INDEX($P$2:$P$1001,MATCH(ROWS($O$2:O629),$O$2:$O$1001,0),1)&gt;=100000,INDEX($V$1005:$AE$1005,1,MATCH(COLUMNS($V$1006:AB1006),$V$1006:$AE$1006,0))&gt;=100000), " ",IF(INDEX($V$2:$AE$1001,MATCH(ROWS($O$2:O629),$O$2:$O$1001,0),MATCH(COLUMNS($V$1006:AB1006),$V$1006:$AE$1006,0)), HYPERLINK("#",""), HYPERLINK(CONCATENATE("#Metadata!", ADDRESS(INDEX($Q$2:$Q$1001,MATCH(ROWS($O$2:O629),$O$2:$O$1001,0),0), INDEX($V$1004:$AE$1004,1,MATCH(COLUMNS($V$1006:AB1006),$V$1006:$AE$1006,0)))),"Fix")))</f>
        <v>0</v>
      </c>
      <c r="I629" s="3">
        <f>IF(OR(INDEX($P$2:$P$1001,MATCH(ROWS($O$2:O629),$O$2:$O$1001,0),1)&gt;=100000,INDEX($V$1005:$AE$1005,1,MATCH(COLUMNS($V$1006:AC1006),$V$1006:$AE$1006,0))&gt;=100000), " ",IF(INDEX($V$2:$AE$1001,MATCH(ROWS($O$2:O629),$O$2:$O$1001,0),MATCH(COLUMNS($V$1006:AC1006),$V$1006:$AE$1006,0)), HYPERLINK("#",""), HYPERLINK(CONCATENATE("#Metadata!", ADDRESS(INDEX($Q$2:$Q$1001,MATCH(ROWS($O$2:O629),$O$2:$O$1001,0),0), INDEX($V$1004:$AE$1004,1,MATCH(COLUMNS($V$1006:AC1006),$V$1006:$AE$1006,0)))),"Fix")))</f>
        <v>0</v>
      </c>
      <c r="J629" s="3">
        <f>IF(OR(INDEX($P$2:$P$1001,MATCH(ROWS($O$2:O629),$O$2:$O$1001,0),1)&gt;=100000,INDEX($V$1005:$AE$1005,1,MATCH(COLUMNS($V$1006:AD1006),$V$1006:$AE$1006,0))&gt;=100000), " ",IF(INDEX($V$2:$AE$1001,MATCH(ROWS($O$2:O629),$O$2:$O$1001,0),MATCH(COLUMNS($V$1006:AD1006),$V$1006:$AE$1006,0)), HYPERLINK("#",""), HYPERLINK(CONCATENATE("#Metadata!", ADDRESS(INDEX($Q$2:$Q$1001,MATCH(ROWS($O$2:O629),$O$2:$O$1001,0),0), INDEX($V$1004:$AE$1004,1,MATCH(COLUMNS($V$1006:AD1006),$V$1006:$AE$1006,0)))),"Fix")))</f>
        <v>0</v>
      </c>
      <c r="K629" s="3">
        <f>IF(OR(INDEX($P$2:$P$1001,MATCH(ROWS($O$2:O629),$O$2:$O$1001,0),1)&gt;=100000,INDEX($V$1005:$AE$1005,1,MATCH(COLUMNS($V$1006:AE1006),$V$1006:$AE$1006,0))&gt;=100000), " ",IF(INDEX($V$2:$AE$1001,MATCH(ROWS($O$2:O629),$O$2:$O$1001,0),MATCH(COLUMNS($V$1006:AE1006),$V$1006:$AE$1006,0)), HYPERLINK("#",""), HYPERLINK(CONCATENATE("#Metadata!", ADDRESS(INDEX($Q$2:$Q$1001,MATCH(ROWS($O$2:O629),$O$2:$O$1001,0),0), INDEX($V$1004:$AE$1004,1,MATCH(COLUMNS($V$1006:AE1006),$V$1006:$AE$1006,0)))),"Fix")))</f>
        <v>0</v>
      </c>
      <c r="O629">
        <v>0</v>
      </c>
      <c r="P629">
        <v>0</v>
      </c>
      <c r="Q629">
        <v>0</v>
      </c>
      <c r="R629">
        <f>IF(S629,TRUE,AND(V629:AE629))</f>
        <v>0</v>
      </c>
      <c r="S629">
        <f>COUNTBLANK(Metadata!B629:K629)=COLUMNS(Metadata!B629:K629)</f>
        <v>0</v>
      </c>
      <c r="T629">
        <v>0</v>
      </c>
      <c r="V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W629">
        <f>AND(IF(Metadata!C629="",FALSE,TRUE),exact(Metadata!C629,"animal secretion"))</f>
        <v>0</v>
      </c>
      <c r="X629">
        <f>AND(IF(Metadata!D629="",FALSE,TRUE),exact(Metadata!D629,"saliva"))</f>
        <v>0</v>
      </c>
      <c r="Y629">
        <f>AND(IF(Metadata!E629="",FALSE,TRUE),exact(Metadata!E629,"human-oral"))</f>
        <v>0</v>
      </c>
      <c r="Z629">
        <f>AND(IF(Metadata!F629="",FALSE,TRUE),exact(Metadata!F629,"UBERON:oral cavity"))</f>
        <v>0</v>
      </c>
      <c r="AA629">
        <f>AND(IF(Metadata!G629="",FALSE,TRUE),exact(Metadata!G629,"UBERON:saliva"))</f>
        <v>0</v>
      </c>
      <c r="AB629">
        <f>AND(IF(Metadata!H629="",FALSE,TRUE),exact(Metadata!H629,"UBERON:tongue"))</f>
        <v>0</v>
      </c>
      <c r="AC629">
        <f>AND(IF(Metadata!I629="",FALSE,TRUE),exact(Metadata!I629,"tongue"))</f>
        <v>0</v>
      </c>
      <c r="AD629">
        <f>AND(IF(Metadata!J629="",FALSE,TRUE),exact(Metadata!J629,"human oral metagenome"))</f>
        <v>0</v>
      </c>
      <c r="AE629">
        <f>AND(IF(Metadata!K629="",FALSE,TRUE),exact(Metadata!K629,"447426"))</f>
        <v>0</v>
      </c>
    </row>
    <row r="630" spans="1:31">
      <c r="A630" s="4">
        <f>IF(B630=" "," ",HYPERLINK(CONCATENATE("#metadata!",ADDRESS(INDEX($Q$2:$Q$1001,MATCH(ROWS($O$2:O630),$O$2:$O$1001,0),0),1)),INDEX($T$2:$T$1001,MATCH(ROWS($O$2:O630),$O$2:$O$1001,0),0)))</f>
        <v>0</v>
      </c>
      <c r="B630" s="3">
        <f>IF(OR(INDEX($P$2:$P$1001,MATCH(ROWS($O$2:O630),$O$2:$O$1001,0),1)&gt;=100000,INDEX($V$1005:$AE$1005,1,MATCH(COLUMNS($V$1006:V1006),$V$1006:$AE$1006,0))&gt;=100000), " ",IF(INDEX($V$2:$AE$1001,MATCH(ROWS($O$2:O630),$O$2:$O$1001,0),MATCH(COLUMNS($V$1006:V1006),$V$1006:$AE$1006,0)), HYPERLINK("#",""), HYPERLINK(CONCATENATE("#Metadata!", ADDRESS(INDEX($Q$2:$Q$1001,MATCH(ROWS($O$2:O630),$O$2:$O$1001,0),0), INDEX($V$1004:$AE$1004,1,MATCH(COLUMNS($V$1006:V1006),$V$1006:$AE$1006,0)))),"Fix")))</f>
        <v>0</v>
      </c>
      <c r="C630" s="3">
        <f>IF(OR(INDEX($P$2:$P$1001,MATCH(ROWS($O$2:O630),$O$2:$O$1001,0),1)&gt;=100000,INDEX($V$1005:$AE$1005,1,MATCH(COLUMNS($V$1006:W1006),$V$1006:$AE$1006,0))&gt;=100000), " ",IF(INDEX($V$2:$AE$1001,MATCH(ROWS($O$2:O630),$O$2:$O$1001,0),MATCH(COLUMNS($V$1006:W1006),$V$1006:$AE$1006,0)), HYPERLINK("#",""), HYPERLINK(CONCATENATE("#Metadata!", ADDRESS(INDEX($Q$2:$Q$1001,MATCH(ROWS($O$2:O630),$O$2:$O$1001,0),0), INDEX($V$1004:$AE$1004,1,MATCH(COLUMNS($V$1006:W1006),$V$1006:$AE$1006,0)))),"Fix")))</f>
        <v>0</v>
      </c>
      <c r="D630" s="3">
        <f>IF(OR(INDEX($P$2:$P$1001,MATCH(ROWS($O$2:O630),$O$2:$O$1001,0),1)&gt;=100000,INDEX($V$1005:$AE$1005,1,MATCH(COLUMNS($V$1006:X1006),$V$1006:$AE$1006,0))&gt;=100000), " ",IF(INDEX($V$2:$AE$1001,MATCH(ROWS($O$2:O630),$O$2:$O$1001,0),MATCH(COLUMNS($V$1006:X1006),$V$1006:$AE$1006,0)), HYPERLINK("#",""), HYPERLINK(CONCATENATE("#Metadata!", ADDRESS(INDEX($Q$2:$Q$1001,MATCH(ROWS($O$2:O630),$O$2:$O$1001,0),0), INDEX($V$1004:$AE$1004,1,MATCH(COLUMNS($V$1006:X1006),$V$1006:$AE$1006,0)))),"Fix")))</f>
        <v>0</v>
      </c>
      <c r="E630" s="3">
        <f>IF(OR(INDEX($P$2:$P$1001,MATCH(ROWS($O$2:O630),$O$2:$O$1001,0),1)&gt;=100000,INDEX($V$1005:$AE$1005,1,MATCH(COLUMNS($V$1006:Y1006),$V$1006:$AE$1006,0))&gt;=100000), " ",IF(INDEX($V$2:$AE$1001,MATCH(ROWS($O$2:O630),$O$2:$O$1001,0),MATCH(COLUMNS($V$1006:Y1006),$V$1006:$AE$1006,0)), HYPERLINK("#",""), HYPERLINK(CONCATENATE("#Metadata!", ADDRESS(INDEX($Q$2:$Q$1001,MATCH(ROWS($O$2:O630),$O$2:$O$1001,0),0), INDEX($V$1004:$AE$1004,1,MATCH(COLUMNS($V$1006:Y1006),$V$1006:$AE$1006,0)))),"Fix")))</f>
        <v>0</v>
      </c>
      <c r="F630" s="3">
        <f>IF(OR(INDEX($P$2:$P$1001,MATCH(ROWS($O$2:O630),$O$2:$O$1001,0),1)&gt;=100000,INDEX($V$1005:$AE$1005,1,MATCH(COLUMNS($V$1006:Z1006),$V$1006:$AE$1006,0))&gt;=100000), " ",IF(INDEX($V$2:$AE$1001,MATCH(ROWS($O$2:O630),$O$2:$O$1001,0),MATCH(COLUMNS($V$1006:Z1006),$V$1006:$AE$1006,0)), HYPERLINK("#",""), HYPERLINK(CONCATENATE("#Metadata!", ADDRESS(INDEX($Q$2:$Q$1001,MATCH(ROWS($O$2:O630),$O$2:$O$1001,0),0), INDEX($V$1004:$AE$1004,1,MATCH(COLUMNS($V$1006:Z1006),$V$1006:$AE$1006,0)))),"Fix")))</f>
        <v>0</v>
      </c>
      <c r="G630" s="3">
        <f>IF(OR(INDEX($P$2:$P$1001,MATCH(ROWS($O$2:O630),$O$2:$O$1001,0),1)&gt;=100000,INDEX($V$1005:$AE$1005,1,MATCH(COLUMNS($V$1006:AA1006),$V$1006:$AE$1006,0))&gt;=100000), " ",IF(INDEX($V$2:$AE$1001,MATCH(ROWS($O$2:O630),$O$2:$O$1001,0),MATCH(COLUMNS($V$1006:AA1006),$V$1006:$AE$1006,0)), HYPERLINK("#",""), HYPERLINK(CONCATENATE("#Metadata!", ADDRESS(INDEX($Q$2:$Q$1001,MATCH(ROWS($O$2:O630),$O$2:$O$1001,0),0), INDEX($V$1004:$AE$1004,1,MATCH(COLUMNS($V$1006:AA1006),$V$1006:$AE$1006,0)))),"Fix")))</f>
        <v>0</v>
      </c>
      <c r="H630" s="3">
        <f>IF(OR(INDEX($P$2:$P$1001,MATCH(ROWS($O$2:O630),$O$2:$O$1001,0),1)&gt;=100000,INDEX($V$1005:$AE$1005,1,MATCH(COLUMNS($V$1006:AB1006),$V$1006:$AE$1006,0))&gt;=100000), " ",IF(INDEX($V$2:$AE$1001,MATCH(ROWS($O$2:O630),$O$2:$O$1001,0),MATCH(COLUMNS($V$1006:AB1006),$V$1006:$AE$1006,0)), HYPERLINK("#",""), HYPERLINK(CONCATENATE("#Metadata!", ADDRESS(INDEX($Q$2:$Q$1001,MATCH(ROWS($O$2:O630),$O$2:$O$1001,0),0), INDEX($V$1004:$AE$1004,1,MATCH(COLUMNS($V$1006:AB1006),$V$1006:$AE$1006,0)))),"Fix")))</f>
        <v>0</v>
      </c>
      <c r="I630" s="3">
        <f>IF(OR(INDEX($P$2:$P$1001,MATCH(ROWS($O$2:O630),$O$2:$O$1001,0),1)&gt;=100000,INDEX($V$1005:$AE$1005,1,MATCH(COLUMNS($V$1006:AC1006),$V$1006:$AE$1006,0))&gt;=100000), " ",IF(INDEX($V$2:$AE$1001,MATCH(ROWS($O$2:O630),$O$2:$O$1001,0),MATCH(COLUMNS($V$1006:AC1006),$V$1006:$AE$1006,0)), HYPERLINK("#",""), HYPERLINK(CONCATENATE("#Metadata!", ADDRESS(INDEX($Q$2:$Q$1001,MATCH(ROWS($O$2:O630),$O$2:$O$1001,0),0), INDEX($V$1004:$AE$1004,1,MATCH(COLUMNS($V$1006:AC1006),$V$1006:$AE$1006,0)))),"Fix")))</f>
        <v>0</v>
      </c>
      <c r="J630" s="3">
        <f>IF(OR(INDEX($P$2:$P$1001,MATCH(ROWS($O$2:O630),$O$2:$O$1001,0),1)&gt;=100000,INDEX($V$1005:$AE$1005,1,MATCH(COLUMNS($V$1006:AD1006),$V$1006:$AE$1006,0))&gt;=100000), " ",IF(INDEX($V$2:$AE$1001,MATCH(ROWS($O$2:O630),$O$2:$O$1001,0),MATCH(COLUMNS($V$1006:AD1006),$V$1006:$AE$1006,0)), HYPERLINK("#",""), HYPERLINK(CONCATENATE("#Metadata!", ADDRESS(INDEX($Q$2:$Q$1001,MATCH(ROWS($O$2:O630),$O$2:$O$1001,0),0), INDEX($V$1004:$AE$1004,1,MATCH(COLUMNS($V$1006:AD1006),$V$1006:$AE$1006,0)))),"Fix")))</f>
        <v>0</v>
      </c>
      <c r="K630" s="3">
        <f>IF(OR(INDEX($P$2:$P$1001,MATCH(ROWS($O$2:O630),$O$2:$O$1001,0),1)&gt;=100000,INDEX($V$1005:$AE$1005,1,MATCH(COLUMNS($V$1006:AE1006),$V$1006:$AE$1006,0))&gt;=100000), " ",IF(INDEX($V$2:$AE$1001,MATCH(ROWS($O$2:O630),$O$2:$O$1001,0),MATCH(COLUMNS($V$1006:AE1006),$V$1006:$AE$1006,0)), HYPERLINK("#",""), HYPERLINK(CONCATENATE("#Metadata!", ADDRESS(INDEX($Q$2:$Q$1001,MATCH(ROWS($O$2:O630),$O$2:$O$1001,0),0), INDEX($V$1004:$AE$1004,1,MATCH(COLUMNS($V$1006:AE1006),$V$1006:$AE$1006,0)))),"Fix")))</f>
        <v>0</v>
      </c>
      <c r="O630">
        <v>0</v>
      </c>
      <c r="P630">
        <v>0</v>
      </c>
      <c r="Q630">
        <v>0</v>
      </c>
      <c r="R630">
        <f>IF(S630,TRUE,AND(V630:AE630))</f>
        <v>0</v>
      </c>
      <c r="S630">
        <f>COUNTBLANK(Metadata!B630:K630)=COLUMNS(Metadata!B630:K630)</f>
        <v>0</v>
      </c>
      <c r="T630">
        <v>0</v>
      </c>
      <c r="V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W630">
        <f>AND(IF(Metadata!C630="",FALSE,TRUE),exact(Metadata!C630,"animal secretion"))</f>
        <v>0</v>
      </c>
      <c r="X630">
        <f>AND(IF(Metadata!D630="",FALSE,TRUE),exact(Metadata!D630,"saliva"))</f>
        <v>0</v>
      </c>
      <c r="Y630">
        <f>AND(IF(Metadata!E630="",FALSE,TRUE),exact(Metadata!E630,"human-oral"))</f>
        <v>0</v>
      </c>
      <c r="Z630">
        <f>AND(IF(Metadata!F630="",FALSE,TRUE),exact(Metadata!F630,"UBERON:oral cavity"))</f>
        <v>0</v>
      </c>
      <c r="AA630">
        <f>AND(IF(Metadata!G630="",FALSE,TRUE),exact(Metadata!G630,"UBERON:saliva"))</f>
        <v>0</v>
      </c>
      <c r="AB630">
        <f>AND(IF(Metadata!H630="",FALSE,TRUE),exact(Metadata!H630,"UBERON:tongue"))</f>
        <v>0</v>
      </c>
      <c r="AC630">
        <f>AND(IF(Metadata!I630="",FALSE,TRUE),exact(Metadata!I630,"tongue"))</f>
        <v>0</v>
      </c>
      <c r="AD630">
        <f>AND(IF(Metadata!J630="",FALSE,TRUE),exact(Metadata!J630,"human oral metagenome"))</f>
        <v>0</v>
      </c>
      <c r="AE630">
        <f>AND(IF(Metadata!K630="",FALSE,TRUE),exact(Metadata!K630,"447426"))</f>
        <v>0</v>
      </c>
    </row>
    <row r="631" spans="1:31">
      <c r="A631" s="4">
        <f>IF(B631=" "," ",HYPERLINK(CONCATENATE("#metadata!",ADDRESS(INDEX($Q$2:$Q$1001,MATCH(ROWS($O$2:O631),$O$2:$O$1001,0),0),1)),INDEX($T$2:$T$1001,MATCH(ROWS($O$2:O631),$O$2:$O$1001,0),0)))</f>
        <v>0</v>
      </c>
      <c r="B631" s="3">
        <f>IF(OR(INDEX($P$2:$P$1001,MATCH(ROWS($O$2:O631),$O$2:$O$1001,0),1)&gt;=100000,INDEX($V$1005:$AE$1005,1,MATCH(COLUMNS($V$1006:V1006),$V$1006:$AE$1006,0))&gt;=100000), " ",IF(INDEX($V$2:$AE$1001,MATCH(ROWS($O$2:O631),$O$2:$O$1001,0),MATCH(COLUMNS($V$1006:V1006),$V$1006:$AE$1006,0)), HYPERLINK("#",""), HYPERLINK(CONCATENATE("#Metadata!", ADDRESS(INDEX($Q$2:$Q$1001,MATCH(ROWS($O$2:O631),$O$2:$O$1001,0),0), INDEX($V$1004:$AE$1004,1,MATCH(COLUMNS($V$1006:V1006),$V$1006:$AE$1006,0)))),"Fix")))</f>
        <v>0</v>
      </c>
      <c r="C631" s="3">
        <f>IF(OR(INDEX($P$2:$P$1001,MATCH(ROWS($O$2:O631),$O$2:$O$1001,0),1)&gt;=100000,INDEX($V$1005:$AE$1005,1,MATCH(COLUMNS($V$1006:W1006),$V$1006:$AE$1006,0))&gt;=100000), " ",IF(INDEX($V$2:$AE$1001,MATCH(ROWS($O$2:O631),$O$2:$O$1001,0),MATCH(COLUMNS($V$1006:W1006),$V$1006:$AE$1006,0)), HYPERLINK("#",""), HYPERLINK(CONCATENATE("#Metadata!", ADDRESS(INDEX($Q$2:$Q$1001,MATCH(ROWS($O$2:O631),$O$2:$O$1001,0),0), INDEX($V$1004:$AE$1004,1,MATCH(COLUMNS($V$1006:W1006),$V$1006:$AE$1006,0)))),"Fix")))</f>
        <v>0</v>
      </c>
      <c r="D631" s="3">
        <f>IF(OR(INDEX($P$2:$P$1001,MATCH(ROWS($O$2:O631),$O$2:$O$1001,0),1)&gt;=100000,INDEX($V$1005:$AE$1005,1,MATCH(COLUMNS($V$1006:X1006),$V$1006:$AE$1006,0))&gt;=100000), " ",IF(INDEX($V$2:$AE$1001,MATCH(ROWS($O$2:O631),$O$2:$O$1001,0),MATCH(COLUMNS($V$1006:X1006),$V$1006:$AE$1006,0)), HYPERLINK("#",""), HYPERLINK(CONCATENATE("#Metadata!", ADDRESS(INDEX($Q$2:$Q$1001,MATCH(ROWS($O$2:O631),$O$2:$O$1001,0),0), INDEX($V$1004:$AE$1004,1,MATCH(COLUMNS($V$1006:X1006),$V$1006:$AE$1006,0)))),"Fix")))</f>
        <v>0</v>
      </c>
      <c r="E631" s="3">
        <f>IF(OR(INDEX($P$2:$P$1001,MATCH(ROWS($O$2:O631),$O$2:$O$1001,0),1)&gt;=100000,INDEX($V$1005:$AE$1005,1,MATCH(COLUMNS($V$1006:Y1006),$V$1006:$AE$1006,0))&gt;=100000), " ",IF(INDEX($V$2:$AE$1001,MATCH(ROWS($O$2:O631),$O$2:$O$1001,0),MATCH(COLUMNS($V$1006:Y1006),$V$1006:$AE$1006,0)), HYPERLINK("#",""), HYPERLINK(CONCATENATE("#Metadata!", ADDRESS(INDEX($Q$2:$Q$1001,MATCH(ROWS($O$2:O631),$O$2:$O$1001,0),0), INDEX($V$1004:$AE$1004,1,MATCH(COLUMNS($V$1006:Y1006),$V$1006:$AE$1006,0)))),"Fix")))</f>
        <v>0</v>
      </c>
      <c r="F631" s="3">
        <f>IF(OR(INDEX($P$2:$P$1001,MATCH(ROWS($O$2:O631),$O$2:$O$1001,0),1)&gt;=100000,INDEX($V$1005:$AE$1005,1,MATCH(COLUMNS($V$1006:Z1006),$V$1006:$AE$1006,0))&gt;=100000), " ",IF(INDEX($V$2:$AE$1001,MATCH(ROWS($O$2:O631),$O$2:$O$1001,0),MATCH(COLUMNS($V$1006:Z1006),$V$1006:$AE$1006,0)), HYPERLINK("#",""), HYPERLINK(CONCATENATE("#Metadata!", ADDRESS(INDEX($Q$2:$Q$1001,MATCH(ROWS($O$2:O631),$O$2:$O$1001,0),0), INDEX($V$1004:$AE$1004,1,MATCH(COLUMNS($V$1006:Z1006),$V$1006:$AE$1006,0)))),"Fix")))</f>
        <v>0</v>
      </c>
      <c r="G631" s="3">
        <f>IF(OR(INDEX($P$2:$P$1001,MATCH(ROWS($O$2:O631),$O$2:$O$1001,0),1)&gt;=100000,INDEX($V$1005:$AE$1005,1,MATCH(COLUMNS($V$1006:AA1006),$V$1006:$AE$1006,0))&gt;=100000), " ",IF(INDEX($V$2:$AE$1001,MATCH(ROWS($O$2:O631),$O$2:$O$1001,0),MATCH(COLUMNS($V$1006:AA1006),$V$1006:$AE$1006,0)), HYPERLINK("#",""), HYPERLINK(CONCATENATE("#Metadata!", ADDRESS(INDEX($Q$2:$Q$1001,MATCH(ROWS($O$2:O631),$O$2:$O$1001,0),0), INDEX($V$1004:$AE$1004,1,MATCH(COLUMNS($V$1006:AA1006),$V$1006:$AE$1006,0)))),"Fix")))</f>
        <v>0</v>
      </c>
      <c r="H631" s="3">
        <f>IF(OR(INDEX($P$2:$P$1001,MATCH(ROWS($O$2:O631),$O$2:$O$1001,0),1)&gt;=100000,INDEX($V$1005:$AE$1005,1,MATCH(COLUMNS($V$1006:AB1006),$V$1006:$AE$1006,0))&gt;=100000), " ",IF(INDEX($V$2:$AE$1001,MATCH(ROWS($O$2:O631),$O$2:$O$1001,0),MATCH(COLUMNS($V$1006:AB1006),$V$1006:$AE$1006,0)), HYPERLINK("#",""), HYPERLINK(CONCATENATE("#Metadata!", ADDRESS(INDEX($Q$2:$Q$1001,MATCH(ROWS($O$2:O631),$O$2:$O$1001,0),0), INDEX($V$1004:$AE$1004,1,MATCH(COLUMNS($V$1006:AB1006),$V$1006:$AE$1006,0)))),"Fix")))</f>
        <v>0</v>
      </c>
      <c r="I631" s="3">
        <f>IF(OR(INDEX($P$2:$P$1001,MATCH(ROWS($O$2:O631),$O$2:$O$1001,0),1)&gt;=100000,INDEX($V$1005:$AE$1005,1,MATCH(COLUMNS($V$1006:AC1006),$V$1006:$AE$1006,0))&gt;=100000), " ",IF(INDEX($V$2:$AE$1001,MATCH(ROWS($O$2:O631),$O$2:$O$1001,0),MATCH(COLUMNS($V$1006:AC1006),$V$1006:$AE$1006,0)), HYPERLINK("#",""), HYPERLINK(CONCATENATE("#Metadata!", ADDRESS(INDEX($Q$2:$Q$1001,MATCH(ROWS($O$2:O631),$O$2:$O$1001,0),0), INDEX($V$1004:$AE$1004,1,MATCH(COLUMNS($V$1006:AC1006),$V$1006:$AE$1006,0)))),"Fix")))</f>
        <v>0</v>
      </c>
      <c r="J631" s="3">
        <f>IF(OR(INDEX($P$2:$P$1001,MATCH(ROWS($O$2:O631),$O$2:$O$1001,0),1)&gt;=100000,INDEX($V$1005:$AE$1005,1,MATCH(COLUMNS($V$1006:AD1006),$V$1006:$AE$1006,0))&gt;=100000), " ",IF(INDEX($V$2:$AE$1001,MATCH(ROWS($O$2:O631),$O$2:$O$1001,0),MATCH(COLUMNS($V$1006:AD1006),$V$1006:$AE$1006,0)), HYPERLINK("#",""), HYPERLINK(CONCATENATE("#Metadata!", ADDRESS(INDEX($Q$2:$Q$1001,MATCH(ROWS($O$2:O631),$O$2:$O$1001,0),0), INDEX($V$1004:$AE$1004,1,MATCH(COLUMNS($V$1006:AD1006),$V$1006:$AE$1006,0)))),"Fix")))</f>
        <v>0</v>
      </c>
      <c r="K631" s="3">
        <f>IF(OR(INDEX($P$2:$P$1001,MATCH(ROWS($O$2:O631),$O$2:$O$1001,0),1)&gt;=100000,INDEX($V$1005:$AE$1005,1,MATCH(COLUMNS($V$1006:AE1006),$V$1006:$AE$1006,0))&gt;=100000), " ",IF(INDEX($V$2:$AE$1001,MATCH(ROWS($O$2:O631),$O$2:$O$1001,0),MATCH(COLUMNS($V$1006:AE1006),$V$1006:$AE$1006,0)), HYPERLINK("#",""), HYPERLINK(CONCATENATE("#Metadata!", ADDRESS(INDEX($Q$2:$Q$1001,MATCH(ROWS($O$2:O631),$O$2:$O$1001,0),0), INDEX($V$1004:$AE$1004,1,MATCH(COLUMNS($V$1006:AE1006),$V$1006:$AE$1006,0)))),"Fix")))</f>
        <v>0</v>
      </c>
      <c r="O631">
        <v>0</v>
      </c>
      <c r="P631">
        <v>0</v>
      </c>
      <c r="Q631">
        <v>0</v>
      </c>
      <c r="R631">
        <f>IF(S631,TRUE,AND(V631:AE631))</f>
        <v>0</v>
      </c>
      <c r="S631">
        <f>COUNTBLANK(Metadata!B631:K631)=COLUMNS(Metadata!B631:K631)</f>
        <v>0</v>
      </c>
      <c r="T631">
        <v>0</v>
      </c>
      <c r="V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W631">
        <f>AND(IF(Metadata!C631="",FALSE,TRUE),exact(Metadata!C631,"animal secretion"))</f>
        <v>0</v>
      </c>
      <c r="X631">
        <f>AND(IF(Metadata!D631="",FALSE,TRUE),exact(Metadata!D631,"saliva"))</f>
        <v>0</v>
      </c>
      <c r="Y631">
        <f>AND(IF(Metadata!E631="",FALSE,TRUE),exact(Metadata!E631,"human-oral"))</f>
        <v>0</v>
      </c>
      <c r="Z631">
        <f>AND(IF(Metadata!F631="",FALSE,TRUE),exact(Metadata!F631,"UBERON:oral cavity"))</f>
        <v>0</v>
      </c>
      <c r="AA631">
        <f>AND(IF(Metadata!G631="",FALSE,TRUE),exact(Metadata!G631,"UBERON:saliva"))</f>
        <v>0</v>
      </c>
      <c r="AB631">
        <f>AND(IF(Metadata!H631="",FALSE,TRUE),exact(Metadata!H631,"UBERON:tongue"))</f>
        <v>0</v>
      </c>
      <c r="AC631">
        <f>AND(IF(Metadata!I631="",FALSE,TRUE),exact(Metadata!I631,"tongue"))</f>
        <v>0</v>
      </c>
      <c r="AD631">
        <f>AND(IF(Metadata!J631="",FALSE,TRUE),exact(Metadata!J631,"human oral metagenome"))</f>
        <v>0</v>
      </c>
      <c r="AE631">
        <f>AND(IF(Metadata!K631="",FALSE,TRUE),exact(Metadata!K631,"447426"))</f>
        <v>0</v>
      </c>
    </row>
    <row r="632" spans="1:31">
      <c r="A632" s="4">
        <f>IF(B632=" "," ",HYPERLINK(CONCATENATE("#metadata!",ADDRESS(INDEX($Q$2:$Q$1001,MATCH(ROWS($O$2:O632),$O$2:$O$1001,0),0),1)),INDEX($T$2:$T$1001,MATCH(ROWS($O$2:O632),$O$2:$O$1001,0),0)))</f>
        <v>0</v>
      </c>
      <c r="B632" s="3">
        <f>IF(OR(INDEX($P$2:$P$1001,MATCH(ROWS($O$2:O632),$O$2:$O$1001,0),1)&gt;=100000,INDEX($V$1005:$AE$1005,1,MATCH(COLUMNS($V$1006:V1006),$V$1006:$AE$1006,0))&gt;=100000), " ",IF(INDEX($V$2:$AE$1001,MATCH(ROWS($O$2:O632),$O$2:$O$1001,0),MATCH(COLUMNS($V$1006:V1006),$V$1006:$AE$1006,0)), HYPERLINK("#",""), HYPERLINK(CONCATENATE("#Metadata!", ADDRESS(INDEX($Q$2:$Q$1001,MATCH(ROWS($O$2:O632),$O$2:$O$1001,0),0), INDEX($V$1004:$AE$1004,1,MATCH(COLUMNS($V$1006:V1006),$V$1006:$AE$1006,0)))),"Fix")))</f>
        <v>0</v>
      </c>
      <c r="C632" s="3">
        <f>IF(OR(INDEX($P$2:$P$1001,MATCH(ROWS($O$2:O632),$O$2:$O$1001,0),1)&gt;=100000,INDEX($V$1005:$AE$1005,1,MATCH(COLUMNS($V$1006:W1006),$V$1006:$AE$1006,0))&gt;=100000), " ",IF(INDEX($V$2:$AE$1001,MATCH(ROWS($O$2:O632),$O$2:$O$1001,0),MATCH(COLUMNS($V$1006:W1006),$V$1006:$AE$1006,0)), HYPERLINK("#",""), HYPERLINK(CONCATENATE("#Metadata!", ADDRESS(INDEX($Q$2:$Q$1001,MATCH(ROWS($O$2:O632),$O$2:$O$1001,0),0), INDEX($V$1004:$AE$1004,1,MATCH(COLUMNS($V$1006:W1006),$V$1006:$AE$1006,0)))),"Fix")))</f>
        <v>0</v>
      </c>
      <c r="D632" s="3">
        <f>IF(OR(INDEX($P$2:$P$1001,MATCH(ROWS($O$2:O632),$O$2:$O$1001,0),1)&gt;=100000,INDEX($V$1005:$AE$1005,1,MATCH(COLUMNS($V$1006:X1006),$V$1006:$AE$1006,0))&gt;=100000), " ",IF(INDEX($V$2:$AE$1001,MATCH(ROWS($O$2:O632),$O$2:$O$1001,0),MATCH(COLUMNS($V$1006:X1006),$V$1006:$AE$1006,0)), HYPERLINK("#",""), HYPERLINK(CONCATENATE("#Metadata!", ADDRESS(INDEX($Q$2:$Q$1001,MATCH(ROWS($O$2:O632),$O$2:$O$1001,0),0), INDEX($V$1004:$AE$1004,1,MATCH(COLUMNS($V$1006:X1006),$V$1006:$AE$1006,0)))),"Fix")))</f>
        <v>0</v>
      </c>
      <c r="E632" s="3">
        <f>IF(OR(INDEX($P$2:$P$1001,MATCH(ROWS($O$2:O632),$O$2:$O$1001,0),1)&gt;=100000,INDEX($V$1005:$AE$1005,1,MATCH(COLUMNS($V$1006:Y1006),$V$1006:$AE$1006,0))&gt;=100000), " ",IF(INDEX($V$2:$AE$1001,MATCH(ROWS($O$2:O632),$O$2:$O$1001,0),MATCH(COLUMNS($V$1006:Y1006),$V$1006:$AE$1006,0)), HYPERLINK("#",""), HYPERLINK(CONCATENATE("#Metadata!", ADDRESS(INDEX($Q$2:$Q$1001,MATCH(ROWS($O$2:O632),$O$2:$O$1001,0),0), INDEX($V$1004:$AE$1004,1,MATCH(COLUMNS($V$1006:Y1006),$V$1006:$AE$1006,0)))),"Fix")))</f>
        <v>0</v>
      </c>
      <c r="F632" s="3">
        <f>IF(OR(INDEX($P$2:$P$1001,MATCH(ROWS($O$2:O632),$O$2:$O$1001,0),1)&gt;=100000,INDEX($V$1005:$AE$1005,1,MATCH(COLUMNS($V$1006:Z1006),$V$1006:$AE$1006,0))&gt;=100000), " ",IF(INDEX($V$2:$AE$1001,MATCH(ROWS($O$2:O632),$O$2:$O$1001,0),MATCH(COLUMNS($V$1006:Z1006),$V$1006:$AE$1006,0)), HYPERLINK("#",""), HYPERLINK(CONCATENATE("#Metadata!", ADDRESS(INDEX($Q$2:$Q$1001,MATCH(ROWS($O$2:O632),$O$2:$O$1001,0),0), INDEX($V$1004:$AE$1004,1,MATCH(COLUMNS($V$1006:Z1006),$V$1006:$AE$1006,0)))),"Fix")))</f>
        <v>0</v>
      </c>
      <c r="G632" s="3">
        <f>IF(OR(INDEX($P$2:$P$1001,MATCH(ROWS($O$2:O632),$O$2:$O$1001,0),1)&gt;=100000,INDEX($V$1005:$AE$1005,1,MATCH(COLUMNS($V$1006:AA1006),$V$1006:$AE$1006,0))&gt;=100000), " ",IF(INDEX($V$2:$AE$1001,MATCH(ROWS($O$2:O632),$O$2:$O$1001,0),MATCH(COLUMNS($V$1006:AA1006),$V$1006:$AE$1006,0)), HYPERLINK("#",""), HYPERLINK(CONCATENATE("#Metadata!", ADDRESS(INDEX($Q$2:$Q$1001,MATCH(ROWS($O$2:O632),$O$2:$O$1001,0),0), INDEX($V$1004:$AE$1004,1,MATCH(COLUMNS($V$1006:AA1006),$V$1006:$AE$1006,0)))),"Fix")))</f>
        <v>0</v>
      </c>
      <c r="H632" s="3">
        <f>IF(OR(INDEX($P$2:$P$1001,MATCH(ROWS($O$2:O632),$O$2:$O$1001,0),1)&gt;=100000,INDEX($V$1005:$AE$1005,1,MATCH(COLUMNS($V$1006:AB1006),$V$1006:$AE$1006,0))&gt;=100000), " ",IF(INDEX($V$2:$AE$1001,MATCH(ROWS($O$2:O632),$O$2:$O$1001,0),MATCH(COLUMNS($V$1006:AB1006),$V$1006:$AE$1006,0)), HYPERLINK("#",""), HYPERLINK(CONCATENATE("#Metadata!", ADDRESS(INDEX($Q$2:$Q$1001,MATCH(ROWS($O$2:O632),$O$2:$O$1001,0),0), INDEX($V$1004:$AE$1004,1,MATCH(COLUMNS($V$1006:AB1006),$V$1006:$AE$1006,0)))),"Fix")))</f>
        <v>0</v>
      </c>
      <c r="I632" s="3">
        <f>IF(OR(INDEX($P$2:$P$1001,MATCH(ROWS($O$2:O632),$O$2:$O$1001,0),1)&gt;=100000,INDEX($V$1005:$AE$1005,1,MATCH(COLUMNS($V$1006:AC1006),$V$1006:$AE$1006,0))&gt;=100000), " ",IF(INDEX($V$2:$AE$1001,MATCH(ROWS($O$2:O632),$O$2:$O$1001,0),MATCH(COLUMNS($V$1006:AC1006),$V$1006:$AE$1006,0)), HYPERLINK("#",""), HYPERLINK(CONCATENATE("#Metadata!", ADDRESS(INDEX($Q$2:$Q$1001,MATCH(ROWS($O$2:O632),$O$2:$O$1001,0),0), INDEX($V$1004:$AE$1004,1,MATCH(COLUMNS($V$1006:AC1006),$V$1006:$AE$1006,0)))),"Fix")))</f>
        <v>0</v>
      </c>
      <c r="J632" s="3">
        <f>IF(OR(INDEX($P$2:$P$1001,MATCH(ROWS($O$2:O632),$O$2:$O$1001,0),1)&gt;=100000,INDEX($V$1005:$AE$1005,1,MATCH(COLUMNS($V$1006:AD1006),$V$1006:$AE$1006,0))&gt;=100000), " ",IF(INDEX($V$2:$AE$1001,MATCH(ROWS($O$2:O632),$O$2:$O$1001,0),MATCH(COLUMNS($V$1006:AD1006),$V$1006:$AE$1006,0)), HYPERLINK("#",""), HYPERLINK(CONCATENATE("#Metadata!", ADDRESS(INDEX($Q$2:$Q$1001,MATCH(ROWS($O$2:O632),$O$2:$O$1001,0),0), INDEX($V$1004:$AE$1004,1,MATCH(COLUMNS($V$1006:AD1006),$V$1006:$AE$1006,0)))),"Fix")))</f>
        <v>0</v>
      </c>
      <c r="K632" s="3">
        <f>IF(OR(INDEX($P$2:$P$1001,MATCH(ROWS($O$2:O632),$O$2:$O$1001,0),1)&gt;=100000,INDEX($V$1005:$AE$1005,1,MATCH(COLUMNS($V$1006:AE1006),$V$1006:$AE$1006,0))&gt;=100000), " ",IF(INDEX($V$2:$AE$1001,MATCH(ROWS($O$2:O632),$O$2:$O$1001,0),MATCH(COLUMNS($V$1006:AE1006),$V$1006:$AE$1006,0)), HYPERLINK("#",""), HYPERLINK(CONCATENATE("#Metadata!", ADDRESS(INDEX($Q$2:$Q$1001,MATCH(ROWS($O$2:O632),$O$2:$O$1001,0),0), INDEX($V$1004:$AE$1004,1,MATCH(COLUMNS($V$1006:AE1006),$V$1006:$AE$1006,0)))),"Fix")))</f>
        <v>0</v>
      </c>
      <c r="O632">
        <v>0</v>
      </c>
      <c r="P632">
        <v>0</v>
      </c>
      <c r="Q632">
        <v>0</v>
      </c>
      <c r="R632">
        <f>IF(S632,TRUE,AND(V632:AE632))</f>
        <v>0</v>
      </c>
      <c r="S632">
        <f>COUNTBLANK(Metadata!B632:K632)=COLUMNS(Metadata!B632:K632)</f>
        <v>0</v>
      </c>
      <c r="T632">
        <v>0</v>
      </c>
      <c r="V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W632">
        <f>AND(IF(Metadata!C632="",FALSE,TRUE),exact(Metadata!C632,"animal secretion"))</f>
        <v>0</v>
      </c>
      <c r="X632">
        <f>AND(IF(Metadata!D632="",FALSE,TRUE),exact(Metadata!D632,"saliva"))</f>
        <v>0</v>
      </c>
      <c r="Y632">
        <f>AND(IF(Metadata!E632="",FALSE,TRUE),exact(Metadata!E632,"human-oral"))</f>
        <v>0</v>
      </c>
      <c r="Z632">
        <f>AND(IF(Metadata!F632="",FALSE,TRUE),exact(Metadata!F632,"UBERON:oral cavity"))</f>
        <v>0</v>
      </c>
      <c r="AA632">
        <f>AND(IF(Metadata!G632="",FALSE,TRUE),exact(Metadata!G632,"UBERON:saliva"))</f>
        <v>0</v>
      </c>
      <c r="AB632">
        <f>AND(IF(Metadata!H632="",FALSE,TRUE),exact(Metadata!H632,"UBERON:tongue"))</f>
        <v>0</v>
      </c>
      <c r="AC632">
        <f>AND(IF(Metadata!I632="",FALSE,TRUE),exact(Metadata!I632,"tongue"))</f>
        <v>0</v>
      </c>
      <c r="AD632">
        <f>AND(IF(Metadata!J632="",FALSE,TRUE),exact(Metadata!J632,"human oral metagenome"))</f>
        <v>0</v>
      </c>
      <c r="AE632">
        <f>AND(IF(Metadata!K632="",FALSE,TRUE),exact(Metadata!K632,"447426"))</f>
        <v>0</v>
      </c>
    </row>
    <row r="633" spans="1:31">
      <c r="A633" s="4">
        <f>IF(B633=" "," ",HYPERLINK(CONCATENATE("#metadata!",ADDRESS(INDEX($Q$2:$Q$1001,MATCH(ROWS($O$2:O633),$O$2:$O$1001,0),0),1)),INDEX($T$2:$T$1001,MATCH(ROWS($O$2:O633),$O$2:$O$1001,0),0)))</f>
        <v>0</v>
      </c>
      <c r="B633" s="3">
        <f>IF(OR(INDEX($P$2:$P$1001,MATCH(ROWS($O$2:O633),$O$2:$O$1001,0),1)&gt;=100000,INDEX($V$1005:$AE$1005,1,MATCH(COLUMNS($V$1006:V1006),$V$1006:$AE$1006,0))&gt;=100000), " ",IF(INDEX($V$2:$AE$1001,MATCH(ROWS($O$2:O633),$O$2:$O$1001,0),MATCH(COLUMNS($V$1006:V1006),$V$1006:$AE$1006,0)), HYPERLINK("#",""), HYPERLINK(CONCATENATE("#Metadata!", ADDRESS(INDEX($Q$2:$Q$1001,MATCH(ROWS($O$2:O633),$O$2:$O$1001,0),0), INDEX($V$1004:$AE$1004,1,MATCH(COLUMNS($V$1006:V1006),$V$1006:$AE$1006,0)))),"Fix")))</f>
        <v>0</v>
      </c>
      <c r="C633" s="3">
        <f>IF(OR(INDEX($P$2:$P$1001,MATCH(ROWS($O$2:O633),$O$2:$O$1001,0),1)&gt;=100000,INDEX($V$1005:$AE$1005,1,MATCH(COLUMNS($V$1006:W1006),$V$1006:$AE$1006,0))&gt;=100000), " ",IF(INDEX($V$2:$AE$1001,MATCH(ROWS($O$2:O633),$O$2:$O$1001,0),MATCH(COLUMNS($V$1006:W1006),$V$1006:$AE$1006,0)), HYPERLINK("#",""), HYPERLINK(CONCATENATE("#Metadata!", ADDRESS(INDEX($Q$2:$Q$1001,MATCH(ROWS($O$2:O633),$O$2:$O$1001,0),0), INDEX($V$1004:$AE$1004,1,MATCH(COLUMNS($V$1006:W1006),$V$1006:$AE$1006,0)))),"Fix")))</f>
        <v>0</v>
      </c>
      <c r="D633" s="3">
        <f>IF(OR(INDEX($P$2:$P$1001,MATCH(ROWS($O$2:O633),$O$2:$O$1001,0),1)&gt;=100000,INDEX($V$1005:$AE$1005,1,MATCH(COLUMNS($V$1006:X1006),$V$1006:$AE$1006,0))&gt;=100000), " ",IF(INDEX($V$2:$AE$1001,MATCH(ROWS($O$2:O633),$O$2:$O$1001,0),MATCH(COLUMNS($V$1006:X1006),$V$1006:$AE$1006,0)), HYPERLINK("#",""), HYPERLINK(CONCATENATE("#Metadata!", ADDRESS(INDEX($Q$2:$Q$1001,MATCH(ROWS($O$2:O633),$O$2:$O$1001,0),0), INDEX($V$1004:$AE$1004,1,MATCH(COLUMNS($V$1006:X1006),$V$1006:$AE$1006,0)))),"Fix")))</f>
        <v>0</v>
      </c>
      <c r="E633" s="3">
        <f>IF(OR(INDEX($P$2:$P$1001,MATCH(ROWS($O$2:O633),$O$2:$O$1001,0),1)&gt;=100000,INDEX($V$1005:$AE$1005,1,MATCH(COLUMNS($V$1006:Y1006),$V$1006:$AE$1006,0))&gt;=100000), " ",IF(INDEX($V$2:$AE$1001,MATCH(ROWS($O$2:O633),$O$2:$O$1001,0),MATCH(COLUMNS($V$1006:Y1006),$V$1006:$AE$1006,0)), HYPERLINK("#",""), HYPERLINK(CONCATENATE("#Metadata!", ADDRESS(INDEX($Q$2:$Q$1001,MATCH(ROWS($O$2:O633),$O$2:$O$1001,0),0), INDEX($V$1004:$AE$1004,1,MATCH(COLUMNS($V$1006:Y1006),$V$1006:$AE$1006,0)))),"Fix")))</f>
        <v>0</v>
      </c>
      <c r="F633" s="3">
        <f>IF(OR(INDEX($P$2:$P$1001,MATCH(ROWS($O$2:O633),$O$2:$O$1001,0),1)&gt;=100000,INDEX($V$1005:$AE$1005,1,MATCH(COLUMNS($V$1006:Z1006),$V$1006:$AE$1006,0))&gt;=100000), " ",IF(INDEX($V$2:$AE$1001,MATCH(ROWS($O$2:O633),$O$2:$O$1001,0),MATCH(COLUMNS($V$1006:Z1006),$V$1006:$AE$1006,0)), HYPERLINK("#",""), HYPERLINK(CONCATENATE("#Metadata!", ADDRESS(INDEX($Q$2:$Q$1001,MATCH(ROWS($O$2:O633),$O$2:$O$1001,0),0), INDEX($V$1004:$AE$1004,1,MATCH(COLUMNS($V$1006:Z1006),$V$1006:$AE$1006,0)))),"Fix")))</f>
        <v>0</v>
      </c>
      <c r="G633" s="3">
        <f>IF(OR(INDEX($P$2:$P$1001,MATCH(ROWS($O$2:O633),$O$2:$O$1001,0),1)&gt;=100000,INDEX($V$1005:$AE$1005,1,MATCH(COLUMNS($V$1006:AA1006),$V$1006:$AE$1006,0))&gt;=100000), " ",IF(INDEX($V$2:$AE$1001,MATCH(ROWS($O$2:O633),$O$2:$O$1001,0),MATCH(COLUMNS($V$1006:AA1006),$V$1006:$AE$1006,0)), HYPERLINK("#",""), HYPERLINK(CONCATENATE("#Metadata!", ADDRESS(INDEX($Q$2:$Q$1001,MATCH(ROWS($O$2:O633),$O$2:$O$1001,0),0), INDEX($V$1004:$AE$1004,1,MATCH(COLUMNS($V$1006:AA1006),$V$1006:$AE$1006,0)))),"Fix")))</f>
        <v>0</v>
      </c>
      <c r="H633" s="3">
        <f>IF(OR(INDEX($P$2:$P$1001,MATCH(ROWS($O$2:O633),$O$2:$O$1001,0),1)&gt;=100000,INDEX($V$1005:$AE$1005,1,MATCH(COLUMNS($V$1006:AB1006),$V$1006:$AE$1006,0))&gt;=100000), " ",IF(INDEX($V$2:$AE$1001,MATCH(ROWS($O$2:O633),$O$2:$O$1001,0),MATCH(COLUMNS($V$1006:AB1006),$V$1006:$AE$1006,0)), HYPERLINK("#",""), HYPERLINK(CONCATENATE("#Metadata!", ADDRESS(INDEX($Q$2:$Q$1001,MATCH(ROWS($O$2:O633),$O$2:$O$1001,0),0), INDEX($V$1004:$AE$1004,1,MATCH(COLUMNS($V$1006:AB1006),$V$1006:$AE$1006,0)))),"Fix")))</f>
        <v>0</v>
      </c>
      <c r="I633" s="3">
        <f>IF(OR(INDEX($P$2:$P$1001,MATCH(ROWS($O$2:O633),$O$2:$O$1001,0),1)&gt;=100000,INDEX($V$1005:$AE$1005,1,MATCH(COLUMNS($V$1006:AC1006),$V$1006:$AE$1006,0))&gt;=100000), " ",IF(INDEX($V$2:$AE$1001,MATCH(ROWS($O$2:O633),$O$2:$O$1001,0),MATCH(COLUMNS($V$1006:AC1006),$V$1006:$AE$1006,0)), HYPERLINK("#",""), HYPERLINK(CONCATENATE("#Metadata!", ADDRESS(INDEX($Q$2:$Q$1001,MATCH(ROWS($O$2:O633),$O$2:$O$1001,0),0), INDEX($V$1004:$AE$1004,1,MATCH(COLUMNS($V$1006:AC1006),$V$1006:$AE$1006,0)))),"Fix")))</f>
        <v>0</v>
      </c>
      <c r="J633" s="3">
        <f>IF(OR(INDEX($P$2:$P$1001,MATCH(ROWS($O$2:O633),$O$2:$O$1001,0),1)&gt;=100000,INDEX($V$1005:$AE$1005,1,MATCH(COLUMNS($V$1006:AD1006),$V$1006:$AE$1006,0))&gt;=100000), " ",IF(INDEX($V$2:$AE$1001,MATCH(ROWS($O$2:O633),$O$2:$O$1001,0),MATCH(COLUMNS($V$1006:AD1006),$V$1006:$AE$1006,0)), HYPERLINK("#",""), HYPERLINK(CONCATENATE("#Metadata!", ADDRESS(INDEX($Q$2:$Q$1001,MATCH(ROWS($O$2:O633),$O$2:$O$1001,0),0), INDEX($V$1004:$AE$1004,1,MATCH(COLUMNS($V$1006:AD1006),$V$1006:$AE$1006,0)))),"Fix")))</f>
        <v>0</v>
      </c>
      <c r="K633" s="3">
        <f>IF(OR(INDEX($P$2:$P$1001,MATCH(ROWS($O$2:O633),$O$2:$O$1001,0),1)&gt;=100000,INDEX($V$1005:$AE$1005,1,MATCH(COLUMNS($V$1006:AE1006),$V$1006:$AE$1006,0))&gt;=100000), " ",IF(INDEX($V$2:$AE$1001,MATCH(ROWS($O$2:O633),$O$2:$O$1001,0),MATCH(COLUMNS($V$1006:AE1006),$V$1006:$AE$1006,0)), HYPERLINK("#",""), HYPERLINK(CONCATENATE("#Metadata!", ADDRESS(INDEX($Q$2:$Q$1001,MATCH(ROWS($O$2:O633),$O$2:$O$1001,0),0), INDEX($V$1004:$AE$1004,1,MATCH(COLUMNS($V$1006:AE1006),$V$1006:$AE$1006,0)))),"Fix")))</f>
        <v>0</v>
      </c>
      <c r="O633">
        <v>0</v>
      </c>
      <c r="P633">
        <v>0</v>
      </c>
      <c r="Q633">
        <v>0</v>
      </c>
      <c r="R633">
        <f>IF(S633,TRUE,AND(V633:AE633))</f>
        <v>0</v>
      </c>
      <c r="S633">
        <f>COUNTBLANK(Metadata!B633:K633)=COLUMNS(Metadata!B633:K633)</f>
        <v>0</v>
      </c>
      <c r="T633">
        <v>0</v>
      </c>
      <c r="V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W633">
        <f>AND(IF(Metadata!C633="",FALSE,TRUE),exact(Metadata!C633,"animal secretion"))</f>
        <v>0</v>
      </c>
      <c r="X633">
        <f>AND(IF(Metadata!D633="",FALSE,TRUE),exact(Metadata!D633,"saliva"))</f>
        <v>0</v>
      </c>
      <c r="Y633">
        <f>AND(IF(Metadata!E633="",FALSE,TRUE),exact(Metadata!E633,"human-oral"))</f>
        <v>0</v>
      </c>
      <c r="Z633">
        <f>AND(IF(Metadata!F633="",FALSE,TRUE),exact(Metadata!F633,"UBERON:oral cavity"))</f>
        <v>0</v>
      </c>
      <c r="AA633">
        <f>AND(IF(Metadata!G633="",FALSE,TRUE),exact(Metadata!G633,"UBERON:saliva"))</f>
        <v>0</v>
      </c>
      <c r="AB633">
        <f>AND(IF(Metadata!H633="",FALSE,TRUE),exact(Metadata!H633,"UBERON:tongue"))</f>
        <v>0</v>
      </c>
      <c r="AC633">
        <f>AND(IF(Metadata!I633="",FALSE,TRUE),exact(Metadata!I633,"tongue"))</f>
        <v>0</v>
      </c>
      <c r="AD633">
        <f>AND(IF(Metadata!J633="",FALSE,TRUE),exact(Metadata!J633,"human oral metagenome"))</f>
        <v>0</v>
      </c>
      <c r="AE633">
        <f>AND(IF(Metadata!K633="",FALSE,TRUE),exact(Metadata!K633,"447426"))</f>
        <v>0</v>
      </c>
    </row>
    <row r="634" spans="1:31">
      <c r="A634" s="4">
        <f>IF(B634=" "," ",HYPERLINK(CONCATENATE("#metadata!",ADDRESS(INDEX($Q$2:$Q$1001,MATCH(ROWS($O$2:O634),$O$2:$O$1001,0),0),1)),INDEX($T$2:$T$1001,MATCH(ROWS($O$2:O634),$O$2:$O$1001,0),0)))</f>
        <v>0</v>
      </c>
      <c r="B634" s="3">
        <f>IF(OR(INDEX($P$2:$P$1001,MATCH(ROWS($O$2:O634),$O$2:$O$1001,0),1)&gt;=100000,INDEX($V$1005:$AE$1005,1,MATCH(COLUMNS($V$1006:V1006),$V$1006:$AE$1006,0))&gt;=100000), " ",IF(INDEX($V$2:$AE$1001,MATCH(ROWS($O$2:O634),$O$2:$O$1001,0),MATCH(COLUMNS($V$1006:V1006),$V$1006:$AE$1006,0)), HYPERLINK("#",""), HYPERLINK(CONCATENATE("#Metadata!", ADDRESS(INDEX($Q$2:$Q$1001,MATCH(ROWS($O$2:O634),$O$2:$O$1001,0),0), INDEX($V$1004:$AE$1004,1,MATCH(COLUMNS($V$1006:V1006),$V$1006:$AE$1006,0)))),"Fix")))</f>
        <v>0</v>
      </c>
      <c r="C634" s="3">
        <f>IF(OR(INDEX($P$2:$P$1001,MATCH(ROWS($O$2:O634),$O$2:$O$1001,0),1)&gt;=100000,INDEX($V$1005:$AE$1005,1,MATCH(COLUMNS($V$1006:W1006),$V$1006:$AE$1006,0))&gt;=100000), " ",IF(INDEX($V$2:$AE$1001,MATCH(ROWS($O$2:O634),$O$2:$O$1001,0),MATCH(COLUMNS($V$1006:W1006),$V$1006:$AE$1006,0)), HYPERLINK("#",""), HYPERLINK(CONCATENATE("#Metadata!", ADDRESS(INDEX($Q$2:$Q$1001,MATCH(ROWS($O$2:O634),$O$2:$O$1001,0),0), INDEX($V$1004:$AE$1004,1,MATCH(COLUMNS($V$1006:W1006),$V$1006:$AE$1006,0)))),"Fix")))</f>
        <v>0</v>
      </c>
      <c r="D634" s="3">
        <f>IF(OR(INDEX($P$2:$P$1001,MATCH(ROWS($O$2:O634),$O$2:$O$1001,0),1)&gt;=100000,INDEX($V$1005:$AE$1005,1,MATCH(COLUMNS($V$1006:X1006),$V$1006:$AE$1006,0))&gt;=100000), " ",IF(INDEX($V$2:$AE$1001,MATCH(ROWS($O$2:O634),$O$2:$O$1001,0),MATCH(COLUMNS($V$1006:X1006),$V$1006:$AE$1006,0)), HYPERLINK("#",""), HYPERLINK(CONCATENATE("#Metadata!", ADDRESS(INDEX($Q$2:$Q$1001,MATCH(ROWS($O$2:O634),$O$2:$O$1001,0),0), INDEX($V$1004:$AE$1004,1,MATCH(COLUMNS($V$1006:X1006),$V$1006:$AE$1006,0)))),"Fix")))</f>
        <v>0</v>
      </c>
      <c r="E634" s="3">
        <f>IF(OR(INDEX($P$2:$P$1001,MATCH(ROWS($O$2:O634),$O$2:$O$1001,0),1)&gt;=100000,INDEX($V$1005:$AE$1005,1,MATCH(COLUMNS($V$1006:Y1006),$V$1006:$AE$1006,0))&gt;=100000), " ",IF(INDEX($V$2:$AE$1001,MATCH(ROWS($O$2:O634),$O$2:$O$1001,0),MATCH(COLUMNS($V$1006:Y1006),$V$1006:$AE$1006,0)), HYPERLINK("#",""), HYPERLINK(CONCATENATE("#Metadata!", ADDRESS(INDEX($Q$2:$Q$1001,MATCH(ROWS($O$2:O634),$O$2:$O$1001,0),0), INDEX($V$1004:$AE$1004,1,MATCH(COLUMNS($V$1006:Y1006),$V$1006:$AE$1006,0)))),"Fix")))</f>
        <v>0</v>
      </c>
      <c r="F634" s="3">
        <f>IF(OR(INDEX($P$2:$P$1001,MATCH(ROWS($O$2:O634),$O$2:$O$1001,0),1)&gt;=100000,INDEX($V$1005:$AE$1005,1,MATCH(COLUMNS($V$1006:Z1006),$V$1006:$AE$1006,0))&gt;=100000), " ",IF(INDEX($V$2:$AE$1001,MATCH(ROWS($O$2:O634),$O$2:$O$1001,0),MATCH(COLUMNS($V$1006:Z1006),$V$1006:$AE$1006,0)), HYPERLINK("#",""), HYPERLINK(CONCATENATE("#Metadata!", ADDRESS(INDEX($Q$2:$Q$1001,MATCH(ROWS($O$2:O634),$O$2:$O$1001,0),0), INDEX($V$1004:$AE$1004,1,MATCH(COLUMNS($V$1006:Z1006),$V$1006:$AE$1006,0)))),"Fix")))</f>
        <v>0</v>
      </c>
      <c r="G634" s="3">
        <f>IF(OR(INDEX($P$2:$P$1001,MATCH(ROWS($O$2:O634),$O$2:$O$1001,0),1)&gt;=100000,INDEX($V$1005:$AE$1005,1,MATCH(COLUMNS($V$1006:AA1006),$V$1006:$AE$1006,0))&gt;=100000), " ",IF(INDEX($V$2:$AE$1001,MATCH(ROWS($O$2:O634),$O$2:$O$1001,0),MATCH(COLUMNS($V$1006:AA1006),$V$1006:$AE$1006,0)), HYPERLINK("#",""), HYPERLINK(CONCATENATE("#Metadata!", ADDRESS(INDEX($Q$2:$Q$1001,MATCH(ROWS($O$2:O634),$O$2:$O$1001,0),0), INDEX($V$1004:$AE$1004,1,MATCH(COLUMNS($V$1006:AA1006),$V$1006:$AE$1006,0)))),"Fix")))</f>
        <v>0</v>
      </c>
      <c r="H634" s="3">
        <f>IF(OR(INDEX($P$2:$P$1001,MATCH(ROWS($O$2:O634),$O$2:$O$1001,0),1)&gt;=100000,INDEX($V$1005:$AE$1005,1,MATCH(COLUMNS($V$1006:AB1006),$V$1006:$AE$1006,0))&gt;=100000), " ",IF(INDEX($V$2:$AE$1001,MATCH(ROWS($O$2:O634),$O$2:$O$1001,0),MATCH(COLUMNS($V$1006:AB1006),$V$1006:$AE$1006,0)), HYPERLINK("#",""), HYPERLINK(CONCATENATE("#Metadata!", ADDRESS(INDEX($Q$2:$Q$1001,MATCH(ROWS($O$2:O634),$O$2:$O$1001,0),0), INDEX($V$1004:$AE$1004,1,MATCH(COLUMNS($V$1006:AB1006),$V$1006:$AE$1006,0)))),"Fix")))</f>
        <v>0</v>
      </c>
      <c r="I634" s="3">
        <f>IF(OR(INDEX($P$2:$P$1001,MATCH(ROWS($O$2:O634),$O$2:$O$1001,0),1)&gt;=100000,INDEX($V$1005:$AE$1005,1,MATCH(COLUMNS($V$1006:AC1006),$V$1006:$AE$1006,0))&gt;=100000), " ",IF(INDEX($V$2:$AE$1001,MATCH(ROWS($O$2:O634),$O$2:$O$1001,0),MATCH(COLUMNS($V$1006:AC1006),$V$1006:$AE$1006,0)), HYPERLINK("#",""), HYPERLINK(CONCATENATE("#Metadata!", ADDRESS(INDEX($Q$2:$Q$1001,MATCH(ROWS($O$2:O634),$O$2:$O$1001,0),0), INDEX($V$1004:$AE$1004,1,MATCH(COLUMNS($V$1006:AC1006),$V$1006:$AE$1006,0)))),"Fix")))</f>
        <v>0</v>
      </c>
      <c r="J634" s="3">
        <f>IF(OR(INDEX($P$2:$P$1001,MATCH(ROWS($O$2:O634),$O$2:$O$1001,0),1)&gt;=100000,INDEX($V$1005:$AE$1005,1,MATCH(COLUMNS($V$1006:AD1006),$V$1006:$AE$1006,0))&gt;=100000), " ",IF(INDEX($V$2:$AE$1001,MATCH(ROWS($O$2:O634),$O$2:$O$1001,0),MATCH(COLUMNS($V$1006:AD1006),$V$1006:$AE$1006,0)), HYPERLINK("#",""), HYPERLINK(CONCATENATE("#Metadata!", ADDRESS(INDEX($Q$2:$Q$1001,MATCH(ROWS($O$2:O634),$O$2:$O$1001,0),0), INDEX($V$1004:$AE$1004,1,MATCH(COLUMNS($V$1006:AD1006),$V$1006:$AE$1006,0)))),"Fix")))</f>
        <v>0</v>
      </c>
      <c r="K634" s="3">
        <f>IF(OR(INDEX($P$2:$P$1001,MATCH(ROWS($O$2:O634),$O$2:$O$1001,0),1)&gt;=100000,INDEX($V$1005:$AE$1005,1,MATCH(COLUMNS($V$1006:AE1006),$V$1006:$AE$1006,0))&gt;=100000), " ",IF(INDEX($V$2:$AE$1001,MATCH(ROWS($O$2:O634),$O$2:$O$1001,0),MATCH(COLUMNS($V$1006:AE1006),$V$1006:$AE$1006,0)), HYPERLINK("#",""), HYPERLINK(CONCATENATE("#Metadata!", ADDRESS(INDEX($Q$2:$Q$1001,MATCH(ROWS($O$2:O634),$O$2:$O$1001,0),0), INDEX($V$1004:$AE$1004,1,MATCH(COLUMNS($V$1006:AE1006),$V$1006:$AE$1006,0)))),"Fix")))</f>
        <v>0</v>
      </c>
      <c r="O634">
        <v>0</v>
      </c>
      <c r="P634">
        <v>0</v>
      </c>
      <c r="Q634">
        <v>0</v>
      </c>
      <c r="R634">
        <f>IF(S634,TRUE,AND(V634:AE634))</f>
        <v>0</v>
      </c>
      <c r="S634">
        <f>COUNTBLANK(Metadata!B634:K634)=COLUMNS(Metadata!B634:K634)</f>
        <v>0</v>
      </c>
      <c r="T634">
        <v>0</v>
      </c>
      <c r="V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W634">
        <f>AND(IF(Metadata!C634="",FALSE,TRUE),exact(Metadata!C634,"animal secretion"))</f>
        <v>0</v>
      </c>
      <c r="X634">
        <f>AND(IF(Metadata!D634="",FALSE,TRUE),exact(Metadata!D634,"saliva"))</f>
        <v>0</v>
      </c>
      <c r="Y634">
        <f>AND(IF(Metadata!E634="",FALSE,TRUE),exact(Metadata!E634,"human-oral"))</f>
        <v>0</v>
      </c>
      <c r="Z634">
        <f>AND(IF(Metadata!F634="",FALSE,TRUE),exact(Metadata!F634,"UBERON:oral cavity"))</f>
        <v>0</v>
      </c>
      <c r="AA634">
        <f>AND(IF(Metadata!G634="",FALSE,TRUE),exact(Metadata!G634,"UBERON:saliva"))</f>
        <v>0</v>
      </c>
      <c r="AB634">
        <f>AND(IF(Metadata!H634="",FALSE,TRUE),exact(Metadata!H634,"UBERON:tongue"))</f>
        <v>0</v>
      </c>
      <c r="AC634">
        <f>AND(IF(Metadata!I634="",FALSE,TRUE),exact(Metadata!I634,"tongue"))</f>
        <v>0</v>
      </c>
      <c r="AD634">
        <f>AND(IF(Metadata!J634="",FALSE,TRUE),exact(Metadata!J634,"human oral metagenome"))</f>
        <v>0</v>
      </c>
      <c r="AE634">
        <f>AND(IF(Metadata!K634="",FALSE,TRUE),exact(Metadata!K634,"447426"))</f>
        <v>0</v>
      </c>
    </row>
    <row r="635" spans="1:31">
      <c r="A635" s="4">
        <f>IF(B635=" "," ",HYPERLINK(CONCATENATE("#metadata!",ADDRESS(INDEX($Q$2:$Q$1001,MATCH(ROWS($O$2:O635),$O$2:$O$1001,0),0),1)),INDEX($T$2:$T$1001,MATCH(ROWS($O$2:O635),$O$2:$O$1001,0),0)))</f>
        <v>0</v>
      </c>
      <c r="B635" s="3">
        <f>IF(OR(INDEX($P$2:$P$1001,MATCH(ROWS($O$2:O635),$O$2:$O$1001,0),1)&gt;=100000,INDEX($V$1005:$AE$1005,1,MATCH(COLUMNS($V$1006:V1006),$V$1006:$AE$1006,0))&gt;=100000), " ",IF(INDEX($V$2:$AE$1001,MATCH(ROWS($O$2:O635),$O$2:$O$1001,0),MATCH(COLUMNS($V$1006:V1006),$V$1006:$AE$1006,0)), HYPERLINK("#",""), HYPERLINK(CONCATENATE("#Metadata!", ADDRESS(INDEX($Q$2:$Q$1001,MATCH(ROWS($O$2:O635),$O$2:$O$1001,0),0), INDEX($V$1004:$AE$1004,1,MATCH(COLUMNS($V$1006:V1006),$V$1006:$AE$1006,0)))),"Fix")))</f>
        <v>0</v>
      </c>
      <c r="C635" s="3">
        <f>IF(OR(INDEX($P$2:$P$1001,MATCH(ROWS($O$2:O635),$O$2:$O$1001,0),1)&gt;=100000,INDEX($V$1005:$AE$1005,1,MATCH(COLUMNS($V$1006:W1006),$V$1006:$AE$1006,0))&gt;=100000), " ",IF(INDEX($V$2:$AE$1001,MATCH(ROWS($O$2:O635),$O$2:$O$1001,0),MATCH(COLUMNS($V$1006:W1006),$V$1006:$AE$1006,0)), HYPERLINK("#",""), HYPERLINK(CONCATENATE("#Metadata!", ADDRESS(INDEX($Q$2:$Q$1001,MATCH(ROWS($O$2:O635),$O$2:$O$1001,0),0), INDEX($V$1004:$AE$1004,1,MATCH(COLUMNS($V$1006:W1006),$V$1006:$AE$1006,0)))),"Fix")))</f>
        <v>0</v>
      </c>
      <c r="D635" s="3">
        <f>IF(OR(INDEX($P$2:$P$1001,MATCH(ROWS($O$2:O635),$O$2:$O$1001,0),1)&gt;=100000,INDEX($V$1005:$AE$1005,1,MATCH(COLUMNS($V$1006:X1006),$V$1006:$AE$1006,0))&gt;=100000), " ",IF(INDEX($V$2:$AE$1001,MATCH(ROWS($O$2:O635),$O$2:$O$1001,0),MATCH(COLUMNS($V$1006:X1006),$V$1006:$AE$1006,0)), HYPERLINK("#",""), HYPERLINK(CONCATENATE("#Metadata!", ADDRESS(INDEX($Q$2:$Q$1001,MATCH(ROWS($O$2:O635),$O$2:$O$1001,0),0), INDEX($V$1004:$AE$1004,1,MATCH(COLUMNS($V$1006:X1006),$V$1006:$AE$1006,0)))),"Fix")))</f>
        <v>0</v>
      </c>
      <c r="E635" s="3">
        <f>IF(OR(INDEX($P$2:$P$1001,MATCH(ROWS($O$2:O635),$O$2:$O$1001,0),1)&gt;=100000,INDEX($V$1005:$AE$1005,1,MATCH(COLUMNS($V$1006:Y1006),$V$1006:$AE$1006,0))&gt;=100000), " ",IF(INDEX($V$2:$AE$1001,MATCH(ROWS($O$2:O635),$O$2:$O$1001,0),MATCH(COLUMNS($V$1006:Y1006),$V$1006:$AE$1006,0)), HYPERLINK("#",""), HYPERLINK(CONCATENATE("#Metadata!", ADDRESS(INDEX($Q$2:$Q$1001,MATCH(ROWS($O$2:O635),$O$2:$O$1001,0),0), INDEX($V$1004:$AE$1004,1,MATCH(COLUMNS($V$1006:Y1006),$V$1006:$AE$1006,0)))),"Fix")))</f>
        <v>0</v>
      </c>
      <c r="F635" s="3">
        <f>IF(OR(INDEX($P$2:$P$1001,MATCH(ROWS($O$2:O635),$O$2:$O$1001,0),1)&gt;=100000,INDEX($V$1005:$AE$1005,1,MATCH(COLUMNS($V$1006:Z1006),$V$1006:$AE$1006,0))&gt;=100000), " ",IF(INDEX($V$2:$AE$1001,MATCH(ROWS($O$2:O635),$O$2:$O$1001,0),MATCH(COLUMNS($V$1006:Z1006),$V$1006:$AE$1006,0)), HYPERLINK("#",""), HYPERLINK(CONCATENATE("#Metadata!", ADDRESS(INDEX($Q$2:$Q$1001,MATCH(ROWS($O$2:O635),$O$2:$O$1001,0),0), INDEX($V$1004:$AE$1004,1,MATCH(COLUMNS($V$1006:Z1006),$V$1006:$AE$1006,0)))),"Fix")))</f>
        <v>0</v>
      </c>
      <c r="G635" s="3">
        <f>IF(OR(INDEX($P$2:$P$1001,MATCH(ROWS($O$2:O635),$O$2:$O$1001,0),1)&gt;=100000,INDEX($V$1005:$AE$1005,1,MATCH(COLUMNS($V$1006:AA1006),$V$1006:$AE$1006,0))&gt;=100000), " ",IF(INDEX($V$2:$AE$1001,MATCH(ROWS($O$2:O635),$O$2:$O$1001,0),MATCH(COLUMNS($V$1006:AA1006),$V$1006:$AE$1006,0)), HYPERLINK("#",""), HYPERLINK(CONCATENATE("#Metadata!", ADDRESS(INDEX($Q$2:$Q$1001,MATCH(ROWS($O$2:O635),$O$2:$O$1001,0),0), INDEX($V$1004:$AE$1004,1,MATCH(COLUMNS($V$1006:AA1006),$V$1006:$AE$1006,0)))),"Fix")))</f>
        <v>0</v>
      </c>
      <c r="H635" s="3">
        <f>IF(OR(INDEX($P$2:$P$1001,MATCH(ROWS($O$2:O635),$O$2:$O$1001,0),1)&gt;=100000,INDEX($V$1005:$AE$1005,1,MATCH(COLUMNS($V$1006:AB1006),$V$1006:$AE$1006,0))&gt;=100000), " ",IF(INDEX($V$2:$AE$1001,MATCH(ROWS($O$2:O635),$O$2:$O$1001,0),MATCH(COLUMNS($V$1006:AB1006),$V$1006:$AE$1006,0)), HYPERLINK("#",""), HYPERLINK(CONCATENATE("#Metadata!", ADDRESS(INDEX($Q$2:$Q$1001,MATCH(ROWS($O$2:O635),$O$2:$O$1001,0),0), INDEX($V$1004:$AE$1004,1,MATCH(COLUMNS($V$1006:AB1006),$V$1006:$AE$1006,0)))),"Fix")))</f>
        <v>0</v>
      </c>
      <c r="I635" s="3">
        <f>IF(OR(INDEX($P$2:$P$1001,MATCH(ROWS($O$2:O635),$O$2:$O$1001,0),1)&gt;=100000,INDEX($V$1005:$AE$1005,1,MATCH(COLUMNS($V$1006:AC1006),$V$1006:$AE$1006,0))&gt;=100000), " ",IF(INDEX($V$2:$AE$1001,MATCH(ROWS($O$2:O635),$O$2:$O$1001,0),MATCH(COLUMNS($V$1006:AC1006),$V$1006:$AE$1006,0)), HYPERLINK("#",""), HYPERLINK(CONCATENATE("#Metadata!", ADDRESS(INDEX($Q$2:$Q$1001,MATCH(ROWS($O$2:O635),$O$2:$O$1001,0),0), INDEX($V$1004:$AE$1004,1,MATCH(COLUMNS($V$1006:AC1006),$V$1006:$AE$1006,0)))),"Fix")))</f>
        <v>0</v>
      </c>
      <c r="J635" s="3">
        <f>IF(OR(INDEX($P$2:$P$1001,MATCH(ROWS($O$2:O635),$O$2:$O$1001,0),1)&gt;=100000,INDEX($V$1005:$AE$1005,1,MATCH(COLUMNS($V$1006:AD1006),$V$1006:$AE$1006,0))&gt;=100000), " ",IF(INDEX($V$2:$AE$1001,MATCH(ROWS($O$2:O635),$O$2:$O$1001,0),MATCH(COLUMNS($V$1006:AD1006),$V$1006:$AE$1006,0)), HYPERLINK("#",""), HYPERLINK(CONCATENATE("#Metadata!", ADDRESS(INDEX($Q$2:$Q$1001,MATCH(ROWS($O$2:O635),$O$2:$O$1001,0),0), INDEX($V$1004:$AE$1004,1,MATCH(COLUMNS($V$1006:AD1006),$V$1006:$AE$1006,0)))),"Fix")))</f>
        <v>0</v>
      </c>
      <c r="K635" s="3">
        <f>IF(OR(INDEX($P$2:$P$1001,MATCH(ROWS($O$2:O635),$O$2:$O$1001,0),1)&gt;=100000,INDEX($V$1005:$AE$1005,1,MATCH(COLUMNS($V$1006:AE1006),$V$1006:$AE$1006,0))&gt;=100000), " ",IF(INDEX($V$2:$AE$1001,MATCH(ROWS($O$2:O635),$O$2:$O$1001,0),MATCH(COLUMNS($V$1006:AE1006),$V$1006:$AE$1006,0)), HYPERLINK("#",""), HYPERLINK(CONCATENATE("#Metadata!", ADDRESS(INDEX($Q$2:$Q$1001,MATCH(ROWS($O$2:O635),$O$2:$O$1001,0),0), INDEX($V$1004:$AE$1004,1,MATCH(COLUMNS($V$1006:AE1006),$V$1006:$AE$1006,0)))),"Fix")))</f>
        <v>0</v>
      </c>
      <c r="O635">
        <v>0</v>
      </c>
      <c r="P635">
        <v>0</v>
      </c>
      <c r="Q635">
        <v>0</v>
      </c>
      <c r="R635">
        <f>IF(S635,TRUE,AND(V635:AE635))</f>
        <v>0</v>
      </c>
      <c r="S635">
        <f>COUNTBLANK(Metadata!B635:K635)=COLUMNS(Metadata!B635:K635)</f>
        <v>0</v>
      </c>
      <c r="T635">
        <v>0</v>
      </c>
      <c r="V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W635">
        <f>AND(IF(Metadata!C635="",FALSE,TRUE),exact(Metadata!C635,"animal secretion"))</f>
        <v>0</v>
      </c>
      <c r="X635">
        <f>AND(IF(Metadata!D635="",FALSE,TRUE),exact(Metadata!D635,"saliva"))</f>
        <v>0</v>
      </c>
      <c r="Y635">
        <f>AND(IF(Metadata!E635="",FALSE,TRUE),exact(Metadata!E635,"human-oral"))</f>
        <v>0</v>
      </c>
      <c r="Z635">
        <f>AND(IF(Metadata!F635="",FALSE,TRUE),exact(Metadata!F635,"UBERON:oral cavity"))</f>
        <v>0</v>
      </c>
      <c r="AA635">
        <f>AND(IF(Metadata!G635="",FALSE,TRUE),exact(Metadata!G635,"UBERON:saliva"))</f>
        <v>0</v>
      </c>
      <c r="AB635">
        <f>AND(IF(Metadata!H635="",FALSE,TRUE),exact(Metadata!H635,"UBERON:tongue"))</f>
        <v>0</v>
      </c>
      <c r="AC635">
        <f>AND(IF(Metadata!I635="",FALSE,TRUE),exact(Metadata!I635,"tongue"))</f>
        <v>0</v>
      </c>
      <c r="AD635">
        <f>AND(IF(Metadata!J635="",FALSE,TRUE),exact(Metadata!J635,"human oral metagenome"))</f>
        <v>0</v>
      </c>
      <c r="AE635">
        <f>AND(IF(Metadata!K635="",FALSE,TRUE),exact(Metadata!K635,"447426"))</f>
        <v>0</v>
      </c>
    </row>
    <row r="636" spans="1:31">
      <c r="A636" s="4">
        <f>IF(B636=" "," ",HYPERLINK(CONCATENATE("#metadata!",ADDRESS(INDEX($Q$2:$Q$1001,MATCH(ROWS($O$2:O636),$O$2:$O$1001,0),0),1)),INDEX($T$2:$T$1001,MATCH(ROWS($O$2:O636),$O$2:$O$1001,0),0)))</f>
        <v>0</v>
      </c>
      <c r="B636" s="3">
        <f>IF(OR(INDEX($P$2:$P$1001,MATCH(ROWS($O$2:O636),$O$2:$O$1001,0),1)&gt;=100000,INDEX($V$1005:$AE$1005,1,MATCH(COLUMNS($V$1006:V1006),$V$1006:$AE$1006,0))&gt;=100000), " ",IF(INDEX($V$2:$AE$1001,MATCH(ROWS($O$2:O636),$O$2:$O$1001,0),MATCH(COLUMNS($V$1006:V1006),$V$1006:$AE$1006,0)), HYPERLINK("#",""), HYPERLINK(CONCATENATE("#Metadata!", ADDRESS(INDEX($Q$2:$Q$1001,MATCH(ROWS($O$2:O636),$O$2:$O$1001,0),0), INDEX($V$1004:$AE$1004,1,MATCH(COLUMNS($V$1006:V1006),$V$1006:$AE$1006,0)))),"Fix")))</f>
        <v>0</v>
      </c>
      <c r="C636" s="3">
        <f>IF(OR(INDEX($P$2:$P$1001,MATCH(ROWS($O$2:O636),$O$2:$O$1001,0),1)&gt;=100000,INDEX($V$1005:$AE$1005,1,MATCH(COLUMNS($V$1006:W1006),$V$1006:$AE$1006,0))&gt;=100000), " ",IF(INDEX($V$2:$AE$1001,MATCH(ROWS($O$2:O636),$O$2:$O$1001,0),MATCH(COLUMNS($V$1006:W1006),$V$1006:$AE$1006,0)), HYPERLINK("#",""), HYPERLINK(CONCATENATE("#Metadata!", ADDRESS(INDEX($Q$2:$Q$1001,MATCH(ROWS($O$2:O636),$O$2:$O$1001,0),0), INDEX($V$1004:$AE$1004,1,MATCH(COLUMNS($V$1006:W1006),$V$1006:$AE$1006,0)))),"Fix")))</f>
        <v>0</v>
      </c>
      <c r="D636" s="3">
        <f>IF(OR(INDEX($P$2:$P$1001,MATCH(ROWS($O$2:O636),$O$2:$O$1001,0),1)&gt;=100000,INDEX($V$1005:$AE$1005,1,MATCH(COLUMNS($V$1006:X1006),$V$1006:$AE$1006,0))&gt;=100000), " ",IF(INDEX($V$2:$AE$1001,MATCH(ROWS($O$2:O636),$O$2:$O$1001,0),MATCH(COLUMNS($V$1006:X1006),$V$1006:$AE$1006,0)), HYPERLINK("#",""), HYPERLINK(CONCATENATE("#Metadata!", ADDRESS(INDEX($Q$2:$Q$1001,MATCH(ROWS($O$2:O636),$O$2:$O$1001,0),0), INDEX($V$1004:$AE$1004,1,MATCH(COLUMNS($V$1006:X1006),$V$1006:$AE$1006,0)))),"Fix")))</f>
        <v>0</v>
      </c>
      <c r="E636" s="3">
        <f>IF(OR(INDEX($P$2:$P$1001,MATCH(ROWS($O$2:O636),$O$2:$O$1001,0),1)&gt;=100000,INDEX($V$1005:$AE$1005,1,MATCH(COLUMNS($V$1006:Y1006),$V$1006:$AE$1006,0))&gt;=100000), " ",IF(INDEX($V$2:$AE$1001,MATCH(ROWS($O$2:O636),$O$2:$O$1001,0),MATCH(COLUMNS($V$1006:Y1006),$V$1006:$AE$1006,0)), HYPERLINK("#",""), HYPERLINK(CONCATENATE("#Metadata!", ADDRESS(INDEX($Q$2:$Q$1001,MATCH(ROWS($O$2:O636),$O$2:$O$1001,0),0), INDEX($V$1004:$AE$1004,1,MATCH(COLUMNS($V$1006:Y1006),$V$1006:$AE$1006,0)))),"Fix")))</f>
        <v>0</v>
      </c>
      <c r="F636" s="3">
        <f>IF(OR(INDEX($P$2:$P$1001,MATCH(ROWS($O$2:O636),$O$2:$O$1001,0),1)&gt;=100000,INDEX($V$1005:$AE$1005,1,MATCH(COLUMNS($V$1006:Z1006),$V$1006:$AE$1006,0))&gt;=100000), " ",IF(INDEX($V$2:$AE$1001,MATCH(ROWS($O$2:O636),$O$2:$O$1001,0),MATCH(COLUMNS($V$1006:Z1006),$V$1006:$AE$1006,0)), HYPERLINK("#",""), HYPERLINK(CONCATENATE("#Metadata!", ADDRESS(INDEX($Q$2:$Q$1001,MATCH(ROWS($O$2:O636),$O$2:$O$1001,0),0), INDEX($V$1004:$AE$1004,1,MATCH(COLUMNS($V$1006:Z1006),$V$1006:$AE$1006,0)))),"Fix")))</f>
        <v>0</v>
      </c>
      <c r="G636" s="3">
        <f>IF(OR(INDEX($P$2:$P$1001,MATCH(ROWS($O$2:O636),$O$2:$O$1001,0),1)&gt;=100000,INDEX($V$1005:$AE$1005,1,MATCH(COLUMNS($V$1006:AA1006),$V$1006:$AE$1006,0))&gt;=100000), " ",IF(INDEX($V$2:$AE$1001,MATCH(ROWS($O$2:O636),$O$2:$O$1001,0),MATCH(COLUMNS($V$1006:AA1006),$V$1006:$AE$1006,0)), HYPERLINK("#",""), HYPERLINK(CONCATENATE("#Metadata!", ADDRESS(INDEX($Q$2:$Q$1001,MATCH(ROWS($O$2:O636),$O$2:$O$1001,0),0), INDEX($V$1004:$AE$1004,1,MATCH(COLUMNS($V$1006:AA1006),$V$1006:$AE$1006,0)))),"Fix")))</f>
        <v>0</v>
      </c>
      <c r="H636" s="3">
        <f>IF(OR(INDEX($P$2:$P$1001,MATCH(ROWS($O$2:O636),$O$2:$O$1001,0),1)&gt;=100000,INDEX($V$1005:$AE$1005,1,MATCH(COLUMNS($V$1006:AB1006),$V$1006:$AE$1006,0))&gt;=100000), " ",IF(INDEX($V$2:$AE$1001,MATCH(ROWS($O$2:O636),$O$2:$O$1001,0),MATCH(COLUMNS($V$1006:AB1006),$V$1006:$AE$1006,0)), HYPERLINK("#",""), HYPERLINK(CONCATENATE("#Metadata!", ADDRESS(INDEX($Q$2:$Q$1001,MATCH(ROWS($O$2:O636),$O$2:$O$1001,0),0), INDEX($V$1004:$AE$1004,1,MATCH(COLUMNS($V$1006:AB1006),$V$1006:$AE$1006,0)))),"Fix")))</f>
        <v>0</v>
      </c>
      <c r="I636" s="3">
        <f>IF(OR(INDEX($P$2:$P$1001,MATCH(ROWS($O$2:O636),$O$2:$O$1001,0),1)&gt;=100000,INDEX($V$1005:$AE$1005,1,MATCH(COLUMNS($V$1006:AC1006),$V$1006:$AE$1006,0))&gt;=100000), " ",IF(INDEX($V$2:$AE$1001,MATCH(ROWS($O$2:O636),$O$2:$O$1001,0),MATCH(COLUMNS($V$1006:AC1006),$V$1006:$AE$1006,0)), HYPERLINK("#",""), HYPERLINK(CONCATENATE("#Metadata!", ADDRESS(INDEX($Q$2:$Q$1001,MATCH(ROWS($O$2:O636),$O$2:$O$1001,0),0), INDEX($V$1004:$AE$1004,1,MATCH(COLUMNS($V$1006:AC1006),$V$1006:$AE$1006,0)))),"Fix")))</f>
        <v>0</v>
      </c>
      <c r="J636" s="3">
        <f>IF(OR(INDEX($P$2:$P$1001,MATCH(ROWS($O$2:O636),$O$2:$O$1001,0),1)&gt;=100000,INDEX($V$1005:$AE$1005,1,MATCH(COLUMNS($V$1006:AD1006),$V$1006:$AE$1006,0))&gt;=100000), " ",IF(INDEX($V$2:$AE$1001,MATCH(ROWS($O$2:O636),$O$2:$O$1001,0),MATCH(COLUMNS($V$1006:AD1006),$V$1006:$AE$1006,0)), HYPERLINK("#",""), HYPERLINK(CONCATENATE("#Metadata!", ADDRESS(INDEX($Q$2:$Q$1001,MATCH(ROWS($O$2:O636),$O$2:$O$1001,0),0), INDEX($V$1004:$AE$1004,1,MATCH(COLUMNS($V$1006:AD1006),$V$1006:$AE$1006,0)))),"Fix")))</f>
        <v>0</v>
      </c>
      <c r="K636" s="3">
        <f>IF(OR(INDEX($P$2:$P$1001,MATCH(ROWS($O$2:O636),$O$2:$O$1001,0),1)&gt;=100000,INDEX($V$1005:$AE$1005,1,MATCH(COLUMNS($V$1006:AE1006),$V$1006:$AE$1006,0))&gt;=100000), " ",IF(INDEX($V$2:$AE$1001,MATCH(ROWS($O$2:O636),$O$2:$O$1001,0),MATCH(COLUMNS($V$1006:AE1006),$V$1006:$AE$1006,0)), HYPERLINK("#",""), HYPERLINK(CONCATENATE("#Metadata!", ADDRESS(INDEX($Q$2:$Q$1001,MATCH(ROWS($O$2:O636),$O$2:$O$1001,0),0), INDEX($V$1004:$AE$1004,1,MATCH(COLUMNS($V$1006:AE1006),$V$1006:$AE$1006,0)))),"Fix")))</f>
        <v>0</v>
      </c>
      <c r="O636">
        <v>0</v>
      </c>
      <c r="P636">
        <v>0</v>
      </c>
      <c r="Q636">
        <v>0</v>
      </c>
      <c r="R636">
        <f>IF(S636,TRUE,AND(V636:AE636))</f>
        <v>0</v>
      </c>
      <c r="S636">
        <f>COUNTBLANK(Metadata!B636:K636)=COLUMNS(Metadata!B636:K636)</f>
        <v>0</v>
      </c>
      <c r="T636">
        <v>0</v>
      </c>
      <c r="V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W636">
        <f>AND(IF(Metadata!C636="",FALSE,TRUE),exact(Metadata!C636,"animal secretion"))</f>
        <v>0</v>
      </c>
      <c r="X636">
        <f>AND(IF(Metadata!D636="",FALSE,TRUE),exact(Metadata!D636,"saliva"))</f>
        <v>0</v>
      </c>
      <c r="Y636">
        <f>AND(IF(Metadata!E636="",FALSE,TRUE),exact(Metadata!E636,"human-oral"))</f>
        <v>0</v>
      </c>
      <c r="Z636">
        <f>AND(IF(Metadata!F636="",FALSE,TRUE),exact(Metadata!F636,"UBERON:oral cavity"))</f>
        <v>0</v>
      </c>
      <c r="AA636">
        <f>AND(IF(Metadata!G636="",FALSE,TRUE),exact(Metadata!G636,"UBERON:saliva"))</f>
        <v>0</v>
      </c>
      <c r="AB636">
        <f>AND(IF(Metadata!H636="",FALSE,TRUE),exact(Metadata!H636,"UBERON:tongue"))</f>
        <v>0</v>
      </c>
      <c r="AC636">
        <f>AND(IF(Metadata!I636="",FALSE,TRUE),exact(Metadata!I636,"tongue"))</f>
        <v>0</v>
      </c>
      <c r="AD636">
        <f>AND(IF(Metadata!J636="",FALSE,TRUE),exact(Metadata!J636,"human oral metagenome"))</f>
        <v>0</v>
      </c>
      <c r="AE636">
        <f>AND(IF(Metadata!K636="",FALSE,TRUE),exact(Metadata!K636,"447426"))</f>
        <v>0</v>
      </c>
    </row>
    <row r="637" spans="1:31">
      <c r="A637" s="4">
        <f>IF(B637=" "," ",HYPERLINK(CONCATENATE("#metadata!",ADDRESS(INDEX($Q$2:$Q$1001,MATCH(ROWS($O$2:O637),$O$2:$O$1001,0),0),1)),INDEX($T$2:$T$1001,MATCH(ROWS($O$2:O637),$O$2:$O$1001,0),0)))</f>
        <v>0</v>
      </c>
      <c r="B637" s="3">
        <f>IF(OR(INDEX($P$2:$P$1001,MATCH(ROWS($O$2:O637),$O$2:$O$1001,0),1)&gt;=100000,INDEX($V$1005:$AE$1005,1,MATCH(COLUMNS($V$1006:V1006),$V$1006:$AE$1006,0))&gt;=100000), " ",IF(INDEX($V$2:$AE$1001,MATCH(ROWS($O$2:O637),$O$2:$O$1001,0),MATCH(COLUMNS($V$1006:V1006),$V$1006:$AE$1006,0)), HYPERLINK("#",""), HYPERLINK(CONCATENATE("#Metadata!", ADDRESS(INDEX($Q$2:$Q$1001,MATCH(ROWS($O$2:O637),$O$2:$O$1001,0),0), INDEX($V$1004:$AE$1004,1,MATCH(COLUMNS($V$1006:V1006),$V$1006:$AE$1006,0)))),"Fix")))</f>
        <v>0</v>
      </c>
      <c r="C637" s="3">
        <f>IF(OR(INDEX($P$2:$P$1001,MATCH(ROWS($O$2:O637),$O$2:$O$1001,0),1)&gt;=100000,INDEX($V$1005:$AE$1005,1,MATCH(COLUMNS($V$1006:W1006),$V$1006:$AE$1006,0))&gt;=100000), " ",IF(INDEX($V$2:$AE$1001,MATCH(ROWS($O$2:O637),$O$2:$O$1001,0),MATCH(COLUMNS($V$1006:W1006),$V$1006:$AE$1006,0)), HYPERLINK("#",""), HYPERLINK(CONCATENATE("#Metadata!", ADDRESS(INDEX($Q$2:$Q$1001,MATCH(ROWS($O$2:O637),$O$2:$O$1001,0),0), INDEX($V$1004:$AE$1004,1,MATCH(COLUMNS($V$1006:W1006),$V$1006:$AE$1006,0)))),"Fix")))</f>
        <v>0</v>
      </c>
      <c r="D637" s="3">
        <f>IF(OR(INDEX($P$2:$P$1001,MATCH(ROWS($O$2:O637),$O$2:$O$1001,0),1)&gt;=100000,INDEX($V$1005:$AE$1005,1,MATCH(COLUMNS($V$1006:X1006),$V$1006:$AE$1006,0))&gt;=100000), " ",IF(INDEX($V$2:$AE$1001,MATCH(ROWS($O$2:O637),$O$2:$O$1001,0),MATCH(COLUMNS($V$1006:X1006),$V$1006:$AE$1006,0)), HYPERLINK("#",""), HYPERLINK(CONCATENATE("#Metadata!", ADDRESS(INDEX($Q$2:$Q$1001,MATCH(ROWS($O$2:O637),$O$2:$O$1001,0),0), INDEX($V$1004:$AE$1004,1,MATCH(COLUMNS($V$1006:X1006),$V$1006:$AE$1006,0)))),"Fix")))</f>
        <v>0</v>
      </c>
      <c r="E637" s="3">
        <f>IF(OR(INDEX($P$2:$P$1001,MATCH(ROWS($O$2:O637),$O$2:$O$1001,0),1)&gt;=100000,INDEX($V$1005:$AE$1005,1,MATCH(COLUMNS($V$1006:Y1006),$V$1006:$AE$1006,0))&gt;=100000), " ",IF(INDEX($V$2:$AE$1001,MATCH(ROWS($O$2:O637),$O$2:$O$1001,0),MATCH(COLUMNS($V$1006:Y1006),$V$1006:$AE$1006,0)), HYPERLINK("#",""), HYPERLINK(CONCATENATE("#Metadata!", ADDRESS(INDEX($Q$2:$Q$1001,MATCH(ROWS($O$2:O637),$O$2:$O$1001,0),0), INDEX($V$1004:$AE$1004,1,MATCH(COLUMNS($V$1006:Y1006),$V$1006:$AE$1006,0)))),"Fix")))</f>
        <v>0</v>
      </c>
      <c r="F637" s="3">
        <f>IF(OR(INDEX($P$2:$P$1001,MATCH(ROWS($O$2:O637),$O$2:$O$1001,0),1)&gt;=100000,INDEX($V$1005:$AE$1005,1,MATCH(COLUMNS($V$1006:Z1006),$V$1006:$AE$1006,0))&gt;=100000), " ",IF(INDEX($V$2:$AE$1001,MATCH(ROWS($O$2:O637),$O$2:$O$1001,0),MATCH(COLUMNS($V$1006:Z1006),$V$1006:$AE$1006,0)), HYPERLINK("#",""), HYPERLINK(CONCATENATE("#Metadata!", ADDRESS(INDEX($Q$2:$Q$1001,MATCH(ROWS($O$2:O637),$O$2:$O$1001,0),0), INDEX($V$1004:$AE$1004,1,MATCH(COLUMNS($V$1006:Z1006),$V$1006:$AE$1006,0)))),"Fix")))</f>
        <v>0</v>
      </c>
      <c r="G637" s="3">
        <f>IF(OR(INDEX($P$2:$P$1001,MATCH(ROWS($O$2:O637),$O$2:$O$1001,0),1)&gt;=100000,INDEX($V$1005:$AE$1005,1,MATCH(COLUMNS($V$1006:AA1006),$V$1006:$AE$1006,0))&gt;=100000), " ",IF(INDEX($V$2:$AE$1001,MATCH(ROWS($O$2:O637),$O$2:$O$1001,0),MATCH(COLUMNS($V$1006:AA1006),$V$1006:$AE$1006,0)), HYPERLINK("#",""), HYPERLINK(CONCATENATE("#Metadata!", ADDRESS(INDEX($Q$2:$Q$1001,MATCH(ROWS($O$2:O637),$O$2:$O$1001,0),0), INDEX($V$1004:$AE$1004,1,MATCH(COLUMNS($V$1006:AA1006),$V$1006:$AE$1006,0)))),"Fix")))</f>
        <v>0</v>
      </c>
      <c r="H637" s="3">
        <f>IF(OR(INDEX($P$2:$P$1001,MATCH(ROWS($O$2:O637),$O$2:$O$1001,0),1)&gt;=100000,INDEX($V$1005:$AE$1005,1,MATCH(COLUMNS($V$1006:AB1006),$V$1006:$AE$1006,0))&gt;=100000), " ",IF(INDEX($V$2:$AE$1001,MATCH(ROWS($O$2:O637),$O$2:$O$1001,0),MATCH(COLUMNS($V$1006:AB1006),$V$1006:$AE$1006,0)), HYPERLINK("#",""), HYPERLINK(CONCATENATE("#Metadata!", ADDRESS(INDEX($Q$2:$Q$1001,MATCH(ROWS($O$2:O637),$O$2:$O$1001,0),0), INDEX($V$1004:$AE$1004,1,MATCH(COLUMNS($V$1006:AB1006),$V$1006:$AE$1006,0)))),"Fix")))</f>
        <v>0</v>
      </c>
      <c r="I637" s="3">
        <f>IF(OR(INDEX($P$2:$P$1001,MATCH(ROWS($O$2:O637),$O$2:$O$1001,0),1)&gt;=100000,INDEX($V$1005:$AE$1005,1,MATCH(COLUMNS($V$1006:AC1006),$V$1006:$AE$1006,0))&gt;=100000), " ",IF(INDEX($V$2:$AE$1001,MATCH(ROWS($O$2:O637),$O$2:$O$1001,0),MATCH(COLUMNS($V$1006:AC1006),$V$1006:$AE$1006,0)), HYPERLINK("#",""), HYPERLINK(CONCATENATE("#Metadata!", ADDRESS(INDEX($Q$2:$Q$1001,MATCH(ROWS($O$2:O637),$O$2:$O$1001,0),0), INDEX($V$1004:$AE$1004,1,MATCH(COLUMNS($V$1006:AC1006),$V$1006:$AE$1006,0)))),"Fix")))</f>
        <v>0</v>
      </c>
      <c r="J637" s="3">
        <f>IF(OR(INDEX($P$2:$P$1001,MATCH(ROWS($O$2:O637),$O$2:$O$1001,0),1)&gt;=100000,INDEX($V$1005:$AE$1005,1,MATCH(COLUMNS($V$1006:AD1006),$V$1006:$AE$1006,0))&gt;=100000), " ",IF(INDEX($V$2:$AE$1001,MATCH(ROWS($O$2:O637),$O$2:$O$1001,0),MATCH(COLUMNS($V$1006:AD1006),$V$1006:$AE$1006,0)), HYPERLINK("#",""), HYPERLINK(CONCATENATE("#Metadata!", ADDRESS(INDEX($Q$2:$Q$1001,MATCH(ROWS($O$2:O637),$O$2:$O$1001,0),0), INDEX($V$1004:$AE$1004,1,MATCH(COLUMNS($V$1006:AD1006),$V$1006:$AE$1006,0)))),"Fix")))</f>
        <v>0</v>
      </c>
      <c r="K637" s="3">
        <f>IF(OR(INDEX($P$2:$P$1001,MATCH(ROWS($O$2:O637),$O$2:$O$1001,0),1)&gt;=100000,INDEX($V$1005:$AE$1005,1,MATCH(COLUMNS($V$1006:AE1006),$V$1006:$AE$1006,0))&gt;=100000), " ",IF(INDEX($V$2:$AE$1001,MATCH(ROWS($O$2:O637),$O$2:$O$1001,0),MATCH(COLUMNS($V$1006:AE1006),$V$1006:$AE$1006,0)), HYPERLINK("#",""), HYPERLINK(CONCATENATE("#Metadata!", ADDRESS(INDEX($Q$2:$Q$1001,MATCH(ROWS($O$2:O637),$O$2:$O$1001,0),0), INDEX($V$1004:$AE$1004,1,MATCH(COLUMNS($V$1006:AE1006),$V$1006:$AE$1006,0)))),"Fix")))</f>
        <v>0</v>
      </c>
      <c r="O637">
        <v>0</v>
      </c>
      <c r="P637">
        <v>0</v>
      </c>
      <c r="Q637">
        <v>0</v>
      </c>
      <c r="R637">
        <f>IF(S637,TRUE,AND(V637:AE637))</f>
        <v>0</v>
      </c>
      <c r="S637">
        <f>COUNTBLANK(Metadata!B637:K637)=COLUMNS(Metadata!B637:K637)</f>
        <v>0</v>
      </c>
      <c r="T637">
        <v>0</v>
      </c>
      <c r="V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W637">
        <f>AND(IF(Metadata!C637="",FALSE,TRUE),exact(Metadata!C637,"animal secretion"))</f>
        <v>0</v>
      </c>
      <c r="X637">
        <f>AND(IF(Metadata!D637="",FALSE,TRUE),exact(Metadata!D637,"saliva"))</f>
        <v>0</v>
      </c>
      <c r="Y637">
        <f>AND(IF(Metadata!E637="",FALSE,TRUE),exact(Metadata!E637,"human-oral"))</f>
        <v>0</v>
      </c>
      <c r="Z637">
        <f>AND(IF(Metadata!F637="",FALSE,TRUE),exact(Metadata!F637,"UBERON:oral cavity"))</f>
        <v>0</v>
      </c>
      <c r="AA637">
        <f>AND(IF(Metadata!G637="",FALSE,TRUE),exact(Metadata!G637,"UBERON:saliva"))</f>
        <v>0</v>
      </c>
      <c r="AB637">
        <f>AND(IF(Metadata!H637="",FALSE,TRUE),exact(Metadata!H637,"UBERON:tongue"))</f>
        <v>0</v>
      </c>
      <c r="AC637">
        <f>AND(IF(Metadata!I637="",FALSE,TRUE),exact(Metadata!I637,"tongue"))</f>
        <v>0</v>
      </c>
      <c r="AD637">
        <f>AND(IF(Metadata!J637="",FALSE,TRUE),exact(Metadata!J637,"human oral metagenome"))</f>
        <v>0</v>
      </c>
      <c r="AE637">
        <f>AND(IF(Metadata!K637="",FALSE,TRUE),exact(Metadata!K637,"447426"))</f>
        <v>0</v>
      </c>
    </row>
    <row r="638" spans="1:31">
      <c r="A638" s="4">
        <f>IF(B638=" "," ",HYPERLINK(CONCATENATE("#metadata!",ADDRESS(INDEX($Q$2:$Q$1001,MATCH(ROWS($O$2:O638),$O$2:$O$1001,0),0),1)),INDEX($T$2:$T$1001,MATCH(ROWS($O$2:O638),$O$2:$O$1001,0),0)))</f>
        <v>0</v>
      </c>
      <c r="B638" s="3">
        <f>IF(OR(INDEX($P$2:$P$1001,MATCH(ROWS($O$2:O638),$O$2:$O$1001,0),1)&gt;=100000,INDEX($V$1005:$AE$1005,1,MATCH(COLUMNS($V$1006:V1006),$V$1006:$AE$1006,0))&gt;=100000), " ",IF(INDEX($V$2:$AE$1001,MATCH(ROWS($O$2:O638),$O$2:$O$1001,0),MATCH(COLUMNS($V$1006:V1006),$V$1006:$AE$1006,0)), HYPERLINK("#",""), HYPERLINK(CONCATENATE("#Metadata!", ADDRESS(INDEX($Q$2:$Q$1001,MATCH(ROWS($O$2:O638),$O$2:$O$1001,0),0), INDEX($V$1004:$AE$1004,1,MATCH(COLUMNS($V$1006:V1006),$V$1006:$AE$1006,0)))),"Fix")))</f>
        <v>0</v>
      </c>
      <c r="C638" s="3">
        <f>IF(OR(INDEX($P$2:$P$1001,MATCH(ROWS($O$2:O638),$O$2:$O$1001,0),1)&gt;=100000,INDEX($V$1005:$AE$1005,1,MATCH(COLUMNS($V$1006:W1006),$V$1006:$AE$1006,0))&gt;=100000), " ",IF(INDEX($V$2:$AE$1001,MATCH(ROWS($O$2:O638),$O$2:$O$1001,0),MATCH(COLUMNS($V$1006:W1006),$V$1006:$AE$1006,0)), HYPERLINK("#",""), HYPERLINK(CONCATENATE("#Metadata!", ADDRESS(INDEX($Q$2:$Q$1001,MATCH(ROWS($O$2:O638),$O$2:$O$1001,0),0), INDEX($V$1004:$AE$1004,1,MATCH(COLUMNS($V$1006:W1006),$V$1006:$AE$1006,0)))),"Fix")))</f>
        <v>0</v>
      </c>
      <c r="D638" s="3">
        <f>IF(OR(INDEX($P$2:$P$1001,MATCH(ROWS($O$2:O638),$O$2:$O$1001,0),1)&gt;=100000,INDEX($V$1005:$AE$1005,1,MATCH(COLUMNS($V$1006:X1006),$V$1006:$AE$1006,0))&gt;=100000), " ",IF(INDEX($V$2:$AE$1001,MATCH(ROWS($O$2:O638),$O$2:$O$1001,0),MATCH(COLUMNS($V$1006:X1006),$V$1006:$AE$1006,0)), HYPERLINK("#",""), HYPERLINK(CONCATENATE("#Metadata!", ADDRESS(INDEX($Q$2:$Q$1001,MATCH(ROWS($O$2:O638),$O$2:$O$1001,0),0), INDEX($V$1004:$AE$1004,1,MATCH(COLUMNS($V$1006:X1006),$V$1006:$AE$1006,0)))),"Fix")))</f>
        <v>0</v>
      </c>
      <c r="E638" s="3">
        <f>IF(OR(INDEX($P$2:$P$1001,MATCH(ROWS($O$2:O638),$O$2:$O$1001,0),1)&gt;=100000,INDEX($V$1005:$AE$1005,1,MATCH(COLUMNS($V$1006:Y1006),$V$1006:$AE$1006,0))&gt;=100000), " ",IF(INDEX($V$2:$AE$1001,MATCH(ROWS($O$2:O638),$O$2:$O$1001,0),MATCH(COLUMNS($V$1006:Y1006),$V$1006:$AE$1006,0)), HYPERLINK("#",""), HYPERLINK(CONCATENATE("#Metadata!", ADDRESS(INDEX($Q$2:$Q$1001,MATCH(ROWS($O$2:O638),$O$2:$O$1001,0),0), INDEX($V$1004:$AE$1004,1,MATCH(COLUMNS($V$1006:Y1006),$V$1006:$AE$1006,0)))),"Fix")))</f>
        <v>0</v>
      </c>
      <c r="F638" s="3">
        <f>IF(OR(INDEX($P$2:$P$1001,MATCH(ROWS($O$2:O638),$O$2:$O$1001,0),1)&gt;=100000,INDEX($V$1005:$AE$1005,1,MATCH(COLUMNS($V$1006:Z1006),$V$1006:$AE$1006,0))&gt;=100000), " ",IF(INDEX($V$2:$AE$1001,MATCH(ROWS($O$2:O638),$O$2:$O$1001,0),MATCH(COLUMNS($V$1006:Z1006),$V$1006:$AE$1006,0)), HYPERLINK("#",""), HYPERLINK(CONCATENATE("#Metadata!", ADDRESS(INDEX($Q$2:$Q$1001,MATCH(ROWS($O$2:O638),$O$2:$O$1001,0),0), INDEX($V$1004:$AE$1004,1,MATCH(COLUMNS($V$1006:Z1006),$V$1006:$AE$1006,0)))),"Fix")))</f>
        <v>0</v>
      </c>
      <c r="G638" s="3">
        <f>IF(OR(INDEX($P$2:$P$1001,MATCH(ROWS($O$2:O638),$O$2:$O$1001,0),1)&gt;=100000,INDEX($V$1005:$AE$1005,1,MATCH(COLUMNS($V$1006:AA1006),$V$1006:$AE$1006,0))&gt;=100000), " ",IF(INDEX($V$2:$AE$1001,MATCH(ROWS($O$2:O638),$O$2:$O$1001,0),MATCH(COLUMNS($V$1006:AA1006),$V$1006:$AE$1006,0)), HYPERLINK("#",""), HYPERLINK(CONCATENATE("#Metadata!", ADDRESS(INDEX($Q$2:$Q$1001,MATCH(ROWS($O$2:O638),$O$2:$O$1001,0),0), INDEX($V$1004:$AE$1004,1,MATCH(COLUMNS($V$1006:AA1006),$V$1006:$AE$1006,0)))),"Fix")))</f>
        <v>0</v>
      </c>
      <c r="H638" s="3">
        <f>IF(OR(INDEX($P$2:$P$1001,MATCH(ROWS($O$2:O638),$O$2:$O$1001,0),1)&gt;=100000,INDEX($V$1005:$AE$1005,1,MATCH(COLUMNS($V$1006:AB1006),$V$1006:$AE$1006,0))&gt;=100000), " ",IF(INDEX($V$2:$AE$1001,MATCH(ROWS($O$2:O638),$O$2:$O$1001,0),MATCH(COLUMNS($V$1006:AB1006),$V$1006:$AE$1006,0)), HYPERLINK("#",""), HYPERLINK(CONCATENATE("#Metadata!", ADDRESS(INDEX($Q$2:$Q$1001,MATCH(ROWS($O$2:O638),$O$2:$O$1001,0),0), INDEX($V$1004:$AE$1004,1,MATCH(COLUMNS($V$1006:AB1006),$V$1006:$AE$1006,0)))),"Fix")))</f>
        <v>0</v>
      </c>
      <c r="I638" s="3">
        <f>IF(OR(INDEX($P$2:$P$1001,MATCH(ROWS($O$2:O638),$O$2:$O$1001,0),1)&gt;=100000,INDEX($V$1005:$AE$1005,1,MATCH(COLUMNS($V$1006:AC1006),$V$1006:$AE$1006,0))&gt;=100000), " ",IF(INDEX($V$2:$AE$1001,MATCH(ROWS($O$2:O638),$O$2:$O$1001,0),MATCH(COLUMNS($V$1006:AC1006),$V$1006:$AE$1006,0)), HYPERLINK("#",""), HYPERLINK(CONCATENATE("#Metadata!", ADDRESS(INDEX($Q$2:$Q$1001,MATCH(ROWS($O$2:O638),$O$2:$O$1001,0),0), INDEX($V$1004:$AE$1004,1,MATCH(COLUMNS($V$1006:AC1006),$V$1006:$AE$1006,0)))),"Fix")))</f>
        <v>0</v>
      </c>
      <c r="J638" s="3">
        <f>IF(OR(INDEX($P$2:$P$1001,MATCH(ROWS($O$2:O638),$O$2:$O$1001,0),1)&gt;=100000,INDEX($V$1005:$AE$1005,1,MATCH(COLUMNS($V$1006:AD1006),$V$1006:$AE$1006,0))&gt;=100000), " ",IF(INDEX($V$2:$AE$1001,MATCH(ROWS($O$2:O638),$O$2:$O$1001,0),MATCH(COLUMNS($V$1006:AD1006),$V$1006:$AE$1006,0)), HYPERLINK("#",""), HYPERLINK(CONCATENATE("#Metadata!", ADDRESS(INDEX($Q$2:$Q$1001,MATCH(ROWS($O$2:O638),$O$2:$O$1001,0),0), INDEX($V$1004:$AE$1004,1,MATCH(COLUMNS($V$1006:AD1006),$V$1006:$AE$1006,0)))),"Fix")))</f>
        <v>0</v>
      </c>
      <c r="K638" s="3">
        <f>IF(OR(INDEX($P$2:$P$1001,MATCH(ROWS($O$2:O638),$O$2:$O$1001,0),1)&gt;=100000,INDEX($V$1005:$AE$1005,1,MATCH(COLUMNS($V$1006:AE1006),$V$1006:$AE$1006,0))&gt;=100000), " ",IF(INDEX($V$2:$AE$1001,MATCH(ROWS($O$2:O638),$O$2:$O$1001,0),MATCH(COLUMNS($V$1006:AE1006),$V$1006:$AE$1006,0)), HYPERLINK("#",""), HYPERLINK(CONCATENATE("#Metadata!", ADDRESS(INDEX($Q$2:$Q$1001,MATCH(ROWS($O$2:O638),$O$2:$O$1001,0),0), INDEX($V$1004:$AE$1004,1,MATCH(COLUMNS($V$1006:AE1006),$V$1006:$AE$1006,0)))),"Fix")))</f>
        <v>0</v>
      </c>
      <c r="O638">
        <v>0</v>
      </c>
      <c r="P638">
        <v>0</v>
      </c>
      <c r="Q638">
        <v>0</v>
      </c>
      <c r="R638">
        <f>IF(S638,TRUE,AND(V638:AE638))</f>
        <v>0</v>
      </c>
      <c r="S638">
        <f>COUNTBLANK(Metadata!B638:K638)=COLUMNS(Metadata!B638:K638)</f>
        <v>0</v>
      </c>
      <c r="T638">
        <v>0</v>
      </c>
      <c r="V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W638">
        <f>AND(IF(Metadata!C638="",FALSE,TRUE),exact(Metadata!C638,"animal secretion"))</f>
        <v>0</v>
      </c>
      <c r="X638">
        <f>AND(IF(Metadata!D638="",FALSE,TRUE),exact(Metadata!D638,"saliva"))</f>
        <v>0</v>
      </c>
      <c r="Y638">
        <f>AND(IF(Metadata!E638="",FALSE,TRUE),exact(Metadata!E638,"human-oral"))</f>
        <v>0</v>
      </c>
      <c r="Z638">
        <f>AND(IF(Metadata!F638="",FALSE,TRUE),exact(Metadata!F638,"UBERON:oral cavity"))</f>
        <v>0</v>
      </c>
      <c r="AA638">
        <f>AND(IF(Metadata!G638="",FALSE,TRUE),exact(Metadata!G638,"UBERON:saliva"))</f>
        <v>0</v>
      </c>
      <c r="AB638">
        <f>AND(IF(Metadata!H638="",FALSE,TRUE),exact(Metadata!H638,"UBERON:tongue"))</f>
        <v>0</v>
      </c>
      <c r="AC638">
        <f>AND(IF(Metadata!I638="",FALSE,TRUE),exact(Metadata!I638,"tongue"))</f>
        <v>0</v>
      </c>
      <c r="AD638">
        <f>AND(IF(Metadata!J638="",FALSE,TRUE),exact(Metadata!J638,"human oral metagenome"))</f>
        <v>0</v>
      </c>
      <c r="AE638">
        <f>AND(IF(Metadata!K638="",FALSE,TRUE),exact(Metadata!K638,"447426"))</f>
        <v>0</v>
      </c>
    </row>
    <row r="639" spans="1:31">
      <c r="A639" s="4">
        <f>IF(B639=" "," ",HYPERLINK(CONCATENATE("#metadata!",ADDRESS(INDEX($Q$2:$Q$1001,MATCH(ROWS($O$2:O639),$O$2:$O$1001,0),0),1)),INDEX($T$2:$T$1001,MATCH(ROWS($O$2:O639),$O$2:$O$1001,0),0)))</f>
        <v>0</v>
      </c>
      <c r="B639" s="3">
        <f>IF(OR(INDEX($P$2:$P$1001,MATCH(ROWS($O$2:O639),$O$2:$O$1001,0),1)&gt;=100000,INDEX($V$1005:$AE$1005,1,MATCH(COLUMNS($V$1006:V1006),$V$1006:$AE$1006,0))&gt;=100000), " ",IF(INDEX($V$2:$AE$1001,MATCH(ROWS($O$2:O639),$O$2:$O$1001,0),MATCH(COLUMNS($V$1006:V1006),$V$1006:$AE$1006,0)), HYPERLINK("#",""), HYPERLINK(CONCATENATE("#Metadata!", ADDRESS(INDEX($Q$2:$Q$1001,MATCH(ROWS($O$2:O639),$O$2:$O$1001,0),0), INDEX($V$1004:$AE$1004,1,MATCH(COLUMNS($V$1006:V1006),$V$1006:$AE$1006,0)))),"Fix")))</f>
        <v>0</v>
      </c>
      <c r="C639" s="3">
        <f>IF(OR(INDEX($P$2:$P$1001,MATCH(ROWS($O$2:O639),$O$2:$O$1001,0),1)&gt;=100000,INDEX($V$1005:$AE$1005,1,MATCH(COLUMNS($V$1006:W1006),$V$1006:$AE$1006,0))&gt;=100000), " ",IF(INDEX($V$2:$AE$1001,MATCH(ROWS($O$2:O639),$O$2:$O$1001,0),MATCH(COLUMNS($V$1006:W1006),$V$1006:$AE$1006,0)), HYPERLINK("#",""), HYPERLINK(CONCATENATE("#Metadata!", ADDRESS(INDEX($Q$2:$Q$1001,MATCH(ROWS($O$2:O639),$O$2:$O$1001,0),0), INDEX($V$1004:$AE$1004,1,MATCH(COLUMNS($V$1006:W1006),$V$1006:$AE$1006,0)))),"Fix")))</f>
        <v>0</v>
      </c>
      <c r="D639" s="3">
        <f>IF(OR(INDEX($P$2:$P$1001,MATCH(ROWS($O$2:O639),$O$2:$O$1001,0),1)&gt;=100000,INDEX($V$1005:$AE$1005,1,MATCH(COLUMNS($V$1006:X1006),$V$1006:$AE$1006,0))&gt;=100000), " ",IF(INDEX($V$2:$AE$1001,MATCH(ROWS($O$2:O639),$O$2:$O$1001,0),MATCH(COLUMNS($V$1006:X1006),$V$1006:$AE$1006,0)), HYPERLINK("#",""), HYPERLINK(CONCATENATE("#Metadata!", ADDRESS(INDEX($Q$2:$Q$1001,MATCH(ROWS($O$2:O639),$O$2:$O$1001,0),0), INDEX($V$1004:$AE$1004,1,MATCH(COLUMNS($V$1006:X1006),$V$1006:$AE$1006,0)))),"Fix")))</f>
        <v>0</v>
      </c>
      <c r="E639" s="3">
        <f>IF(OR(INDEX($P$2:$P$1001,MATCH(ROWS($O$2:O639),$O$2:$O$1001,0),1)&gt;=100000,INDEX($V$1005:$AE$1005,1,MATCH(COLUMNS($V$1006:Y1006),$V$1006:$AE$1006,0))&gt;=100000), " ",IF(INDEX($V$2:$AE$1001,MATCH(ROWS($O$2:O639),$O$2:$O$1001,0),MATCH(COLUMNS($V$1006:Y1006),$V$1006:$AE$1006,0)), HYPERLINK("#",""), HYPERLINK(CONCATENATE("#Metadata!", ADDRESS(INDEX($Q$2:$Q$1001,MATCH(ROWS($O$2:O639),$O$2:$O$1001,0),0), INDEX($V$1004:$AE$1004,1,MATCH(COLUMNS($V$1006:Y1006),$V$1006:$AE$1006,0)))),"Fix")))</f>
        <v>0</v>
      </c>
      <c r="F639" s="3">
        <f>IF(OR(INDEX($P$2:$P$1001,MATCH(ROWS($O$2:O639),$O$2:$O$1001,0),1)&gt;=100000,INDEX($V$1005:$AE$1005,1,MATCH(COLUMNS($V$1006:Z1006),$V$1006:$AE$1006,0))&gt;=100000), " ",IF(INDEX($V$2:$AE$1001,MATCH(ROWS($O$2:O639),$O$2:$O$1001,0),MATCH(COLUMNS($V$1006:Z1006),$V$1006:$AE$1006,0)), HYPERLINK("#",""), HYPERLINK(CONCATENATE("#Metadata!", ADDRESS(INDEX($Q$2:$Q$1001,MATCH(ROWS($O$2:O639),$O$2:$O$1001,0),0), INDEX($V$1004:$AE$1004,1,MATCH(COLUMNS($V$1006:Z1006),$V$1006:$AE$1006,0)))),"Fix")))</f>
        <v>0</v>
      </c>
      <c r="G639" s="3">
        <f>IF(OR(INDEX($P$2:$P$1001,MATCH(ROWS($O$2:O639),$O$2:$O$1001,0),1)&gt;=100000,INDEX($V$1005:$AE$1005,1,MATCH(COLUMNS($V$1006:AA1006),$V$1006:$AE$1006,0))&gt;=100000), " ",IF(INDEX($V$2:$AE$1001,MATCH(ROWS($O$2:O639),$O$2:$O$1001,0),MATCH(COLUMNS($V$1006:AA1006),$V$1006:$AE$1006,0)), HYPERLINK("#",""), HYPERLINK(CONCATENATE("#Metadata!", ADDRESS(INDEX($Q$2:$Q$1001,MATCH(ROWS($O$2:O639),$O$2:$O$1001,0),0), INDEX($V$1004:$AE$1004,1,MATCH(COLUMNS($V$1006:AA1006),$V$1006:$AE$1006,0)))),"Fix")))</f>
        <v>0</v>
      </c>
      <c r="H639" s="3">
        <f>IF(OR(INDEX($P$2:$P$1001,MATCH(ROWS($O$2:O639),$O$2:$O$1001,0),1)&gt;=100000,INDEX($V$1005:$AE$1005,1,MATCH(COLUMNS($V$1006:AB1006),$V$1006:$AE$1006,0))&gt;=100000), " ",IF(INDEX($V$2:$AE$1001,MATCH(ROWS($O$2:O639),$O$2:$O$1001,0),MATCH(COLUMNS($V$1006:AB1006),$V$1006:$AE$1006,0)), HYPERLINK("#",""), HYPERLINK(CONCATENATE("#Metadata!", ADDRESS(INDEX($Q$2:$Q$1001,MATCH(ROWS($O$2:O639),$O$2:$O$1001,0),0), INDEX($V$1004:$AE$1004,1,MATCH(COLUMNS($V$1006:AB1006),$V$1006:$AE$1006,0)))),"Fix")))</f>
        <v>0</v>
      </c>
      <c r="I639" s="3">
        <f>IF(OR(INDEX($P$2:$P$1001,MATCH(ROWS($O$2:O639),$O$2:$O$1001,0),1)&gt;=100000,INDEX($V$1005:$AE$1005,1,MATCH(COLUMNS($V$1006:AC1006),$V$1006:$AE$1006,0))&gt;=100000), " ",IF(INDEX($V$2:$AE$1001,MATCH(ROWS($O$2:O639),$O$2:$O$1001,0),MATCH(COLUMNS($V$1006:AC1006),$V$1006:$AE$1006,0)), HYPERLINK("#",""), HYPERLINK(CONCATENATE("#Metadata!", ADDRESS(INDEX($Q$2:$Q$1001,MATCH(ROWS($O$2:O639),$O$2:$O$1001,0),0), INDEX($V$1004:$AE$1004,1,MATCH(COLUMNS($V$1006:AC1006),$V$1006:$AE$1006,0)))),"Fix")))</f>
        <v>0</v>
      </c>
      <c r="J639" s="3">
        <f>IF(OR(INDEX($P$2:$P$1001,MATCH(ROWS($O$2:O639),$O$2:$O$1001,0),1)&gt;=100000,INDEX($V$1005:$AE$1005,1,MATCH(COLUMNS($V$1006:AD1006),$V$1006:$AE$1006,0))&gt;=100000), " ",IF(INDEX($V$2:$AE$1001,MATCH(ROWS($O$2:O639),$O$2:$O$1001,0),MATCH(COLUMNS($V$1006:AD1006),$V$1006:$AE$1006,0)), HYPERLINK("#",""), HYPERLINK(CONCATENATE("#Metadata!", ADDRESS(INDEX($Q$2:$Q$1001,MATCH(ROWS($O$2:O639),$O$2:$O$1001,0),0), INDEX($V$1004:$AE$1004,1,MATCH(COLUMNS($V$1006:AD1006),$V$1006:$AE$1006,0)))),"Fix")))</f>
        <v>0</v>
      </c>
      <c r="K639" s="3">
        <f>IF(OR(INDEX($P$2:$P$1001,MATCH(ROWS($O$2:O639),$O$2:$O$1001,0),1)&gt;=100000,INDEX($V$1005:$AE$1005,1,MATCH(COLUMNS($V$1006:AE1006),$V$1006:$AE$1006,0))&gt;=100000), " ",IF(INDEX($V$2:$AE$1001,MATCH(ROWS($O$2:O639),$O$2:$O$1001,0),MATCH(COLUMNS($V$1006:AE1006),$V$1006:$AE$1006,0)), HYPERLINK("#",""), HYPERLINK(CONCATENATE("#Metadata!", ADDRESS(INDEX($Q$2:$Q$1001,MATCH(ROWS($O$2:O639),$O$2:$O$1001,0),0), INDEX($V$1004:$AE$1004,1,MATCH(COLUMNS($V$1006:AE1006),$V$1006:$AE$1006,0)))),"Fix")))</f>
        <v>0</v>
      </c>
      <c r="O639">
        <v>0</v>
      </c>
      <c r="P639">
        <v>0</v>
      </c>
      <c r="Q639">
        <v>0</v>
      </c>
      <c r="R639">
        <f>IF(S639,TRUE,AND(V639:AE639))</f>
        <v>0</v>
      </c>
      <c r="S639">
        <f>COUNTBLANK(Metadata!B639:K639)=COLUMNS(Metadata!B639:K639)</f>
        <v>0</v>
      </c>
      <c r="T639">
        <v>0</v>
      </c>
      <c r="V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W639">
        <f>AND(IF(Metadata!C639="",FALSE,TRUE),exact(Metadata!C639,"animal secretion"))</f>
        <v>0</v>
      </c>
      <c r="X639">
        <f>AND(IF(Metadata!D639="",FALSE,TRUE),exact(Metadata!D639,"saliva"))</f>
        <v>0</v>
      </c>
      <c r="Y639">
        <f>AND(IF(Metadata!E639="",FALSE,TRUE),exact(Metadata!E639,"human-oral"))</f>
        <v>0</v>
      </c>
      <c r="Z639">
        <f>AND(IF(Metadata!F639="",FALSE,TRUE),exact(Metadata!F639,"UBERON:oral cavity"))</f>
        <v>0</v>
      </c>
      <c r="AA639">
        <f>AND(IF(Metadata!G639="",FALSE,TRUE),exact(Metadata!G639,"UBERON:saliva"))</f>
        <v>0</v>
      </c>
      <c r="AB639">
        <f>AND(IF(Metadata!H639="",FALSE,TRUE),exact(Metadata!H639,"UBERON:tongue"))</f>
        <v>0</v>
      </c>
      <c r="AC639">
        <f>AND(IF(Metadata!I639="",FALSE,TRUE),exact(Metadata!I639,"tongue"))</f>
        <v>0</v>
      </c>
      <c r="AD639">
        <f>AND(IF(Metadata!J639="",FALSE,TRUE),exact(Metadata!J639,"human oral metagenome"))</f>
        <v>0</v>
      </c>
      <c r="AE639">
        <f>AND(IF(Metadata!K639="",FALSE,TRUE),exact(Metadata!K639,"447426"))</f>
        <v>0</v>
      </c>
    </row>
    <row r="640" spans="1:31">
      <c r="A640" s="4">
        <f>IF(B640=" "," ",HYPERLINK(CONCATENATE("#metadata!",ADDRESS(INDEX($Q$2:$Q$1001,MATCH(ROWS($O$2:O640),$O$2:$O$1001,0),0),1)),INDEX($T$2:$T$1001,MATCH(ROWS($O$2:O640),$O$2:$O$1001,0),0)))</f>
        <v>0</v>
      </c>
      <c r="B640" s="3">
        <f>IF(OR(INDEX($P$2:$P$1001,MATCH(ROWS($O$2:O640),$O$2:$O$1001,0),1)&gt;=100000,INDEX($V$1005:$AE$1005,1,MATCH(COLUMNS($V$1006:V1006),$V$1006:$AE$1006,0))&gt;=100000), " ",IF(INDEX($V$2:$AE$1001,MATCH(ROWS($O$2:O640),$O$2:$O$1001,0),MATCH(COLUMNS($V$1006:V1006),$V$1006:$AE$1006,0)), HYPERLINK("#",""), HYPERLINK(CONCATENATE("#Metadata!", ADDRESS(INDEX($Q$2:$Q$1001,MATCH(ROWS($O$2:O640),$O$2:$O$1001,0),0), INDEX($V$1004:$AE$1004,1,MATCH(COLUMNS($V$1006:V1006),$V$1006:$AE$1006,0)))),"Fix")))</f>
        <v>0</v>
      </c>
      <c r="C640" s="3">
        <f>IF(OR(INDEX($P$2:$P$1001,MATCH(ROWS($O$2:O640),$O$2:$O$1001,0),1)&gt;=100000,INDEX($V$1005:$AE$1005,1,MATCH(COLUMNS($V$1006:W1006),$V$1006:$AE$1006,0))&gt;=100000), " ",IF(INDEX($V$2:$AE$1001,MATCH(ROWS($O$2:O640),$O$2:$O$1001,0),MATCH(COLUMNS($V$1006:W1006),$V$1006:$AE$1006,0)), HYPERLINK("#",""), HYPERLINK(CONCATENATE("#Metadata!", ADDRESS(INDEX($Q$2:$Q$1001,MATCH(ROWS($O$2:O640),$O$2:$O$1001,0),0), INDEX($V$1004:$AE$1004,1,MATCH(COLUMNS($V$1006:W1006),$V$1006:$AE$1006,0)))),"Fix")))</f>
        <v>0</v>
      </c>
      <c r="D640" s="3">
        <f>IF(OR(INDEX($P$2:$P$1001,MATCH(ROWS($O$2:O640),$O$2:$O$1001,0),1)&gt;=100000,INDEX($V$1005:$AE$1005,1,MATCH(COLUMNS($V$1006:X1006),$V$1006:$AE$1006,0))&gt;=100000), " ",IF(INDEX($V$2:$AE$1001,MATCH(ROWS($O$2:O640),$O$2:$O$1001,0),MATCH(COLUMNS($V$1006:X1006),$V$1006:$AE$1006,0)), HYPERLINK("#",""), HYPERLINK(CONCATENATE("#Metadata!", ADDRESS(INDEX($Q$2:$Q$1001,MATCH(ROWS($O$2:O640),$O$2:$O$1001,0),0), INDEX($V$1004:$AE$1004,1,MATCH(COLUMNS($V$1006:X1006),$V$1006:$AE$1006,0)))),"Fix")))</f>
        <v>0</v>
      </c>
      <c r="E640" s="3">
        <f>IF(OR(INDEX($P$2:$P$1001,MATCH(ROWS($O$2:O640),$O$2:$O$1001,0),1)&gt;=100000,INDEX($V$1005:$AE$1005,1,MATCH(COLUMNS($V$1006:Y1006),$V$1006:$AE$1006,0))&gt;=100000), " ",IF(INDEX($V$2:$AE$1001,MATCH(ROWS($O$2:O640),$O$2:$O$1001,0),MATCH(COLUMNS($V$1006:Y1006),$V$1006:$AE$1006,0)), HYPERLINK("#",""), HYPERLINK(CONCATENATE("#Metadata!", ADDRESS(INDEX($Q$2:$Q$1001,MATCH(ROWS($O$2:O640),$O$2:$O$1001,0),0), INDEX($V$1004:$AE$1004,1,MATCH(COLUMNS($V$1006:Y1006),$V$1006:$AE$1006,0)))),"Fix")))</f>
        <v>0</v>
      </c>
      <c r="F640" s="3">
        <f>IF(OR(INDEX($P$2:$P$1001,MATCH(ROWS($O$2:O640),$O$2:$O$1001,0),1)&gt;=100000,INDEX($V$1005:$AE$1005,1,MATCH(COLUMNS($V$1006:Z1006),$V$1006:$AE$1006,0))&gt;=100000), " ",IF(INDEX($V$2:$AE$1001,MATCH(ROWS($O$2:O640),$O$2:$O$1001,0),MATCH(COLUMNS($V$1006:Z1006),$V$1006:$AE$1006,0)), HYPERLINK("#",""), HYPERLINK(CONCATENATE("#Metadata!", ADDRESS(INDEX($Q$2:$Q$1001,MATCH(ROWS($O$2:O640),$O$2:$O$1001,0),0), INDEX($V$1004:$AE$1004,1,MATCH(COLUMNS($V$1006:Z1006),$V$1006:$AE$1006,0)))),"Fix")))</f>
        <v>0</v>
      </c>
      <c r="G640" s="3">
        <f>IF(OR(INDEX($P$2:$P$1001,MATCH(ROWS($O$2:O640),$O$2:$O$1001,0),1)&gt;=100000,INDEX($V$1005:$AE$1005,1,MATCH(COLUMNS($V$1006:AA1006),$V$1006:$AE$1006,0))&gt;=100000), " ",IF(INDEX($V$2:$AE$1001,MATCH(ROWS($O$2:O640),$O$2:$O$1001,0),MATCH(COLUMNS($V$1006:AA1006),$V$1006:$AE$1006,0)), HYPERLINK("#",""), HYPERLINK(CONCATENATE("#Metadata!", ADDRESS(INDEX($Q$2:$Q$1001,MATCH(ROWS($O$2:O640),$O$2:$O$1001,0),0), INDEX($V$1004:$AE$1004,1,MATCH(COLUMNS($V$1006:AA1006),$V$1006:$AE$1006,0)))),"Fix")))</f>
        <v>0</v>
      </c>
      <c r="H640" s="3">
        <f>IF(OR(INDEX($P$2:$P$1001,MATCH(ROWS($O$2:O640),$O$2:$O$1001,0),1)&gt;=100000,INDEX($V$1005:$AE$1005,1,MATCH(COLUMNS($V$1006:AB1006),$V$1006:$AE$1006,0))&gt;=100000), " ",IF(INDEX($V$2:$AE$1001,MATCH(ROWS($O$2:O640),$O$2:$O$1001,0),MATCH(COLUMNS($V$1006:AB1006),$V$1006:$AE$1006,0)), HYPERLINK("#",""), HYPERLINK(CONCATENATE("#Metadata!", ADDRESS(INDEX($Q$2:$Q$1001,MATCH(ROWS($O$2:O640),$O$2:$O$1001,0),0), INDEX($V$1004:$AE$1004,1,MATCH(COLUMNS($V$1006:AB1006),$V$1006:$AE$1006,0)))),"Fix")))</f>
        <v>0</v>
      </c>
      <c r="I640" s="3">
        <f>IF(OR(INDEX($P$2:$P$1001,MATCH(ROWS($O$2:O640),$O$2:$O$1001,0),1)&gt;=100000,INDEX($V$1005:$AE$1005,1,MATCH(COLUMNS($V$1006:AC1006),$V$1006:$AE$1006,0))&gt;=100000), " ",IF(INDEX($V$2:$AE$1001,MATCH(ROWS($O$2:O640),$O$2:$O$1001,0),MATCH(COLUMNS($V$1006:AC1006),$V$1006:$AE$1006,0)), HYPERLINK("#",""), HYPERLINK(CONCATENATE("#Metadata!", ADDRESS(INDEX($Q$2:$Q$1001,MATCH(ROWS($O$2:O640),$O$2:$O$1001,0),0), INDEX($V$1004:$AE$1004,1,MATCH(COLUMNS($V$1006:AC1006),$V$1006:$AE$1006,0)))),"Fix")))</f>
        <v>0</v>
      </c>
      <c r="J640" s="3">
        <f>IF(OR(INDEX($P$2:$P$1001,MATCH(ROWS($O$2:O640),$O$2:$O$1001,0),1)&gt;=100000,INDEX($V$1005:$AE$1005,1,MATCH(COLUMNS($V$1006:AD1006),$V$1006:$AE$1006,0))&gt;=100000), " ",IF(INDEX($V$2:$AE$1001,MATCH(ROWS($O$2:O640),$O$2:$O$1001,0),MATCH(COLUMNS($V$1006:AD1006),$V$1006:$AE$1006,0)), HYPERLINK("#",""), HYPERLINK(CONCATENATE("#Metadata!", ADDRESS(INDEX($Q$2:$Q$1001,MATCH(ROWS($O$2:O640),$O$2:$O$1001,0),0), INDEX($V$1004:$AE$1004,1,MATCH(COLUMNS($V$1006:AD1006),$V$1006:$AE$1006,0)))),"Fix")))</f>
        <v>0</v>
      </c>
      <c r="K640" s="3">
        <f>IF(OR(INDEX($P$2:$P$1001,MATCH(ROWS($O$2:O640),$O$2:$O$1001,0),1)&gt;=100000,INDEX($V$1005:$AE$1005,1,MATCH(COLUMNS($V$1006:AE1006),$V$1006:$AE$1006,0))&gt;=100000), " ",IF(INDEX($V$2:$AE$1001,MATCH(ROWS($O$2:O640),$O$2:$O$1001,0),MATCH(COLUMNS($V$1006:AE1006),$V$1006:$AE$1006,0)), HYPERLINK("#",""), HYPERLINK(CONCATENATE("#Metadata!", ADDRESS(INDEX($Q$2:$Q$1001,MATCH(ROWS($O$2:O640),$O$2:$O$1001,0),0), INDEX($V$1004:$AE$1004,1,MATCH(COLUMNS($V$1006:AE1006),$V$1006:$AE$1006,0)))),"Fix")))</f>
        <v>0</v>
      </c>
      <c r="O640">
        <v>0</v>
      </c>
      <c r="P640">
        <v>0</v>
      </c>
      <c r="Q640">
        <v>0</v>
      </c>
      <c r="R640">
        <f>IF(S640,TRUE,AND(V640:AE640))</f>
        <v>0</v>
      </c>
      <c r="S640">
        <f>COUNTBLANK(Metadata!B640:K640)=COLUMNS(Metadata!B640:K640)</f>
        <v>0</v>
      </c>
      <c r="T640">
        <v>0</v>
      </c>
      <c r="V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W640">
        <f>AND(IF(Metadata!C640="",FALSE,TRUE),exact(Metadata!C640,"animal secretion"))</f>
        <v>0</v>
      </c>
      <c r="X640">
        <f>AND(IF(Metadata!D640="",FALSE,TRUE),exact(Metadata!D640,"saliva"))</f>
        <v>0</v>
      </c>
      <c r="Y640">
        <f>AND(IF(Metadata!E640="",FALSE,TRUE),exact(Metadata!E640,"human-oral"))</f>
        <v>0</v>
      </c>
      <c r="Z640">
        <f>AND(IF(Metadata!F640="",FALSE,TRUE),exact(Metadata!F640,"UBERON:oral cavity"))</f>
        <v>0</v>
      </c>
      <c r="AA640">
        <f>AND(IF(Metadata!G640="",FALSE,TRUE),exact(Metadata!G640,"UBERON:saliva"))</f>
        <v>0</v>
      </c>
      <c r="AB640">
        <f>AND(IF(Metadata!H640="",FALSE,TRUE),exact(Metadata!H640,"UBERON:tongue"))</f>
        <v>0</v>
      </c>
      <c r="AC640">
        <f>AND(IF(Metadata!I640="",FALSE,TRUE),exact(Metadata!I640,"tongue"))</f>
        <v>0</v>
      </c>
      <c r="AD640">
        <f>AND(IF(Metadata!J640="",FALSE,TRUE),exact(Metadata!J640,"human oral metagenome"))</f>
        <v>0</v>
      </c>
      <c r="AE640">
        <f>AND(IF(Metadata!K640="",FALSE,TRUE),exact(Metadata!K640,"447426"))</f>
        <v>0</v>
      </c>
    </row>
    <row r="641" spans="1:31">
      <c r="A641" s="4">
        <f>IF(B641=" "," ",HYPERLINK(CONCATENATE("#metadata!",ADDRESS(INDEX($Q$2:$Q$1001,MATCH(ROWS($O$2:O641),$O$2:$O$1001,0),0),1)),INDEX($T$2:$T$1001,MATCH(ROWS($O$2:O641),$O$2:$O$1001,0),0)))</f>
        <v>0</v>
      </c>
      <c r="B641" s="3">
        <f>IF(OR(INDEX($P$2:$P$1001,MATCH(ROWS($O$2:O641),$O$2:$O$1001,0),1)&gt;=100000,INDEX($V$1005:$AE$1005,1,MATCH(COLUMNS($V$1006:V1006),$V$1006:$AE$1006,0))&gt;=100000), " ",IF(INDEX($V$2:$AE$1001,MATCH(ROWS($O$2:O641),$O$2:$O$1001,0),MATCH(COLUMNS($V$1006:V1006),$V$1006:$AE$1006,0)), HYPERLINK("#",""), HYPERLINK(CONCATENATE("#Metadata!", ADDRESS(INDEX($Q$2:$Q$1001,MATCH(ROWS($O$2:O641),$O$2:$O$1001,0),0), INDEX($V$1004:$AE$1004,1,MATCH(COLUMNS($V$1006:V1006),$V$1006:$AE$1006,0)))),"Fix")))</f>
        <v>0</v>
      </c>
      <c r="C641" s="3">
        <f>IF(OR(INDEX($P$2:$P$1001,MATCH(ROWS($O$2:O641),$O$2:$O$1001,0),1)&gt;=100000,INDEX($V$1005:$AE$1005,1,MATCH(COLUMNS($V$1006:W1006),$V$1006:$AE$1006,0))&gt;=100000), " ",IF(INDEX($V$2:$AE$1001,MATCH(ROWS($O$2:O641),$O$2:$O$1001,0),MATCH(COLUMNS($V$1006:W1006),$V$1006:$AE$1006,0)), HYPERLINK("#",""), HYPERLINK(CONCATENATE("#Metadata!", ADDRESS(INDEX($Q$2:$Q$1001,MATCH(ROWS($O$2:O641),$O$2:$O$1001,0),0), INDEX($V$1004:$AE$1004,1,MATCH(COLUMNS($V$1006:W1006),$V$1006:$AE$1006,0)))),"Fix")))</f>
        <v>0</v>
      </c>
      <c r="D641" s="3">
        <f>IF(OR(INDEX($P$2:$P$1001,MATCH(ROWS($O$2:O641),$O$2:$O$1001,0),1)&gt;=100000,INDEX($V$1005:$AE$1005,1,MATCH(COLUMNS($V$1006:X1006),$V$1006:$AE$1006,0))&gt;=100000), " ",IF(INDEX($V$2:$AE$1001,MATCH(ROWS($O$2:O641),$O$2:$O$1001,0),MATCH(COLUMNS($V$1006:X1006),$V$1006:$AE$1006,0)), HYPERLINK("#",""), HYPERLINK(CONCATENATE("#Metadata!", ADDRESS(INDEX($Q$2:$Q$1001,MATCH(ROWS($O$2:O641),$O$2:$O$1001,0),0), INDEX($V$1004:$AE$1004,1,MATCH(COLUMNS($V$1006:X1006),$V$1006:$AE$1006,0)))),"Fix")))</f>
        <v>0</v>
      </c>
      <c r="E641" s="3">
        <f>IF(OR(INDEX($P$2:$P$1001,MATCH(ROWS($O$2:O641),$O$2:$O$1001,0),1)&gt;=100000,INDEX($V$1005:$AE$1005,1,MATCH(COLUMNS($V$1006:Y1006),$V$1006:$AE$1006,0))&gt;=100000), " ",IF(INDEX($V$2:$AE$1001,MATCH(ROWS($O$2:O641),$O$2:$O$1001,0),MATCH(COLUMNS($V$1006:Y1006),$V$1006:$AE$1006,0)), HYPERLINK("#",""), HYPERLINK(CONCATENATE("#Metadata!", ADDRESS(INDEX($Q$2:$Q$1001,MATCH(ROWS($O$2:O641),$O$2:$O$1001,0),0), INDEX($V$1004:$AE$1004,1,MATCH(COLUMNS($V$1006:Y1006),$V$1006:$AE$1006,0)))),"Fix")))</f>
        <v>0</v>
      </c>
      <c r="F641" s="3">
        <f>IF(OR(INDEX($P$2:$P$1001,MATCH(ROWS($O$2:O641),$O$2:$O$1001,0),1)&gt;=100000,INDEX($V$1005:$AE$1005,1,MATCH(COLUMNS($V$1006:Z1006),$V$1006:$AE$1006,0))&gt;=100000), " ",IF(INDEX($V$2:$AE$1001,MATCH(ROWS($O$2:O641),$O$2:$O$1001,0),MATCH(COLUMNS($V$1006:Z1006),$V$1006:$AE$1006,0)), HYPERLINK("#",""), HYPERLINK(CONCATENATE("#Metadata!", ADDRESS(INDEX($Q$2:$Q$1001,MATCH(ROWS($O$2:O641),$O$2:$O$1001,0),0), INDEX($V$1004:$AE$1004,1,MATCH(COLUMNS($V$1006:Z1006),$V$1006:$AE$1006,0)))),"Fix")))</f>
        <v>0</v>
      </c>
      <c r="G641" s="3">
        <f>IF(OR(INDEX($P$2:$P$1001,MATCH(ROWS($O$2:O641),$O$2:$O$1001,0),1)&gt;=100000,INDEX($V$1005:$AE$1005,1,MATCH(COLUMNS($V$1006:AA1006),$V$1006:$AE$1006,0))&gt;=100000), " ",IF(INDEX($V$2:$AE$1001,MATCH(ROWS($O$2:O641),$O$2:$O$1001,0),MATCH(COLUMNS($V$1006:AA1006),$V$1006:$AE$1006,0)), HYPERLINK("#",""), HYPERLINK(CONCATENATE("#Metadata!", ADDRESS(INDEX($Q$2:$Q$1001,MATCH(ROWS($O$2:O641),$O$2:$O$1001,0),0), INDEX($V$1004:$AE$1004,1,MATCH(COLUMNS($V$1006:AA1006),$V$1006:$AE$1006,0)))),"Fix")))</f>
        <v>0</v>
      </c>
      <c r="H641" s="3">
        <f>IF(OR(INDEX($P$2:$P$1001,MATCH(ROWS($O$2:O641),$O$2:$O$1001,0),1)&gt;=100000,INDEX($V$1005:$AE$1005,1,MATCH(COLUMNS($V$1006:AB1006),$V$1006:$AE$1006,0))&gt;=100000), " ",IF(INDEX($V$2:$AE$1001,MATCH(ROWS($O$2:O641),$O$2:$O$1001,0),MATCH(COLUMNS($V$1006:AB1006),$V$1006:$AE$1006,0)), HYPERLINK("#",""), HYPERLINK(CONCATENATE("#Metadata!", ADDRESS(INDEX($Q$2:$Q$1001,MATCH(ROWS($O$2:O641),$O$2:$O$1001,0),0), INDEX($V$1004:$AE$1004,1,MATCH(COLUMNS($V$1006:AB1006),$V$1006:$AE$1006,0)))),"Fix")))</f>
        <v>0</v>
      </c>
      <c r="I641" s="3">
        <f>IF(OR(INDEX($P$2:$P$1001,MATCH(ROWS($O$2:O641),$O$2:$O$1001,0),1)&gt;=100000,INDEX($V$1005:$AE$1005,1,MATCH(COLUMNS($V$1006:AC1006),$V$1006:$AE$1006,0))&gt;=100000), " ",IF(INDEX($V$2:$AE$1001,MATCH(ROWS($O$2:O641),$O$2:$O$1001,0),MATCH(COLUMNS($V$1006:AC1006),$V$1006:$AE$1006,0)), HYPERLINK("#",""), HYPERLINK(CONCATENATE("#Metadata!", ADDRESS(INDEX($Q$2:$Q$1001,MATCH(ROWS($O$2:O641),$O$2:$O$1001,0),0), INDEX($V$1004:$AE$1004,1,MATCH(COLUMNS($V$1006:AC1006),$V$1006:$AE$1006,0)))),"Fix")))</f>
        <v>0</v>
      </c>
      <c r="J641" s="3">
        <f>IF(OR(INDEX($P$2:$P$1001,MATCH(ROWS($O$2:O641),$O$2:$O$1001,0),1)&gt;=100000,INDEX($V$1005:$AE$1005,1,MATCH(COLUMNS($V$1006:AD1006),$V$1006:$AE$1006,0))&gt;=100000), " ",IF(INDEX($V$2:$AE$1001,MATCH(ROWS($O$2:O641),$O$2:$O$1001,0),MATCH(COLUMNS($V$1006:AD1006),$V$1006:$AE$1006,0)), HYPERLINK("#",""), HYPERLINK(CONCATENATE("#Metadata!", ADDRESS(INDEX($Q$2:$Q$1001,MATCH(ROWS($O$2:O641),$O$2:$O$1001,0),0), INDEX($V$1004:$AE$1004,1,MATCH(COLUMNS($V$1006:AD1006),$V$1006:$AE$1006,0)))),"Fix")))</f>
        <v>0</v>
      </c>
      <c r="K641" s="3">
        <f>IF(OR(INDEX($P$2:$P$1001,MATCH(ROWS($O$2:O641),$O$2:$O$1001,0),1)&gt;=100000,INDEX($V$1005:$AE$1005,1,MATCH(COLUMNS($V$1006:AE1006),$V$1006:$AE$1006,0))&gt;=100000), " ",IF(INDEX($V$2:$AE$1001,MATCH(ROWS($O$2:O641),$O$2:$O$1001,0),MATCH(COLUMNS($V$1006:AE1006),$V$1006:$AE$1006,0)), HYPERLINK("#",""), HYPERLINK(CONCATENATE("#Metadata!", ADDRESS(INDEX($Q$2:$Q$1001,MATCH(ROWS($O$2:O641),$O$2:$O$1001,0),0), INDEX($V$1004:$AE$1004,1,MATCH(COLUMNS($V$1006:AE1006),$V$1006:$AE$1006,0)))),"Fix")))</f>
        <v>0</v>
      </c>
      <c r="O641">
        <v>0</v>
      </c>
      <c r="P641">
        <v>0</v>
      </c>
      <c r="Q641">
        <v>0</v>
      </c>
      <c r="R641">
        <f>IF(S641,TRUE,AND(V641:AE641))</f>
        <v>0</v>
      </c>
      <c r="S641">
        <f>COUNTBLANK(Metadata!B641:K641)=COLUMNS(Metadata!B641:K641)</f>
        <v>0</v>
      </c>
      <c r="T641">
        <v>0</v>
      </c>
      <c r="V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W641">
        <f>AND(IF(Metadata!C641="",FALSE,TRUE),exact(Metadata!C641,"animal secretion"))</f>
        <v>0</v>
      </c>
      <c r="X641">
        <f>AND(IF(Metadata!D641="",FALSE,TRUE),exact(Metadata!D641,"saliva"))</f>
        <v>0</v>
      </c>
      <c r="Y641">
        <f>AND(IF(Metadata!E641="",FALSE,TRUE),exact(Metadata!E641,"human-oral"))</f>
        <v>0</v>
      </c>
      <c r="Z641">
        <f>AND(IF(Metadata!F641="",FALSE,TRUE),exact(Metadata!F641,"UBERON:oral cavity"))</f>
        <v>0</v>
      </c>
      <c r="AA641">
        <f>AND(IF(Metadata!G641="",FALSE,TRUE),exact(Metadata!G641,"UBERON:saliva"))</f>
        <v>0</v>
      </c>
      <c r="AB641">
        <f>AND(IF(Metadata!H641="",FALSE,TRUE),exact(Metadata!H641,"UBERON:tongue"))</f>
        <v>0</v>
      </c>
      <c r="AC641">
        <f>AND(IF(Metadata!I641="",FALSE,TRUE),exact(Metadata!I641,"tongue"))</f>
        <v>0</v>
      </c>
      <c r="AD641">
        <f>AND(IF(Metadata!J641="",FALSE,TRUE),exact(Metadata!J641,"human oral metagenome"))</f>
        <v>0</v>
      </c>
      <c r="AE641">
        <f>AND(IF(Metadata!K641="",FALSE,TRUE),exact(Metadata!K641,"447426"))</f>
        <v>0</v>
      </c>
    </row>
    <row r="642" spans="1:31">
      <c r="A642" s="4">
        <f>IF(B642=" "," ",HYPERLINK(CONCATENATE("#metadata!",ADDRESS(INDEX($Q$2:$Q$1001,MATCH(ROWS($O$2:O642),$O$2:$O$1001,0),0),1)),INDEX($T$2:$T$1001,MATCH(ROWS($O$2:O642),$O$2:$O$1001,0),0)))</f>
        <v>0</v>
      </c>
      <c r="B642" s="3">
        <f>IF(OR(INDEX($P$2:$P$1001,MATCH(ROWS($O$2:O642),$O$2:$O$1001,0),1)&gt;=100000,INDEX($V$1005:$AE$1005,1,MATCH(COLUMNS($V$1006:V1006),$V$1006:$AE$1006,0))&gt;=100000), " ",IF(INDEX($V$2:$AE$1001,MATCH(ROWS($O$2:O642),$O$2:$O$1001,0),MATCH(COLUMNS($V$1006:V1006),$V$1006:$AE$1006,0)), HYPERLINK("#",""), HYPERLINK(CONCATENATE("#Metadata!", ADDRESS(INDEX($Q$2:$Q$1001,MATCH(ROWS($O$2:O642),$O$2:$O$1001,0),0), INDEX($V$1004:$AE$1004,1,MATCH(COLUMNS($V$1006:V1006),$V$1006:$AE$1006,0)))),"Fix")))</f>
        <v>0</v>
      </c>
      <c r="C642" s="3">
        <f>IF(OR(INDEX($P$2:$P$1001,MATCH(ROWS($O$2:O642),$O$2:$O$1001,0),1)&gt;=100000,INDEX($V$1005:$AE$1005,1,MATCH(COLUMNS($V$1006:W1006),$V$1006:$AE$1006,0))&gt;=100000), " ",IF(INDEX($V$2:$AE$1001,MATCH(ROWS($O$2:O642),$O$2:$O$1001,0),MATCH(COLUMNS($V$1006:W1006),$V$1006:$AE$1006,0)), HYPERLINK("#",""), HYPERLINK(CONCATENATE("#Metadata!", ADDRESS(INDEX($Q$2:$Q$1001,MATCH(ROWS($O$2:O642),$O$2:$O$1001,0),0), INDEX($V$1004:$AE$1004,1,MATCH(COLUMNS($V$1006:W1006),$V$1006:$AE$1006,0)))),"Fix")))</f>
        <v>0</v>
      </c>
      <c r="D642" s="3">
        <f>IF(OR(INDEX($P$2:$P$1001,MATCH(ROWS($O$2:O642),$O$2:$O$1001,0),1)&gt;=100000,INDEX($V$1005:$AE$1005,1,MATCH(COLUMNS($V$1006:X1006),$V$1006:$AE$1006,0))&gt;=100000), " ",IF(INDEX($V$2:$AE$1001,MATCH(ROWS($O$2:O642),$O$2:$O$1001,0),MATCH(COLUMNS($V$1006:X1006),$V$1006:$AE$1006,0)), HYPERLINK("#",""), HYPERLINK(CONCATENATE("#Metadata!", ADDRESS(INDEX($Q$2:$Q$1001,MATCH(ROWS($O$2:O642),$O$2:$O$1001,0),0), INDEX($V$1004:$AE$1004,1,MATCH(COLUMNS($V$1006:X1006),$V$1006:$AE$1006,0)))),"Fix")))</f>
        <v>0</v>
      </c>
      <c r="E642" s="3">
        <f>IF(OR(INDEX($P$2:$P$1001,MATCH(ROWS($O$2:O642),$O$2:$O$1001,0),1)&gt;=100000,INDEX($V$1005:$AE$1005,1,MATCH(COLUMNS($V$1006:Y1006),$V$1006:$AE$1006,0))&gt;=100000), " ",IF(INDEX($V$2:$AE$1001,MATCH(ROWS($O$2:O642),$O$2:$O$1001,0),MATCH(COLUMNS($V$1006:Y1006),$V$1006:$AE$1006,0)), HYPERLINK("#",""), HYPERLINK(CONCATENATE("#Metadata!", ADDRESS(INDEX($Q$2:$Q$1001,MATCH(ROWS($O$2:O642),$O$2:$O$1001,0),0), INDEX($V$1004:$AE$1004,1,MATCH(COLUMNS($V$1006:Y1006),$V$1006:$AE$1006,0)))),"Fix")))</f>
        <v>0</v>
      </c>
      <c r="F642" s="3">
        <f>IF(OR(INDEX($P$2:$P$1001,MATCH(ROWS($O$2:O642),$O$2:$O$1001,0),1)&gt;=100000,INDEX($V$1005:$AE$1005,1,MATCH(COLUMNS($V$1006:Z1006),$V$1006:$AE$1006,0))&gt;=100000), " ",IF(INDEX($V$2:$AE$1001,MATCH(ROWS($O$2:O642),$O$2:$O$1001,0),MATCH(COLUMNS($V$1006:Z1006),$V$1006:$AE$1006,0)), HYPERLINK("#",""), HYPERLINK(CONCATENATE("#Metadata!", ADDRESS(INDEX($Q$2:$Q$1001,MATCH(ROWS($O$2:O642),$O$2:$O$1001,0),0), INDEX($V$1004:$AE$1004,1,MATCH(COLUMNS($V$1006:Z1006),$V$1006:$AE$1006,0)))),"Fix")))</f>
        <v>0</v>
      </c>
      <c r="G642" s="3">
        <f>IF(OR(INDEX($P$2:$P$1001,MATCH(ROWS($O$2:O642),$O$2:$O$1001,0),1)&gt;=100000,INDEX($V$1005:$AE$1005,1,MATCH(COLUMNS($V$1006:AA1006),$V$1006:$AE$1006,0))&gt;=100000), " ",IF(INDEX($V$2:$AE$1001,MATCH(ROWS($O$2:O642),$O$2:$O$1001,0),MATCH(COLUMNS($V$1006:AA1006),$V$1006:$AE$1006,0)), HYPERLINK("#",""), HYPERLINK(CONCATENATE("#Metadata!", ADDRESS(INDEX($Q$2:$Q$1001,MATCH(ROWS($O$2:O642),$O$2:$O$1001,0),0), INDEX($V$1004:$AE$1004,1,MATCH(COLUMNS($V$1006:AA1006),$V$1006:$AE$1006,0)))),"Fix")))</f>
        <v>0</v>
      </c>
      <c r="H642" s="3">
        <f>IF(OR(INDEX($P$2:$P$1001,MATCH(ROWS($O$2:O642),$O$2:$O$1001,0),1)&gt;=100000,INDEX($V$1005:$AE$1005,1,MATCH(COLUMNS($V$1006:AB1006),$V$1006:$AE$1006,0))&gt;=100000), " ",IF(INDEX($V$2:$AE$1001,MATCH(ROWS($O$2:O642),$O$2:$O$1001,0),MATCH(COLUMNS($V$1006:AB1006),$V$1006:$AE$1006,0)), HYPERLINK("#",""), HYPERLINK(CONCATENATE("#Metadata!", ADDRESS(INDEX($Q$2:$Q$1001,MATCH(ROWS($O$2:O642),$O$2:$O$1001,0),0), INDEX($V$1004:$AE$1004,1,MATCH(COLUMNS($V$1006:AB1006),$V$1006:$AE$1006,0)))),"Fix")))</f>
        <v>0</v>
      </c>
      <c r="I642" s="3">
        <f>IF(OR(INDEX($P$2:$P$1001,MATCH(ROWS($O$2:O642),$O$2:$O$1001,0),1)&gt;=100000,INDEX($V$1005:$AE$1005,1,MATCH(COLUMNS($V$1006:AC1006),$V$1006:$AE$1006,0))&gt;=100000), " ",IF(INDEX($V$2:$AE$1001,MATCH(ROWS($O$2:O642),$O$2:$O$1001,0),MATCH(COLUMNS($V$1006:AC1006),$V$1006:$AE$1006,0)), HYPERLINK("#",""), HYPERLINK(CONCATENATE("#Metadata!", ADDRESS(INDEX($Q$2:$Q$1001,MATCH(ROWS($O$2:O642),$O$2:$O$1001,0),0), INDEX($V$1004:$AE$1004,1,MATCH(COLUMNS($V$1006:AC1006),$V$1006:$AE$1006,0)))),"Fix")))</f>
        <v>0</v>
      </c>
      <c r="J642" s="3">
        <f>IF(OR(INDEX($P$2:$P$1001,MATCH(ROWS($O$2:O642),$O$2:$O$1001,0),1)&gt;=100000,INDEX($V$1005:$AE$1005,1,MATCH(COLUMNS($V$1006:AD1006),$V$1006:$AE$1006,0))&gt;=100000), " ",IF(INDEX($V$2:$AE$1001,MATCH(ROWS($O$2:O642),$O$2:$O$1001,0),MATCH(COLUMNS($V$1006:AD1006),$V$1006:$AE$1006,0)), HYPERLINK("#",""), HYPERLINK(CONCATENATE("#Metadata!", ADDRESS(INDEX($Q$2:$Q$1001,MATCH(ROWS($O$2:O642),$O$2:$O$1001,0),0), INDEX($V$1004:$AE$1004,1,MATCH(COLUMNS($V$1006:AD1006),$V$1006:$AE$1006,0)))),"Fix")))</f>
        <v>0</v>
      </c>
      <c r="K642" s="3">
        <f>IF(OR(INDEX($P$2:$P$1001,MATCH(ROWS($O$2:O642),$O$2:$O$1001,0),1)&gt;=100000,INDEX($V$1005:$AE$1005,1,MATCH(COLUMNS($V$1006:AE1006),$V$1006:$AE$1006,0))&gt;=100000), " ",IF(INDEX($V$2:$AE$1001,MATCH(ROWS($O$2:O642),$O$2:$O$1001,0),MATCH(COLUMNS($V$1006:AE1006),$V$1006:$AE$1006,0)), HYPERLINK("#",""), HYPERLINK(CONCATENATE("#Metadata!", ADDRESS(INDEX($Q$2:$Q$1001,MATCH(ROWS($O$2:O642),$O$2:$O$1001,0),0), INDEX($V$1004:$AE$1004,1,MATCH(COLUMNS($V$1006:AE1006),$V$1006:$AE$1006,0)))),"Fix")))</f>
        <v>0</v>
      </c>
      <c r="O642">
        <v>0</v>
      </c>
      <c r="P642">
        <v>0</v>
      </c>
      <c r="Q642">
        <v>0</v>
      </c>
      <c r="R642">
        <f>IF(S642,TRUE,AND(V642:AE642))</f>
        <v>0</v>
      </c>
      <c r="S642">
        <f>COUNTBLANK(Metadata!B642:K642)=COLUMNS(Metadata!B642:K642)</f>
        <v>0</v>
      </c>
      <c r="T642">
        <v>0</v>
      </c>
      <c r="V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W642">
        <f>AND(IF(Metadata!C642="",FALSE,TRUE),exact(Metadata!C642,"animal secretion"))</f>
        <v>0</v>
      </c>
      <c r="X642">
        <f>AND(IF(Metadata!D642="",FALSE,TRUE),exact(Metadata!D642,"saliva"))</f>
        <v>0</v>
      </c>
      <c r="Y642">
        <f>AND(IF(Metadata!E642="",FALSE,TRUE),exact(Metadata!E642,"human-oral"))</f>
        <v>0</v>
      </c>
      <c r="Z642">
        <f>AND(IF(Metadata!F642="",FALSE,TRUE),exact(Metadata!F642,"UBERON:oral cavity"))</f>
        <v>0</v>
      </c>
      <c r="AA642">
        <f>AND(IF(Metadata!G642="",FALSE,TRUE),exact(Metadata!G642,"UBERON:saliva"))</f>
        <v>0</v>
      </c>
      <c r="AB642">
        <f>AND(IF(Metadata!H642="",FALSE,TRUE),exact(Metadata!H642,"UBERON:tongue"))</f>
        <v>0</v>
      </c>
      <c r="AC642">
        <f>AND(IF(Metadata!I642="",FALSE,TRUE),exact(Metadata!I642,"tongue"))</f>
        <v>0</v>
      </c>
      <c r="AD642">
        <f>AND(IF(Metadata!J642="",FALSE,TRUE),exact(Metadata!J642,"human oral metagenome"))</f>
        <v>0</v>
      </c>
      <c r="AE642">
        <f>AND(IF(Metadata!K642="",FALSE,TRUE),exact(Metadata!K642,"447426"))</f>
        <v>0</v>
      </c>
    </row>
    <row r="643" spans="1:31">
      <c r="A643" s="4">
        <f>IF(B643=" "," ",HYPERLINK(CONCATENATE("#metadata!",ADDRESS(INDEX($Q$2:$Q$1001,MATCH(ROWS($O$2:O643),$O$2:$O$1001,0),0),1)),INDEX($T$2:$T$1001,MATCH(ROWS($O$2:O643),$O$2:$O$1001,0),0)))</f>
        <v>0</v>
      </c>
      <c r="B643" s="3">
        <f>IF(OR(INDEX($P$2:$P$1001,MATCH(ROWS($O$2:O643),$O$2:$O$1001,0),1)&gt;=100000,INDEX($V$1005:$AE$1005,1,MATCH(COLUMNS($V$1006:V1006),$V$1006:$AE$1006,0))&gt;=100000), " ",IF(INDEX($V$2:$AE$1001,MATCH(ROWS($O$2:O643),$O$2:$O$1001,0),MATCH(COLUMNS($V$1006:V1006),$V$1006:$AE$1006,0)), HYPERLINK("#",""), HYPERLINK(CONCATENATE("#Metadata!", ADDRESS(INDEX($Q$2:$Q$1001,MATCH(ROWS($O$2:O643),$O$2:$O$1001,0),0), INDEX($V$1004:$AE$1004,1,MATCH(COLUMNS($V$1006:V1006),$V$1006:$AE$1006,0)))),"Fix")))</f>
        <v>0</v>
      </c>
      <c r="C643" s="3">
        <f>IF(OR(INDEX($P$2:$P$1001,MATCH(ROWS($O$2:O643),$O$2:$O$1001,0),1)&gt;=100000,INDEX($V$1005:$AE$1005,1,MATCH(COLUMNS($V$1006:W1006),$V$1006:$AE$1006,0))&gt;=100000), " ",IF(INDEX($V$2:$AE$1001,MATCH(ROWS($O$2:O643),$O$2:$O$1001,0),MATCH(COLUMNS($V$1006:W1006),$V$1006:$AE$1006,0)), HYPERLINK("#",""), HYPERLINK(CONCATENATE("#Metadata!", ADDRESS(INDEX($Q$2:$Q$1001,MATCH(ROWS($O$2:O643),$O$2:$O$1001,0),0), INDEX($V$1004:$AE$1004,1,MATCH(COLUMNS($V$1006:W1006),$V$1006:$AE$1006,0)))),"Fix")))</f>
        <v>0</v>
      </c>
      <c r="D643" s="3">
        <f>IF(OR(INDEX($P$2:$P$1001,MATCH(ROWS($O$2:O643),$O$2:$O$1001,0),1)&gt;=100000,INDEX($V$1005:$AE$1005,1,MATCH(COLUMNS($V$1006:X1006),$V$1006:$AE$1006,0))&gt;=100000), " ",IF(INDEX($V$2:$AE$1001,MATCH(ROWS($O$2:O643),$O$2:$O$1001,0),MATCH(COLUMNS($V$1006:X1006),$V$1006:$AE$1006,0)), HYPERLINK("#",""), HYPERLINK(CONCATENATE("#Metadata!", ADDRESS(INDEX($Q$2:$Q$1001,MATCH(ROWS($O$2:O643),$O$2:$O$1001,0),0), INDEX($V$1004:$AE$1004,1,MATCH(COLUMNS($V$1006:X1006),$V$1006:$AE$1006,0)))),"Fix")))</f>
        <v>0</v>
      </c>
      <c r="E643" s="3">
        <f>IF(OR(INDEX($P$2:$P$1001,MATCH(ROWS($O$2:O643),$O$2:$O$1001,0),1)&gt;=100000,INDEX($V$1005:$AE$1005,1,MATCH(COLUMNS($V$1006:Y1006),$V$1006:$AE$1006,0))&gt;=100000), " ",IF(INDEX($V$2:$AE$1001,MATCH(ROWS($O$2:O643),$O$2:$O$1001,0),MATCH(COLUMNS($V$1006:Y1006),$V$1006:$AE$1006,0)), HYPERLINK("#",""), HYPERLINK(CONCATENATE("#Metadata!", ADDRESS(INDEX($Q$2:$Q$1001,MATCH(ROWS($O$2:O643),$O$2:$O$1001,0),0), INDEX($V$1004:$AE$1004,1,MATCH(COLUMNS($V$1006:Y1006),$V$1006:$AE$1006,0)))),"Fix")))</f>
        <v>0</v>
      </c>
      <c r="F643" s="3">
        <f>IF(OR(INDEX($P$2:$P$1001,MATCH(ROWS($O$2:O643),$O$2:$O$1001,0),1)&gt;=100000,INDEX($V$1005:$AE$1005,1,MATCH(COLUMNS($V$1006:Z1006),$V$1006:$AE$1006,0))&gt;=100000), " ",IF(INDEX($V$2:$AE$1001,MATCH(ROWS($O$2:O643),$O$2:$O$1001,0),MATCH(COLUMNS($V$1006:Z1006),$V$1006:$AE$1006,0)), HYPERLINK("#",""), HYPERLINK(CONCATENATE("#Metadata!", ADDRESS(INDEX($Q$2:$Q$1001,MATCH(ROWS($O$2:O643),$O$2:$O$1001,0),0), INDEX($V$1004:$AE$1004,1,MATCH(COLUMNS($V$1006:Z1006),$V$1006:$AE$1006,0)))),"Fix")))</f>
        <v>0</v>
      </c>
      <c r="G643" s="3">
        <f>IF(OR(INDEX($P$2:$P$1001,MATCH(ROWS($O$2:O643),$O$2:$O$1001,0),1)&gt;=100000,INDEX($V$1005:$AE$1005,1,MATCH(COLUMNS($V$1006:AA1006),$V$1006:$AE$1006,0))&gt;=100000), " ",IF(INDEX($V$2:$AE$1001,MATCH(ROWS($O$2:O643),$O$2:$O$1001,0),MATCH(COLUMNS($V$1006:AA1006),$V$1006:$AE$1006,0)), HYPERLINK("#",""), HYPERLINK(CONCATENATE("#Metadata!", ADDRESS(INDEX($Q$2:$Q$1001,MATCH(ROWS($O$2:O643),$O$2:$O$1001,0),0), INDEX($V$1004:$AE$1004,1,MATCH(COLUMNS($V$1006:AA1006),$V$1006:$AE$1006,0)))),"Fix")))</f>
        <v>0</v>
      </c>
      <c r="H643" s="3">
        <f>IF(OR(INDEX($P$2:$P$1001,MATCH(ROWS($O$2:O643),$O$2:$O$1001,0),1)&gt;=100000,INDEX($V$1005:$AE$1005,1,MATCH(COLUMNS($V$1006:AB1006),$V$1006:$AE$1006,0))&gt;=100000), " ",IF(INDEX($V$2:$AE$1001,MATCH(ROWS($O$2:O643),$O$2:$O$1001,0),MATCH(COLUMNS($V$1006:AB1006),$V$1006:$AE$1006,0)), HYPERLINK("#",""), HYPERLINK(CONCATENATE("#Metadata!", ADDRESS(INDEX($Q$2:$Q$1001,MATCH(ROWS($O$2:O643),$O$2:$O$1001,0),0), INDEX($V$1004:$AE$1004,1,MATCH(COLUMNS($V$1006:AB1006),$V$1006:$AE$1006,0)))),"Fix")))</f>
        <v>0</v>
      </c>
      <c r="I643" s="3">
        <f>IF(OR(INDEX($P$2:$P$1001,MATCH(ROWS($O$2:O643),$O$2:$O$1001,0),1)&gt;=100000,INDEX($V$1005:$AE$1005,1,MATCH(COLUMNS($V$1006:AC1006),$V$1006:$AE$1006,0))&gt;=100000), " ",IF(INDEX($V$2:$AE$1001,MATCH(ROWS($O$2:O643),$O$2:$O$1001,0),MATCH(COLUMNS($V$1006:AC1006),$V$1006:$AE$1006,0)), HYPERLINK("#",""), HYPERLINK(CONCATENATE("#Metadata!", ADDRESS(INDEX($Q$2:$Q$1001,MATCH(ROWS($O$2:O643),$O$2:$O$1001,0),0), INDEX($V$1004:$AE$1004,1,MATCH(COLUMNS($V$1006:AC1006),$V$1006:$AE$1006,0)))),"Fix")))</f>
        <v>0</v>
      </c>
      <c r="J643" s="3">
        <f>IF(OR(INDEX($P$2:$P$1001,MATCH(ROWS($O$2:O643),$O$2:$O$1001,0),1)&gt;=100000,INDEX($V$1005:$AE$1005,1,MATCH(COLUMNS($V$1006:AD1006),$V$1006:$AE$1006,0))&gt;=100000), " ",IF(INDEX($V$2:$AE$1001,MATCH(ROWS($O$2:O643),$O$2:$O$1001,0),MATCH(COLUMNS($V$1006:AD1006),$V$1006:$AE$1006,0)), HYPERLINK("#",""), HYPERLINK(CONCATENATE("#Metadata!", ADDRESS(INDEX($Q$2:$Q$1001,MATCH(ROWS($O$2:O643),$O$2:$O$1001,0),0), INDEX($V$1004:$AE$1004,1,MATCH(COLUMNS($V$1006:AD1006),$V$1006:$AE$1006,0)))),"Fix")))</f>
        <v>0</v>
      </c>
      <c r="K643" s="3">
        <f>IF(OR(INDEX($P$2:$P$1001,MATCH(ROWS($O$2:O643),$O$2:$O$1001,0),1)&gt;=100000,INDEX($V$1005:$AE$1005,1,MATCH(COLUMNS($V$1006:AE1006),$V$1006:$AE$1006,0))&gt;=100000), " ",IF(INDEX($V$2:$AE$1001,MATCH(ROWS($O$2:O643),$O$2:$O$1001,0),MATCH(COLUMNS($V$1006:AE1006),$V$1006:$AE$1006,0)), HYPERLINK("#",""), HYPERLINK(CONCATENATE("#Metadata!", ADDRESS(INDEX($Q$2:$Q$1001,MATCH(ROWS($O$2:O643),$O$2:$O$1001,0),0), INDEX($V$1004:$AE$1004,1,MATCH(COLUMNS($V$1006:AE1006),$V$1006:$AE$1006,0)))),"Fix")))</f>
        <v>0</v>
      </c>
      <c r="O643">
        <v>0</v>
      </c>
      <c r="P643">
        <v>0</v>
      </c>
      <c r="Q643">
        <v>0</v>
      </c>
      <c r="R643">
        <f>IF(S643,TRUE,AND(V643:AE643))</f>
        <v>0</v>
      </c>
      <c r="S643">
        <f>COUNTBLANK(Metadata!B643:K643)=COLUMNS(Metadata!B643:K643)</f>
        <v>0</v>
      </c>
      <c r="T643">
        <v>0</v>
      </c>
      <c r="V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W643">
        <f>AND(IF(Metadata!C643="",FALSE,TRUE),exact(Metadata!C643,"animal secretion"))</f>
        <v>0</v>
      </c>
      <c r="X643">
        <f>AND(IF(Metadata!D643="",FALSE,TRUE),exact(Metadata!D643,"saliva"))</f>
        <v>0</v>
      </c>
      <c r="Y643">
        <f>AND(IF(Metadata!E643="",FALSE,TRUE),exact(Metadata!E643,"human-oral"))</f>
        <v>0</v>
      </c>
      <c r="Z643">
        <f>AND(IF(Metadata!F643="",FALSE,TRUE),exact(Metadata!F643,"UBERON:oral cavity"))</f>
        <v>0</v>
      </c>
      <c r="AA643">
        <f>AND(IF(Metadata!G643="",FALSE,TRUE),exact(Metadata!G643,"UBERON:saliva"))</f>
        <v>0</v>
      </c>
      <c r="AB643">
        <f>AND(IF(Metadata!H643="",FALSE,TRUE),exact(Metadata!H643,"UBERON:tongue"))</f>
        <v>0</v>
      </c>
      <c r="AC643">
        <f>AND(IF(Metadata!I643="",FALSE,TRUE),exact(Metadata!I643,"tongue"))</f>
        <v>0</v>
      </c>
      <c r="AD643">
        <f>AND(IF(Metadata!J643="",FALSE,TRUE),exact(Metadata!J643,"human oral metagenome"))</f>
        <v>0</v>
      </c>
      <c r="AE643">
        <f>AND(IF(Metadata!K643="",FALSE,TRUE),exact(Metadata!K643,"447426"))</f>
        <v>0</v>
      </c>
    </row>
    <row r="644" spans="1:31">
      <c r="A644" s="4">
        <f>IF(B644=" "," ",HYPERLINK(CONCATENATE("#metadata!",ADDRESS(INDEX($Q$2:$Q$1001,MATCH(ROWS($O$2:O644),$O$2:$O$1001,0),0),1)),INDEX($T$2:$T$1001,MATCH(ROWS($O$2:O644),$O$2:$O$1001,0),0)))</f>
        <v>0</v>
      </c>
      <c r="B644" s="3">
        <f>IF(OR(INDEX($P$2:$P$1001,MATCH(ROWS($O$2:O644),$O$2:$O$1001,0),1)&gt;=100000,INDEX($V$1005:$AE$1005,1,MATCH(COLUMNS($V$1006:V1006),$V$1006:$AE$1006,0))&gt;=100000), " ",IF(INDEX($V$2:$AE$1001,MATCH(ROWS($O$2:O644),$O$2:$O$1001,0),MATCH(COLUMNS($V$1006:V1006),$V$1006:$AE$1006,0)), HYPERLINK("#",""), HYPERLINK(CONCATENATE("#Metadata!", ADDRESS(INDEX($Q$2:$Q$1001,MATCH(ROWS($O$2:O644),$O$2:$O$1001,0),0), INDEX($V$1004:$AE$1004,1,MATCH(COLUMNS($V$1006:V1006),$V$1006:$AE$1006,0)))),"Fix")))</f>
        <v>0</v>
      </c>
      <c r="C644" s="3">
        <f>IF(OR(INDEX($P$2:$P$1001,MATCH(ROWS($O$2:O644),$O$2:$O$1001,0),1)&gt;=100000,INDEX($V$1005:$AE$1005,1,MATCH(COLUMNS($V$1006:W1006),$V$1006:$AE$1006,0))&gt;=100000), " ",IF(INDEX($V$2:$AE$1001,MATCH(ROWS($O$2:O644),$O$2:$O$1001,0),MATCH(COLUMNS($V$1006:W1006),$V$1006:$AE$1006,0)), HYPERLINK("#",""), HYPERLINK(CONCATENATE("#Metadata!", ADDRESS(INDEX($Q$2:$Q$1001,MATCH(ROWS($O$2:O644),$O$2:$O$1001,0),0), INDEX($V$1004:$AE$1004,1,MATCH(COLUMNS($V$1006:W1006),$V$1006:$AE$1006,0)))),"Fix")))</f>
        <v>0</v>
      </c>
      <c r="D644" s="3">
        <f>IF(OR(INDEX($P$2:$P$1001,MATCH(ROWS($O$2:O644),$O$2:$O$1001,0),1)&gt;=100000,INDEX($V$1005:$AE$1005,1,MATCH(COLUMNS($V$1006:X1006),$V$1006:$AE$1006,0))&gt;=100000), " ",IF(INDEX($V$2:$AE$1001,MATCH(ROWS($O$2:O644),$O$2:$O$1001,0),MATCH(COLUMNS($V$1006:X1006),$V$1006:$AE$1006,0)), HYPERLINK("#",""), HYPERLINK(CONCATENATE("#Metadata!", ADDRESS(INDEX($Q$2:$Q$1001,MATCH(ROWS($O$2:O644),$O$2:$O$1001,0),0), INDEX($V$1004:$AE$1004,1,MATCH(COLUMNS($V$1006:X1006),$V$1006:$AE$1006,0)))),"Fix")))</f>
        <v>0</v>
      </c>
      <c r="E644" s="3">
        <f>IF(OR(INDEX($P$2:$P$1001,MATCH(ROWS($O$2:O644),$O$2:$O$1001,0),1)&gt;=100000,INDEX($V$1005:$AE$1005,1,MATCH(COLUMNS($V$1006:Y1006),$V$1006:$AE$1006,0))&gt;=100000), " ",IF(INDEX($V$2:$AE$1001,MATCH(ROWS($O$2:O644),$O$2:$O$1001,0),MATCH(COLUMNS($V$1006:Y1006),$V$1006:$AE$1006,0)), HYPERLINK("#",""), HYPERLINK(CONCATENATE("#Metadata!", ADDRESS(INDEX($Q$2:$Q$1001,MATCH(ROWS($O$2:O644),$O$2:$O$1001,0),0), INDEX($V$1004:$AE$1004,1,MATCH(COLUMNS($V$1006:Y1006),$V$1006:$AE$1006,0)))),"Fix")))</f>
        <v>0</v>
      </c>
      <c r="F644" s="3">
        <f>IF(OR(INDEX($P$2:$P$1001,MATCH(ROWS($O$2:O644),$O$2:$O$1001,0),1)&gt;=100000,INDEX($V$1005:$AE$1005,1,MATCH(COLUMNS($V$1006:Z1006),$V$1006:$AE$1006,0))&gt;=100000), " ",IF(INDEX($V$2:$AE$1001,MATCH(ROWS($O$2:O644),$O$2:$O$1001,0),MATCH(COLUMNS($V$1006:Z1006),$V$1006:$AE$1006,0)), HYPERLINK("#",""), HYPERLINK(CONCATENATE("#Metadata!", ADDRESS(INDEX($Q$2:$Q$1001,MATCH(ROWS($O$2:O644),$O$2:$O$1001,0),0), INDEX($V$1004:$AE$1004,1,MATCH(COLUMNS($V$1006:Z1006),$V$1006:$AE$1006,0)))),"Fix")))</f>
        <v>0</v>
      </c>
      <c r="G644" s="3">
        <f>IF(OR(INDEX($P$2:$P$1001,MATCH(ROWS($O$2:O644),$O$2:$O$1001,0),1)&gt;=100000,INDEX($V$1005:$AE$1005,1,MATCH(COLUMNS($V$1006:AA1006),$V$1006:$AE$1006,0))&gt;=100000), " ",IF(INDEX($V$2:$AE$1001,MATCH(ROWS($O$2:O644),$O$2:$O$1001,0),MATCH(COLUMNS($V$1006:AA1006),$V$1006:$AE$1006,0)), HYPERLINK("#",""), HYPERLINK(CONCATENATE("#Metadata!", ADDRESS(INDEX($Q$2:$Q$1001,MATCH(ROWS($O$2:O644),$O$2:$O$1001,0),0), INDEX($V$1004:$AE$1004,1,MATCH(COLUMNS($V$1006:AA1006),$V$1006:$AE$1006,0)))),"Fix")))</f>
        <v>0</v>
      </c>
      <c r="H644" s="3">
        <f>IF(OR(INDEX($P$2:$P$1001,MATCH(ROWS($O$2:O644),$O$2:$O$1001,0),1)&gt;=100000,INDEX($V$1005:$AE$1005,1,MATCH(COLUMNS($V$1006:AB1006),$V$1006:$AE$1006,0))&gt;=100000), " ",IF(INDEX($V$2:$AE$1001,MATCH(ROWS($O$2:O644),$O$2:$O$1001,0),MATCH(COLUMNS($V$1006:AB1006),$V$1006:$AE$1006,0)), HYPERLINK("#",""), HYPERLINK(CONCATENATE("#Metadata!", ADDRESS(INDEX($Q$2:$Q$1001,MATCH(ROWS($O$2:O644),$O$2:$O$1001,0),0), INDEX($V$1004:$AE$1004,1,MATCH(COLUMNS($V$1006:AB1006),$V$1006:$AE$1006,0)))),"Fix")))</f>
        <v>0</v>
      </c>
      <c r="I644" s="3">
        <f>IF(OR(INDEX($P$2:$P$1001,MATCH(ROWS($O$2:O644),$O$2:$O$1001,0),1)&gt;=100000,INDEX($V$1005:$AE$1005,1,MATCH(COLUMNS($V$1006:AC1006),$V$1006:$AE$1006,0))&gt;=100000), " ",IF(INDEX($V$2:$AE$1001,MATCH(ROWS($O$2:O644),$O$2:$O$1001,0),MATCH(COLUMNS($V$1006:AC1006),$V$1006:$AE$1006,0)), HYPERLINK("#",""), HYPERLINK(CONCATENATE("#Metadata!", ADDRESS(INDEX($Q$2:$Q$1001,MATCH(ROWS($O$2:O644),$O$2:$O$1001,0),0), INDEX($V$1004:$AE$1004,1,MATCH(COLUMNS($V$1006:AC1006),$V$1006:$AE$1006,0)))),"Fix")))</f>
        <v>0</v>
      </c>
      <c r="J644" s="3">
        <f>IF(OR(INDEX($P$2:$P$1001,MATCH(ROWS($O$2:O644),$O$2:$O$1001,0),1)&gt;=100000,INDEX($V$1005:$AE$1005,1,MATCH(COLUMNS($V$1006:AD1006),$V$1006:$AE$1006,0))&gt;=100000), " ",IF(INDEX($V$2:$AE$1001,MATCH(ROWS($O$2:O644),$O$2:$O$1001,0),MATCH(COLUMNS($V$1006:AD1006),$V$1006:$AE$1006,0)), HYPERLINK("#",""), HYPERLINK(CONCATENATE("#Metadata!", ADDRESS(INDEX($Q$2:$Q$1001,MATCH(ROWS($O$2:O644),$O$2:$O$1001,0),0), INDEX($V$1004:$AE$1004,1,MATCH(COLUMNS($V$1006:AD1006),$V$1006:$AE$1006,0)))),"Fix")))</f>
        <v>0</v>
      </c>
      <c r="K644" s="3">
        <f>IF(OR(INDEX($P$2:$P$1001,MATCH(ROWS($O$2:O644),$O$2:$O$1001,0),1)&gt;=100000,INDEX($V$1005:$AE$1005,1,MATCH(COLUMNS($V$1006:AE1006),$V$1006:$AE$1006,0))&gt;=100000), " ",IF(INDEX($V$2:$AE$1001,MATCH(ROWS($O$2:O644),$O$2:$O$1001,0),MATCH(COLUMNS($V$1006:AE1006),$V$1006:$AE$1006,0)), HYPERLINK("#",""), HYPERLINK(CONCATENATE("#Metadata!", ADDRESS(INDEX($Q$2:$Q$1001,MATCH(ROWS($O$2:O644),$O$2:$O$1001,0),0), INDEX($V$1004:$AE$1004,1,MATCH(COLUMNS($V$1006:AE1006),$V$1006:$AE$1006,0)))),"Fix")))</f>
        <v>0</v>
      </c>
      <c r="O644">
        <v>0</v>
      </c>
      <c r="P644">
        <v>0</v>
      </c>
      <c r="Q644">
        <v>0</v>
      </c>
      <c r="R644">
        <f>IF(S644,TRUE,AND(V644:AE644))</f>
        <v>0</v>
      </c>
      <c r="S644">
        <f>COUNTBLANK(Metadata!B644:K644)=COLUMNS(Metadata!B644:K644)</f>
        <v>0</v>
      </c>
      <c r="T644">
        <v>0</v>
      </c>
      <c r="V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W644">
        <f>AND(IF(Metadata!C644="",FALSE,TRUE),exact(Metadata!C644,"animal secretion"))</f>
        <v>0</v>
      </c>
      <c r="X644">
        <f>AND(IF(Metadata!D644="",FALSE,TRUE),exact(Metadata!D644,"saliva"))</f>
        <v>0</v>
      </c>
      <c r="Y644">
        <f>AND(IF(Metadata!E644="",FALSE,TRUE),exact(Metadata!E644,"human-oral"))</f>
        <v>0</v>
      </c>
      <c r="Z644">
        <f>AND(IF(Metadata!F644="",FALSE,TRUE),exact(Metadata!F644,"UBERON:oral cavity"))</f>
        <v>0</v>
      </c>
      <c r="AA644">
        <f>AND(IF(Metadata!G644="",FALSE,TRUE),exact(Metadata!G644,"UBERON:saliva"))</f>
        <v>0</v>
      </c>
      <c r="AB644">
        <f>AND(IF(Metadata!H644="",FALSE,TRUE),exact(Metadata!H644,"UBERON:tongue"))</f>
        <v>0</v>
      </c>
      <c r="AC644">
        <f>AND(IF(Metadata!I644="",FALSE,TRUE),exact(Metadata!I644,"tongue"))</f>
        <v>0</v>
      </c>
      <c r="AD644">
        <f>AND(IF(Metadata!J644="",FALSE,TRUE),exact(Metadata!J644,"human oral metagenome"))</f>
        <v>0</v>
      </c>
      <c r="AE644">
        <f>AND(IF(Metadata!K644="",FALSE,TRUE),exact(Metadata!K644,"447426"))</f>
        <v>0</v>
      </c>
    </row>
    <row r="645" spans="1:31">
      <c r="A645" s="4">
        <f>IF(B645=" "," ",HYPERLINK(CONCATENATE("#metadata!",ADDRESS(INDEX($Q$2:$Q$1001,MATCH(ROWS($O$2:O645),$O$2:$O$1001,0),0),1)),INDEX($T$2:$T$1001,MATCH(ROWS($O$2:O645),$O$2:$O$1001,0),0)))</f>
        <v>0</v>
      </c>
      <c r="B645" s="3">
        <f>IF(OR(INDEX($P$2:$P$1001,MATCH(ROWS($O$2:O645),$O$2:$O$1001,0),1)&gt;=100000,INDEX($V$1005:$AE$1005,1,MATCH(COLUMNS($V$1006:V1006),$V$1006:$AE$1006,0))&gt;=100000), " ",IF(INDEX($V$2:$AE$1001,MATCH(ROWS($O$2:O645),$O$2:$O$1001,0),MATCH(COLUMNS($V$1006:V1006),$V$1006:$AE$1006,0)), HYPERLINK("#",""), HYPERLINK(CONCATENATE("#Metadata!", ADDRESS(INDEX($Q$2:$Q$1001,MATCH(ROWS($O$2:O645),$O$2:$O$1001,0),0), INDEX($V$1004:$AE$1004,1,MATCH(COLUMNS($V$1006:V1006),$V$1006:$AE$1006,0)))),"Fix")))</f>
        <v>0</v>
      </c>
      <c r="C645" s="3">
        <f>IF(OR(INDEX($P$2:$P$1001,MATCH(ROWS($O$2:O645),$O$2:$O$1001,0),1)&gt;=100000,INDEX($V$1005:$AE$1005,1,MATCH(COLUMNS($V$1006:W1006),$V$1006:$AE$1006,0))&gt;=100000), " ",IF(INDEX($V$2:$AE$1001,MATCH(ROWS($O$2:O645),$O$2:$O$1001,0),MATCH(COLUMNS($V$1006:W1006),$V$1006:$AE$1006,0)), HYPERLINK("#",""), HYPERLINK(CONCATENATE("#Metadata!", ADDRESS(INDEX($Q$2:$Q$1001,MATCH(ROWS($O$2:O645),$O$2:$O$1001,0),0), INDEX($V$1004:$AE$1004,1,MATCH(COLUMNS($V$1006:W1006),$V$1006:$AE$1006,0)))),"Fix")))</f>
        <v>0</v>
      </c>
      <c r="D645" s="3">
        <f>IF(OR(INDEX($P$2:$P$1001,MATCH(ROWS($O$2:O645),$O$2:$O$1001,0),1)&gt;=100000,INDEX($V$1005:$AE$1005,1,MATCH(COLUMNS($V$1006:X1006),$V$1006:$AE$1006,0))&gt;=100000), " ",IF(INDEX($V$2:$AE$1001,MATCH(ROWS($O$2:O645),$O$2:$O$1001,0),MATCH(COLUMNS($V$1006:X1006),$V$1006:$AE$1006,0)), HYPERLINK("#",""), HYPERLINK(CONCATENATE("#Metadata!", ADDRESS(INDEX($Q$2:$Q$1001,MATCH(ROWS($O$2:O645),$O$2:$O$1001,0),0), INDEX($V$1004:$AE$1004,1,MATCH(COLUMNS($V$1006:X1006),$V$1006:$AE$1006,0)))),"Fix")))</f>
        <v>0</v>
      </c>
      <c r="E645" s="3">
        <f>IF(OR(INDEX($P$2:$P$1001,MATCH(ROWS($O$2:O645),$O$2:$O$1001,0),1)&gt;=100000,INDEX($V$1005:$AE$1005,1,MATCH(COLUMNS($V$1006:Y1006),$V$1006:$AE$1006,0))&gt;=100000), " ",IF(INDEX($V$2:$AE$1001,MATCH(ROWS($O$2:O645),$O$2:$O$1001,0),MATCH(COLUMNS($V$1006:Y1006),$V$1006:$AE$1006,0)), HYPERLINK("#",""), HYPERLINK(CONCATENATE("#Metadata!", ADDRESS(INDEX($Q$2:$Q$1001,MATCH(ROWS($O$2:O645),$O$2:$O$1001,0),0), INDEX($V$1004:$AE$1004,1,MATCH(COLUMNS($V$1006:Y1006),$V$1006:$AE$1006,0)))),"Fix")))</f>
        <v>0</v>
      </c>
      <c r="F645" s="3">
        <f>IF(OR(INDEX($P$2:$P$1001,MATCH(ROWS($O$2:O645),$O$2:$O$1001,0),1)&gt;=100000,INDEX($V$1005:$AE$1005,1,MATCH(COLUMNS($V$1006:Z1006),$V$1006:$AE$1006,0))&gt;=100000), " ",IF(INDEX($V$2:$AE$1001,MATCH(ROWS($O$2:O645),$O$2:$O$1001,0),MATCH(COLUMNS($V$1006:Z1006),$V$1006:$AE$1006,0)), HYPERLINK("#",""), HYPERLINK(CONCATENATE("#Metadata!", ADDRESS(INDEX($Q$2:$Q$1001,MATCH(ROWS($O$2:O645),$O$2:$O$1001,0),0), INDEX($V$1004:$AE$1004,1,MATCH(COLUMNS($V$1006:Z1006),$V$1006:$AE$1006,0)))),"Fix")))</f>
        <v>0</v>
      </c>
      <c r="G645" s="3">
        <f>IF(OR(INDEX($P$2:$P$1001,MATCH(ROWS($O$2:O645),$O$2:$O$1001,0),1)&gt;=100000,INDEX($V$1005:$AE$1005,1,MATCH(COLUMNS($V$1006:AA1006),$V$1006:$AE$1006,0))&gt;=100000), " ",IF(INDEX($V$2:$AE$1001,MATCH(ROWS($O$2:O645),$O$2:$O$1001,0),MATCH(COLUMNS($V$1006:AA1006),$V$1006:$AE$1006,0)), HYPERLINK("#",""), HYPERLINK(CONCATENATE("#Metadata!", ADDRESS(INDEX($Q$2:$Q$1001,MATCH(ROWS($O$2:O645),$O$2:$O$1001,0),0), INDEX($V$1004:$AE$1004,1,MATCH(COLUMNS($V$1006:AA1006),$V$1006:$AE$1006,0)))),"Fix")))</f>
        <v>0</v>
      </c>
      <c r="H645" s="3">
        <f>IF(OR(INDEX($P$2:$P$1001,MATCH(ROWS($O$2:O645),$O$2:$O$1001,0),1)&gt;=100000,INDEX($V$1005:$AE$1005,1,MATCH(COLUMNS($V$1006:AB1006),$V$1006:$AE$1006,0))&gt;=100000), " ",IF(INDEX($V$2:$AE$1001,MATCH(ROWS($O$2:O645),$O$2:$O$1001,0),MATCH(COLUMNS($V$1006:AB1006),$V$1006:$AE$1006,0)), HYPERLINK("#",""), HYPERLINK(CONCATENATE("#Metadata!", ADDRESS(INDEX($Q$2:$Q$1001,MATCH(ROWS($O$2:O645),$O$2:$O$1001,0),0), INDEX($V$1004:$AE$1004,1,MATCH(COLUMNS($V$1006:AB1006),$V$1006:$AE$1006,0)))),"Fix")))</f>
        <v>0</v>
      </c>
      <c r="I645" s="3">
        <f>IF(OR(INDEX($P$2:$P$1001,MATCH(ROWS($O$2:O645),$O$2:$O$1001,0),1)&gt;=100000,INDEX($V$1005:$AE$1005,1,MATCH(COLUMNS($V$1006:AC1006),$V$1006:$AE$1006,0))&gt;=100000), " ",IF(INDEX($V$2:$AE$1001,MATCH(ROWS($O$2:O645),$O$2:$O$1001,0),MATCH(COLUMNS($V$1006:AC1006),$V$1006:$AE$1006,0)), HYPERLINK("#",""), HYPERLINK(CONCATENATE("#Metadata!", ADDRESS(INDEX($Q$2:$Q$1001,MATCH(ROWS($O$2:O645),$O$2:$O$1001,0),0), INDEX($V$1004:$AE$1004,1,MATCH(COLUMNS($V$1006:AC1006),$V$1006:$AE$1006,0)))),"Fix")))</f>
        <v>0</v>
      </c>
      <c r="J645" s="3">
        <f>IF(OR(INDEX($P$2:$P$1001,MATCH(ROWS($O$2:O645),$O$2:$O$1001,0),1)&gt;=100000,INDEX($V$1005:$AE$1005,1,MATCH(COLUMNS($V$1006:AD1006),$V$1006:$AE$1006,0))&gt;=100000), " ",IF(INDEX($V$2:$AE$1001,MATCH(ROWS($O$2:O645),$O$2:$O$1001,0),MATCH(COLUMNS($V$1006:AD1006),$V$1006:$AE$1006,0)), HYPERLINK("#",""), HYPERLINK(CONCATENATE("#Metadata!", ADDRESS(INDEX($Q$2:$Q$1001,MATCH(ROWS($O$2:O645),$O$2:$O$1001,0),0), INDEX($V$1004:$AE$1004,1,MATCH(COLUMNS($V$1006:AD1006),$V$1006:$AE$1006,0)))),"Fix")))</f>
        <v>0</v>
      </c>
      <c r="K645" s="3">
        <f>IF(OR(INDEX($P$2:$P$1001,MATCH(ROWS($O$2:O645),$O$2:$O$1001,0),1)&gt;=100000,INDEX($V$1005:$AE$1005,1,MATCH(COLUMNS($V$1006:AE1006),$V$1006:$AE$1006,0))&gt;=100000), " ",IF(INDEX($V$2:$AE$1001,MATCH(ROWS($O$2:O645),$O$2:$O$1001,0),MATCH(COLUMNS($V$1006:AE1006),$V$1006:$AE$1006,0)), HYPERLINK("#",""), HYPERLINK(CONCATENATE("#Metadata!", ADDRESS(INDEX($Q$2:$Q$1001,MATCH(ROWS($O$2:O645),$O$2:$O$1001,0),0), INDEX($V$1004:$AE$1004,1,MATCH(COLUMNS($V$1006:AE1006),$V$1006:$AE$1006,0)))),"Fix")))</f>
        <v>0</v>
      </c>
      <c r="O645">
        <v>0</v>
      </c>
      <c r="P645">
        <v>0</v>
      </c>
      <c r="Q645">
        <v>0</v>
      </c>
      <c r="R645">
        <f>IF(S645,TRUE,AND(V645:AE645))</f>
        <v>0</v>
      </c>
      <c r="S645">
        <f>COUNTBLANK(Metadata!B645:K645)=COLUMNS(Metadata!B645:K645)</f>
        <v>0</v>
      </c>
      <c r="T645">
        <v>0</v>
      </c>
      <c r="V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W645">
        <f>AND(IF(Metadata!C645="",FALSE,TRUE),exact(Metadata!C645,"animal secretion"))</f>
        <v>0</v>
      </c>
      <c r="X645">
        <f>AND(IF(Metadata!D645="",FALSE,TRUE),exact(Metadata!D645,"saliva"))</f>
        <v>0</v>
      </c>
      <c r="Y645">
        <f>AND(IF(Metadata!E645="",FALSE,TRUE),exact(Metadata!E645,"human-oral"))</f>
        <v>0</v>
      </c>
      <c r="Z645">
        <f>AND(IF(Metadata!F645="",FALSE,TRUE),exact(Metadata!F645,"UBERON:oral cavity"))</f>
        <v>0</v>
      </c>
      <c r="AA645">
        <f>AND(IF(Metadata!G645="",FALSE,TRUE),exact(Metadata!G645,"UBERON:saliva"))</f>
        <v>0</v>
      </c>
      <c r="AB645">
        <f>AND(IF(Metadata!H645="",FALSE,TRUE),exact(Metadata!H645,"UBERON:tongue"))</f>
        <v>0</v>
      </c>
      <c r="AC645">
        <f>AND(IF(Metadata!I645="",FALSE,TRUE),exact(Metadata!I645,"tongue"))</f>
        <v>0</v>
      </c>
      <c r="AD645">
        <f>AND(IF(Metadata!J645="",FALSE,TRUE),exact(Metadata!J645,"human oral metagenome"))</f>
        <v>0</v>
      </c>
      <c r="AE645">
        <f>AND(IF(Metadata!K645="",FALSE,TRUE),exact(Metadata!K645,"447426"))</f>
        <v>0</v>
      </c>
    </row>
    <row r="646" spans="1:31">
      <c r="A646" s="4">
        <f>IF(B646=" "," ",HYPERLINK(CONCATENATE("#metadata!",ADDRESS(INDEX($Q$2:$Q$1001,MATCH(ROWS($O$2:O646),$O$2:$O$1001,0),0),1)),INDEX($T$2:$T$1001,MATCH(ROWS($O$2:O646),$O$2:$O$1001,0),0)))</f>
        <v>0</v>
      </c>
      <c r="B646" s="3">
        <f>IF(OR(INDEX($P$2:$P$1001,MATCH(ROWS($O$2:O646),$O$2:$O$1001,0),1)&gt;=100000,INDEX($V$1005:$AE$1005,1,MATCH(COLUMNS($V$1006:V1006),$V$1006:$AE$1006,0))&gt;=100000), " ",IF(INDEX($V$2:$AE$1001,MATCH(ROWS($O$2:O646),$O$2:$O$1001,0),MATCH(COLUMNS($V$1006:V1006),$V$1006:$AE$1006,0)), HYPERLINK("#",""), HYPERLINK(CONCATENATE("#Metadata!", ADDRESS(INDEX($Q$2:$Q$1001,MATCH(ROWS($O$2:O646),$O$2:$O$1001,0),0), INDEX($V$1004:$AE$1004,1,MATCH(COLUMNS($V$1006:V1006),$V$1006:$AE$1006,0)))),"Fix")))</f>
        <v>0</v>
      </c>
      <c r="C646" s="3">
        <f>IF(OR(INDEX($P$2:$P$1001,MATCH(ROWS($O$2:O646),$O$2:$O$1001,0),1)&gt;=100000,INDEX($V$1005:$AE$1005,1,MATCH(COLUMNS($V$1006:W1006),$V$1006:$AE$1006,0))&gt;=100000), " ",IF(INDEX($V$2:$AE$1001,MATCH(ROWS($O$2:O646),$O$2:$O$1001,0),MATCH(COLUMNS($V$1006:W1006),$V$1006:$AE$1006,0)), HYPERLINK("#",""), HYPERLINK(CONCATENATE("#Metadata!", ADDRESS(INDEX($Q$2:$Q$1001,MATCH(ROWS($O$2:O646),$O$2:$O$1001,0),0), INDEX($V$1004:$AE$1004,1,MATCH(COLUMNS($V$1006:W1006),$V$1006:$AE$1006,0)))),"Fix")))</f>
        <v>0</v>
      </c>
      <c r="D646" s="3">
        <f>IF(OR(INDEX($P$2:$P$1001,MATCH(ROWS($O$2:O646),$O$2:$O$1001,0),1)&gt;=100000,INDEX($V$1005:$AE$1005,1,MATCH(COLUMNS($V$1006:X1006),$V$1006:$AE$1006,0))&gt;=100000), " ",IF(INDEX($V$2:$AE$1001,MATCH(ROWS($O$2:O646),$O$2:$O$1001,0),MATCH(COLUMNS($V$1006:X1006),$V$1006:$AE$1006,0)), HYPERLINK("#",""), HYPERLINK(CONCATENATE("#Metadata!", ADDRESS(INDEX($Q$2:$Q$1001,MATCH(ROWS($O$2:O646),$O$2:$O$1001,0),0), INDEX($V$1004:$AE$1004,1,MATCH(COLUMNS($V$1006:X1006),$V$1006:$AE$1006,0)))),"Fix")))</f>
        <v>0</v>
      </c>
      <c r="E646" s="3">
        <f>IF(OR(INDEX($P$2:$P$1001,MATCH(ROWS($O$2:O646),$O$2:$O$1001,0),1)&gt;=100000,INDEX($V$1005:$AE$1005,1,MATCH(COLUMNS($V$1006:Y1006),$V$1006:$AE$1006,0))&gt;=100000), " ",IF(INDEX($V$2:$AE$1001,MATCH(ROWS($O$2:O646),$O$2:$O$1001,0),MATCH(COLUMNS($V$1006:Y1006),$V$1006:$AE$1006,0)), HYPERLINK("#",""), HYPERLINK(CONCATENATE("#Metadata!", ADDRESS(INDEX($Q$2:$Q$1001,MATCH(ROWS($O$2:O646),$O$2:$O$1001,0),0), INDEX($V$1004:$AE$1004,1,MATCH(COLUMNS($V$1006:Y1006),$V$1006:$AE$1006,0)))),"Fix")))</f>
        <v>0</v>
      </c>
      <c r="F646" s="3">
        <f>IF(OR(INDEX($P$2:$P$1001,MATCH(ROWS($O$2:O646),$O$2:$O$1001,0),1)&gt;=100000,INDEX($V$1005:$AE$1005,1,MATCH(COLUMNS($V$1006:Z1006),$V$1006:$AE$1006,0))&gt;=100000), " ",IF(INDEX($V$2:$AE$1001,MATCH(ROWS($O$2:O646),$O$2:$O$1001,0),MATCH(COLUMNS($V$1006:Z1006),$V$1006:$AE$1006,0)), HYPERLINK("#",""), HYPERLINK(CONCATENATE("#Metadata!", ADDRESS(INDEX($Q$2:$Q$1001,MATCH(ROWS($O$2:O646),$O$2:$O$1001,0),0), INDEX($V$1004:$AE$1004,1,MATCH(COLUMNS($V$1006:Z1006),$V$1006:$AE$1006,0)))),"Fix")))</f>
        <v>0</v>
      </c>
      <c r="G646" s="3">
        <f>IF(OR(INDEX($P$2:$P$1001,MATCH(ROWS($O$2:O646),$O$2:$O$1001,0),1)&gt;=100000,INDEX($V$1005:$AE$1005,1,MATCH(COLUMNS($V$1006:AA1006),$V$1006:$AE$1006,0))&gt;=100000), " ",IF(INDEX($V$2:$AE$1001,MATCH(ROWS($O$2:O646),$O$2:$O$1001,0),MATCH(COLUMNS($V$1006:AA1006),$V$1006:$AE$1006,0)), HYPERLINK("#",""), HYPERLINK(CONCATENATE("#Metadata!", ADDRESS(INDEX($Q$2:$Q$1001,MATCH(ROWS($O$2:O646),$O$2:$O$1001,0),0), INDEX($V$1004:$AE$1004,1,MATCH(COLUMNS($V$1006:AA1006),$V$1006:$AE$1006,0)))),"Fix")))</f>
        <v>0</v>
      </c>
      <c r="H646" s="3">
        <f>IF(OR(INDEX($P$2:$P$1001,MATCH(ROWS($O$2:O646),$O$2:$O$1001,0),1)&gt;=100000,INDEX($V$1005:$AE$1005,1,MATCH(COLUMNS($V$1006:AB1006),$V$1006:$AE$1006,0))&gt;=100000), " ",IF(INDEX($V$2:$AE$1001,MATCH(ROWS($O$2:O646),$O$2:$O$1001,0),MATCH(COLUMNS($V$1006:AB1006),$V$1006:$AE$1006,0)), HYPERLINK("#",""), HYPERLINK(CONCATENATE("#Metadata!", ADDRESS(INDEX($Q$2:$Q$1001,MATCH(ROWS($O$2:O646),$O$2:$O$1001,0),0), INDEX($V$1004:$AE$1004,1,MATCH(COLUMNS($V$1006:AB1006),$V$1006:$AE$1006,0)))),"Fix")))</f>
        <v>0</v>
      </c>
      <c r="I646" s="3">
        <f>IF(OR(INDEX($P$2:$P$1001,MATCH(ROWS($O$2:O646),$O$2:$O$1001,0),1)&gt;=100000,INDEX($V$1005:$AE$1005,1,MATCH(COLUMNS($V$1006:AC1006),$V$1006:$AE$1006,0))&gt;=100000), " ",IF(INDEX($V$2:$AE$1001,MATCH(ROWS($O$2:O646),$O$2:$O$1001,0),MATCH(COLUMNS($V$1006:AC1006),$V$1006:$AE$1006,0)), HYPERLINK("#",""), HYPERLINK(CONCATENATE("#Metadata!", ADDRESS(INDEX($Q$2:$Q$1001,MATCH(ROWS($O$2:O646),$O$2:$O$1001,0),0), INDEX($V$1004:$AE$1004,1,MATCH(COLUMNS($V$1006:AC1006),$V$1006:$AE$1006,0)))),"Fix")))</f>
        <v>0</v>
      </c>
      <c r="J646" s="3">
        <f>IF(OR(INDEX($P$2:$P$1001,MATCH(ROWS($O$2:O646),$O$2:$O$1001,0),1)&gt;=100000,INDEX($V$1005:$AE$1005,1,MATCH(COLUMNS($V$1006:AD1006),$V$1006:$AE$1006,0))&gt;=100000), " ",IF(INDEX($V$2:$AE$1001,MATCH(ROWS($O$2:O646),$O$2:$O$1001,0),MATCH(COLUMNS($V$1006:AD1006),$V$1006:$AE$1006,0)), HYPERLINK("#",""), HYPERLINK(CONCATENATE("#Metadata!", ADDRESS(INDEX($Q$2:$Q$1001,MATCH(ROWS($O$2:O646),$O$2:$O$1001,0),0), INDEX($V$1004:$AE$1004,1,MATCH(COLUMNS($V$1006:AD1006),$V$1006:$AE$1006,0)))),"Fix")))</f>
        <v>0</v>
      </c>
      <c r="K646" s="3">
        <f>IF(OR(INDEX($P$2:$P$1001,MATCH(ROWS($O$2:O646),$O$2:$O$1001,0),1)&gt;=100000,INDEX($V$1005:$AE$1005,1,MATCH(COLUMNS($V$1006:AE1006),$V$1006:$AE$1006,0))&gt;=100000), " ",IF(INDEX($V$2:$AE$1001,MATCH(ROWS($O$2:O646),$O$2:$O$1001,0),MATCH(COLUMNS($V$1006:AE1006),$V$1006:$AE$1006,0)), HYPERLINK("#",""), HYPERLINK(CONCATENATE("#Metadata!", ADDRESS(INDEX($Q$2:$Q$1001,MATCH(ROWS($O$2:O646),$O$2:$O$1001,0),0), INDEX($V$1004:$AE$1004,1,MATCH(COLUMNS($V$1006:AE1006),$V$1006:$AE$1006,0)))),"Fix")))</f>
        <v>0</v>
      </c>
      <c r="O646">
        <v>0</v>
      </c>
      <c r="P646">
        <v>0</v>
      </c>
      <c r="Q646">
        <v>0</v>
      </c>
      <c r="R646">
        <f>IF(S646,TRUE,AND(V646:AE646))</f>
        <v>0</v>
      </c>
      <c r="S646">
        <f>COUNTBLANK(Metadata!B646:K646)=COLUMNS(Metadata!B646:K646)</f>
        <v>0</v>
      </c>
      <c r="T646">
        <v>0</v>
      </c>
      <c r="V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W646">
        <f>AND(IF(Metadata!C646="",FALSE,TRUE),exact(Metadata!C646,"animal secretion"))</f>
        <v>0</v>
      </c>
      <c r="X646">
        <f>AND(IF(Metadata!D646="",FALSE,TRUE),exact(Metadata!D646,"saliva"))</f>
        <v>0</v>
      </c>
      <c r="Y646">
        <f>AND(IF(Metadata!E646="",FALSE,TRUE),exact(Metadata!E646,"human-oral"))</f>
        <v>0</v>
      </c>
      <c r="Z646">
        <f>AND(IF(Metadata!F646="",FALSE,TRUE),exact(Metadata!F646,"UBERON:oral cavity"))</f>
        <v>0</v>
      </c>
      <c r="AA646">
        <f>AND(IF(Metadata!G646="",FALSE,TRUE),exact(Metadata!G646,"UBERON:saliva"))</f>
        <v>0</v>
      </c>
      <c r="AB646">
        <f>AND(IF(Metadata!H646="",FALSE,TRUE),exact(Metadata!H646,"UBERON:tongue"))</f>
        <v>0</v>
      </c>
      <c r="AC646">
        <f>AND(IF(Metadata!I646="",FALSE,TRUE),exact(Metadata!I646,"tongue"))</f>
        <v>0</v>
      </c>
      <c r="AD646">
        <f>AND(IF(Metadata!J646="",FALSE,TRUE),exact(Metadata!J646,"human oral metagenome"))</f>
        <v>0</v>
      </c>
      <c r="AE646">
        <f>AND(IF(Metadata!K646="",FALSE,TRUE),exact(Metadata!K646,"447426"))</f>
        <v>0</v>
      </c>
    </row>
    <row r="647" spans="1:31">
      <c r="A647" s="4">
        <f>IF(B647=" "," ",HYPERLINK(CONCATENATE("#metadata!",ADDRESS(INDEX($Q$2:$Q$1001,MATCH(ROWS($O$2:O647),$O$2:$O$1001,0),0),1)),INDEX($T$2:$T$1001,MATCH(ROWS($O$2:O647),$O$2:$O$1001,0),0)))</f>
        <v>0</v>
      </c>
      <c r="B647" s="3">
        <f>IF(OR(INDEX($P$2:$P$1001,MATCH(ROWS($O$2:O647),$O$2:$O$1001,0),1)&gt;=100000,INDEX($V$1005:$AE$1005,1,MATCH(COLUMNS($V$1006:V1006),$V$1006:$AE$1006,0))&gt;=100000), " ",IF(INDEX($V$2:$AE$1001,MATCH(ROWS($O$2:O647),$O$2:$O$1001,0),MATCH(COLUMNS($V$1006:V1006),$V$1006:$AE$1006,0)), HYPERLINK("#",""), HYPERLINK(CONCATENATE("#Metadata!", ADDRESS(INDEX($Q$2:$Q$1001,MATCH(ROWS($O$2:O647),$O$2:$O$1001,0),0), INDEX($V$1004:$AE$1004,1,MATCH(COLUMNS($V$1006:V1006),$V$1006:$AE$1006,0)))),"Fix")))</f>
        <v>0</v>
      </c>
      <c r="C647" s="3">
        <f>IF(OR(INDEX($P$2:$P$1001,MATCH(ROWS($O$2:O647),$O$2:$O$1001,0),1)&gt;=100000,INDEX($V$1005:$AE$1005,1,MATCH(COLUMNS($V$1006:W1006),$V$1006:$AE$1006,0))&gt;=100000), " ",IF(INDEX($V$2:$AE$1001,MATCH(ROWS($O$2:O647),$O$2:$O$1001,0),MATCH(COLUMNS($V$1006:W1006),$V$1006:$AE$1006,0)), HYPERLINK("#",""), HYPERLINK(CONCATENATE("#Metadata!", ADDRESS(INDEX($Q$2:$Q$1001,MATCH(ROWS($O$2:O647),$O$2:$O$1001,0),0), INDEX($V$1004:$AE$1004,1,MATCH(COLUMNS($V$1006:W1006),$V$1006:$AE$1006,0)))),"Fix")))</f>
        <v>0</v>
      </c>
      <c r="D647" s="3">
        <f>IF(OR(INDEX($P$2:$P$1001,MATCH(ROWS($O$2:O647),$O$2:$O$1001,0),1)&gt;=100000,INDEX($V$1005:$AE$1005,1,MATCH(COLUMNS($V$1006:X1006),$V$1006:$AE$1006,0))&gt;=100000), " ",IF(INDEX($V$2:$AE$1001,MATCH(ROWS($O$2:O647),$O$2:$O$1001,0),MATCH(COLUMNS($V$1006:X1006),$V$1006:$AE$1006,0)), HYPERLINK("#",""), HYPERLINK(CONCATENATE("#Metadata!", ADDRESS(INDEX($Q$2:$Q$1001,MATCH(ROWS($O$2:O647),$O$2:$O$1001,0),0), INDEX($V$1004:$AE$1004,1,MATCH(COLUMNS($V$1006:X1006),$V$1006:$AE$1006,0)))),"Fix")))</f>
        <v>0</v>
      </c>
      <c r="E647" s="3">
        <f>IF(OR(INDEX($P$2:$P$1001,MATCH(ROWS($O$2:O647),$O$2:$O$1001,0),1)&gt;=100000,INDEX($V$1005:$AE$1005,1,MATCH(COLUMNS($V$1006:Y1006),$V$1006:$AE$1006,0))&gt;=100000), " ",IF(INDEX($V$2:$AE$1001,MATCH(ROWS($O$2:O647),$O$2:$O$1001,0),MATCH(COLUMNS($V$1006:Y1006),$V$1006:$AE$1006,0)), HYPERLINK("#",""), HYPERLINK(CONCATENATE("#Metadata!", ADDRESS(INDEX($Q$2:$Q$1001,MATCH(ROWS($O$2:O647),$O$2:$O$1001,0),0), INDEX($V$1004:$AE$1004,1,MATCH(COLUMNS($V$1006:Y1006),$V$1006:$AE$1006,0)))),"Fix")))</f>
        <v>0</v>
      </c>
      <c r="F647" s="3">
        <f>IF(OR(INDEX($P$2:$P$1001,MATCH(ROWS($O$2:O647),$O$2:$O$1001,0),1)&gt;=100000,INDEX($V$1005:$AE$1005,1,MATCH(COLUMNS($V$1006:Z1006),$V$1006:$AE$1006,0))&gt;=100000), " ",IF(INDEX($V$2:$AE$1001,MATCH(ROWS($O$2:O647),$O$2:$O$1001,0),MATCH(COLUMNS($V$1006:Z1006),$V$1006:$AE$1006,0)), HYPERLINK("#",""), HYPERLINK(CONCATENATE("#Metadata!", ADDRESS(INDEX($Q$2:$Q$1001,MATCH(ROWS($O$2:O647),$O$2:$O$1001,0),0), INDEX($V$1004:$AE$1004,1,MATCH(COLUMNS($V$1006:Z1006),$V$1006:$AE$1006,0)))),"Fix")))</f>
        <v>0</v>
      </c>
      <c r="G647" s="3">
        <f>IF(OR(INDEX($P$2:$P$1001,MATCH(ROWS($O$2:O647),$O$2:$O$1001,0),1)&gt;=100000,INDEX($V$1005:$AE$1005,1,MATCH(COLUMNS($V$1006:AA1006),$V$1006:$AE$1006,0))&gt;=100000), " ",IF(INDEX($V$2:$AE$1001,MATCH(ROWS($O$2:O647),$O$2:$O$1001,0),MATCH(COLUMNS($V$1006:AA1006),$V$1006:$AE$1006,0)), HYPERLINK("#",""), HYPERLINK(CONCATENATE("#Metadata!", ADDRESS(INDEX($Q$2:$Q$1001,MATCH(ROWS($O$2:O647),$O$2:$O$1001,0),0), INDEX($V$1004:$AE$1004,1,MATCH(COLUMNS($V$1006:AA1006),$V$1006:$AE$1006,0)))),"Fix")))</f>
        <v>0</v>
      </c>
      <c r="H647" s="3">
        <f>IF(OR(INDEX($P$2:$P$1001,MATCH(ROWS($O$2:O647),$O$2:$O$1001,0),1)&gt;=100000,INDEX($V$1005:$AE$1005,1,MATCH(COLUMNS($V$1006:AB1006),$V$1006:$AE$1006,0))&gt;=100000), " ",IF(INDEX($V$2:$AE$1001,MATCH(ROWS($O$2:O647),$O$2:$O$1001,0),MATCH(COLUMNS($V$1006:AB1006),$V$1006:$AE$1006,0)), HYPERLINK("#",""), HYPERLINK(CONCATENATE("#Metadata!", ADDRESS(INDEX($Q$2:$Q$1001,MATCH(ROWS($O$2:O647),$O$2:$O$1001,0),0), INDEX($V$1004:$AE$1004,1,MATCH(COLUMNS($V$1006:AB1006),$V$1006:$AE$1006,0)))),"Fix")))</f>
        <v>0</v>
      </c>
      <c r="I647" s="3">
        <f>IF(OR(INDEX($P$2:$P$1001,MATCH(ROWS($O$2:O647),$O$2:$O$1001,0),1)&gt;=100000,INDEX($V$1005:$AE$1005,1,MATCH(COLUMNS($V$1006:AC1006),$V$1006:$AE$1006,0))&gt;=100000), " ",IF(INDEX($V$2:$AE$1001,MATCH(ROWS($O$2:O647),$O$2:$O$1001,0),MATCH(COLUMNS($V$1006:AC1006),$V$1006:$AE$1006,0)), HYPERLINK("#",""), HYPERLINK(CONCATENATE("#Metadata!", ADDRESS(INDEX($Q$2:$Q$1001,MATCH(ROWS($O$2:O647),$O$2:$O$1001,0),0), INDEX($V$1004:$AE$1004,1,MATCH(COLUMNS($V$1006:AC1006),$V$1006:$AE$1006,0)))),"Fix")))</f>
        <v>0</v>
      </c>
      <c r="J647" s="3">
        <f>IF(OR(INDEX($P$2:$P$1001,MATCH(ROWS($O$2:O647),$O$2:$O$1001,0),1)&gt;=100000,INDEX($V$1005:$AE$1005,1,MATCH(COLUMNS($V$1006:AD1006),$V$1006:$AE$1006,0))&gt;=100000), " ",IF(INDEX($V$2:$AE$1001,MATCH(ROWS($O$2:O647),$O$2:$O$1001,0),MATCH(COLUMNS($V$1006:AD1006),$V$1006:$AE$1006,0)), HYPERLINK("#",""), HYPERLINK(CONCATENATE("#Metadata!", ADDRESS(INDEX($Q$2:$Q$1001,MATCH(ROWS($O$2:O647),$O$2:$O$1001,0),0), INDEX($V$1004:$AE$1004,1,MATCH(COLUMNS($V$1006:AD1006),$V$1006:$AE$1006,0)))),"Fix")))</f>
        <v>0</v>
      </c>
      <c r="K647" s="3">
        <f>IF(OR(INDEX($P$2:$P$1001,MATCH(ROWS($O$2:O647),$O$2:$O$1001,0),1)&gt;=100000,INDEX($V$1005:$AE$1005,1,MATCH(COLUMNS($V$1006:AE1006),$V$1006:$AE$1006,0))&gt;=100000), " ",IF(INDEX($V$2:$AE$1001,MATCH(ROWS($O$2:O647),$O$2:$O$1001,0),MATCH(COLUMNS($V$1006:AE1006),$V$1006:$AE$1006,0)), HYPERLINK("#",""), HYPERLINK(CONCATENATE("#Metadata!", ADDRESS(INDEX($Q$2:$Q$1001,MATCH(ROWS($O$2:O647),$O$2:$O$1001,0),0), INDEX($V$1004:$AE$1004,1,MATCH(COLUMNS($V$1006:AE1006),$V$1006:$AE$1006,0)))),"Fix")))</f>
        <v>0</v>
      </c>
      <c r="O647">
        <v>0</v>
      </c>
      <c r="P647">
        <v>0</v>
      </c>
      <c r="Q647">
        <v>0</v>
      </c>
      <c r="R647">
        <f>IF(S647,TRUE,AND(V647:AE647))</f>
        <v>0</v>
      </c>
      <c r="S647">
        <f>COUNTBLANK(Metadata!B647:K647)=COLUMNS(Metadata!B647:K647)</f>
        <v>0</v>
      </c>
      <c r="T647">
        <v>0</v>
      </c>
      <c r="V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W647">
        <f>AND(IF(Metadata!C647="",FALSE,TRUE),exact(Metadata!C647,"animal secretion"))</f>
        <v>0</v>
      </c>
      <c r="X647">
        <f>AND(IF(Metadata!D647="",FALSE,TRUE),exact(Metadata!D647,"saliva"))</f>
        <v>0</v>
      </c>
      <c r="Y647">
        <f>AND(IF(Metadata!E647="",FALSE,TRUE),exact(Metadata!E647,"human-oral"))</f>
        <v>0</v>
      </c>
      <c r="Z647">
        <f>AND(IF(Metadata!F647="",FALSE,TRUE),exact(Metadata!F647,"UBERON:oral cavity"))</f>
        <v>0</v>
      </c>
      <c r="AA647">
        <f>AND(IF(Metadata!G647="",FALSE,TRUE),exact(Metadata!G647,"UBERON:saliva"))</f>
        <v>0</v>
      </c>
      <c r="AB647">
        <f>AND(IF(Metadata!H647="",FALSE,TRUE),exact(Metadata!H647,"UBERON:tongue"))</f>
        <v>0</v>
      </c>
      <c r="AC647">
        <f>AND(IF(Metadata!I647="",FALSE,TRUE),exact(Metadata!I647,"tongue"))</f>
        <v>0</v>
      </c>
      <c r="AD647">
        <f>AND(IF(Metadata!J647="",FALSE,TRUE),exact(Metadata!J647,"human oral metagenome"))</f>
        <v>0</v>
      </c>
      <c r="AE647">
        <f>AND(IF(Metadata!K647="",FALSE,TRUE),exact(Metadata!K647,"447426"))</f>
        <v>0</v>
      </c>
    </row>
    <row r="648" spans="1:31">
      <c r="A648" s="4">
        <f>IF(B648=" "," ",HYPERLINK(CONCATENATE("#metadata!",ADDRESS(INDEX($Q$2:$Q$1001,MATCH(ROWS($O$2:O648),$O$2:$O$1001,0),0),1)),INDEX($T$2:$T$1001,MATCH(ROWS($O$2:O648),$O$2:$O$1001,0),0)))</f>
        <v>0</v>
      </c>
      <c r="B648" s="3">
        <f>IF(OR(INDEX($P$2:$P$1001,MATCH(ROWS($O$2:O648),$O$2:$O$1001,0),1)&gt;=100000,INDEX($V$1005:$AE$1005,1,MATCH(COLUMNS($V$1006:V1006),$V$1006:$AE$1006,0))&gt;=100000), " ",IF(INDEX($V$2:$AE$1001,MATCH(ROWS($O$2:O648),$O$2:$O$1001,0),MATCH(COLUMNS($V$1006:V1006),$V$1006:$AE$1006,0)), HYPERLINK("#",""), HYPERLINK(CONCATENATE("#Metadata!", ADDRESS(INDEX($Q$2:$Q$1001,MATCH(ROWS($O$2:O648),$O$2:$O$1001,0),0), INDEX($V$1004:$AE$1004,1,MATCH(COLUMNS($V$1006:V1006),$V$1006:$AE$1006,0)))),"Fix")))</f>
        <v>0</v>
      </c>
      <c r="C648" s="3">
        <f>IF(OR(INDEX($P$2:$P$1001,MATCH(ROWS($O$2:O648),$O$2:$O$1001,0),1)&gt;=100000,INDEX($V$1005:$AE$1005,1,MATCH(COLUMNS($V$1006:W1006),$V$1006:$AE$1006,0))&gt;=100000), " ",IF(INDEX($V$2:$AE$1001,MATCH(ROWS($O$2:O648),$O$2:$O$1001,0),MATCH(COLUMNS($V$1006:W1006),$V$1006:$AE$1006,0)), HYPERLINK("#",""), HYPERLINK(CONCATENATE("#Metadata!", ADDRESS(INDEX($Q$2:$Q$1001,MATCH(ROWS($O$2:O648),$O$2:$O$1001,0),0), INDEX($V$1004:$AE$1004,1,MATCH(COLUMNS($V$1006:W1006),$V$1006:$AE$1006,0)))),"Fix")))</f>
        <v>0</v>
      </c>
      <c r="D648" s="3">
        <f>IF(OR(INDEX($P$2:$P$1001,MATCH(ROWS($O$2:O648),$O$2:$O$1001,0),1)&gt;=100000,INDEX($V$1005:$AE$1005,1,MATCH(COLUMNS($V$1006:X1006),$V$1006:$AE$1006,0))&gt;=100000), " ",IF(INDEX($V$2:$AE$1001,MATCH(ROWS($O$2:O648),$O$2:$O$1001,0),MATCH(COLUMNS($V$1006:X1006),$V$1006:$AE$1006,0)), HYPERLINK("#",""), HYPERLINK(CONCATENATE("#Metadata!", ADDRESS(INDEX($Q$2:$Q$1001,MATCH(ROWS($O$2:O648),$O$2:$O$1001,0),0), INDEX($V$1004:$AE$1004,1,MATCH(COLUMNS($V$1006:X1006),$V$1006:$AE$1006,0)))),"Fix")))</f>
        <v>0</v>
      </c>
      <c r="E648" s="3">
        <f>IF(OR(INDEX($P$2:$P$1001,MATCH(ROWS($O$2:O648),$O$2:$O$1001,0),1)&gt;=100000,INDEX($V$1005:$AE$1005,1,MATCH(COLUMNS($V$1006:Y1006),$V$1006:$AE$1006,0))&gt;=100000), " ",IF(INDEX($V$2:$AE$1001,MATCH(ROWS($O$2:O648),$O$2:$O$1001,0),MATCH(COLUMNS($V$1006:Y1006),$V$1006:$AE$1006,0)), HYPERLINK("#",""), HYPERLINK(CONCATENATE("#Metadata!", ADDRESS(INDEX($Q$2:$Q$1001,MATCH(ROWS($O$2:O648),$O$2:$O$1001,0),0), INDEX($V$1004:$AE$1004,1,MATCH(COLUMNS($V$1006:Y1006),$V$1006:$AE$1006,0)))),"Fix")))</f>
        <v>0</v>
      </c>
      <c r="F648" s="3">
        <f>IF(OR(INDEX($P$2:$P$1001,MATCH(ROWS($O$2:O648),$O$2:$O$1001,0),1)&gt;=100000,INDEX($V$1005:$AE$1005,1,MATCH(COLUMNS($V$1006:Z1006),$V$1006:$AE$1006,0))&gt;=100000), " ",IF(INDEX($V$2:$AE$1001,MATCH(ROWS($O$2:O648),$O$2:$O$1001,0),MATCH(COLUMNS($V$1006:Z1006),$V$1006:$AE$1006,0)), HYPERLINK("#",""), HYPERLINK(CONCATENATE("#Metadata!", ADDRESS(INDEX($Q$2:$Q$1001,MATCH(ROWS($O$2:O648),$O$2:$O$1001,0),0), INDEX($V$1004:$AE$1004,1,MATCH(COLUMNS($V$1006:Z1006),$V$1006:$AE$1006,0)))),"Fix")))</f>
        <v>0</v>
      </c>
      <c r="G648" s="3">
        <f>IF(OR(INDEX($P$2:$P$1001,MATCH(ROWS($O$2:O648),$O$2:$O$1001,0),1)&gt;=100000,INDEX($V$1005:$AE$1005,1,MATCH(COLUMNS($V$1006:AA1006),$V$1006:$AE$1006,0))&gt;=100000), " ",IF(INDEX($V$2:$AE$1001,MATCH(ROWS($O$2:O648),$O$2:$O$1001,0),MATCH(COLUMNS($V$1006:AA1006),$V$1006:$AE$1006,0)), HYPERLINK("#",""), HYPERLINK(CONCATENATE("#Metadata!", ADDRESS(INDEX($Q$2:$Q$1001,MATCH(ROWS($O$2:O648),$O$2:$O$1001,0),0), INDEX($V$1004:$AE$1004,1,MATCH(COLUMNS($V$1006:AA1006),$V$1006:$AE$1006,0)))),"Fix")))</f>
        <v>0</v>
      </c>
      <c r="H648" s="3">
        <f>IF(OR(INDEX($P$2:$P$1001,MATCH(ROWS($O$2:O648),$O$2:$O$1001,0),1)&gt;=100000,INDEX($V$1005:$AE$1005,1,MATCH(COLUMNS($V$1006:AB1006),$V$1006:$AE$1006,0))&gt;=100000), " ",IF(INDEX($V$2:$AE$1001,MATCH(ROWS($O$2:O648),$O$2:$O$1001,0),MATCH(COLUMNS($V$1006:AB1006),$V$1006:$AE$1006,0)), HYPERLINK("#",""), HYPERLINK(CONCATENATE("#Metadata!", ADDRESS(INDEX($Q$2:$Q$1001,MATCH(ROWS($O$2:O648),$O$2:$O$1001,0),0), INDEX($V$1004:$AE$1004,1,MATCH(COLUMNS($V$1006:AB1006),$V$1006:$AE$1006,0)))),"Fix")))</f>
        <v>0</v>
      </c>
      <c r="I648" s="3">
        <f>IF(OR(INDEX($P$2:$P$1001,MATCH(ROWS($O$2:O648),$O$2:$O$1001,0),1)&gt;=100000,INDEX($V$1005:$AE$1005,1,MATCH(COLUMNS($V$1006:AC1006),$V$1006:$AE$1006,0))&gt;=100000), " ",IF(INDEX($V$2:$AE$1001,MATCH(ROWS($O$2:O648),$O$2:$O$1001,0),MATCH(COLUMNS($V$1006:AC1006),$V$1006:$AE$1006,0)), HYPERLINK("#",""), HYPERLINK(CONCATENATE("#Metadata!", ADDRESS(INDEX($Q$2:$Q$1001,MATCH(ROWS($O$2:O648),$O$2:$O$1001,0),0), INDEX($V$1004:$AE$1004,1,MATCH(COLUMNS($V$1006:AC1006),$V$1006:$AE$1006,0)))),"Fix")))</f>
        <v>0</v>
      </c>
      <c r="J648" s="3">
        <f>IF(OR(INDEX($P$2:$P$1001,MATCH(ROWS($O$2:O648),$O$2:$O$1001,0),1)&gt;=100000,INDEX($V$1005:$AE$1005,1,MATCH(COLUMNS($V$1006:AD1006),$V$1006:$AE$1006,0))&gt;=100000), " ",IF(INDEX($V$2:$AE$1001,MATCH(ROWS($O$2:O648),$O$2:$O$1001,0),MATCH(COLUMNS($V$1006:AD1006),$V$1006:$AE$1006,0)), HYPERLINK("#",""), HYPERLINK(CONCATENATE("#Metadata!", ADDRESS(INDEX($Q$2:$Q$1001,MATCH(ROWS($O$2:O648),$O$2:$O$1001,0),0), INDEX($V$1004:$AE$1004,1,MATCH(COLUMNS($V$1006:AD1006),$V$1006:$AE$1006,0)))),"Fix")))</f>
        <v>0</v>
      </c>
      <c r="K648" s="3">
        <f>IF(OR(INDEX($P$2:$P$1001,MATCH(ROWS($O$2:O648),$O$2:$O$1001,0),1)&gt;=100000,INDEX($V$1005:$AE$1005,1,MATCH(COLUMNS($V$1006:AE1006),$V$1006:$AE$1006,0))&gt;=100000), " ",IF(INDEX($V$2:$AE$1001,MATCH(ROWS($O$2:O648),$O$2:$O$1001,0),MATCH(COLUMNS($V$1006:AE1006),$V$1006:$AE$1006,0)), HYPERLINK("#",""), HYPERLINK(CONCATENATE("#Metadata!", ADDRESS(INDEX($Q$2:$Q$1001,MATCH(ROWS($O$2:O648),$O$2:$O$1001,0),0), INDEX($V$1004:$AE$1004,1,MATCH(COLUMNS($V$1006:AE1006),$V$1006:$AE$1006,0)))),"Fix")))</f>
        <v>0</v>
      </c>
      <c r="O648">
        <v>0</v>
      </c>
      <c r="P648">
        <v>0</v>
      </c>
      <c r="Q648">
        <v>0</v>
      </c>
      <c r="R648">
        <f>IF(S648,TRUE,AND(V648:AE648))</f>
        <v>0</v>
      </c>
      <c r="S648">
        <f>COUNTBLANK(Metadata!B648:K648)=COLUMNS(Metadata!B648:K648)</f>
        <v>0</v>
      </c>
      <c r="T648">
        <v>0</v>
      </c>
      <c r="V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W648">
        <f>AND(IF(Metadata!C648="",FALSE,TRUE),exact(Metadata!C648,"animal secretion"))</f>
        <v>0</v>
      </c>
      <c r="X648">
        <f>AND(IF(Metadata!D648="",FALSE,TRUE),exact(Metadata!D648,"saliva"))</f>
        <v>0</v>
      </c>
      <c r="Y648">
        <f>AND(IF(Metadata!E648="",FALSE,TRUE),exact(Metadata!E648,"human-oral"))</f>
        <v>0</v>
      </c>
      <c r="Z648">
        <f>AND(IF(Metadata!F648="",FALSE,TRUE),exact(Metadata!F648,"UBERON:oral cavity"))</f>
        <v>0</v>
      </c>
      <c r="AA648">
        <f>AND(IF(Metadata!G648="",FALSE,TRUE),exact(Metadata!G648,"UBERON:saliva"))</f>
        <v>0</v>
      </c>
      <c r="AB648">
        <f>AND(IF(Metadata!H648="",FALSE,TRUE),exact(Metadata!H648,"UBERON:tongue"))</f>
        <v>0</v>
      </c>
      <c r="AC648">
        <f>AND(IF(Metadata!I648="",FALSE,TRUE),exact(Metadata!I648,"tongue"))</f>
        <v>0</v>
      </c>
      <c r="AD648">
        <f>AND(IF(Metadata!J648="",FALSE,TRUE),exact(Metadata!J648,"human oral metagenome"))</f>
        <v>0</v>
      </c>
      <c r="AE648">
        <f>AND(IF(Metadata!K648="",FALSE,TRUE),exact(Metadata!K648,"447426"))</f>
        <v>0</v>
      </c>
    </row>
    <row r="649" spans="1:31">
      <c r="A649" s="4">
        <f>IF(B649=" "," ",HYPERLINK(CONCATENATE("#metadata!",ADDRESS(INDEX($Q$2:$Q$1001,MATCH(ROWS($O$2:O649),$O$2:$O$1001,0),0),1)),INDEX($T$2:$T$1001,MATCH(ROWS($O$2:O649),$O$2:$O$1001,0),0)))</f>
        <v>0</v>
      </c>
      <c r="B649" s="3">
        <f>IF(OR(INDEX($P$2:$P$1001,MATCH(ROWS($O$2:O649),$O$2:$O$1001,0),1)&gt;=100000,INDEX($V$1005:$AE$1005,1,MATCH(COLUMNS($V$1006:V1006),$V$1006:$AE$1006,0))&gt;=100000), " ",IF(INDEX($V$2:$AE$1001,MATCH(ROWS($O$2:O649),$O$2:$O$1001,0),MATCH(COLUMNS($V$1006:V1006),$V$1006:$AE$1006,0)), HYPERLINK("#",""), HYPERLINK(CONCATENATE("#Metadata!", ADDRESS(INDEX($Q$2:$Q$1001,MATCH(ROWS($O$2:O649),$O$2:$O$1001,0),0), INDEX($V$1004:$AE$1004,1,MATCH(COLUMNS($V$1006:V1006),$V$1006:$AE$1006,0)))),"Fix")))</f>
        <v>0</v>
      </c>
      <c r="C649" s="3">
        <f>IF(OR(INDEX($P$2:$P$1001,MATCH(ROWS($O$2:O649),$O$2:$O$1001,0),1)&gt;=100000,INDEX($V$1005:$AE$1005,1,MATCH(COLUMNS($V$1006:W1006),$V$1006:$AE$1006,0))&gt;=100000), " ",IF(INDEX($V$2:$AE$1001,MATCH(ROWS($O$2:O649),$O$2:$O$1001,0),MATCH(COLUMNS($V$1006:W1006),$V$1006:$AE$1006,0)), HYPERLINK("#",""), HYPERLINK(CONCATENATE("#Metadata!", ADDRESS(INDEX($Q$2:$Q$1001,MATCH(ROWS($O$2:O649),$O$2:$O$1001,0),0), INDEX($V$1004:$AE$1004,1,MATCH(COLUMNS($V$1006:W1006),$V$1006:$AE$1006,0)))),"Fix")))</f>
        <v>0</v>
      </c>
      <c r="D649" s="3">
        <f>IF(OR(INDEX($P$2:$P$1001,MATCH(ROWS($O$2:O649),$O$2:$O$1001,0),1)&gt;=100000,INDEX($V$1005:$AE$1005,1,MATCH(COLUMNS($V$1006:X1006),$V$1006:$AE$1006,0))&gt;=100000), " ",IF(INDEX($V$2:$AE$1001,MATCH(ROWS($O$2:O649),$O$2:$O$1001,0),MATCH(COLUMNS($V$1006:X1006),$V$1006:$AE$1006,0)), HYPERLINK("#",""), HYPERLINK(CONCATENATE("#Metadata!", ADDRESS(INDEX($Q$2:$Q$1001,MATCH(ROWS($O$2:O649),$O$2:$O$1001,0),0), INDEX($V$1004:$AE$1004,1,MATCH(COLUMNS($V$1006:X1006),$V$1006:$AE$1006,0)))),"Fix")))</f>
        <v>0</v>
      </c>
      <c r="E649" s="3">
        <f>IF(OR(INDEX($P$2:$P$1001,MATCH(ROWS($O$2:O649),$O$2:$O$1001,0),1)&gt;=100000,INDEX($V$1005:$AE$1005,1,MATCH(COLUMNS($V$1006:Y1006),$V$1006:$AE$1006,0))&gt;=100000), " ",IF(INDEX($V$2:$AE$1001,MATCH(ROWS($O$2:O649),$O$2:$O$1001,0),MATCH(COLUMNS($V$1006:Y1006),$V$1006:$AE$1006,0)), HYPERLINK("#",""), HYPERLINK(CONCATENATE("#Metadata!", ADDRESS(INDEX($Q$2:$Q$1001,MATCH(ROWS($O$2:O649),$O$2:$O$1001,0),0), INDEX($V$1004:$AE$1004,1,MATCH(COLUMNS($V$1006:Y1006),$V$1006:$AE$1006,0)))),"Fix")))</f>
        <v>0</v>
      </c>
      <c r="F649" s="3">
        <f>IF(OR(INDEX($P$2:$P$1001,MATCH(ROWS($O$2:O649),$O$2:$O$1001,0),1)&gt;=100000,INDEX($V$1005:$AE$1005,1,MATCH(COLUMNS($V$1006:Z1006),$V$1006:$AE$1006,0))&gt;=100000), " ",IF(INDEX($V$2:$AE$1001,MATCH(ROWS($O$2:O649),$O$2:$O$1001,0),MATCH(COLUMNS($V$1006:Z1006),$V$1006:$AE$1006,0)), HYPERLINK("#",""), HYPERLINK(CONCATENATE("#Metadata!", ADDRESS(INDEX($Q$2:$Q$1001,MATCH(ROWS($O$2:O649),$O$2:$O$1001,0),0), INDEX($V$1004:$AE$1004,1,MATCH(COLUMNS($V$1006:Z1006),$V$1006:$AE$1006,0)))),"Fix")))</f>
        <v>0</v>
      </c>
      <c r="G649" s="3">
        <f>IF(OR(INDEX($P$2:$P$1001,MATCH(ROWS($O$2:O649),$O$2:$O$1001,0),1)&gt;=100000,INDEX($V$1005:$AE$1005,1,MATCH(COLUMNS($V$1006:AA1006),$V$1006:$AE$1006,0))&gt;=100000), " ",IF(INDEX($V$2:$AE$1001,MATCH(ROWS($O$2:O649),$O$2:$O$1001,0),MATCH(COLUMNS($V$1006:AA1006),$V$1006:$AE$1006,0)), HYPERLINK("#",""), HYPERLINK(CONCATENATE("#Metadata!", ADDRESS(INDEX($Q$2:$Q$1001,MATCH(ROWS($O$2:O649),$O$2:$O$1001,0),0), INDEX($V$1004:$AE$1004,1,MATCH(COLUMNS($V$1006:AA1006),$V$1006:$AE$1006,0)))),"Fix")))</f>
        <v>0</v>
      </c>
      <c r="H649" s="3">
        <f>IF(OR(INDEX($P$2:$P$1001,MATCH(ROWS($O$2:O649),$O$2:$O$1001,0),1)&gt;=100000,INDEX($V$1005:$AE$1005,1,MATCH(COLUMNS($V$1006:AB1006),$V$1006:$AE$1006,0))&gt;=100000), " ",IF(INDEX($V$2:$AE$1001,MATCH(ROWS($O$2:O649),$O$2:$O$1001,0),MATCH(COLUMNS($V$1006:AB1006),$V$1006:$AE$1006,0)), HYPERLINK("#",""), HYPERLINK(CONCATENATE("#Metadata!", ADDRESS(INDEX($Q$2:$Q$1001,MATCH(ROWS($O$2:O649),$O$2:$O$1001,0),0), INDEX($V$1004:$AE$1004,1,MATCH(COLUMNS($V$1006:AB1006),$V$1006:$AE$1006,0)))),"Fix")))</f>
        <v>0</v>
      </c>
      <c r="I649" s="3">
        <f>IF(OR(INDEX($P$2:$P$1001,MATCH(ROWS($O$2:O649),$O$2:$O$1001,0),1)&gt;=100000,INDEX($V$1005:$AE$1005,1,MATCH(COLUMNS($V$1006:AC1006),$V$1006:$AE$1006,0))&gt;=100000), " ",IF(INDEX($V$2:$AE$1001,MATCH(ROWS($O$2:O649),$O$2:$O$1001,0),MATCH(COLUMNS($V$1006:AC1006),$V$1006:$AE$1006,0)), HYPERLINK("#",""), HYPERLINK(CONCATENATE("#Metadata!", ADDRESS(INDEX($Q$2:$Q$1001,MATCH(ROWS($O$2:O649),$O$2:$O$1001,0),0), INDEX($V$1004:$AE$1004,1,MATCH(COLUMNS($V$1006:AC1006),$V$1006:$AE$1006,0)))),"Fix")))</f>
        <v>0</v>
      </c>
      <c r="J649" s="3">
        <f>IF(OR(INDEX($P$2:$P$1001,MATCH(ROWS($O$2:O649),$O$2:$O$1001,0),1)&gt;=100000,INDEX($V$1005:$AE$1005,1,MATCH(COLUMNS($V$1006:AD1006),$V$1006:$AE$1006,0))&gt;=100000), " ",IF(INDEX($V$2:$AE$1001,MATCH(ROWS($O$2:O649),$O$2:$O$1001,0),MATCH(COLUMNS($V$1006:AD1006),$V$1006:$AE$1006,0)), HYPERLINK("#",""), HYPERLINK(CONCATENATE("#Metadata!", ADDRESS(INDEX($Q$2:$Q$1001,MATCH(ROWS($O$2:O649),$O$2:$O$1001,0),0), INDEX($V$1004:$AE$1004,1,MATCH(COLUMNS($V$1006:AD1006),$V$1006:$AE$1006,0)))),"Fix")))</f>
        <v>0</v>
      </c>
      <c r="K649" s="3">
        <f>IF(OR(INDEX($P$2:$P$1001,MATCH(ROWS($O$2:O649),$O$2:$O$1001,0),1)&gt;=100000,INDEX($V$1005:$AE$1005,1,MATCH(COLUMNS($V$1006:AE1006),$V$1006:$AE$1006,0))&gt;=100000), " ",IF(INDEX($V$2:$AE$1001,MATCH(ROWS($O$2:O649),$O$2:$O$1001,0),MATCH(COLUMNS($V$1006:AE1006),$V$1006:$AE$1006,0)), HYPERLINK("#",""), HYPERLINK(CONCATENATE("#Metadata!", ADDRESS(INDEX($Q$2:$Q$1001,MATCH(ROWS($O$2:O649),$O$2:$O$1001,0),0), INDEX($V$1004:$AE$1004,1,MATCH(COLUMNS($V$1006:AE1006),$V$1006:$AE$1006,0)))),"Fix")))</f>
        <v>0</v>
      </c>
      <c r="O649">
        <v>0</v>
      </c>
      <c r="P649">
        <v>0</v>
      </c>
      <c r="Q649">
        <v>0</v>
      </c>
      <c r="R649">
        <f>IF(S649,TRUE,AND(V649:AE649))</f>
        <v>0</v>
      </c>
      <c r="S649">
        <f>COUNTBLANK(Metadata!B649:K649)=COLUMNS(Metadata!B649:K649)</f>
        <v>0</v>
      </c>
      <c r="T649">
        <v>0</v>
      </c>
      <c r="V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W649">
        <f>AND(IF(Metadata!C649="",FALSE,TRUE),exact(Metadata!C649,"animal secretion"))</f>
        <v>0</v>
      </c>
      <c r="X649">
        <f>AND(IF(Metadata!D649="",FALSE,TRUE),exact(Metadata!D649,"saliva"))</f>
        <v>0</v>
      </c>
      <c r="Y649">
        <f>AND(IF(Metadata!E649="",FALSE,TRUE),exact(Metadata!E649,"human-oral"))</f>
        <v>0</v>
      </c>
      <c r="Z649">
        <f>AND(IF(Metadata!F649="",FALSE,TRUE),exact(Metadata!F649,"UBERON:oral cavity"))</f>
        <v>0</v>
      </c>
      <c r="AA649">
        <f>AND(IF(Metadata!G649="",FALSE,TRUE),exact(Metadata!G649,"UBERON:saliva"))</f>
        <v>0</v>
      </c>
      <c r="AB649">
        <f>AND(IF(Metadata!H649="",FALSE,TRUE),exact(Metadata!H649,"UBERON:tongue"))</f>
        <v>0</v>
      </c>
      <c r="AC649">
        <f>AND(IF(Metadata!I649="",FALSE,TRUE),exact(Metadata!I649,"tongue"))</f>
        <v>0</v>
      </c>
      <c r="AD649">
        <f>AND(IF(Metadata!J649="",FALSE,TRUE),exact(Metadata!J649,"human oral metagenome"))</f>
        <v>0</v>
      </c>
      <c r="AE649">
        <f>AND(IF(Metadata!K649="",FALSE,TRUE),exact(Metadata!K649,"447426"))</f>
        <v>0</v>
      </c>
    </row>
    <row r="650" spans="1:31">
      <c r="A650" s="4">
        <f>IF(B650=" "," ",HYPERLINK(CONCATENATE("#metadata!",ADDRESS(INDEX($Q$2:$Q$1001,MATCH(ROWS($O$2:O650),$O$2:$O$1001,0),0),1)),INDEX($T$2:$T$1001,MATCH(ROWS($O$2:O650),$O$2:$O$1001,0),0)))</f>
        <v>0</v>
      </c>
      <c r="B650" s="3">
        <f>IF(OR(INDEX($P$2:$P$1001,MATCH(ROWS($O$2:O650),$O$2:$O$1001,0),1)&gt;=100000,INDEX($V$1005:$AE$1005,1,MATCH(COLUMNS($V$1006:V1006),$V$1006:$AE$1006,0))&gt;=100000), " ",IF(INDEX($V$2:$AE$1001,MATCH(ROWS($O$2:O650),$O$2:$O$1001,0),MATCH(COLUMNS($V$1006:V1006),$V$1006:$AE$1006,0)), HYPERLINK("#",""), HYPERLINK(CONCATENATE("#Metadata!", ADDRESS(INDEX($Q$2:$Q$1001,MATCH(ROWS($O$2:O650),$O$2:$O$1001,0),0), INDEX($V$1004:$AE$1004,1,MATCH(COLUMNS($V$1006:V1006),$V$1006:$AE$1006,0)))),"Fix")))</f>
        <v>0</v>
      </c>
      <c r="C650" s="3">
        <f>IF(OR(INDEX($P$2:$P$1001,MATCH(ROWS($O$2:O650),$O$2:$O$1001,0),1)&gt;=100000,INDEX($V$1005:$AE$1005,1,MATCH(COLUMNS($V$1006:W1006),$V$1006:$AE$1006,0))&gt;=100000), " ",IF(INDEX($V$2:$AE$1001,MATCH(ROWS($O$2:O650),$O$2:$O$1001,0),MATCH(COLUMNS($V$1006:W1006),$V$1006:$AE$1006,0)), HYPERLINK("#",""), HYPERLINK(CONCATENATE("#Metadata!", ADDRESS(INDEX($Q$2:$Q$1001,MATCH(ROWS($O$2:O650),$O$2:$O$1001,0),0), INDEX($V$1004:$AE$1004,1,MATCH(COLUMNS($V$1006:W1006),$V$1006:$AE$1006,0)))),"Fix")))</f>
        <v>0</v>
      </c>
      <c r="D650" s="3">
        <f>IF(OR(INDEX($P$2:$P$1001,MATCH(ROWS($O$2:O650),$O$2:$O$1001,0),1)&gt;=100000,INDEX($V$1005:$AE$1005,1,MATCH(COLUMNS($V$1006:X1006),$V$1006:$AE$1006,0))&gt;=100000), " ",IF(INDEX($V$2:$AE$1001,MATCH(ROWS($O$2:O650),$O$2:$O$1001,0),MATCH(COLUMNS($V$1006:X1006),$V$1006:$AE$1006,0)), HYPERLINK("#",""), HYPERLINK(CONCATENATE("#Metadata!", ADDRESS(INDEX($Q$2:$Q$1001,MATCH(ROWS($O$2:O650),$O$2:$O$1001,0),0), INDEX($V$1004:$AE$1004,1,MATCH(COLUMNS($V$1006:X1006),$V$1006:$AE$1006,0)))),"Fix")))</f>
        <v>0</v>
      </c>
      <c r="E650" s="3">
        <f>IF(OR(INDEX($P$2:$P$1001,MATCH(ROWS($O$2:O650),$O$2:$O$1001,0),1)&gt;=100000,INDEX($V$1005:$AE$1005,1,MATCH(COLUMNS($V$1006:Y1006),$V$1006:$AE$1006,0))&gt;=100000), " ",IF(INDEX($V$2:$AE$1001,MATCH(ROWS($O$2:O650),$O$2:$O$1001,0),MATCH(COLUMNS($V$1006:Y1006),$V$1006:$AE$1006,0)), HYPERLINK("#",""), HYPERLINK(CONCATENATE("#Metadata!", ADDRESS(INDEX($Q$2:$Q$1001,MATCH(ROWS($O$2:O650),$O$2:$O$1001,0),0), INDEX($V$1004:$AE$1004,1,MATCH(COLUMNS($V$1006:Y1006),$V$1006:$AE$1006,0)))),"Fix")))</f>
        <v>0</v>
      </c>
      <c r="F650" s="3">
        <f>IF(OR(INDEX($P$2:$P$1001,MATCH(ROWS($O$2:O650),$O$2:$O$1001,0),1)&gt;=100000,INDEX($V$1005:$AE$1005,1,MATCH(COLUMNS($V$1006:Z1006),$V$1006:$AE$1006,0))&gt;=100000), " ",IF(INDEX($V$2:$AE$1001,MATCH(ROWS($O$2:O650),$O$2:$O$1001,0),MATCH(COLUMNS($V$1006:Z1006),$V$1006:$AE$1006,0)), HYPERLINK("#",""), HYPERLINK(CONCATENATE("#Metadata!", ADDRESS(INDEX($Q$2:$Q$1001,MATCH(ROWS($O$2:O650),$O$2:$O$1001,0),0), INDEX($V$1004:$AE$1004,1,MATCH(COLUMNS($V$1006:Z1006),$V$1006:$AE$1006,0)))),"Fix")))</f>
        <v>0</v>
      </c>
      <c r="G650" s="3">
        <f>IF(OR(INDEX($P$2:$P$1001,MATCH(ROWS($O$2:O650),$O$2:$O$1001,0),1)&gt;=100000,INDEX($V$1005:$AE$1005,1,MATCH(COLUMNS($V$1006:AA1006),$V$1006:$AE$1006,0))&gt;=100000), " ",IF(INDEX($V$2:$AE$1001,MATCH(ROWS($O$2:O650),$O$2:$O$1001,0),MATCH(COLUMNS($V$1006:AA1006),$V$1006:$AE$1006,0)), HYPERLINK("#",""), HYPERLINK(CONCATENATE("#Metadata!", ADDRESS(INDEX($Q$2:$Q$1001,MATCH(ROWS($O$2:O650),$O$2:$O$1001,0),0), INDEX($V$1004:$AE$1004,1,MATCH(COLUMNS($V$1006:AA1006),$V$1006:$AE$1006,0)))),"Fix")))</f>
        <v>0</v>
      </c>
      <c r="H650" s="3">
        <f>IF(OR(INDEX($P$2:$P$1001,MATCH(ROWS($O$2:O650),$O$2:$O$1001,0),1)&gt;=100000,INDEX($V$1005:$AE$1005,1,MATCH(COLUMNS($V$1006:AB1006),$V$1006:$AE$1006,0))&gt;=100000), " ",IF(INDEX($V$2:$AE$1001,MATCH(ROWS($O$2:O650),$O$2:$O$1001,0),MATCH(COLUMNS($V$1006:AB1006),$V$1006:$AE$1006,0)), HYPERLINK("#",""), HYPERLINK(CONCATENATE("#Metadata!", ADDRESS(INDEX($Q$2:$Q$1001,MATCH(ROWS($O$2:O650),$O$2:$O$1001,0),0), INDEX($V$1004:$AE$1004,1,MATCH(COLUMNS($V$1006:AB1006),$V$1006:$AE$1006,0)))),"Fix")))</f>
        <v>0</v>
      </c>
      <c r="I650" s="3">
        <f>IF(OR(INDEX($P$2:$P$1001,MATCH(ROWS($O$2:O650),$O$2:$O$1001,0),1)&gt;=100000,INDEX($V$1005:$AE$1005,1,MATCH(COLUMNS($V$1006:AC1006),$V$1006:$AE$1006,0))&gt;=100000), " ",IF(INDEX($V$2:$AE$1001,MATCH(ROWS($O$2:O650),$O$2:$O$1001,0),MATCH(COLUMNS($V$1006:AC1006),$V$1006:$AE$1006,0)), HYPERLINK("#",""), HYPERLINK(CONCATENATE("#Metadata!", ADDRESS(INDEX($Q$2:$Q$1001,MATCH(ROWS($O$2:O650),$O$2:$O$1001,0),0), INDEX($V$1004:$AE$1004,1,MATCH(COLUMNS($V$1006:AC1006),$V$1006:$AE$1006,0)))),"Fix")))</f>
        <v>0</v>
      </c>
      <c r="J650" s="3">
        <f>IF(OR(INDEX($P$2:$P$1001,MATCH(ROWS($O$2:O650),$O$2:$O$1001,0),1)&gt;=100000,INDEX($V$1005:$AE$1005,1,MATCH(COLUMNS($V$1006:AD1006),$V$1006:$AE$1006,0))&gt;=100000), " ",IF(INDEX($V$2:$AE$1001,MATCH(ROWS($O$2:O650),$O$2:$O$1001,0),MATCH(COLUMNS($V$1006:AD1006),$V$1006:$AE$1006,0)), HYPERLINK("#",""), HYPERLINK(CONCATENATE("#Metadata!", ADDRESS(INDEX($Q$2:$Q$1001,MATCH(ROWS($O$2:O650),$O$2:$O$1001,0),0), INDEX($V$1004:$AE$1004,1,MATCH(COLUMNS($V$1006:AD1006),$V$1006:$AE$1006,0)))),"Fix")))</f>
        <v>0</v>
      </c>
      <c r="K650" s="3">
        <f>IF(OR(INDEX($P$2:$P$1001,MATCH(ROWS($O$2:O650),$O$2:$O$1001,0),1)&gt;=100000,INDEX($V$1005:$AE$1005,1,MATCH(COLUMNS($V$1006:AE1006),$V$1006:$AE$1006,0))&gt;=100000), " ",IF(INDEX($V$2:$AE$1001,MATCH(ROWS($O$2:O650),$O$2:$O$1001,0),MATCH(COLUMNS($V$1006:AE1006),$V$1006:$AE$1006,0)), HYPERLINK("#",""), HYPERLINK(CONCATENATE("#Metadata!", ADDRESS(INDEX($Q$2:$Q$1001,MATCH(ROWS($O$2:O650),$O$2:$O$1001,0),0), INDEX($V$1004:$AE$1004,1,MATCH(COLUMNS($V$1006:AE1006),$V$1006:$AE$1006,0)))),"Fix")))</f>
        <v>0</v>
      </c>
      <c r="O650">
        <v>0</v>
      </c>
      <c r="P650">
        <v>0</v>
      </c>
      <c r="Q650">
        <v>0</v>
      </c>
      <c r="R650">
        <f>IF(S650,TRUE,AND(V650:AE650))</f>
        <v>0</v>
      </c>
      <c r="S650">
        <f>COUNTBLANK(Metadata!B650:K650)=COLUMNS(Metadata!B650:K650)</f>
        <v>0</v>
      </c>
      <c r="T650">
        <v>0</v>
      </c>
      <c r="V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W650">
        <f>AND(IF(Metadata!C650="",FALSE,TRUE),exact(Metadata!C650,"animal secretion"))</f>
        <v>0</v>
      </c>
      <c r="X650">
        <f>AND(IF(Metadata!D650="",FALSE,TRUE),exact(Metadata!D650,"saliva"))</f>
        <v>0</v>
      </c>
      <c r="Y650">
        <f>AND(IF(Metadata!E650="",FALSE,TRUE),exact(Metadata!E650,"human-oral"))</f>
        <v>0</v>
      </c>
      <c r="Z650">
        <f>AND(IF(Metadata!F650="",FALSE,TRUE),exact(Metadata!F650,"UBERON:oral cavity"))</f>
        <v>0</v>
      </c>
      <c r="AA650">
        <f>AND(IF(Metadata!G650="",FALSE,TRUE),exact(Metadata!G650,"UBERON:saliva"))</f>
        <v>0</v>
      </c>
      <c r="AB650">
        <f>AND(IF(Metadata!H650="",FALSE,TRUE),exact(Metadata!H650,"UBERON:tongue"))</f>
        <v>0</v>
      </c>
      <c r="AC650">
        <f>AND(IF(Metadata!I650="",FALSE,TRUE),exact(Metadata!I650,"tongue"))</f>
        <v>0</v>
      </c>
      <c r="AD650">
        <f>AND(IF(Metadata!J650="",FALSE,TRUE),exact(Metadata!J650,"human oral metagenome"))</f>
        <v>0</v>
      </c>
      <c r="AE650">
        <f>AND(IF(Metadata!K650="",FALSE,TRUE),exact(Metadata!K650,"447426"))</f>
        <v>0</v>
      </c>
    </row>
    <row r="651" spans="1:31">
      <c r="A651" s="4">
        <f>IF(B651=" "," ",HYPERLINK(CONCATENATE("#metadata!",ADDRESS(INDEX($Q$2:$Q$1001,MATCH(ROWS($O$2:O651),$O$2:$O$1001,0),0),1)),INDEX($T$2:$T$1001,MATCH(ROWS($O$2:O651),$O$2:$O$1001,0),0)))</f>
        <v>0</v>
      </c>
      <c r="B651" s="3">
        <f>IF(OR(INDEX($P$2:$P$1001,MATCH(ROWS($O$2:O651),$O$2:$O$1001,0),1)&gt;=100000,INDEX($V$1005:$AE$1005,1,MATCH(COLUMNS($V$1006:V1006),$V$1006:$AE$1006,0))&gt;=100000), " ",IF(INDEX($V$2:$AE$1001,MATCH(ROWS($O$2:O651),$O$2:$O$1001,0),MATCH(COLUMNS($V$1006:V1006),$V$1006:$AE$1006,0)), HYPERLINK("#",""), HYPERLINK(CONCATENATE("#Metadata!", ADDRESS(INDEX($Q$2:$Q$1001,MATCH(ROWS($O$2:O651),$O$2:$O$1001,0),0), INDEX($V$1004:$AE$1004,1,MATCH(COLUMNS($V$1006:V1006),$V$1006:$AE$1006,0)))),"Fix")))</f>
        <v>0</v>
      </c>
      <c r="C651" s="3">
        <f>IF(OR(INDEX($P$2:$P$1001,MATCH(ROWS($O$2:O651),$O$2:$O$1001,0),1)&gt;=100000,INDEX($V$1005:$AE$1005,1,MATCH(COLUMNS($V$1006:W1006),$V$1006:$AE$1006,0))&gt;=100000), " ",IF(INDEX($V$2:$AE$1001,MATCH(ROWS($O$2:O651),$O$2:$O$1001,0),MATCH(COLUMNS($V$1006:W1006),$V$1006:$AE$1006,0)), HYPERLINK("#",""), HYPERLINK(CONCATENATE("#Metadata!", ADDRESS(INDEX($Q$2:$Q$1001,MATCH(ROWS($O$2:O651),$O$2:$O$1001,0),0), INDEX($V$1004:$AE$1004,1,MATCH(COLUMNS($V$1006:W1006),$V$1006:$AE$1006,0)))),"Fix")))</f>
        <v>0</v>
      </c>
      <c r="D651" s="3">
        <f>IF(OR(INDEX($P$2:$P$1001,MATCH(ROWS($O$2:O651),$O$2:$O$1001,0),1)&gt;=100000,INDEX($V$1005:$AE$1005,1,MATCH(COLUMNS($V$1006:X1006),$V$1006:$AE$1006,0))&gt;=100000), " ",IF(INDEX($V$2:$AE$1001,MATCH(ROWS($O$2:O651),$O$2:$O$1001,0),MATCH(COLUMNS($V$1006:X1006),$V$1006:$AE$1006,0)), HYPERLINK("#",""), HYPERLINK(CONCATENATE("#Metadata!", ADDRESS(INDEX($Q$2:$Q$1001,MATCH(ROWS($O$2:O651),$O$2:$O$1001,0),0), INDEX($V$1004:$AE$1004,1,MATCH(COLUMNS($V$1006:X1006),$V$1006:$AE$1006,0)))),"Fix")))</f>
        <v>0</v>
      </c>
      <c r="E651" s="3">
        <f>IF(OR(INDEX($P$2:$P$1001,MATCH(ROWS($O$2:O651),$O$2:$O$1001,0),1)&gt;=100000,INDEX($V$1005:$AE$1005,1,MATCH(COLUMNS($V$1006:Y1006),$V$1006:$AE$1006,0))&gt;=100000), " ",IF(INDEX($V$2:$AE$1001,MATCH(ROWS($O$2:O651),$O$2:$O$1001,0),MATCH(COLUMNS($V$1006:Y1006),$V$1006:$AE$1006,0)), HYPERLINK("#",""), HYPERLINK(CONCATENATE("#Metadata!", ADDRESS(INDEX($Q$2:$Q$1001,MATCH(ROWS($O$2:O651),$O$2:$O$1001,0),0), INDEX($V$1004:$AE$1004,1,MATCH(COLUMNS($V$1006:Y1006),$V$1006:$AE$1006,0)))),"Fix")))</f>
        <v>0</v>
      </c>
      <c r="F651" s="3">
        <f>IF(OR(INDEX($P$2:$P$1001,MATCH(ROWS($O$2:O651),$O$2:$O$1001,0),1)&gt;=100000,INDEX($V$1005:$AE$1005,1,MATCH(COLUMNS($V$1006:Z1006),$V$1006:$AE$1006,0))&gt;=100000), " ",IF(INDEX($V$2:$AE$1001,MATCH(ROWS($O$2:O651),$O$2:$O$1001,0),MATCH(COLUMNS($V$1006:Z1006),$V$1006:$AE$1006,0)), HYPERLINK("#",""), HYPERLINK(CONCATENATE("#Metadata!", ADDRESS(INDEX($Q$2:$Q$1001,MATCH(ROWS($O$2:O651),$O$2:$O$1001,0),0), INDEX($V$1004:$AE$1004,1,MATCH(COLUMNS($V$1006:Z1006),$V$1006:$AE$1006,0)))),"Fix")))</f>
        <v>0</v>
      </c>
      <c r="G651" s="3">
        <f>IF(OR(INDEX($P$2:$P$1001,MATCH(ROWS($O$2:O651),$O$2:$O$1001,0),1)&gt;=100000,INDEX($V$1005:$AE$1005,1,MATCH(COLUMNS($V$1006:AA1006),$V$1006:$AE$1006,0))&gt;=100000), " ",IF(INDEX($V$2:$AE$1001,MATCH(ROWS($O$2:O651),$O$2:$O$1001,0),MATCH(COLUMNS($V$1006:AA1006),$V$1006:$AE$1006,0)), HYPERLINK("#",""), HYPERLINK(CONCATENATE("#Metadata!", ADDRESS(INDEX($Q$2:$Q$1001,MATCH(ROWS($O$2:O651),$O$2:$O$1001,0),0), INDEX($V$1004:$AE$1004,1,MATCH(COLUMNS($V$1006:AA1006),$V$1006:$AE$1006,0)))),"Fix")))</f>
        <v>0</v>
      </c>
      <c r="H651" s="3">
        <f>IF(OR(INDEX($P$2:$P$1001,MATCH(ROWS($O$2:O651),$O$2:$O$1001,0),1)&gt;=100000,INDEX($V$1005:$AE$1005,1,MATCH(COLUMNS($V$1006:AB1006),$V$1006:$AE$1006,0))&gt;=100000), " ",IF(INDEX($V$2:$AE$1001,MATCH(ROWS($O$2:O651),$O$2:$O$1001,0),MATCH(COLUMNS($V$1006:AB1006),$V$1006:$AE$1006,0)), HYPERLINK("#",""), HYPERLINK(CONCATENATE("#Metadata!", ADDRESS(INDEX($Q$2:$Q$1001,MATCH(ROWS($O$2:O651),$O$2:$O$1001,0),0), INDEX($V$1004:$AE$1004,1,MATCH(COLUMNS($V$1006:AB1006),$V$1006:$AE$1006,0)))),"Fix")))</f>
        <v>0</v>
      </c>
      <c r="I651" s="3">
        <f>IF(OR(INDEX($P$2:$P$1001,MATCH(ROWS($O$2:O651),$O$2:$O$1001,0),1)&gt;=100000,INDEX($V$1005:$AE$1005,1,MATCH(COLUMNS($V$1006:AC1006),$V$1006:$AE$1006,0))&gt;=100000), " ",IF(INDEX($V$2:$AE$1001,MATCH(ROWS($O$2:O651),$O$2:$O$1001,0),MATCH(COLUMNS($V$1006:AC1006),$V$1006:$AE$1006,0)), HYPERLINK("#",""), HYPERLINK(CONCATENATE("#Metadata!", ADDRESS(INDEX($Q$2:$Q$1001,MATCH(ROWS($O$2:O651),$O$2:$O$1001,0),0), INDEX($V$1004:$AE$1004,1,MATCH(COLUMNS($V$1006:AC1006),$V$1006:$AE$1006,0)))),"Fix")))</f>
        <v>0</v>
      </c>
      <c r="J651" s="3">
        <f>IF(OR(INDEX($P$2:$P$1001,MATCH(ROWS($O$2:O651),$O$2:$O$1001,0),1)&gt;=100000,INDEX($V$1005:$AE$1005,1,MATCH(COLUMNS($V$1006:AD1006),$V$1006:$AE$1006,0))&gt;=100000), " ",IF(INDEX($V$2:$AE$1001,MATCH(ROWS($O$2:O651),$O$2:$O$1001,0),MATCH(COLUMNS($V$1006:AD1006),$V$1006:$AE$1006,0)), HYPERLINK("#",""), HYPERLINK(CONCATENATE("#Metadata!", ADDRESS(INDEX($Q$2:$Q$1001,MATCH(ROWS($O$2:O651),$O$2:$O$1001,0),0), INDEX($V$1004:$AE$1004,1,MATCH(COLUMNS($V$1006:AD1006),$V$1006:$AE$1006,0)))),"Fix")))</f>
        <v>0</v>
      </c>
      <c r="K651" s="3">
        <f>IF(OR(INDEX($P$2:$P$1001,MATCH(ROWS($O$2:O651),$O$2:$O$1001,0),1)&gt;=100000,INDEX($V$1005:$AE$1005,1,MATCH(COLUMNS($V$1006:AE1006),$V$1006:$AE$1006,0))&gt;=100000), " ",IF(INDEX($V$2:$AE$1001,MATCH(ROWS($O$2:O651),$O$2:$O$1001,0),MATCH(COLUMNS($V$1006:AE1006),$V$1006:$AE$1006,0)), HYPERLINK("#",""), HYPERLINK(CONCATENATE("#Metadata!", ADDRESS(INDEX($Q$2:$Q$1001,MATCH(ROWS($O$2:O651),$O$2:$O$1001,0),0), INDEX($V$1004:$AE$1004,1,MATCH(COLUMNS($V$1006:AE1006),$V$1006:$AE$1006,0)))),"Fix")))</f>
        <v>0</v>
      </c>
      <c r="O651">
        <v>0</v>
      </c>
      <c r="P651">
        <v>0</v>
      </c>
      <c r="Q651">
        <v>0</v>
      </c>
      <c r="R651">
        <f>IF(S651,TRUE,AND(V651:AE651))</f>
        <v>0</v>
      </c>
      <c r="S651">
        <f>COUNTBLANK(Metadata!B651:K651)=COLUMNS(Metadata!B651:K651)</f>
        <v>0</v>
      </c>
      <c r="T651">
        <v>0</v>
      </c>
      <c r="V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W651">
        <f>AND(IF(Metadata!C651="",FALSE,TRUE),exact(Metadata!C651,"animal secretion"))</f>
        <v>0</v>
      </c>
      <c r="X651">
        <f>AND(IF(Metadata!D651="",FALSE,TRUE),exact(Metadata!D651,"saliva"))</f>
        <v>0</v>
      </c>
      <c r="Y651">
        <f>AND(IF(Metadata!E651="",FALSE,TRUE),exact(Metadata!E651,"human-oral"))</f>
        <v>0</v>
      </c>
      <c r="Z651">
        <f>AND(IF(Metadata!F651="",FALSE,TRUE),exact(Metadata!F651,"UBERON:oral cavity"))</f>
        <v>0</v>
      </c>
      <c r="AA651">
        <f>AND(IF(Metadata!G651="",FALSE,TRUE),exact(Metadata!G651,"UBERON:saliva"))</f>
        <v>0</v>
      </c>
      <c r="AB651">
        <f>AND(IF(Metadata!H651="",FALSE,TRUE),exact(Metadata!H651,"UBERON:tongue"))</f>
        <v>0</v>
      </c>
      <c r="AC651">
        <f>AND(IF(Metadata!I651="",FALSE,TRUE),exact(Metadata!I651,"tongue"))</f>
        <v>0</v>
      </c>
      <c r="AD651">
        <f>AND(IF(Metadata!J651="",FALSE,TRUE),exact(Metadata!J651,"human oral metagenome"))</f>
        <v>0</v>
      </c>
      <c r="AE651">
        <f>AND(IF(Metadata!K651="",FALSE,TRUE),exact(Metadata!K651,"447426"))</f>
        <v>0</v>
      </c>
    </row>
    <row r="652" spans="1:31">
      <c r="A652" s="4">
        <f>IF(B652=" "," ",HYPERLINK(CONCATENATE("#metadata!",ADDRESS(INDEX($Q$2:$Q$1001,MATCH(ROWS($O$2:O652),$O$2:$O$1001,0),0),1)),INDEX($T$2:$T$1001,MATCH(ROWS($O$2:O652),$O$2:$O$1001,0),0)))</f>
        <v>0</v>
      </c>
      <c r="B652" s="3">
        <f>IF(OR(INDEX($P$2:$P$1001,MATCH(ROWS($O$2:O652),$O$2:$O$1001,0),1)&gt;=100000,INDEX($V$1005:$AE$1005,1,MATCH(COLUMNS($V$1006:V1006),$V$1006:$AE$1006,0))&gt;=100000), " ",IF(INDEX($V$2:$AE$1001,MATCH(ROWS($O$2:O652),$O$2:$O$1001,0),MATCH(COLUMNS($V$1006:V1006),$V$1006:$AE$1006,0)), HYPERLINK("#",""), HYPERLINK(CONCATENATE("#Metadata!", ADDRESS(INDEX($Q$2:$Q$1001,MATCH(ROWS($O$2:O652),$O$2:$O$1001,0),0), INDEX($V$1004:$AE$1004,1,MATCH(COLUMNS($V$1006:V1006),$V$1006:$AE$1006,0)))),"Fix")))</f>
        <v>0</v>
      </c>
      <c r="C652" s="3">
        <f>IF(OR(INDEX($P$2:$P$1001,MATCH(ROWS($O$2:O652),$O$2:$O$1001,0),1)&gt;=100000,INDEX($V$1005:$AE$1005,1,MATCH(COLUMNS($V$1006:W1006),$V$1006:$AE$1006,0))&gt;=100000), " ",IF(INDEX($V$2:$AE$1001,MATCH(ROWS($O$2:O652),$O$2:$O$1001,0),MATCH(COLUMNS($V$1006:W1006),$V$1006:$AE$1006,0)), HYPERLINK("#",""), HYPERLINK(CONCATENATE("#Metadata!", ADDRESS(INDEX($Q$2:$Q$1001,MATCH(ROWS($O$2:O652),$O$2:$O$1001,0),0), INDEX($V$1004:$AE$1004,1,MATCH(COLUMNS($V$1006:W1006),$V$1006:$AE$1006,0)))),"Fix")))</f>
        <v>0</v>
      </c>
      <c r="D652" s="3">
        <f>IF(OR(INDEX($P$2:$P$1001,MATCH(ROWS($O$2:O652),$O$2:$O$1001,0),1)&gt;=100000,INDEX($V$1005:$AE$1005,1,MATCH(COLUMNS($V$1006:X1006),$V$1006:$AE$1006,0))&gt;=100000), " ",IF(INDEX($V$2:$AE$1001,MATCH(ROWS($O$2:O652),$O$2:$O$1001,0),MATCH(COLUMNS($V$1006:X1006),$V$1006:$AE$1006,0)), HYPERLINK("#",""), HYPERLINK(CONCATENATE("#Metadata!", ADDRESS(INDEX($Q$2:$Q$1001,MATCH(ROWS($O$2:O652),$O$2:$O$1001,0),0), INDEX($V$1004:$AE$1004,1,MATCH(COLUMNS($V$1006:X1006),$V$1006:$AE$1006,0)))),"Fix")))</f>
        <v>0</v>
      </c>
      <c r="E652" s="3">
        <f>IF(OR(INDEX($P$2:$P$1001,MATCH(ROWS($O$2:O652),$O$2:$O$1001,0),1)&gt;=100000,INDEX($V$1005:$AE$1005,1,MATCH(COLUMNS($V$1006:Y1006),$V$1006:$AE$1006,0))&gt;=100000), " ",IF(INDEX($V$2:$AE$1001,MATCH(ROWS($O$2:O652),$O$2:$O$1001,0),MATCH(COLUMNS($V$1006:Y1006),$V$1006:$AE$1006,0)), HYPERLINK("#",""), HYPERLINK(CONCATENATE("#Metadata!", ADDRESS(INDEX($Q$2:$Q$1001,MATCH(ROWS($O$2:O652),$O$2:$O$1001,0),0), INDEX($V$1004:$AE$1004,1,MATCH(COLUMNS($V$1006:Y1006),$V$1006:$AE$1006,0)))),"Fix")))</f>
        <v>0</v>
      </c>
      <c r="F652" s="3">
        <f>IF(OR(INDEX($P$2:$P$1001,MATCH(ROWS($O$2:O652),$O$2:$O$1001,0),1)&gt;=100000,INDEX($V$1005:$AE$1005,1,MATCH(COLUMNS($V$1006:Z1006),$V$1006:$AE$1006,0))&gt;=100000), " ",IF(INDEX($V$2:$AE$1001,MATCH(ROWS($O$2:O652),$O$2:$O$1001,0),MATCH(COLUMNS($V$1006:Z1006),$V$1006:$AE$1006,0)), HYPERLINK("#",""), HYPERLINK(CONCATENATE("#Metadata!", ADDRESS(INDEX($Q$2:$Q$1001,MATCH(ROWS($O$2:O652),$O$2:$O$1001,0),0), INDEX($V$1004:$AE$1004,1,MATCH(COLUMNS($V$1006:Z1006),$V$1006:$AE$1006,0)))),"Fix")))</f>
        <v>0</v>
      </c>
      <c r="G652" s="3">
        <f>IF(OR(INDEX($P$2:$P$1001,MATCH(ROWS($O$2:O652),$O$2:$O$1001,0),1)&gt;=100000,INDEX($V$1005:$AE$1005,1,MATCH(COLUMNS($V$1006:AA1006),$V$1006:$AE$1006,0))&gt;=100000), " ",IF(INDEX($V$2:$AE$1001,MATCH(ROWS($O$2:O652),$O$2:$O$1001,0),MATCH(COLUMNS($V$1006:AA1006),$V$1006:$AE$1006,0)), HYPERLINK("#",""), HYPERLINK(CONCATENATE("#Metadata!", ADDRESS(INDEX($Q$2:$Q$1001,MATCH(ROWS($O$2:O652),$O$2:$O$1001,0),0), INDEX($V$1004:$AE$1004,1,MATCH(COLUMNS($V$1006:AA1006),$V$1006:$AE$1006,0)))),"Fix")))</f>
        <v>0</v>
      </c>
      <c r="H652" s="3">
        <f>IF(OR(INDEX($P$2:$P$1001,MATCH(ROWS($O$2:O652),$O$2:$O$1001,0),1)&gt;=100000,INDEX($V$1005:$AE$1005,1,MATCH(COLUMNS($V$1006:AB1006),$V$1006:$AE$1006,0))&gt;=100000), " ",IF(INDEX($V$2:$AE$1001,MATCH(ROWS($O$2:O652),$O$2:$O$1001,0),MATCH(COLUMNS($V$1006:AB1006),$V$1006:$AE$1006,0)), HYPERLINK("#",""), HYPERLINK(CONCATENATE("#Metadata!", ADDRESS(INDEX($Q$2:$Q$1001,MATCH(ROWS($O$2:O652),$O$2:$O$1001,0),0), INDEX($V$1004:$AE$1004,1,MATCH(COLUMNS($V$1006:AB1006),$V$1006:$AE$1006,0)))),"Fix")))</f>
        <v>0</v>
      </c>
      <c r="I652" s="3">
        <f>IF(OR(INDEX($P$2:$P$1001,MATCH(ROWS($O$2:O652),$O$2:$O$1001,0),1)&gt;=100000,INDEX($V$1005:$AE$1005,1,MATCH(COLUMNS($V$1006:AC1006),$V$1006:$AE$1006,0))&gt;=100000), " ",IF(INDEX($V$2:$AE$1001,MATCH(ROWS($O$2:O652),$O$2:$O$1001,0),MATCH(COLUMNS($V$1006:AC1006),$V$1006:$AE$1006,0)), HYPERLINK("#",""), HYPERLINK(CONCATENATE("#Metadata!", ADDRESS(INDEX($Q$2:$Q$1001,MATCH(ROWS($O$2:O652),$O$2:$O$1001,0),0), INDEX($V$1004:$AE$1004,1,MATCH(COLUMNS($V$1006:AC1006),$V$1006:$AE$1006,0)))),"Fix")))</f>
        <v>0</v>
      </c>
      <c r="J652" s="3">
        <f>IF(OR(INDEX($P$2:$P$1001,MATCH(ROWS($O$2:O652),$O$2:$O$1001,0),1)&gt;=100000,INDEX($V$1005:$AE$1005,1,MATCH(COLUMNS($V$1006:AD1006),$V$1006:$AE$1006,0))&gt;=100000), " ",IF(INDEX($V$2:$AE$1001,MATCH(ROWS($O$2:O652),$O$2:$O$1001,0),MATCH(COLUMNS($V$1006:AD1006),$V$1006:$AE$1006,0)), HYPERLINK("#",""), HYPERLINK(CONCATENATE("#Metadata!", ADDRESS(INDEX($Q$2:$Q$1001,MATCH(ROWS($O$2:O652),$O$2:$O$1001,0),0), INDEX($V$1004:$AE$1004,1,MATCH(COLUMNS($V$1006:AD1006),$V$1006:$AE$1006,0)))),"Fix")))</f>
        <v>0</v>
      </c>
      <c r="K652" s="3">
        <f>IF(OR(INDEX($P$2:$P$1001,MATCH(ROWS($O$2:O652),$O$2:$O$1001,0),1)&gt;=100000,INDEX($V$1005:$AE$1005,1,MATCH(COLUMNS($V$1006:AE1006),$V$1006:$AE$1006,0))&gt;=100000), " ",IF(INDEX($V$2:$AE$1001,MATCH(ROWS($O$2:O652),$O$2:$O$1001,0),MATCH(COLUMNS($V$1006:AE1006),$V$1006:$AE$1006,0)), HYPERLINK("#",""), HYPERLINK(CONCATENATE("#Metadata!", ADDRESS(INDEX($Q$2:$Q$1001,MATCH(ROWS($O$2:O652),$O$2:$O$1001,0),0), INDEX($V$1004:$AE$1004,1,MATCH(COLUMNS($V$1006:AE1006),$V$1006:$AE$1006,0)))),"Fix")))</f>
        <v>0</v>
      </c>
      <c r="O652">
        <v>0</v>
      </c>
      <c r="P652">
        <v>0</v>
      </c>
      <c r="Q652">
        <v>0</v>
      </c>
      <c r="R652">
        <f>IF(S652,TRUE,AND(V652:AE652))</f>
        <v>0</v>
      </c>
      <c r="S652">
        <f>COUNTBLANK(Metadata!B652:K652)=COLUMNS(Metadata!B652:K652)</f>
        <v>0</v>
      </c>
      <c r="T652">
        <v>0</v>
      </c>
      <c r="V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W652">
        <f>AND(IF(Metadata!C652="",FALSE,TRUE),exact(Metadata!C652,"animal secretion"))</f>
        <v>0</v>
      </c>
      <c r="X652">
        <f>AND(IF(Metadata!D652="",FALSE,TRUE),exact(Metadata!D652,"saliva"))</f>
        <v>0</v>
      </c>
      <c r="Y652">
        <f>AND(IF(Metadata!E652="",FALSE,TRUE),exact(Metadata!E652,"human-oral"))</f>
        <v>0</v>
      </c>
      <c r="Z652">
        <f>AND(IF(Metadata!F652="",FALSE,TRUE),exact(Metadata!F652,"UBERON:oral cavity"))</f>
        <v>0</v>
      </c>
      <c r="AA652">
        <f>AND(IF(Metadata!G652="",FALSE,TRUE),exact(Metadata!G652,"UBERON:saliva"))</f>
        <v>0</v>
      </c>
      <c r="AB652">
        <f>AND(IF(Metadata!H652="",FALSE,TRUE),exact(Metadata!H652,"UBERON:tongue"))</f>
        <v>0</v>
      </c>
      <c r="AC652">
        <f>AND(IF(Metadata!I652="",FALSE,TRUE),exact(Metadata!I652,"tongue"))</f>
        <v>0</v>
      </c>
      <c r="AD652">
        <f>AND(IF(Metadata!J652="",FALSE,TRUE),exact(Metadata!J652,"human oral metagenome"))</f>
        <v>0</v>
      </c>
      <c r="AE652">
        <f>AND(IF(Metadata!K652="",FALSE,TRUE),exact(Metadata!K652,"447426"))</f>
        <v>0</v>
      </c>
    </row>
    <row r="653" spans="1:31">
      <c r="A653" s="4">
        <f>IF(B653=" "," ",HYPERLINK(CONCATENATE("#metadata!",ADDRESS(INDEX($Q$2:$Q$1001,MATCH(ROWS($O$2:O653),$O$2:$O$1001,0),0),1)),INDEX($T$2:$T$1001,MATCH(ROWS($O$2:O653),$O$2:$O$1001,0),0)))</f>
        <v>0</v>
      </c>
      <c r="B653" s="3">
        <f>IF(OR(INDEX($P$2:$P$1001,MATCH(ROWS($O$2:O653),$O$2:$O$1001,0),1)&gt;=100000,INDEX($V$1005:$AE$1005,1,MATCH(COLUMNS($V$1006:V1006),$V$1006:$AE$1006,0))&gt;=100000), " ",IF(INDEX($V$2:$AE$1001,MATCH(ROWS($O$2:O653),$O$2:$O$1001,0),MATCH(COLUMNS($V$1006:V1006),$V$1006:$AE$1006,0)), HYPERLINK("#",""), HYPERLINK(CONCATENATE("#Metadata!", ADDRESS(INDEX($Q$2:$Q$1001,MATCH(ROWS($O$2:O653),$O$2:$O$1001,0),0), INDEX($V$1004:$AE$1004,1,MATCH(COLUMNS($V$1006:V1006),$V$1006:$AE$1006,0)))),"Fix")))</f>
        <v>0</v>
      </c>
      <c r="C653" s="3">
        <f>IF(OR(INDEX($P$2:$P$1001,MATCH(ROWS($O$2:O653),$O$2:$O$1001,0),1)&gt;=100000,INDEX($V$1005:$AE$1005,1,MATCH(COLUMNS($V$1006:W1006),$V$1006:$AE$1006,0))&gt;=100000), " ",IF(INDEX($V$2:$AE$1001,MATCH(ROWS($O$2:O653),$O$2:$O$1001,0),MATCH(COLUMNS($V$1006:W1006),$V$1006:$AE$1006,0)), HYPERLINK("#",""), HYPERLINK(CONCATENATE("#Metadata!", ADDRESS(INDEX($Q$2:$Q$1001,MATCH(ROWS($O$2:O653),$O$2:$O$1001,0),0), INDEX($V$1004:$AE$1004,1,MATCH(COLUMNS($V$1006:W1006),$V$1006:$AE$1006,0)))),"Fix")))</f>
        <v>0</v>
      </c>
      <c r="D653" s="3">
        <f>IF(OR(INDEX($P$2:$P$1001,MATCH(ROWS($O$2:O653),$O$2:$O$1001,0),1)&gt;=100000,INDEX($V$1005:$AE$1005,1,MATCH(COLUMNS($V$1006:X1006),$V$1006:$AE$1006,0))&gt;=100000), " ",IF(INDEX($V$2:$AE$1001,MATCH(ROWS($O$2:O653),$O$2:$O$1001,0),MATCH(COLUMNS($V$1006:X1006),$V$1006:$AE$1006,0)), HYPERLINK("#",""), HYPERLINK(CONCATENATE("#Metadata!", ADDRESS(INDEX($Q$2:$Q$1001,MATCH(ROWS($O$2:O653),$O$2:$O$1001,0),0), INDEX($V$1004:$AE$1004,1,MATCH(COLUMNS($V$1006:X1006),$V$1006:$AE$1006,0)))),"Fix")))</f>
        <v>0</v>
      </c>
      <c r="E653" s="3">
        <f>IF(OR(INDEX($P$2:$P$1001,MATCH(ROWS($O$2:O653),$O$2:$O$1001,0),1)&gt;=100000,INDEX($V$1005:$AE$1005,1,MATCH(COLUMNS($V$1006:Y1006),$V$1006:$AE$1006,0))&gt;=100000), " ",IF(INDEX($V$2:$AE$1001,MATCH(ROWS($O$2:O653),$O$2:$O$1001,0),MATCH(COLUMNS($V$1006:Y1006),$V$1006:$AE$1006,0)), HYPERLINK("#",""), HYPERLINK(CONCATENATE("#Metadata!", ADDRESS(INDEX($Q$2:$Q$1001,MATCH(ROWS($O$2:O653),$O$2:$O$1001,0),0), INDEX($V$1004:$AE$1004,1,MATCH(COLUMNS($V$1006:Y1006),$V$1006:$AE$1006,0)))),"Fix")))</f>
        <v>0</v>
      </c>
      <c r="F653" s="3">
        <f>IF(OR(INDEX($P$2:$P$1001,MATCH(ROWS($O$2:O653),$O$2:$O$1001,0),1)&gt;=100000,INDEX($V$1005:$AE$1005,1,MATCH(COLUMNS($V$1006:Z1006),$V$1006:$AE$1006,0))&gt;=100000), " ",IF(INDEX($V$2:$AE$1001,MATCH(ROWS($O$2:O653),$O$2:$O$1001,0),MATCH(COLUMNS($V$1006:Z1006),$V$1006:$AE$1006,0)), HYPERLINK("#",""), HYPERLINK(CONCATENATE("#Metadata!", ADDRESS(INDEX($Q$2:$Q$1001,MATCH(ROWS($O$2:O653),$O$2:$O$1001,0),0), INDEX($V$1004:$AE$1004,1,MATCH(COLUMNS($V$1006:Z1006),$V$1006:$AE$1006,0)))),"Fix")))</f>
        <v>0</v>
      </c>
      <c r="G653" s="3">
        <f>IF(OR(INDEX($P$2:$P$1001,MATCH(ROWS($O$2:O653),$O$2:$O$1001,0),1)&gt;=100000,INDEX($V$1005:$AE$1005,1,MATCH(COLUMNS($V$1006:AA1006),$V$1006:$AE$1006,0))&gt;=100000), " ",IF(INDEX($V$2:$AE$1001,MATCH(ROWS($O$2:O653),$O$2:$O$1001,0),MATCH(COLUMNS($V$1006:AA1006),$V$1006:$AE$1006,0)), HYPERLINK("#",""), HYPERLINK(CONCATENATE("#Metadata!", ADDRESS(INDEX($Q$2:$Q$1001,MATCH(ROWS($O$2:O653),$O$2:$O$1001,0),0), INDEX($V$1004:$AE$1004,1,MATCH(COLUMNS($V$1006:AA1006),$V$1006:$AE$1006,0)))),"Fix")))</f>
        <v>0</v>
      </c>
      <c r="H653" s="3">
        <f>IF(OR(INDEX($P$2:$P$1001,MATCH(ROWS($O$2:O653),$O$2:$O$1001,0),1)&gt;=100000,INDEX($V$1005:$AE$1005,1,MATCH(COLUMNS($V$1006:AB1006),$V$1006:$AE$1006,0))&gt;=100000), " ",IF(INDEX($V$2:$AE$1001,MATCH(ROWS($O$2:O653),$O$2:$O$1001,0),MATCH(COLUMNS($V$1006:AB1006),$V$1006:$AE$1006,0)), HYPERLINK("#",""), HYPERLINK(CONCATENATE("#Metadata!", ADDRESS(INDEX($Q$2:$Q$1001,MATCH(ROWS($O$2:O653),$O$2:$O$1001,0),0), INDEX($V$1004:$AE$1004,1,MATCH(COLUMNS($V$1006:AB1006),$V$1006:$AE$1006,0)))),"Fix")))</f>
        <v>0</v>
      </c>
      <c r="I653" s="3">
        <f>IF(OR(INDEX($P$2:$P$1001,MATCH(ROWS($O$2:O653),$O$2:$O$1001,0),1)&gt;=100000,INDEX($V$1005:$AE$1005,1,MATCH(COLUMNS($V$1006:AC1006),$V$1006:$AE$1006,0))&gt;=100000), " ",IF(INDEX($V$2:$AE$1001,MATCH(ROWS($O$2:O653),$O$2:$O$1001,0),MATCH(COLUMNS($V$1006:AC1006),$V$1006:$AE$1006,0)), HYPERLINK("#",""), HYPERLINK(CONCATENATE("#Metadata!", ADDRESS(INDEX($Q$2:$Q$1001,MATCH(ROWS($O$2:O653),$O$2:$O$1001,0),0), INDEX($V$1004:$AE$1004,1,MATCH(COLUMNS($V$1006:AC1006),$V$1006:$AE$1006,0)))),"Fix")))</f>
        <v>0</v>
      </c>
      <c r="J653" s="3">
        <f>IF(OR(INDEX($P$2:$P$1001,MATCH(ROWS($O$2:O653),$O$2:$O$1001,0),1)&gt;=100000,INDEX($V$1005:$AE$1005,1,MATCH(COLUMNS($V$1006:AD1006),$V$1006:$AE$1006,0))&gt;=100000), " ",IF(INDEX($V$2:$AE$1001,MATCH(ROWS($O$2:O653),$O$2:$O$1001,0),MATCH(COLUMNS($V$1006:AD1006),$V$1006:$AE$1006,0)), HYPERLINK("#",""), HYPERLINK(CONCATENATE("#Metadata!", ADDRESS(INDEX($Q$2:$Q$1001,MATCH(ROWS($O$2:O653),$O$2:$O$1001,0),0), INDEX($V$1004:$AE$1004,1,MATCH(COLUMNS($V$1006:AD1006),$V$1006:$AE$1006,0)))),"Fix")))</f>
        <v>0</v>
      </c>
      <c r="K653" s="3">
        <f>IF(OR(INDEX($P$2:$P$1001,MATCH(ROWS($O$2:O653),$O$2:$O$1001,0),1)&gt;=100000,INDEX($V$1005:$AE$1005,1,MATCH(COLUMNS($V$1006:AE1006),$V$1006:$AE$1006,0))&gt;=100000), " ",IF(INDEX($V$2:$AE$1001,MATCH(ROWS($O$2:O653),$O$2:$O$1001,0),MATCH(COLUMNS($V$1006:AE1006),$V$1006:$AE$1006,0)), HYPERLINK("#",""), HYPERLINK(CONCATENATE("#Metadata!", ADDRESS(INDEX($Q$2:$Q$1001,MATCH(ROWS($O$2:O653),$O$2:$O$1001,0),0), INDEX($V$1004:$AE$1004,1,MATCH(COLUMNS($V$1006:AE1006),$V$1006:$AE$1006,0)))),"Fix")))</f>
        <v>0</v>
      </c>
      <c r="O653">
        <v>0</v>
      </c>
      <c r="P653">
        <v>0</v>
      </c>
      <c r="Q653">
        <v>0</v>
      </c>
      <c r="R653">
        <f>IF(S653,TRUE,AND(V653:AE653))</f>
        <v>0</v>
      </c>
      <c r="S653">
        <f>COUNTBLANK(Metadata!B653:K653)=COLUMNS(Metadata!B653:K653)</f>
        <v>0</v>
      </c>
      <c r="T653">
        <v>0</v>
      </c>
      <c r="V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W653">
        <f>AND(IF(Metadata!C653="",FALSE,TRUE),exact(Metadata!C653,"animal secretion"))</f>
        <v>0</v>
      </c>
      <c r="X653">
        <f>AND(IF(Metadata!D653="",FALSE,TRUE),exact(Metadata!D653,"saliva"))</f>
        <v>0</v>
      </c>
      <c r="Y653">
        <f>AND(IF(Metadata!E653="",FALSE,TRUE),exact(Metadata!E653,"human-oral"))</f>
        <v>0</v>
      </c>
      <c r="Z653">
        <f>AND(IF(Metadata!F653="",FALSE,TRUE),exact(Metadata!F653,"UBERON:oral cavity"))</f>
        <v>0</v>
      </c>
      <c r="AA653">
        <f>AND(IF(Metadata!G653="",FALSE,TRUE),exact(Metadata!G653,"UBERON:saliva"))</f>
        <v>0</v>
      </c>
      <c r="AB653">
        <f>AND(IF(Metadata!H653="",FALSE,TRUE),exact(Metadata!H653,"UBERON:tongue"))</f>
        <v>0</v>
      </c>
      <c r="AC653">
        <f>AND(IF(Metadata!I653="",FALSE,TRUE),exact(Metadata!I653,"tongue"))</f>
        <v>0</v>
      </c>
      <c r="AD653">
        <f>AND(IF(Metadata!J653="",FALSE,TRUE),exact(Metadata!J653,"human oral metagenome"))</f>
        <v>0</v>
      </c>
      <c r="AE653">
        <f>AND(IF(Metadata!K653="",FALSE,TRUE),exact(Metadata!K653,"447426"))</f>
        <v>0</v>
      </c>
    </row>
    <row r="654" spans="1:31">
      <c r="A654" s="4">
        <f>IF(B654=" "," ",HYPERLINK(CONCATENATE("#metadata!",ADDRESS(INDEX($Q$2:$Q$1001,MATCH(ROWS($O$2:O654),$O$2:$O$1001,0),0),1)),INDEX($T$2:$T$1001,MATCH(ROWS($O$2:O654),$O$2:$O$1001,0),0)))</f>
        <v>0</v>
      </c>
      <c r="B654" s="3">
        <f>IF(OR(INDEX($P$2:$P$1001,MATCH(ROWS($O$2:O654),$O$2:$O$1001,0),1)&gt;=100000,INDEX($V$1005:$AE$1005,1,MATCH(COLUMNS($V$1006:V1006),$V$1006:$AE$1006,0))&gt;=100000), " ",IF(INDEX($V$2:$AE$1001,MATCH(ROWS($O$2:O654),$O$2:$O$1001,0),MATCH(COLUMNS($V$1006:V1006),$V$1006:$AE$1006,0)), HYPERLINK("#",""), HYPERLINK(CONCATENATE("#Metadata!", ADDRESS(INDEX($Q$2:$Q$1001,MATCH(ROWS($O$2:O654),$O$2:$O$1001,0),0), INDEX($V$1004:$AE$1004,1,MATCH(COLUMNS($V$1006:V1006),$V$1006:$AE$1006,0)))),"Fix")))</f>
        <v>0</v>
      </c>
      <c r="C654" s="3">
        <f>IF(OR(INDEX($P$2:$P$1001,MATCH(ROWS($O$2:O654),$O$2:$O$1001,0),1)&gt;=100000,INDEX($V$1005:$AE$1005,1,MATCH(COLUMNS($V$1006:W1006),$V$1006:$AE$1006,0))&gt;=100000), " ",IF(INDEX($V$2:$AE$1001,MATCH(ROWS($O$2:O654),$O$2:$O$1001,0),MATCH(COLUMNS($V$1006:W1006),$V$1006:$AE$1006,0)), HYPERLINK("#",""), HYPERLINK(CONCATENATE("#Metadata!", ADDRESS(INDEX($Q$2:$Q$1001,MATCH(ROWS($O$2:O654),$O$2:$O$1001,0),0), INDEX($V$1004:$AE$1004,1,MATCH(COLUMNS($V$1006:W1006),$V$1006:$AE$1006,0)))),"Fix")))</f>
        <v>0</v>
      </c>
      <c r="D654" s="3">
        <f>IF(OR(INDEX($P$2:$P$1001,MATCH(ROWS($O$2:O654),$O$2:$O$1001,0),1)&gt;=100000,INDEX($V$1005:$AE$1005,1,MATCH(COLUMNS($V$1006:X1006),$V$1006:$AE$1006,0))&gt;=100000), " ",IF(INDEX($V$2:$AE$1001,MATCH(ROWS($O$2:O654),$O$2:$O$1001,0),MATCH(COLUMNS($V$1006:X1006),$V$1006:$AE$1006,0)), HYPERLINK("#",""), HYPERLINK(CONCATENATE("#Metadata!", ADDRESS(INDEX($Q$2:$Q$1001,MATCH(ROWS($O$2:O654),$O$2:$O$1001,0),0), INDEX($V$1004:$AE$1004,1,MATCH(COLUMNS($V$1006:X1006),$V$1006:$AE$1006,0)))),"Fix")))</f>
        <v>0</v>
      </c>
      <c r="E654" s="3">
        <f>IF(OR(INDEX($P$2:$P$1001,MATCH(ROWS($O$2:O654),$O$2:$O$1001,0),1)&gt;=100000,INDEX($V$1005:$AE$1005,1,MATCH(COLUMNS($V$1006:Y1006),$V$1006:$AE$1006,0))&gt;=100000), " ",IF(INDEX($V$2:$AE$1001,MATCH(ROWS($O$2:O654),$O$2:$O$1001,0),MATCH(COLUMNS($V$1006:Y1006),$V$1006:$AE$1006,0)), HYPERLINK("#",""), HYPERLINK(CONCATENATE("#Metadata!", ADDRESS(INDEX($Q$2:$Q$1001,MATCH(ROWS($O$2:O654),$O$2:$O$1001,0),0), INDEX($V$1004:$AE$1004,1,MATCH(COLUMNS($V$1006:Y1006),$V$1006:$AE$1006,0)))),"Fix")))</f>
        <v>0</v>
      </c>
      <c r="F654" s="3">
        <f>IF(OR(INDEX($P$2:$P$1001,MATCH(ROWS($O$2:O654),$O$2:$O$1001,0),1)&gt;=100000,INDEX($V$1005:$AE$1005,1,MATCH(COLUMNS($V$1006:Z1006),$V$1006:$AE$1006,0))&gt;=100000), " ",IF(INDEX($V$2:$AE$1001,MATCH(ROWS($O$2:O654),$O$2:$O$1001,0),MATCH(COLUMNS($V$1006:Z1006),$V$1006:$AE$1006,0)), HYPERLINK("#",""), HYPERLINK(CONCATENATE("#Metadata!", ADDRESS(INDEX($Q$2:$Q$1001,MATCH(ROWS($O$2:O654),$O$2:$O$1001,0),0), INDEX($V$1004:$AE$1004,1,MATCH(COLUMNS($V$1006:Z1006),$V$1006:$AE$1006,0)))),"Fix")))</f>
        <v>0</v>
      </c>
      <c r="G654" s="3">
        <f>IF(OR(INDEX($P$2:$P$1001,MATCH(ROWS($O$2:O654),$O$2:$O$1001,0),1)&gt;=100000,INDEX($V$1005:$AE$1005,1,MATCH(COLUMNS($V$1006:AA1006),$V$1006:$AE$1006,0))&gt;=100000), " ",IF(INDEX($V$2:$AE$1001,MATCH(ROWS($O$2:O654),$O$2:$O$1001,0),MATCH(COLUMNS($V$1006:AA1006),$V$1006:$AE$1006,0)), HYPERLINK("#",""), HYPERLINK(CONCATENATE("#Metadata!", ADDRESS(INDEX($Q$2:$Q$1001,MATCH(ROWS($O$2:O654),$O$2:$O$1001,0),0), INDEX($V$1004:$AE$1004,1,MATCH(COLUMNS($V$1006:AA1006),$V$1006:$AE$1006,0)))),"Fix")))</f>
        <v>0</v>
      </c>
      <c r="H654" s="3">
        <f>IF(OR(INDEX($P$2:$P$1001,MATCH(ROWS($O$2:O654),$O$2:$O$1001,0),1)&gt;=100000,INDEX($V$1005:$AE$1005,1,MATCH(COLUMNS($V$1006:AB1006),$V$1006:$AE$1006,0))&gt;=100000), " ",IF(INDEX($V$2:$AE$1001,MATCH(ROWS($O$2:O654),$O$2:$O$1001,0),MATCH(COLUMNS($V$1006:AB1006),$V$1006:$AE$1006,0)), HYPERLINK("#",""), HYPERLINK(CONCATENATE("#Metadata!", ADDRESS(INDEX($Q$2:$Q$1001,MATCH(ROWS($O$2:O654),$O$2:$O$1001,0),0), INDEX($V$1004:$AE$1004,1,MATCH(COLUMNS($V$1006:AB1006),$V$1006:$AE$1006,0)))),"Fix")))</f>
        <v>0</v>
      </c>
      <c r="I654" s="3">
        <f>IF(OR(INDEX($P$2:$P$1001,MATCH(ROWS($O$2:O654),$O$2:$O$1001,0),1)&gt;=100000,INDEX($V$1005:$AE$1005,1,MATCH(COLUMNS($V$1006:AC1006),$V$1006:$AE$1006,0))&gt;=100000), " ",IF(INDEX($V$2:$AE$1001,MATCH(ROWS($O$2:O654),$O$2:$O$1001,0),MATCH(COLUMNS($V$1006:AC1006),$V$1006:$AE$1006,0)), HYPERLINK("#",""), HYPERLINK(CONCATENATE("#Metadata!", ADDRESS(INDEX($Q$2:$Q$1001,MATCH(ROWS($O$2:O654),$O$2:$O$1001,0),0), INDEX($V$1004:$AE$1004,1,MATCH(COLUMNS($V$1006:AC1006),$V$1006:$AE$1006,0)))),"Fix")))</f>
        <v>0</v>
      </c>
      <c r="J654" s="3">
        <f>IF(OR(INDEX($P$2:$P$1001,MATCH(ROWS($O$2:O654),$O$2:$O$1001,0),1)&gt;=100000,INDEX($V$1005:$AE$1005,1,MATCH(COLUMNS($V$1006:AD1006),$V$1006:$AE$1006,0))&gt;=100000), " ",IF(INDEX($V$2:$AE$1001,MATCH(ROWS($O$2:O654),$O$2:$O$1001,0),MATCH(COLUMNS($V$1006:AD1006),$V$1006:$AE$1006,0)), HYPERLINK("#",""), HYPERLINK(CONCATENATE("#Metadata!", ADDRESS(INDEX($Q$2:$Q$1001,MATCH(ROWS($O$2:O654),$O$2:$O$1001,0),0), INDEX($V$1004:$AE$1004,1,MATCH(COLUMNS($V$1006:AD1006),$V$1006:$AE$1006,0)))),"Fix")))</f>
        <v>0</v>
      </c>
      <c r="K654" s="3">
        <f>IF(OR(INDEX($P$2:$P$1001,MATCH(ROWS($O$2:O654),$O$2:$O$1001,0),1)&gt;=100000,INDEX($V$1005:$AE$1005,1,MATCH(COLUMNS($V$1006:AE1006),$V$1006:$AE$1006,0))&gt;=100000), " ",IF(INDEX($V$2:$AE$1001,MATCH(ROWS($O$2:O654),$O$2:$O$1001,0),MATCH(COLUMNS($V$1006:AE1006),$V$1006:$AE$1006,0)), HYPERLINK("#",""), HYPERLINK(CONCATENATE("#Metadata!", ADDRESS(INDEX($Q$2:$Q$1001,MATCH(ROWS($O$2:O654),$O$2:$O$1001,0),0), INDEX($V$1004:$AE$1004,1,MATCH(COLUMNS($V$1006:AE1006),$V$1006:$AE$1006,0)))),"Fix")))</f>
        <v>0</v>
      </c>
      <c r="O654">
        <v>0</v>
      </c>
      <c r="P654">
        <v>0</v>
      </c>
      <c r="Q654">
        <v>0</v>
      </c>
      <c r="R654">
        <f>IF(S654,TRUE,AND(V654:AE654))</f>
        <v>0</v>
      </c>
      <c r="S654">
        <f>COUNTBLANK(Metadata!B654:K654)=COLUMNS(Metadata!B654:K654)</f>
        <v>0</v>
      </c>
      <c r="T654">
        <v>0</v>
      </c>
      <c r="V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W654">
        <f>AND(IF(Metadata!C654="",FALSE,TRUE),exact(Metadata!C654,"animal secretion"))</f>
        <v>0</v>
      </c>
      <c r="X654">
        <f>AND(IF(Metadata!D654="",FALSE,TRUE),exact(Metadata!D654,"saliva"))</f>
        <v>0</v>
      </c>
      <c r="Y654">
        <f>AND(IF(Metadata!E654="",FALSE,TRUE),exact(Metadata!E654,"human-oral"))</f>
        <v>0</v>
      </c>
      <c r="Z654">
        <f>AND(IF(Metadata!F654="",FALSE,TRUE),exact(Metadata!F654,"UBERON:oral cavity"))</f>
        <v>0</v>
      </c>
      <c r="AA654">
        <f>AND(IF(Metadata!G654="",FALSE,TRUE),exact(Metadata!G654,"UBERON:saliva"))</f>
        <v>0</v>
      </c>
      <c r="AB654">
        <f>AND(IF(Metadata!H654="",FALSE,TRUE),exact(Metadata!H654,"UBERON:tongue"))</f>
        <v>0</v>
      </c>
      <c r="AC654">
        <f>AND(IF(Metadata!I654="",FALSE,TRUE),exact(Metadata!I654,"tongue"))</f>
        <v>0</v>
      </c>
      <c r="AD654">
        <f>AND(IF(Metadata!J654="",FALSE,TRUE),exact(Metadata!J654,"human oral metagenome"))</f>
        <v>0</v>
      </c>
      <c r="AE654">
        <f>AND(IF(Metadata!K654="",FALSE,TRUE),exact(Metadata!K654,"447426"))</f>
        <v>0</v>
      </c>
    </row>
    <row r="655" spans="1:31">
      <c r="A655" s="4">
        <f>IF(B655=" "," ",HYPERLINK(CONCATENATE("#metadata!",ADDRESS(INDEX($Q$2:$Q$1001,MATCH(ROWS($O$2:O655),$O$2:$O$1001,0),0),1)),INDEX($T$2:$T$1001,MATCH(ROWS($O$2:O655),$O$2:$O$1001,0),0)))</f>
        <v>0</v>
      </c>
      <c r="B655" s="3">
        <f>IF(OR(INDEX($P$2:$P$1001,MATCH(ROWS($O$2:O655),$O$2:$O$1001,0),1)&gt;=100000,INDEX($V$1005:$AE$1005,1,MATCH(COLUMNS($V$1006:V1006),$V$1006:$AE$1006,0))&gt;=100000), " ",IF(INDEX($V$2:$AE$1001,MATCH(ROWS($O$2:O655),$O$2:$O$1001,0),MATCH(COLUMNS($V$1006:V1006),$V$1006:$AE$1006,0)), HYPERLINK("#",""), HYPERLINK(CONCATENATE("#Metadata!", ADDRESS(INDEX($Q$2:$Q$1001,MATCH(ROWS($O$2:O655),$O$2:$O$1001,0),0), INDEX($V$1004:$AE$1004,1,MATCH(COLUMNS($V$1006:V1006),$V$1006:$AE$1006,0)))),"Fix")))</f>
        <v>0</v>
      </c>
      <c r="C655" s="3">
        <f>IF(OR(INDEX($P$2:$P$1001,MATCH(ROWS($O$2:O655),$O$2:$O$1001,0),1)&gt;=100000,INDEX($V$1005:$AE$1005,1,MATCH(COLUMNS($V$1006:W1006),$V$1006:$AE$1006,0))&gt;=100000), " ",IF(INDEX($V$2:$AE$1001,MATCH(ROWS($O$2:O655),$O$2:$O$1001,0),MATCH(COLUMNS($V$1006:W1006),$V$1006:$AE$1006,0)), HYPERLINK("#",""), HYPERLINK(CONCATENATE("#Metadata!", ADDRESS(INDEX($Q$2:$Q$1001,MATCH(ROWS($O$2:O655),$O$2:$O$1001,0),0), INDEX($V$1004:$AE$1004,1,MATCH(COLUMNS($V$1006:W1006),$V$1006:$AE$1006,0)))),"Fix")))</f>
        <v>0</v>
      </c>
      <c r="D655" s="3">
        <f>IF(OR(INDEX($P$2:$P$1001,MATCH(ROWS($O$2:O655),$O$2:$O$1001,0),1)&gt;=100000,INDEX($V$1005:$AE$1005,1,MATCH(COLUMNS($V$1006:X1006),$V$1006:$AE$1006,0))&gt;=100000), " ",IF(INDEX($V$2:$AE$1001,MATCH(ROWS($O$2:O655),$O$2:$O$1001,0),MATCH(COLUMNS($V$1006:X1006),$V$1006:$AE$1006,0)), HYPERLINK("#",""), HYPERLINK(CONCATENATE("#Metadata!", ADDRESS(INDEX($Q$2:$Q$1001,MATCH(ROWS($O$2:O655),$O$2:$O$1001,0),0), INDEX($V$1004:$AE$1004,1,MATCH(COLUMNS($V$1006:X1006),$V$1006:$AE$1006,0)))),"Fix")))</f>
        <v>0</v>
      </c>
      <c r="E655" s="3">
        <f>IF(OR(INDEX($P$2:$P$1001,MATCH(ROWS($O$2:O655),$O$2:$O$1001,0),1)&gt;=100000,INDEX($V$1005:$AE$1005,1,MATCH(COLUMNS($V$1006:Y1006),$V$1006:$AE$1006,0))&gt;=100000), " ",IF(INDEX($V$2:$AE$1001,MATCH(ROWS($O$2:O655),$O$2:$O$1001,0),MATCH(COLUMNS($V$1006:Y1006),$V$1006:$AE$1006,0)), HYPERLINK("#",""), HYPERLINK(CONCATENATE("#Metadata!", ADDRESS(INDEX($Q$2:$Q$1001,MATCH(ROWS($O$2:O655),$O$2:$O$1001,0),0), INDEX($V$1004:$AE$1004,1,MATCH(COLUMNS($V$1006:Y1006),$V$1006:$AE$1006,0)))),"Fix")))</f>
        <v>0</v>
      </c>
      <c r="F655" s="3">
        <f>IF(OR(INDEX($P$2:$P$1001,MATCH(ROWS($O$2:O655),$O$2:$O$1001,0),1)&gt;=100000,INDEX($V$1005:$AE$1005,1,MATCH(COLUMNS($V$1006:Z1006),$V$1006:$AE$1006,0))&gt;=100000), " ",IF(INDEX($V$2:$AE$1001,MATCH(ROWS($O$2:O655),$O$2:$O$1001,0),MATCH(COLUMNS($V$1006:Z1006),$V$1006:$AE$1006,0)), HYPERLINK("#",""), HYPERLINK(CONCATENATE("#Metadata!", ADDRESS(INDEX($Q$2:$Q$1001,MATCH(ROWS($O$2:O655),$O$2:$O$1001,0),0), INDEX($V$1004:$AE$1004,1,MATCH(COLUMNS($V$1006:Z1006),$V$1006:$AE$1006,0)))),"Fix")))</f>
        <v>0</v>
      </c>
      <c r="G655" s="3">
        <f>IF(OR(INDEX($P$2:$P$1001,MATCH(ROWS($O$2:O655),$O$2:$O$1001,0),1)&gt;=100000,INDEX($V$1005:$AE$1005,1,MATCH(COLUMNS($V$1006:AA1006),$V$1006:$AE$1006,0))&gt;=100000), " ",IF(INDEX($V$2:$AE$1001,MATCH(ROWS($O$2:O655),$O$2:$O$1001,0),MATCH(COLUMNS($V$1006:AA1006),$V$1006:$AE$1006,0)), HYPERLINK("#",""), HYPERLINK(CONCATENATE("#Metadata!", ADDRESS(INDEX($Q$2:$Q$1001,MATCH(ROWS($O$2:O655),$O$2:$O$1001,0),0), INDEX($V$1004:$AE$1004,1,MATCH(COLUMNS($V$1006:AA1006),$V$1006:$AE$1006,0)))),"Fix")))</f>
        <v>0</v>
      </c>
      <c r="H655" s="3">
        <f>IF(OR(INDEX($P$2:$P$1001,MATCH(ROWS($O$2:O655),$O$2:$O$1001,0),1)&gt;=100000,INDEX($V$1005:$AE$1005,1,MATCH(COLUMNS($V$1006:AB1006),$V$1006:$AE$1006,0))&gt;=100000), " ",IF(INDEX($V$2:$AE$1001,MATCH(ROWS($O$2:O655),$O$2:$O$1001,0),MATCH(COLUMNS($V$1006:AB1006),$V$1006:$AE$1006,0)), HYPERLINK("#",""), HYPERLINK(CONCATENATE("#Metadata!", ADDRESS(INDEX($Q$2:$Q$1001,MATCH(ROWS($O$2:O655),$O$2:$O$1001,0),0), INDEX($V$1004:$AE$1004,1,MATCH(COLUMNS($V$1006:AB1006),$V$1006:$AE$1006,0)))),"Fix")))</f>
        <v>0</v>
      </c>
      <c r="I655" s="3">
        <f>IF(OR(INDEX($P$2:$P$1001,MATCH(ROWS($O$2:O655),$O$2:$O$1001,0),1)&gt;=100000,INDEX($V$1005:$AE$1005,1,MATCH(COLUMNS($V$1006:AC1006),$V$1006:$AE$1006,0))&gt;=100000), " ",IF(INDEX($V$2:$AE$1001,MATCH(ROWS($O$2:O655),$O$2:$O$1001,0),MATCH(COLUMNS($V$1006:AC1006),$V$1006:$AE$1006,0)), HYPERLINK("#",""), HYPERLINK(CONCATENATE("#Metadata!", ADDRESS(INDEX($Q$2:$Q$1001,MATCH(ROWS($O$2:O655),$O$2:$O$1001,0),0), INDEX($V$1004:$AE$1004,1,MATCH(COLUMNS($V$1006:AC1006),$V$1006:$AE$1006,0)))),"Fix")))</f>
        <v>0</v>
      </c>
      <c r="J655" s="3">
        <f>IF(OR(INDEX($P$2:$P$1001,MATCH(ROWS($O$2:O655),$O$2:$O$1001,0),1)&gt;=100000,INDEX($V$1005:$AE$1005,1,MATCH(COLUMNS($V$1006:AD1006),$V$1006:$AE$1006,0))&gt;=100000), " ",IF(INDEX($V$2:$AE$1001,MATCH(ROWS($O$2:O655),$O$2:$O$1001,0),MATCH(COLUMNS($V$1006:AD1006),$V$1006:$AE$1006,0)), HYPERLINK("#",""), HYPERLINK(CONCATENATE("#Metadata!", ADDRESS(INDEX($Q$2:$Q$1001,MATCH(ROWS($O$2:O655),$O$2:$O$1001,0),0), INDEX($V$1004:$AE$1004,1,MATCH(COLUMNS($V$1006:AD1006),$V$1006:$AE$1006,0)))),"Fix")))</f>
        <v>0</v>
      </c>
      <c r="K655" s="3">
        <f>IF(OR(INDEX($P$2:$P$1001,MATCH(ROWS($O$2:O655),$O$2:$O$1001,0),1)&gt;=100000,INDEX($V$1005:$AE$1005,1,MATCH(COLUMNS($V$1006:AE1006),$V$1006:$AE$1006,0))&gt;=100000), " ",IF(INDEX($V$2:$AE$1001,MATCH(ROWS($O$2:O655),$O$2:$O$1001,0),MATCH(COLUMNS($V$1006:AE1006),$V$1006:$AE$1006,0)), HYPERLINK("#",""), HYPERLINK(CONCATENATE("#Metadata!", ADDRESS(INDEX($Q$2:$Q$1001,MATCH(ROWS($O$2:O655),$O$2:$O$1001,0),0), INDEX($V$1004:$AE$1004,1,MATCH(COLUMNS($V$1006:AE1006),$V$1006:$AE$1006,0)))),"Fix")))</f>
        <v>0</v>
      </c>
      <c r="O655">
        <v>0</v>
      </c>
      <c r="P655">
        <v>0</v>
      </c>
      <c r="Q655">
        <v>0</v>
      </c>
      <c r="R655">
        <f>IF(S655,TRUE,AND(V655:AE655))</f>
        <v>0</v>
      </c>
      <c r="S655">
        <f>COUNTBLANK(Metadata!B655:K655)=COLUMNS(Metadata!B655:K655)</f>
        <v>0</v>
      </c>
      <c r="T655">
        <v>0</v>
      </c>
      <c r="V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W655">
        <f>AND(IF(Metadata!C655="",FALSE,TRUE),exact(Metadata!C655,"animal secretion"))</f>
        <v>0</v>
      </c>
      <c r="X655">
        <f>AND(IF(Metadata!D655="",FALSE,TRUE),exact(Metadata!D655,"saliva"))</f>
        <v>0</v>
      </c>
      <c r="Y655">
        <f>AND(IF(Metadata!E655="",FALSE,TRUE),exact(Metadata!E655,"human-oral"))</f>
        <v>0</v>
      </c>
      <c r="Z655">
        <f>AND(IF(Metadata!F655="",FALSE,TRUE),exact(Metadata!F655,"UBERON:oral cavity"))</f>
        <v>0</v>
      </c>
      <c r="AA655">
        <f>AND(IF(Metadata!G655="",FALSE,TRUE),exact(Metadata!G655,"UBERON:saliva"))</f>
        <v>0</v>
      </c>
      <c r="AB655">
        <f>AND(IF(Metadata!H655="",FALSE,TRUE),exact(Metadata!H655,"UBERON:tongue"))</f>
        <v>0</v>
      </c>
      <c r="AC655">
        <f>AND(IF(Metadata!I655="",FALSE,TRUE),exact(Metadata!I655,"tongue"))</f>
        <v>0</v>
      </c>
      <c r="AD655">
        <f>AND(IF(Metadata!J655="",FALSE,TRUE),exact(Metadata!J655,"human oral metagenome"))</f>
        <v>0</v>
      </c>
      <c r="AE655">
        <f>AND(IF(Metadata!K655="",FALSE,TRUE),exact(Metadata!K655,"447426"))</f>
        <v>0</v>
      </c>
    </row>
    <row r="656" spans="1:31">
      <c r="A656" s="4">
        <f>IF(B656=" "," ",HYPERLINK(CONCATENATE("#metadata!",ADDRESS(INDEX($Q$2:$Q$1001,MATCH(ROWS($O$2:O656),$O$2:$O$1001,0),0),1)),INDEX($T$2:$T$1001,MATCH(ROWS($O$2:O656),$O$2:$O$1001,0),0)))</f>
        <v>0</v>
      </c>
      <c r="B656" s="3">
        <f>IF(OR(INDEX($P$2:$P$1001,MATCH(ROWS($O$2:O656),$O$2:$O$1001,0),1)&gt;=100000,INDEX($V$1005:$AE$1005,1,MATCH(COLUMNS($V$1006:V1006),$V$1006:$AE$1006,0))&gt;=100000), " ",IF(INDEX($V$2:$AE$1001,MATCH(ROWS($O$2:O656),$O$2:$O$1001,0),MATCH(COLUMNS($V$1006:V1006),$V$1006:$AE$1006,0)), HYPERLINK("#",""), HYPERLINK(CONCATENATE("#Metadata!", ADDRESS(INDEX($Q$2:$Q$1001,MATCH(ROWS($O$2:O656),$O$2:$O$1001,0),0), INDEX($V$1004:$AE$1004,1,MATCH(COLUMNS($V$1006:V1006),$V$1006:$AE$1006,0)))),"Fix")))</f>
        <v>0</v>
      </c>
      <c r="C656" s="3">
        <f>IF(OR(INDEX($P$2:$P$1001,MATCH(ROWS($O$2:O656),$O$2:$O$1001,0),1)&gt;=100000,INDEX($V$1005:$AE$1005,1,MATCH(COLUMNS($V$1006:W1006),$V$1006:$AE$1006,0))&gt;=100000), " ",IF(INDEX($V$2:$AE$1001,MATCH(ROWS($O$2:O656),$O$2:$O$1001,0),MATCH(COLUMNS($V$1006:W1006),$V$1006:$AE$1006,0)), HYPERLINK("#",""), HYPERLINK(CONCATENATE("#Metadata!", ADDRESS(INDEX($Q$2:$Q$1001,MATCH(ROWS($O$2:O656),$O$2:$O$1001,0),0), INDEX($V$1004:$AE$1004,1,MATCH(COLUMNS($V$1006:W1006),$V$1006:$AE$1006,0)))),"Fix")))</f>
        <v>0</v>
      </c>
      <c r="D656" s="3">
        <f>IF(OR(INDEX($P$2:$P$1001,MATCH(ROWS($O$2:O656),$O$2:$O$1001,0),1)&gt;=100000,INDEX($V$1005:$AE$1005,1,MATCH(COLUMNS($V$1006:X1006),$V$1006:$AE$1006,0))&gt;=100000), " ",IF(INDEX($V$2:$AE$1001,MATCH(ROWS($O$2:O656),$O$2:$O$1001,0),MATCH(COLUMNS($V$1006:X1006),$V$1006:$AE$1006,0)), HYPERLINK("#",""), HYPERLINK(CONCATENATE("#Metadata!", ADDRESS(INDEX($Q$2:$Q$1001,MATCH(ROWS($O$2:O656),$O$2:$O$1001,0),0), INDEX($V$1004:$AE$1004,1,MATCH(COLUMNS($V$1006:X1006),$V$1006:$AE$1006,0)))),"Fix")))</f>
        <v>0</v>
      </c>
      <c r="E656" s="3">
        <f>IF(OR(INDEX($P$2:$P$1001,MATCH(ROWS($O$2:O656),$O$2:$O$1001,0),1)&gt;=100000,INDEX($V$1005:$AE$1005,1,MATCH(COLUMNS($V$1006:Y1006),$V$1006:$AE$1006,0))&gt;=100000), " ",IF(INDEX($V$2:$AE$1001,MATCH(ROWS($O$2:O656),$O$2:$O$1001,0),MATCH(COLUMNS($V$1006:Y1006),$V$1006:$AE$1006,0)), HYPERLINK("#",""), HYPERLINK(CONCATENATE("#Metadata!", ADDRESS(INDEX($Q$2:$Q$1001,MATCH(ROWS($O$2:O656),$O$2:$O$1001,0),0), INDEX($V$1004:$AE$1004,1,MATCH(COLUMNS($V$1006:Y1006),$V$1006:$AE$1006,0)))),"Fix")))</f>
        <v>0</v>
      </c>
      <c r="F656" s="3">
        <f>IF(OR(INDEX($P$2:$P$1001,MATCH(ROWS($O$2:O656),$O$2:$O$1001,0),1)&gt;=100000,INDEX($V$1005:$AE$1005,1,MATCH(COLUMNS($V$1006:Z1006),$V$1006:$AE$1006,0))&gt;=100000), " ",IF(INDEX($V$2:$AE$1001,MATCH(ROWS($O$2:O656),$O$2:$O$1001,0),MATCH(COLUMNS($V$1006:Z1006),$V$1006:$AE$1006,0)), HYPERLINK("#",""), HYPERLINK(CONCATENATE("#Metadata!", ADDRESS(INDEX($Q$2:$Q$1001,MATCH(ROWS($O$2:O656),$O$2:$O$1001,0),0), INDEX($V$1004:$AE$1004,1,MATCH(COLUMNS($V$1006:Z1006),$V$1006:$AE$1006,0)))),"Fix")))</f>
        <v>0</v>
      </c>
      <c r="G656" s="3">
        <f>IF(OR(INDEX($P$2:$P$1001,MATCH(ROWS($O$2:O656),$O$2:$O$1001,0),1)&gt;=100000,INDEX($V$1005:$AE$1005,1,MATCH(COLUMNS($V$1006:AA1006),$V$1006:$AE$1006,0))&gt;=100000), " ",IF(INDEX($V$2:$AE$1001,MATCH(ROWS($O$2:O656),$O$2:$O$1001,0),MATCH(COLUMNS($V$1006:AA1006),$V$1006:$AE$1006,0)), HYPERLINK("#",""), HYPERLINK(CONCATENATE("#Metadata!", ADDRESS(INDEX($Q$2:$Q$1001,MATCH(ROWS($O$2:O656),$O$2:$O$1001,0),0), INDEX($V$1004:$AE$1004,1,MATCH(COLUMNS($V$1006:AA1006),$V$1006:$AE$1006,0)))),"Fix")))</f>
        <v>0</v>
      </c>
      <c r="H656" s="3">
        <f>IF(OR(INDEX($P$2:$P$1001,MATCH(ROWS($O$2:O656),$O$2:$O$1001,0),1)&gt;=100000,INDEX($V$1005:$AE$1005,1,MATCH(COLUMNS($V$1006:AB1006),$V$1006:$AE$1006,0))&gt;=100000), " ",IF(INDEX($V$2:$AE$1001,MATCH(ROWS($O$2:O656),$O$2:$O$1001,0),MATCH(COLUMNS($V$1006:AB1006),$V$1006:$AE$1006,0)), HYPERLINK("#",""), HYPERLINK(CONCATENATE("#Metadata!", ADDRESS(INDEX($Q$2:$Q$1001,MATCH(ROWS($O$2:O656),$O$2:$O$1001,0),0), INDEX($V$1004:$AE$1004,1,MATCH(COLUMNS($V$1006:AB1006),$V$1006:$AE$1006,0)))),"Fix")))</f>
        <v>0</v>
      </c>
      <c r="I656" s="3">
        <f>IF(OR(INDEX($P$2:$P$1001,MATCH(ROWS($O$2:O656),$O$2:$O$1001,0),1)&gt;=100000,INDEX($V$1005:$AE$1005,1,MATCH(COLUMNS($V$1006:AC1006),$V$1006:$AE$1006,0))&gt;=100000), " ",IF(INDEX($V$2:$AE$1001,MATCH(ROWS($O$2:O656),$O$2:$O$1001,0),MATCH(COLUMNS($V$1006:AC1006),$V$1006:$AE$1006,0)), HYPERLINK("#",""), HYPERLINK(CONCATENATE("#Metadata!", ADDRESS(INDEX($Q$2:$Q$1001,MATCH(ROWS($O$2:O656),$O$2:$O$1001,0),0), INDEX($V$1004:$AE$1004,1,MATCH(COLUMNS($V$1006:AC1006),$V$1006:$AE$1006,0)))),"Fix")))</f>
        <v>0</v>
      </c>
      <c r="J656" s="3">
        <f>IF(OR(INDEX($P$2:$P$1001,MATCH(ROWS($O$2:O656),$O$2:$O$1001,0),1)&gt;=100000,INDEX($V$1005:$AE$1005,1,MATCH(COLUMNS($V$1006:AD1006),$V$1006:$AE$1006,0))&gt;=100000), " ",IF(INDEX($V$2:$AE$1001,MATCH(ROWS($O$2:O656),$O$2:$O$1001,0),MATCH(COLUMNS($V$1006:AD1006),$V$1006:$AE$1006,0)), HYPERLINK("#",""), HYPERLINK(CONCATENATE("#Metadata!", ADDRESS(INDEX($Q$2:$Q$1001,MATCH(ROWS($O$2:O656),$O$2:$O$1001,0),0), INDEX($V$1004:$AE$1004,1,MATCH(COLUMNS($V$1006:AD1006),$V$1006:$AE$1006,0)))),"Fix")))</f>
        <v>0</v>
      </c>
      <c r="K656" s="3">
        <f>IF(OR(INDEX($P$2:$P$1001,MATCH(ROWS($O$2:O656),$O$2:$O$1001,0),1)&gt;=100000,INDEX($V$1005:$AE$1005,1,MATCH(COLUMNS($V$1006:AE1006),$V$1006:$AE$1006,0))&gt;=100000), " ",IF(INDEX($V$2:$AE$1001,MATCH(ROWS($O$2:O656),$O$2:$O$1001,0),MATCH(COLUMNS($V$1006:AE1006),$V$1006:$AE$1006,0)), HYPERLINK("#",""), HYPERLINK(CONCATENATE("#Metadata!", ADDRESS(INDEX($Q$2:$Q$1001,MATCH(ROWS($O$2:O656),$O$2:$O$1001,0),0), INDEX($V$1004:$AE$1004,1,MATCH(COLUMNS($V$1006:AE1006),$V$1006:$AE$1006,0)))),"Fix")))</f>
        <v>0</v>
      </c>
      <c r="O656">
        <v>0</v>
      </c>
      <c r="P656">
        <v>0</v>
      </c>
      <c r="Q656">
        <v>0</v>
      </c>
      <c r="R656">
        <f>IF(S656,TRUE,AND(V656:AE656))</f>
        <v>0</v>
      </c>
      <c r="S656">
        <f>COUNTBLANK(Metadata!B656:K656)=COLUMNS(Metadata!B656:K656)</f>
        <v>0</v>
      </c>
      <c r="T656">
        <v>0</v>
      </c>
      <c r="V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W656">
        <f>AND(IF(Metadata!C656="",FALSE,TRUE),exact(Metadata!C656,"animal secretion"))</f>
        <v>0</v>
      </c>
      <c r="X656">
        <f>AND(IF(Metadata!D656="",FALSE,TRUE),exact(Metadata!D656,"saliva"))</f>
        <v>0</v>
      </c>
      <c r="Y656">
        <f>AND(IF(Metadata!E656="",FALSE,TRUE),exact(Metadata!E656,"human-oral"))</f>
        <v>0</v>
      </c>
      <c r="Z656">
        <f>AND(IF(Metadata!F656="",FALSE,TRUE),exact(Metadata!F656,"UBERON:oral cavity"))</f>
        <v>0</v>
      </c>
      <c r="AA656">
        <f>AND(IF(Metadata!G656="",FALSE,TRUE),exact(Metadata!G656,"UBERON:saliva"))</f>
        <v>0</v>
      </c>
      <c r="AB656">
        <f>AND(IF(Metadata!H656="",FALSE,TRUE),exact(Metadata!H656,"UBERON:tongue"))</f>
        <v>0</v>
      </c>
      <c r="AC656">
        <f>AND(IF(Metadata!I656="",FALSE,TRUE),exact(Metadata!I656,"tongue"))</f>
        <v>0</v>
      </c>
      <c r="AD656">
        <f>AND(IF(Metadata!J656="",FALSE,TRUE),exact(Metadata!J656,"human oral metagenome"))</f>
        <v>0</v>
      </c>
      <c r="AE656">
        <f>AND(IF(Metadata!K656="",FALSE,TRUE),exact(Metadata!K656,"447426"))</f>
        <v>0</v>
      </c>
    </row>
    <row r="657" spans="1:31">
      <c r="A657" s="4">
        <f>IF(B657=" "," ",HYPERLINK(CONCATENATE("#metadata!",ADDRESS(INDEX($Q$2:$Q$1001,MATCH(ROWS($O$2:O657),$O$2:$O$1001,0),0),1)),INDEX($T$2:$T$1001,MATCH(ROWS($O$2:O657),$O$2:$O$1001,0),0)))</f>
        <v>0</v>
      </c>
      <c r="B657" s="3">
        <f>IF(OR(INDEX($P$2:$P$1001,MATCH(ROWS($O$2:O657),$O$2:$O$1001,0),1)&gt;=100000,INDEX($V$1005:$AE$1005,1,MATCH(COLUMNS($V$1006:V1006),$V$1006:$AE$1006,0))&gt;=100000), " ",IF(INDEX($V$2:$AE$1001,MATCH(ROWS($O$2:O657),$O$2:$O$1001,0),MATCH(COLUMNS($V$1006:V1006),$V$1006:$AE$1006,0)), HYPERLINK("#",""), HYPERLINK(CONCATENATE("#Metadata!", ADDRESS(INDEX($Q$2:$Q$1001,MATCH(ROWS($O$2:O657),$O$2:$O$1001,0),0), INDEX($V$1004:$AE$1004,1,MATCH(COLUMNS($V$1006:V1006),$V$1006:$AE$1006,0)))),"Fix")))</f>
        <v>0</v>
      </c>
      <c r="C657" s="3">
        <f>IF(OR(INDEX($P$2:$P$1001,MATCH(ROWS($O$2:O657),$O$2:$O$1001,0),1)&gt;=100000,INDEX($V$1005:$AE$1005,1,MATCH(COLUMNS($V$1006:W1006),$V$1006:$AE$1006,0))&gt;=100000), " ",IF(INDEX($V$2:$AE$1001,MATCH(ROWS($O$2:O657),$O$2:$O$1001,0),MATCH(COLUMNS($V$1006:W1006),$V$1006:$AE$1006,0)), HYPERLINK("#",""), HYPERLINK(CONCATENATE("#Metadata!", ADDRESS(INDEX($Q$2:$Q$1001,MATCH(ROWS($O$2:O657),$O$2:$O$1001,0),0), INDEX($V$1004:$AE$1004,1,MATCH(COLUMNS($V$1006:W1006),$V$1006:$AE$1006,0)))),"Fix")))</f>
        <v>0</v>
      </c>
      <c r="D657" s="3">
        <f>IF(OR(INDEX($P$2:$P$1001,MATCH(ROWS($O$2:O657),$O$2:$O$1001,0),1)&gt;=100000,INDEX($V$1005:$AE$1005,1,MATCH(COLUMNS($V$1006:X1006),$V$1006:$AE$1006,0))&gt;=100000), " ",IF(INDEX($V$2:$AE$1001,MATCH(ROWS($O$2:O657),$O$2:$O$1001,0),MATCH(COLUMNS($V$1006:X1006),$V$1006:$AE$1006,0)), HYPERLINK("#",""), HYPERLINK(CONCATENATE("#Metadata!", ADDRESS(INDEX($Q$2:$Q$1001,MATCH(ROWS($O$2:O657),$O$2:$O$1001,0),0), INDEX($V$1004:$AE$1004,1,MATCH(COLUMNS($V$1006:X1006),$V$1006:$AE$1006,0)))),"Fix")))</f>
        <v>0</v>
      </c>
      <c r="E657" s="3">
        <f>IF(OR(INDEX($P$2:$P$1001,MATCH(ROWS($O$2:O657),$O$2:$O$1001,0),1)&gt;=100000,INDEX($V$1005:$AE$1005,1,MATCH(COLUMNS($V$1006:Y1006),$V$1006:$AE$1006,0))&gt;=100000), " ",IF(INDEX($V$2:$AE$1001,MATCH(ROWS($O$2:O657),$O$2:$O$1001,0),MATCH(COLUMNS($V$1006:Y1006),$V$1006:$AE$1006,0)), HYPERLINK("#",""), HYPERLINK(CONCATENATE("#Metadata!", ADDRESS(INDEX($Q$2:$Q$1001,MATCH(ROWS($O$2:O657),$O$2:$O$1001,0),0), INDEX($V$1004:$AE$1004,1,MATCH(COLUMNS($V$1006:Y1006),$V$1006:$AE$1006,0)))),"Fix")))</f>
        <v>0</v>
      </c>
      <c r="F657" s="3">
        <f>IF(OR(INDEX($P$2:$P$1001,MATCH(ROWS($O$2:O657),$O$2:$O$1001,0),1)&gt;=100000,INDEX($V$1005:$AE$1005,1,MATCH(COLUMNS($V$1006:Z1006),$V$1006:$AE$1006,0))&gt;=100000), " ",IF(INDEX($V$2:$AE$1001,MATCH(ROWS($O$2:O657),$O$2:$O$1001,0),MATCH(COLUMNS($V$1006:Z1006),$V$1006:$AE$1006,0)), HYPERLINK("#",""), HYPERLINK(CONCATENATE("#Metadata!", ADDRESS(INDEX($Q$2:$Q$1001,MATCH(ROWS($O$2:O657),$O$2:$O$1001,0),0), INDEX($V$1004:$AE$1004,1,MATCH(COLUMNS($V$1006:Z1006),$V$1006:$AE$1006,0)))),"Fix")))</f>
        <v>0</v>
      </c>
      <c r="G657" s="3">
        <f>IF(OR(INDEX($P$2:$P$1001,MATCH(ROWS($O$2:O657),$O$2:$O$1001,0),1)&gt;=100000,INDEX($V$1005:$AE$1005,1,MATCH(COLUMNS($V$1006:AA1006),$V$1006:$AE$1006,0))&gt;=100000), " ",IF(INDEX($V$2:$AE$1001,MATCH(ROWS($O$2:O657),$O$2:$O$1001,0),MATCH(COLUMNS($V$1006:AA1006),$V$1006:$AE$1006,0)), HYPERLINK("#",""), HYPERLINK(CONCATENATE("#Metadata!", ADDRESS(INDEX($Q$2:$Q$1001,MATCH(ROWS($O$2:O657),$O$2:$O$1001,0),0), INDEX($V$1004:$AE$1004,1,MATCH(COLUMNS($V$1006:AA1006),$V$1006:$AE$1006,0)))),"Fix")))</f>
        <v>0</v>
      </c>
      <c r="H657" s="3">
        <f>IF(OR(INDEX($P$2:$P$1001,MATCH(ROWS($O$2:O657),$O$2:$O$1001,0),1)&gt;=100000,INDEX($V$1005:$AE$1005,1,MATCH(COLUMNS($V$1006:AB1006),$V$1006:$AE$1006,0))&gt;=100000), " ",IF(INDEX($V$2:$AE$1001,MATCH(ROWS($O$2:O657),$O$2:$O$1001,0),MATCH(COLUMNS($V$1006:AB1006),$V$1006:$AE$1006,0)), HYPERLINK("#",""), HYPERLINK(CONCATENATE("#Metadata!", ADDRESS(INDEX($Q$2:$Q$1001,MATCH(ROWS($O$2:O657),$O$2:$O$1001,0),0), INDEX($V$1004:$AE$1004,1,MATCH(COLUMNS($V$1006:AB1006),$V$1006:$AE$1006,0)))),"Fix")))</f>
        <v>0</v>
      </c>
      <c r="I657" s="3">
        <f>IF(OR(INDEX($P$2:$P$1001,MATCH(ROWS($O$2:O657),$O$2:$O$1001,0),1)&gt;=100000,INDEX($V$1005:$AE$1005,1,MATCH(COLUMNS($V$1006:AC1006),$V$1006:$AE$1006,0))&gt;=100000), " ",IF(INDEX($V$2:$AE$1001,MATCH(ROWS($O$2:O657),$O$2:$O$1001,0),MATCH(COLUMNS($V$1006:AC1006),$V$1006:$AE$1006,0)), HYPERLINK("#",""), HYPERLINK(CONCATENATE("#Metadata!", ADDRESS(INDEX($Q$2:$Q$1001,MATCH(ROWS($O$2:O657),$O$2:$O$1001,0),0), INDEX($V$1004:$AE$1004,1,MATCH(COLUMNS($V$1006:AC1006),$V$1006:$AE$1006,0)))),"Fix")))</f>
        <v>0</v>
      </c>
      <c r="J657" s="3">
        <f>IF(OR(INDEX($P$2:$P$1001,MATCH(ROWS($O$2:O657),$O$2:$O$1001,0),1)&gt;=100000,INDEX($V$1005:$AE$1005,1,MATCH(COLUMNS($V$1006:AD1006),$V$1006:$AE$1006,0))&gt;=100000), " ",IF(INDEX($V$2:$AE$1001,MATCH(ROWS($O$2:O657),$O$2:$O$1001,0),MATCH(COLUMNS($V$1006:AD1006),$V$1006:$AE$1006,0)), HYPERLINK("#",""), HYPERLINK(CONCATENATE("#Metadata!", ADDRESS(INDEX($Q$2:$Q$1001,MATCH(ROWS($O$2:O657),$O$2:$O$1001,0),0), INDEX($V$1004:$AE$1004,1,MATCH(COLUMNS($V$1006:AD1006),$V$1006:$AE$1006,0)))),"Fix")))</f>
        <v>0</v>
      </c>
      <c r="K657" s="3">
        <f>IF(OR(INDEX($P$2:$P$1001,MATCH(ROWS($O$2:O657),$O$2:$O$1001,0),1)&gt;=100000,INDEX($V$1005:$AE$1005,1,MATCH(COLUMNS($V$1006:AE1006),$V$1006:$AE$1006,0))&gt;=100000), " ",IF(INDEX($V$2:$AE$1001,MATCH(ROWS($O$2:O657),$O$2:$O$1001,0),MATCH(COLUMNS($V$1006:AE1006),$V$1006:$AE$1006,0)), HYPERLINK("#",""), HYPERLINK(CONCATENATE("#Metadata!", ADDRESS(INDEX($Q$2:$Q$1001,MATCH(ROWS($O$2:O657),$O$2:$O$1001,0),0), INDEX($V$1004:$AE$1004,1,MATCH(COLUMNS($V$1006:AE1006),$V$1006:$AE$1006,0)))),"Fix")))</f>
        <v>0</v>
      </c>
      <c r="O657">
        <v>0</v>
      </c>
      <c r="P657">
        <v>0</v>
      </c>
      <c r="Q657">
        <v>0</v>
      </c>
      <c r="R657">
        <f>IF(S657,TRUE,AND(V657:AE657))</f>
        <v>0</v>
      </c>
      <c r="S657">
        <f>COUNTBLANK(Metadata!B657:K657)=COLUMNS(Metadata!B657:K657)</f>
        <v>0</v>
      </c>
      <c r="T657">
        <v>0</v>
      </c>
      <c r="V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W657">
        <f>AND(IF(Metadata!C657="",FALSE,TRUE),exact(Metadata!C657,"animal secretion"))</f>
        <v>0</v>
      </c>
      <c r="X657">
        <f>AND(IF(Metadata!D657="",FALSE,TRUE),exact(Metadata!D657,"saliva"))</f>
        <v>0</v>
      </c>
      <c r="Y657">
        <f>AND(IF(Metadata!E657="",FALSE,TRUE),exact(Metadata!E657,"human-oral"))</f>
        <v>0</v>
      </c>
      <c r="Z657">
        <f>AND(IF(Metadata!F657="",FALSE,TRUE),exact(Metadata!F657,"UBERON:oral cavity"))</f>
        <v>0</v>
      </c>
      <c r="AA657">
        <f>AND(IF(Metadata!G657="",FALSE,TRUE),exact(Metadata!G657,"UBERON:saliva"))</f>
        <v>0</v>
      </c>
      <c r="AB657">
        <f>AND(IF(Metadata!H657="",FALSE,TRUE),exact(Metadata!H657,"UBERON:tongue"))</f>
        <v>0</v>
      </c>
      <c r="AC657">
        <f>AND(IF(Metadata!I657="",FALSE,TRUE),exact(Metadata!I657,"tongue"))</f>
        <v>0</v>
      </c>
      <c r="AD657">
        <f>AND(IF(Metadata!J657="",FALSE,TRUE),exact(Metadata!J657,"human oral metagenome"))</f>
        <v>0</v>
      </c>
      <c r="AE657">
        <f>AND(IF(Metadata!K657="",FALSE,TRUE),exact(Metadata!K657,"447426"))</f>
        <v>0</v>
      </c>
    </row>
    <row r="658" spans="1:31">
      <c r="A658" s="4">
        <f>IF(B658=" "," ",HYPERLINK(CONCATENATE("#metadata!",ADDRESS(INDEX($Q$2:$Q$1001,MATCH(ROWS($O$2:O658),$O$2:$O$1001,0),0),1)),INDEX($T$2:$T$1001,MATCH(ROWS($O$2:O658),$O$2:$O$1001,0),0)))</f>
        <v>0</v>
      </c>
      <c r="B658" s="3">
        <f>IF(OR(INDEX($P$2:$P$1001,MATCH(ROWS($O$2:O658),$O$2:$O$1001,0),1)&gt;=100000,INDEX($V$1005:$AE$1005,1,MATCH(COLUMNS($V$1006:V1006),$V$1006:$AE$1006,0))&gt;=100000), " ",IF(INDEX($V$2:$AE$1001,MATCH(ROWS($O$2:O658),$O$2:$O$1001,0),MATCH(COLUMNS($V$1006:V1006),$V$1006:$AE$1006,0)), HYPERLINK("#",""), HYPERLINK(CONCATENATE("#Metadata!", ADDRESS(INDEX($Q$2:$Q$1001,MATCH(ROWS($O$2:O658),$O$2:$O$1001,0),0), INDEX($V$1004:$AE$1004,1,MATCH(COLUMNS($V$1006:V1006),$V$1006:$AE$1006,0)))),"Fix")))</f>
        <v>0</v>
      </c>
      <c r="C658" s="3">
        <f>IF(OR(INDEX($P$2:$P$1001,MATCH(ROWS($O$2:O658),$O$2:$O$1001,0),1)&gt;=100000,INDEX($V$1005:$AE$1005,1,MATCH(COLUMNS($V$1006:W1006),$V$1006:$AE$1006,0))&gt;=100000), " ",IF(INDEX($V$2:$AE$1001,MATCH(ROWS($O$2:O658),$O$2:$O$1001,0),MATCH(COLUMNS($V$1006:W1006),$V$1006:$AE$1006,0)), HYPERLINK("#",""), HYPERLINK(CONCATENATE("#Metadata!", ADDRESS(INDEX($Q$2:$Q$1001,MATCH(ROWS($O$2:O658),$O$2:$O$1001,0),0), INDEX($V$1004:$AE$1004,1,MATCH(COLUMNS($V$1006:W1006),$V$1006:$AE$1006,0)))),"Fix")))</f>
        <v>0</v>
      </c>
      <c r="D658" s="3">
        <f>IF(OR(INDEX($P$2:$P$1001,MATCH(ROWS($O$2:O658),$O$2:$O$1001,0),1)&gt;=100000,INDEX($V$1005:$AE$1005,1,MATCH(COLUMNS($V$1006:X1006),$V$1006:$AE$1006,0))&gt;=100000), " ",IF(INDEX($V$2:$AE$1001,MATCH(ROWS($O$2:O658),$O$2:$O$1001,0),MATCH(COLUMNS($V$1006:X1006),$V$1006:$AE$1006,0)), HYPERLINK("#",""), HYPERLINK(CONCATENATE("#Metadata!", ADDRESS(INDEX($Q$2:$Q$1001,MATCH(ROWS($O$2:O658),$O$2:$O$1001,0),0), INDEX($V$1004:$AE$1004,1,MATCH(COLUMNS($V$1006:X1006),$V$1006:$AE$1006,0)))),"Fix")))</f>
        <v>0</v>
      </c>
      <c r="E658" s="3">
        <f>IF(OR(INDEX($P$2:$P$1001,MATCH(ROWS($O$2:O658),$O$2:$O$1001,0),1)&gt;=100000,INDEX($V$1005:$AE$1005,1,MATCH(COLUMNS($V$1006:Y1006),$V$1006:$AE$1006,0))&gt;=100000), " ",IF(INDEX($V$2:$AE$1001,MATCH(ROWS($O$2:O658),$O$2:$O$1001,0),MATCH(COLUMNS($V$1006:Y1006),$V$1006:$AE$1006,0)), HYPERLINK("#",""), HYPERLINK(CONCATENATE("#Metadata!", ADDRESS(INDEX($Q$2:$Q$1001,MATCH(ROWS($O$2:O658),$O$2:$O$1001,0),0), INDEX($V$1004:$AE$1004,1,MATCH(COLUMNS($V$1006:Y1006),$V$1006:$AE$1006,0)))),"Fix")))</f>
        <v>0</v>
      </c>
      <c r="F658" s="3">
        <f>IF(OR(INDEX($P$2:$P$1001,MATCH(ROWS($O$2:O658),$O$2:$O$1001,0),1)&gt;=100000,INDEX($V$1005:$AE$1005,1,MATCH(COLUMNS($V$1006:Z1006),$V$1006:$AE$1006,0))&gt;=100000), " ",IF(INDEX($V$2:$AE$1001,MATCH(ROWS($O$2:O658),$O$2:$O$1001,0),MATCH(COLUMNS($V$1006:Z1006),$V$1006:$AE$1006,0)), HYPERLINK("#",""), HYPERLINK(CONCATENATE("#Metadata!", ADDRESS(INDEX($Q$2:$Q$1001,MATCH(ROWS($O$2:O658),$O$2:$O$1001,0),0), INDEX($V$1004:$AE$1004,1,MATCH(COLUMNS($V$1006:Z1006),$V$1006:$AE$1006,0)))),"Fix")))</f>
        <v>0</v>
      </c>
      <c r="G658" s="3">
        <f>IF(OR(INDEX($P$2:$P$1001,MATCH(ROWS($O$2:O658),$O$2:$O$1001,0),1)&gt;=100000,INDEX($V$1005:$AE$1005,1,MATCH(COLUMNS($V$1006:AA1006),$V$1006:$AE$1006,0))&gt;=100000), " ",IF(INDEX($V$2:$AE$1001,MATCH(ROWS($O$2:O658),$O$2:$O$1001,0),MATCH(COLUMNS($V$1006:AA1006),$V$1006:$AE$1006,0)), HYPERLINK("#",""), HYPERLINK(CONCATENATE("#Metadata!", ADDRESS(INDEX($Q$2:$Q$1001,MATCH(ROWS($O$2:O658),$O$2:$O$1001,0),0), INDEX($V$1004:$AE$1004,1,MATCH(COLUMNS($V$1006:AA1006),$V$1006:$AE$1006,0)))),"Fix")))</f>
        <v>0</v>
      </c>
      <c r="H658" s="3">
        <f>IF(OR(INDEX($P$2:$P$1001,MATCH(ROWS($O$2:O658),$O$2:$O$1001,0),1)&gt;=100000,INDEX($V$1005:$AE$1005,1,MATCH(COLUMNS($V$1006:AB1006),$V$1006:$AE$1006,0))&gt;=100000), " ",IF(INDEX($V$2:$AE$1001,MATCH(ROWS($O$2:O658),$O$2:$O$1001,0),MATCH(COLUMNS($V$1006:AB1006),$V$1006:$AE$1006,0)), HYPERLINK("#",""), HYPERLINK(CONCATENATE("#Metadata!", ADDRESS(INDEX($Q$2:$Q$1001,MATCH(ROWS($O$2:O658),$O$2:$O$1001,0),0), INDEX($V$1004:$AE$1004,1,MATCH(COLUMNS($V$1006:AB1006),$V$1006:$AE$1006,0)))),"Fix")))</f>
        <v>0</v>
      </c>
      <c r="I658" s="3">
        <f>IF(OR(INDEX($P$2:$P$1001,MATCH(ROWS($O$2:O658),$O$2:$O$1001,0),1)&gt;=100000,INDEX($V$1005:$AE$1005,1,MATCH(COLUMNS($V$1006:AC1006),$V$1006:$AE$1006,0))&gt;=100000), " ",IF(INDEX($V$2:$AE$1001,MATCH(ROWS($O$2:O658),$O$2:$O$1001,0),MATCH(COLUMNS($V$1006:AC1006),$V$1006:$AE$1006,0)), HYPERLINK("#",""), HYPERLINK(CONCATENATE("#Metadata!", ADDRESS(INDEX($Q$2:$Q$1001,MATCH(ROWS($O$2:O658),$O$2:$O$1001,0),0), INDEX($V$1004:$AE$1004,1,MATCH(COLUMNS($V$1006:AC1006),$V$1006:$AE$1006,0)))),"Fix")))</f>
        <v>0</v>
      </c>
      <c r="J658" s="3">
        <f>IF(OR(INDEX($P$2:$P$1001,MATCH(ROWS($O$2:O658),$O$2:$O$1001,0),1)&gt;=100000,INDEX($V$1005:$AE$1005,1,MATCH(COLUMNS($V$1006:AD1006),$V$1006:$AE$1006,0))&gt;=100000), " ",IF(INDEX($V$2:$AE$1001,MATCH(ROWS($O$2:O658),$O$2:$O$1001,0),MATCH(COLUMNS($V$1006:AD1006),$V$1006:$AE$1006,0)), HYPERLINK("#",""), HYPERLINK(CONCATENATE("#Metadata!", ADDRESS(INDEX($Q$2:$Q$1001,MATCH(ROWS($O$2:O658),$O$2:$O$1001,0),0), INDEX($V$1004:$AE$1004,1,MATCH(COLUMNS($V$1006:AD1006),$V$1006:$AE$1006,0)))),"Fix")))</f>
        <v>0</v>
      </c>
      <c r="K658" s="3">
        <f>IF(OR(INDEX($P$2:$P$1001,MATCH(ROWS($O$2:O658),$O$2:$O$1001,0),1)&gt;=100000,INDEX($V$1005:$AE$1005,1,MATCH(COLUMNS($V$1006:AE1006),$V$1006:$AE$1006,0))&gt;=100000), " ",IF(INDEX($V$2:$AE$1001,MATCH(ROWS($O$2:O658),$O$2:$O$1001,0),MATCH(COLUMNS($V$1006:AE1006),$V$1006:$AE$1006,0)), HYPERLINK("#",""), HYPERLINK(CONCATENATE("#Metadata!", ADDRESS(INDEX($Q$2:$Q$1001,MATCH(ROWS($O$2:O658),$O$2:$O$1001,0),0), INDEX($V$1004:$AE$1004,1,MATCH(COLUMNS($V$1006:AE1006),$V$1006:$AE$1006,0)))),"Fix")))</f>
        <v>0</v>
      </c>
      <c r="O658">
        <v>0</v>
      </c>
      <c r="P658">
        <v>0</v>
      </c>
      <c r="Q658">
        <v>0</v>
      </c>
      <c r="R658">
        <f>IF(S658,TRUE,AND(V658:AE658))</f>
        <v>0</v>
      </c>
      <c r="S658">
        <f>COUNTBLANK(Metadata!B658:K658)=COLUMNS(Metadata!B658:K658)</f>
        <v>0</v>
      </c>
      <c r="T658">
        <v>0</v>
      </c>
      <c r="V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W658">
        <f>AND(IF(Metadata!C658="",FALSE,TRUE),exact(Metadata!C658,"animal secretion"))</f>
        <v>0</v>
      </c>
      <c r="X658">
        <f>AND(IF(Metadata!D658="",FALSE,TRUE),exact(Metadata!D658,"saliva"))</f>
        <v>0</v>
      </c>
      <c r="Y658">
        <f>AND(IF(Metadata!E658="",FALSE,TRUE),exact(Metadata!E658,"human-oral"))</f>
        <v>0</v>
      </c>
      <c r="Z658">
        <f>AND(IF(Metadata!F658="",FALSE,TRUE),exact(Metadata!F658,"UBERON:oral cavity"))</f>
        <v>0</v>
      </c>
      <c r="AA658">
        <f>AND(IF(Metadata!G658="",FALSE,TRUE),exact(Metadata!G658,"UBERON:saliva"))</f>
        <v>0</v>
      </c>
      <c r="AB658">
        <f>AND(IF(Metadata!H658="",FALSE,TRUE),exact(Metadata!H658,"UBERON:tongue"))</f>
        <v>0</v>
      </c>
      <c r="AC658">
        <f>AND(IF(Metadata!I658="",FALSE,TRUE),exact(Metadata!I658,"tongue"))</f>
        <v>0</v>
      </c>
      <c r="AD658">
        <f>AND(IF(Metadata!J658="",FALSE,TRUE),exact(Metadata!J658,"human oral metagenome"))</f>
        <v>0</v>
      </c>
      <c r="AE658">
        <f>AND(IF(Metadata!K658="",FALSE,TRUE),exact(Metadata!K658,"447426"))</f>
        <v>0</v>
      </c>
    </row>
    <row r="659" spans="1:31">
      <c r="A659" s="4">
        <f>IF(B659=" "," ",HYPERLINK(CONCATENATE("#metadata!",ADDRESS(INDEX($Q$2:$Q$1001,MATCH(ROWS($O$2:O659),$O$2:$O$1001,0),0),1)),INDEX($T$2:$T$1001,MATCH(ROWS($O$2:O659),$O$2:$O$1001,0),0)))</f>
        <v>0</v>
      </c>
      <c r="B659" s="3">
        <f>IF(OR(INDEX($P$2:$P$1001,MATCH(ROWS($O$2:O659),$O$2:$O$1001,0),1)&gt;=100000,INDEX($V$1005:$AE$1005,1,MATCH(COLUMNS($V$1006:V1006),$V$1006:$AE$1006,0))&gt;=100000), " ",IF(INDEX($V$2:$AE$1001,MATCH(ROWS($O$2:O659),$O$2:$O$1001,0),MATCH(COLUMNS($V$1006:V1006),$V$1006:$AE$1006,0)), HYPERLINK("#",""), HYPERLINK(CONCATENATE("#Metadata!", ADDRESS(INDEX($Q$2:$Q$1001,MATCH(ROWS($O$2:O659),$O$2:$O$1001,0),0), INDEX($V$1004:$AE$1004,1,MATCH(COLUMNS($V$1006:V1006),$V$1006:$AE$1006,0)))),"Fix")))</f>
        <v>0</v>
      </c>
      <c r="C659" s="3">
        <f>IF(OR(INDEX($P$2:$P$1001,MATCH(ROWS($O$2:O659),$O$2:$O$1001,0),1)&gt;=100000,INDEX($V$1005:$AE$1005,1,MATCH(COLUMNS($V$1006:W1006),$V$1006:$AE$1006,0))&gt;=100000), " ",IF(INDEX($V$2:$AE$1001,MATCH(ROWS($O$2:O659),$O$2:$O$1001,0),MATCH(COLUMNS($V$1006:W1006),$V$1006:$AE$1006,0)), HYPERLINK("#",""), HYPERLINK(CONCATENATE("#Metadata!", ADDRESS(INDEX($Q$2:$Q$1001,MATCH(ROWS($O$2:O659),$O$2:$O$1001,0),0), INDEX($V$1004:$AE$1004,1,MATCH(COLUMNS($V$1006:W1006),$V$1006:$AE$1006,0)))),"Fix")))</f>
        <v>0</v>
      </c>
      <c r="D659" s="3">
        <f>IF(OR(INDEX($P$2:$P$1001,MATCH(ROWS($O$2:O659),$O$2:$O$1001,0),1)&gt;=100000,INDEX($V$1005:$AE$1005,1,MATCH(COLUMNS($V$1006:X1006),$V$1006:$AE$1006,0))&gt;=100000), " ",IF(INDEX($V$2:$AE$1001,MATCH(ROWS($O$2:O659),$O$2:$O$1001,0),MATCH(COLUMNS($V$1006:X1006),$V$1006:$AE$1006,0)), HYPERLINK("#",""), HYPERLINK(CONCATENATE("#Metadata!", ADDRESS(INDEX($Q$2:$Q$1001,MATCH(ROWS($O$2:O659),$O$2:$O$1001,0),0), INDEX($V$1004:$AE$1004,1,MATCH(COLUMNS($V$1006:X1006),$V$1006:$AE$1006,0)))),"Fix")))</f>
        <v>0</v>
      </c>
      <c r="E659" s="3">
        <f>IF(OR(INDEX($P$2:$P$1001,MATCH(ROWS($O$2:O659),$O$2:$O$1001,0),1)&gt;=100000,INDEX($V$1005:$AE$1005,1,MATCH(COLUMNS($V$1006:Y1006),$V$1006:$AE$1006,0))&gt;=100000), " ",IF(INDEX($V$2:$AE$1001,MATCH(ROWS($O$2:O659),$O$2:$O$1001,0),MATCH(COLUMNS($V$1006:Y1006),$V$1006:$AE$1006,0)), HYPERLINK("#",""), HYPERLINK(CONCATENATE("#Metadata!", ADDRESS(INDEX($Q$2:$Q$1001,MATCH(ROWS($O$2:O659),$O$2:$O$1001,0),0), INDEX($V$1004:$AE$1004,1,MATCH(COLUMNS($V$1006:Y1006),$V$1006:$AE$1006,0)))),"Fix")))</f>
        <v>0</v>
      </c>
      <c r="F659" s="3">
        <f>IF(OR(INDEX($P$2:$P$1001,MATCH(ROWS($O$2:O659),$O$2:$O$1001,0),1)&gt;=100000,INDEX($V$1005:$AE$1005,1,MATCH(COLUMNS($V$1006:Z1006),$V$1006:$AE$1006,0))&gt;=100000), " ",IF(INDEX($V$2:$AE$1001,MATCH(ROWS($O$2:O659),$O$2:$O$1001,0),MATCH(COLUMNS($V$1006:Z1006),$V$1006:$AE$1006,0)), HYPERLINK("#",""), HYPERLINK(CONCATENATE("#Metadata!", ADDRESS(INDEX($Q$2:$Q$1001,MATCH(ROWS($O$2:O659),$O$2:$O$1001,0),0), INDEX($V$1004:$AE$1004,1,MATCH(COLUMNS($V$1006:Z1006),$V$1006:$AE$1006,0)))),"Fix")))</f>
        <v>0</v>
      </c>
      <c r="G659" s="3">
        <f>IF(OR(INDEX($P$2:$P$1001,MATCH(ROWS($O$2:O659),$O$2:$O$1001,0),1)&gt;=100000,INDEX($V$1005:$AE$1005,1,MATCH(COLUMNS($V$1006:AA1006),$V$1006:$AE$1006,0))&gt;=100000), " ",IF(INDEX($V$2:$AE$1001,MATCH(ROWS($O$2:O659),$O$2:$O$1001,0),MATCH(COLUMNS($V$1006:AA1006),$V$1006:$AE$1006,0)), HYPERLINK("#",""), HYPERLINK(CONCATENATE("#Metadata!", ADDRESS(INDEX($Q$2:$Q$1001,MATCH(ROWS($O$2:O659),$O$2:$O$1001,0),0), INDEX($V$1004:$AE$1004,1,MATCH(COLUMNS($V$1006:AA1006),$V$1006:$AE$1006,0)))),"Fix")))</f>
        <v>0</v>
      </c>
      <c r="H659" s="3">
        <f>IF(OR(INDEX($P$2:$P$1001,MATCH(ROWS($O$2:O659),$O$2:$O$1001,0),1)&gt;=100000,INDEX($V$1005:$AE$1005,1,MATCH(COLUMNS($V$1006:AB1006),$V$1006:$AE$1006,0))&gt;=100000), " ",IF(INDEX($V$2:$AE$1001,MATCH(ROWS($O$2:O659),$O$2:$O$1001,0),MATCH(COLUMNS($V$1006:AB1006),$V$1006:$AE$1006,0)), HYPERLINK("#",""), HYPERLINK(CONCATENATE("#Metadata!", ADDRESS(INDEX($Q$2:$Q$1001,MATCH(ROWS($O$2:O659),$O$2:$O$1001,0),0), INDEX($V$1004:$AE$1004,1,MATCH(COLUMNS($V$1006:AB1006),$V$1006:$AE$1006,0)))),"Fix")))</f>
        <v>0</v>
      </c>
      <c r="I659" s="3">
        <f>IF(OR(INDEX($P$2:$P$1001,MATCH(ROWS($O$2:O659),$O$2:$O$1001,0),1)&gt;=100000,INDEX($V$1005:$AE$1005,1,MATCH(COLUMNS($V$1006:AC1006),$V$1006:$AE$1006,0))&gt;=100000), " ",IF(INDEX($V$2:$AE$1001,MATCH(ROWS($O$2:O659),$O$2:$O$1001,0),MATCH(COLUMNS($V$1006:AC1006),$V$1006:$AE$1006,0)), HYPERLINK("#",""), HYPERLINK(CONCATENATE("#Metadata!", ADDRESS(INDEX($Q$2:$Q$1001,MATCH(ROWS($O$2:O659),$O$2:$O$1001,0),0), INDEX($V$1004:$AE$1004,1,MATCH(COLUMNS($V$1006:AC1006),$V$1006:$AE$1006,0)))),"Fix")))</f>
        <v>0</v>
      </c>
      <c r="J659" s="3">
        <f>IF(OR(INDEX($P$2:$P$1001,MATCH(ROWS($O$2:O659),$O$2:$O$1001,0),1)&gt;=100000,INDEX($V$1005:$AE$1005,1,MATCH(COLUMNS($V$1006:AD1006),$V$1006:$AE$1006,0))&gt;=100000), " ",IF(INDEX($V$2:$AE$1001,MATCH(ROWS($O$2:O659),$O$2:$O$1001,0),MATCH(COLUMNS($V$1006:AD1006),$V$1006:$AE$1006,0)), HYPERLINK("#",""), HYPERLINK(CONCATENATE("#Metadata!", ADDRESS(INDEX($Q$2:$Q$1001,MATCH(ROWS($O$2:O659),$O$2:$O$1001,0),0), INDEX($V$1004:$AE$1004,1,MATCH(COLUMNS($V$1006:AD1006),$V$1006:$AE$1006,0)))),"Fix")))</f>
        <v>0</v>
      </c>
      <c r="K659" s="3">
        <f>IF(OR(INDEX($P$2:$P$1001,MATCH(ROWS($O$2:O659),$O$2:$O$1001,0),1)&gt;=100000,INDEX($V$1005:$AE$1005,1,MATCH(COLUMNS($V$1006:AE1006),$V$1006:$AE$1006,0))&gt;=100000), " ",IF(INDEX($V$2:$AE$1001,MATCH(ROWS($O$2:O659),$O$2:$O$1001,0),MATCH(COLUMNS($V$1006:AE1006),$V$1006:$AE$1006,0)), HYPERLINK("#",""), HYPERLINK(CONCATENATE("#Metadata!", ADDRESS(INDEX($Q$2:$Q$1001,MATCH(ROWS($O$2:O659),$O$2:$O$1001,0),0), INDEX($V$1004:$AE$1004,1,MATCH(COLUMNS($V$1006:AE1006),$V$1006:$AE$1006,0)))),"Fix")))</f>
        <v>0</v>
      </c>
      <c r="O659">
        <v>0</v>
      </c>
      <c r="P659">
        <v>0</v>
      </c>
      <c r="Q659">
        <v>0</v>
      </c>
      <c r="R659">
        <f>IF(S659,TRUE,AND(V659:AE659))</f>
        <v>0</v>
      </c>
      <c r="S659">
        <f>COUNTBLANK(Metadata!B659:K659)=COLUMNS(Metadata!B659:K659)</f>
        <v>0</v>
      </c>
      <c r="T659">
        <v>0</v>
      </c>
      <c r="V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W659">
        <f>AND(IF(Metadata!C659="",FALSE,TRUE),exact(Metadata!C659,"animal secretion"))</f>
        <v>0</v>
      </c>
      <c r="X659">
        <f>AND(IF(Metadata!D659="",FALSE,TRUE),exact(Metadata!D659,"saliva"))</f>
        <v>0</v>
      </c>
      <c r="Y659">
        <f>AND(IF(Metadata!E659="",FALSE,TRUE),exact(Metadata!E659,"human-oral"))</f>
        <v>0</v>
      </c>
      <c r="Z659">
        <f>AND(IF(Metadata!F659="",FALSE,TRUE),exact(Metadata!F659,"UBERON:oral cavity"))</f>
        <v>0</v>
      </c>
      <c r="AA659">
        <f>AND(IF(Metadata!G659="",FALSE,TRUE),exact(Metadata!G659,"UBERON:saliva"))</f>
        <v>0</v>
      </c>
      <c r="AB659">
        <f>AND(IF(Metadata!H659="",FALSE,TRUE),exact(Metadata!H659,"UBERON:tongue"))</f>
        <v>0</v>
      </c>
      <c r="AC659">
        <f>AND(IF(Metadata!I659="",FALSE,TRUE),exact(Metadata!I659,"tongue"))</f>
        <v>0</v>
      </c>
      <c r="AD659">
        <f>AND(IF(Metadata!J659="",FALSE,TRUE),exact(Metadata!J659,"human oral metagenome"))</f>
        <v>0</v>
      </c>
      <c r="AE659">
        <f>AND(IF(Metadata!K659="",FALSE,TRUE),exact(Metadata!K659,"447426"))</f>
        <v>0</v>
      </c>
    </row>
    <row r="660" spans="1:31">
      <c r="A660" s="4">
        <f>IF(B660=" "," ",HYPERLINK(CONCATENATE("#metadata!",ADDRESS(INDEX($Q$2:$Q$1001,MATCH(ROWS($O$2:O660),$O$2:$O$1001,0),0),1)),INDEX($T$2:$T$1001,MATCH(ROWS($O$2:O660),$O$2:$O$1001,0),0)))</f>
        <v>0</v>
      </c>
      <c r="B660" s="3">
        <f>IF(OR(INDEX($P$2:$P$1001,MATCH(ROWS($O$2:O660),$O$2:$O$1001,0),1)&gt;=100000,INDEX($V$1005:$AE$1005,1,MATCH(COLUMNS($V$1006:V1006),$V$1006:$AE$1006,0))&gt;=100000), " ",IF(INDEX($V$2:$AE$1001,MATCH(ROWS($O$2:O660),$O$2:$O$1001,0),MATCH(COLUMNS($V$1006:V1006),$V$1006:$AE$1006,0)), HYPERLINK("#",""), HYPERLINK(CONCATENATE("#Metadata!", ADDRESS(INDEX($Q$2:$Q$1001,MATCH(ROWS($O$2:O660),$O$2:$O$1001,0),0), INDEX($V$1004:$AE$1004,1,MATCH(COLUMNS($V$1006:V1006),$V$1006:$AE$1006,0)))),"Fix")))</f>
        <v>0</v>
      </c>
      <c r="C660" s="3">
        <f>IF(OR(INDEX($P$2:$P$1001,MATCH(ROWS($O$2:O660),$O$2:$O$1001,0),1)&gt;=100000,INDEX($V$1005:$AE$1005,1,MATCH(COLUMNS($V$1006:W1006),$V$1006:$AE$1006,0))&gt;=100000), " ",IF(INDEX($V$2:$AE$1001,MATCH(ROWS($O$2:O660),$O$2:$O$1001,0),MATCH(COLUMNS($V$1006:W1006),$V$1006:$AE$1006,0)), HYPERLINK("#",""), HYPERLINK(CONCATENATE("#Metadata!", ADDRESS(INDEX($Q$2:$Q$1001,MATCH(ROWS($O$2:O660),$O$2:$O$1001,0),0), INDEX($V$1004:$AE$1004,1,MATCH(COLUMNS($V$1006:W1006),$V$1006:$AE$1006,0)))),"Fix")))</f>
        <v>0</v>
      </c>
      <c r="D660" s="3">
        <f>IF(OR(INDEX($P$2:$P$1001,MATCH(ROWS($O$2:O660),$O$2:$O$1001,0),1)&gt;=100000,INDEX($V$1005:$AE$1005,1,MATCH(COLUMNS($V$1006:X1006),$V$1006:$AE$1006,0))&gt;=100000), " ",IF(INDEX($V$2:$AE$1001,MATCH(ROWS($O$2:O660),$O$2:$O$1001,0),MATCH(COLUMNS($V$1006:X1006),$V$1006:$AE$1006,0)), HYPERLINK("#",""), HYPERLINK(CONCATENATE("#Metadata!", ADDRESS(INDEX($Q$2:$Q$1001,MATCH(ROWS($O$2:O660),$O$2:$O$1001,0),0), INDEX($V$1004:$AE$1004,1,MATCH(COLUMNS($V$1006:X1006),$V$1006:$AE$1006,0)))),"Fix")))</f>
        <v>0</v>
      </c>
      <c r="E660" s="3">
        <f>IF(OR(INDEX($P$2:$P$1001,MATCH(ROWS($O$2:O660),$O$2:$O$1001,0),1)&gt;=100000,INDEX($V$1005:$AE$1005,1,MATCH(COLUMNS($V$1006:Y1006),$V$1006:$AE$1006,0))&gt;=100000), " ",IF(INDEX($V$2:$AE$1001,MATCH(ROWS($O$2:O660),$O$2:$O$1001,0),MATCH(COLUMNS($V$1006:Y1006),$V$1006:$AE$1006,0)), HYPERLINK("#",""), HYPERLINK(CONCATENATE("#Metadata!", ADDRESS(INDEX($Q$2:$Q$1001,MATCH(ROWS($O$2:O660),$O$2:$O$1001,0),0), INDEX($V$1004:$AE$1004,1,MATCH(COLUMNS($V$1006:Y1006),$V$1006:$AE$1006,0)))),"Fix")))</f>
        <v>0</v>
      </c>
      <c r="F660" s="3">
        <f>IF(OR(INDEX($P$2:$P$1001,MATCH(ROWS($O$2:O660),$O$2:$O$1001,0),1)&gt;=100000,INDEX($V$1005:$AE$1005,1,MATCH(COLUMNS($V$1006:Z1006),$V$1006:$AE$1006,0))&gt;=100000), " ",IF(INDEX($V$2:$AE$1001,MATCH(ROWS($O$2:O660),$O$2:$O$1001,0),MATCH(COLUMNS($V$1006:Z1006),$V$1006:$AE$1006,0)), HYPERLINK("#",""), HYPERLINK(CONCATENATE("#Metadata!", ADDRESS(INDEX($Q$2:$Q$1001,MATCH(ROWS($O$2:O660),$O$2:$O$1001,0),0), INDEX($V$1004:$AE$1004,1,MATCH(COLUMNS($V$1006:Z1006),$V$1006:$AE$1006,0)))),"Fix")))</f>
        <v>0</v>
      </c>
      <c r="G660" s="3">
        <f>IF(OR(INDEX($P$2:$P$1001,MATCH(ROWS($O$2:O660),$O$2:$O$1001,0),1)&gt;=100000,INDEX($V$1005:$AE$1005,1,MATCH(COLUMNS($V$1006:AA1006),$V$1006:$AE$1006,0))&gt;=100000), " ",IF(INDEX($V$2:$AE$1001,MATCH(ROWS($O$2:O660),$O$2:$O$1001,0),MATCH(COLUMNS($V$1006:AA1006),$V$1006:$AE$1006,0)), HYPERLINK("#",""), HYPERLINK(CONCATENATE("#Metadata!", ADDRESS(INDEX($Q$2:$Q$1001,MATCH(ROWS($O$2:O660),$O$2:$O$1001,0),0), INDEX($V$1004:$AE$1004,1,MATCH(COLUMNS($V$1006:AA1006),$V$1006:$AE$1006,0)))),"Fix")))</f>
        <v>0</v>
      </c>
      <c r="H660" s="3">
        <f>IF(OR(INDEX($P$2:$P$1001,MATCH(ROWS($O$2:O660),$O$2:$O$1001,0),1)&gt;=100000,INDEX($V$1005:$AE$1005,1,MATCH(COLUMNS($V$1006:AB1006),$V$1006:$AE$1006,0))&gt;=100000), " ",IF(INDEX($V$2:$AE$1001,MATCH(ROWS($O$2:O660),$O$2:$O$1001,0),MATCH(COLUMNS($V$1006:AB1006),$V$1006:$AE$1006,0)), HYPERLINK("#",""), HYPERLINK(CONCATENATE("#Metadata!", ADDRESS(INDEX($Q$2:$Q$1001,MATCH(ROWS($O$2:O660),$O$2:$O$1001,0),0), INDEX($V$1004:$AE$1004,1,MATCH(COLUMNS($V$1006:AB1006),$V$1006:$AE$1006,0)))),"Fix")))</f>
        <v>0</v>
      </c>
      <c r="I660" s="3">
        <f>IF(OR(INDEX($P$2:$P$1001,MATCH(ROWS($O$2:O660),$O$2:$O$1001,0),1)&gt;=100000,INDEX($V$1005:$AE$1005,1,MATCH(COLUMNS($V$1006:AC1006),$V$1006:$AE$1006,0))&gt;=100000), " ",IF(INDEX($V$2:$AE$1001,MATCH(ROWS($O$2:O660),$O$2:$O$1001,0),MATCH(COLUMNS($V$1006:AC1006),$V$1006:$AE$1006,0)), HYPERLINK("#",""), HYPERLINK(CONCATENATE("#Metadata!", ADDRESS(INDEX($Q$2:$Q$1001,MATCH(ROWS($O$2:O660),$O$2:$O$1001,0),0), INDEX($V$1004:$AE$1004,1,MATCH(COLUMNS($V$1006:AC1006),$V$1006:$AE$1006,0)))),"Fix")))</f>
        <v>0</v>
      </c>
      <c r="J660" s="3">
        <f>IF(OR(INDEX($P$2:$P$1001,MATCH(ROWS($O$2:O660),$O$2:$O$1001,0),1)&gt;=100000,INDEX($V$1005:$AE$1005,1,MATCH(COLUMNS($V$1006:AD1006),$V$1006:$AE$1006,0))&gt;=100000), " ",IF(INDEX($V$2:$AE$1001,MATCH(ROWS($O$2:O660),$O$2:$O$1001,0),MATCH(COLUMNS($V$1006:AD1006),$V$1006:$AE$1006,0)), HYPERLINK("#",""), HYPERLINK(CONCATENATE("#Metadata!", ADDRESS(INDEX($Q$2:$Q$1001,MATCH(ROWS($O$2:O660),$O$2:$O$1001,0),0), INDEX($V$1004:$AE$1004,1,MATCH(COLUMNS($V$1006:AD1006),$V$1006:$AE$1006,0)))),"Fix")))</f>
        <v>0</v>
      </c>
      <c r="K660" s="3">
        <f>IF(OR(INDEX($P$2:$P$1001,MATCH(ROWS($O$2:O660),$O$2:$O$1001,0),1)&gt;=100000,INDEX($V$1005:$AE$1005,1,MATCH(COLUMNS($V$1006:AE1006),$V$1006:$AE$1006,0))&gt;=100000), " ",IF(INDEX($V$2:$AE$1001,MATCH(ROWS($O$2:O660),$O$2:$O$1001,0),MATCH(COLUMNS($V$1006:AE1006),$V$1006:$AE$1006,0)), HYPERLINK("#",""), HYPERLINK(CONCATENATE("#Metadata!", ADDRESS(INDEX($Q$2:$Q$1001,MATCH(ROWS($O$2:O660),$O$2:$O$1001,0),0), INDEX($V$1004:$AE$1004,1,MATCH(COLUMNS($V$1006:AE1006),$V$1006:$AE$1006,0)))),"Fix")))</f>
        <v>0</v>
      </c>
      <c r="O660">
        <v>0</v>
      </c>
      <c r="P660">
        <v>0</v>
      </c>
      <c r="Q660">
        <v>0</v>
      </c>
      <c r="R660">
        <f>IF(S660,TRUE,AND(V660:AE660))</f>
        <v>0</v>
      </c>
      <c r="S660">
        <f>COUNTBLANK(Metadata!B660:K660)=COLUMNS(Metadata!B660:K660)</f>
        <v>0</v>
      </c>
      <c r="T660">
        <v>0</v>
      </c>
      <c r="V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W660">
        <f>AND(IF(Metadata!C660="",FALSE,TRUE),exact(Metadata!C660,"animal secretion"))</f>
        <v>0</v>
      </c>
      <c r="X660">
        <f>AND(IF(Metadata!D660="",FALSE,TRUE),exact(Metadata!D660,"saliva"))</f>
        <v>0</v>
      </c>
      <c r="Y660">
        <f>AND(IF(Metadata!E660="",FALSE,TRUE),exact(Metadata!E660,"human-oral"))</f>
        <v>0</v>
      </c>
      <c r="Z660">
        <f>AND(IF(Metadata!F660="",FALSE,TRUE),exact(Metadata!F660,"UBERON:oral cavity"))</f>
        <v>0</v>
      </c>
      <c r="AA660">
        <f>AND(IF(Metadata!G660="",FALSE,TRUE),exact(Metadata!G660,"UBERON:saliva"))</f>
        <v>0</v>
      </c>
      <c r="AB660">
        <f>AND(IF(Metadata!H660="",FALSE,TRUE),exact(Metadata!H660,"UBERON:tongue"))</f>
        <v>0</v>
      </c>
      <c r="AC660">
        <f>AND(IF(Metadata!I660="",FALSE,TRUE),exact(Metadata!I660,"tongue"))</f>
        <v>0</v>
      </c>
      <c r="AD660">
        <f>AND(IF(Metadata!J660="",FALSE,TRUE),exact(Metadata!J660,"human oral metagenome"))</f>
        <v>0</v>
      </c>
      <c r="AE660">
        <f>AND(IF(Metadata!K660="",FALSE,TRUE),exact(Metadata!K660,"447426"))</f>
        <v>0</v>
      </c>
    </row>
    <row r="661" spans="1:31">
      <c r="A661" s="4">
        <f>IF(B661=" "," ",HYPERLINK(CONCATENATE("#metadata!",ADDRESS(INDEX($Q$2:$Q$1001,MATCH(ROWS($O$2:O661),$O$2:$O$1001,0),0),1)),INDEX($T$2:$T$1001,MATCH(ROWS($O$2:O661),$O$2:$O$1001,0),0)))</f>
        <v>0</v>
      </c>
      <c r="B661" s="3">
        <f>IF(OR(INDEX($P$2:$P$1001,MATCH(ROWS($O$2:O661),$O$2:$O$1001,0),1)&gt;=100000,INDEX($V$1005:$AE$1005,1,MATCH(COLUMNS($V$1006:V1006),$V$1006:$AE$1006,0))&gt;=100000), " ",IF(INDEX($V$2:$AE$1001,MATCH(ROWS($O$2:O661),$O$2:$O$1001,0),MATCH(COLUMNS($V$1006:V1006),$V$1006:$AE$1006,0)), HYPERLINK("#",""), HYPERLINK(CONCATENATE("#Metadata!", ADDRESS(INDEX($Q$2:$Q$1001,MATCH(ROWS($O$2:O661),$O$2:$O$1001,0),0), INDEX($V$1004:$AE$1004,1,MATCH(COLUMNS($V$1006:V1006),$V$1006:$AE$1006,0)))),"Fix")))</f>
        <v>0</v>
      </c>
      <c r="C661" s="3">
        <f>IF(OR(INDEX($P$2:$P$1001,MATCH(ROWS($O$2:O661),$O$2:$O$1001,0),1)&gt;=100000,INDEX($V$1005:$AE$1005,1,MATCH(COLUMNS($V$1006:W1006),$V$1006:$AE$1006,0))&gt;=100000), " ",IF(INDEX($V$2:$AE$1001,MATCH(ROWS($O$2:O661),$O$2:$O$1001,0),MATCH(COLUMNS($V$1006:W1006),$V$1006:$AE$1006,0)), HYPERLINK("#",""), HYPERLINK(CONCATENATE("#Metadata!", ADDRESS(INDEX($Q$2:$Q$1001,MATCH(ROWS($O$2:O661),$O$2:$O$1001,0),0), INDEX($V$1004:$AE$1004,1,MATCH(COLUMNS($V$1006:W1006),$V$1006:$AE$1006,0)))),"Fix")))</f>
        <v>0</v>
      </c>
      <c r="D661" s="3">
        <f>IF(OR(INDEX($P$2:$P$1001,MATCH(ROWS($O$2:O661),$O$2:$O$1001,0),1)&gt;=100000,INDEX($V$1005:$AE$1005,1,MATCH(COLUMNS($V$1006:X1006),$V$1006:$AE$1006,0))&gt;=100000), " ",IF(INDEX($V$2:$AE$1001,MATCH(ROWS($O$2:O661),$O$2:$O$1001,0),MATCH(COLUMNS($V$1006:X1006),$V$1006:$AE$1006,0)), HYPERLINK("#",""), HYPERLINK(CONCATENATE("#Metadata!", ADDRESS(INDEX($Q$2:$Q$1001,MATCH(ROWS($O$2:O661),$O$2:$O$1001,0),0), INDEX($V$1004:$AE$1004,1,MATCH(COLUMNS($V$1006:X1006),$V$1006:$AE$1006,0)))),"Fix")))</f>
        <v>0</v>
      </c>
      <c r="E661" s="3">
        <f>IF(OR(INDEX($P$2:$P$1001,MATCH(ROWS($O$2:O661),$O$2:$O$1001,0),1)&gt;=100000,INDEX($V$1005:$AE$1005,1,MATCH(COLUMNS($V$1006:Y1006),$V$1006:$AE$1006,0))&gt;=100000), " ",IF(INDEX($V$2:$AE$1001,MATCH(ROWS($O$2:O661),$O$2:$O$1001,0),MATCH(COLUMNS($V$1006:Y1006),$V$1006:$AE$1006,0)), HYPERLINK("#",""), HYPERLINK(CONCATENATE("#Metadata!", ADDRESS(INDEX($Q$2:$Q$1001,MATCH(ROWS($O$2:O661),$O$2:$O$1001,0),0), INDEX($V$1004:$AE$1004,1,MATCH(COLUMNS($V$1006:Y1006),$V$1006:$AE$1006,0)))),"Fix")))</f>
        <v>0</v>
      </c>
      <c r="F661" s="3">
        <f>IF(OR(INDEX($P$2:$P$1001,MATCH(ROWS($O$2:O661),$O$2:$O$1001,0),1)&gt;=100000,INDEX($V$1005:$AE$1005,1,MATCH(COLUMNS($V$1006:Z1006),$V$1006:$AE$1006,0))&gt;=100000), " ",IF(INDEX($V$2:$AE$1001,MATCH(ROWS($O$2:O661),$O$2:$O$1001,0),MATCH(COLUMNS($V$1006:Z1006),$V$1006:$AE$1006,0)), HYPERLINK("#",""), HYPERLINK(CONCATENATE("#Metadata!", ADDRESS(INDEX($Q$2:$Q$1001,MATCH(ROWS($O$2:O661),$O$2:$O$1001,0),0), INDEX($V$1004:$AE$1004,1,MATCH(COLUMNS($V$1006:Z1006),$V$1006:$AE$1006,0)))),"Fix")))</f>
        <v>0</v>
      </c>
      <c r="G661" s="3">
        <f>IF(OR(INDEX($P$2:$P$1001,MATCH(ROWS($O$2:O661),$O$2:$O$1001,0),1)&gt;=100000,INDEX($V$1005:$AE$1005,1,MATCH(COLUMNS($V$1006:AA1006),$V$1006:$AE$1006,0))&gt;=100000), " ",IF(INDEX($V$2:$AE$1001,MATCH(ROWS($O$2:O661),$O$2:$O$1001,0),MATCH(COLUMNS($V$1006:AA1006),$V$1006:$AE$1006,0)), HYPERLINK("#",""), HYPERLINK(CONCATENATE("#Metadata!", ADDRESS(INDEX($Q$2:$Q$1001,MATCH(ROWS($O$2:O661),$O$2:$O$1001,0),0), INDEX($V$1004:$AE$1004,1,MATCH(COLUMNS($V$1006:AA1006),$V$1006:$AE$1006,0)))),"Fix")))</f>
        <v>0</v>
      </c>
      <c r="H661" s="3">
        <f>IF(OR(INDEX($P$2:$P$1001,MATCH(ROWS($O$2:O661),$O$2:$O$1001,0),1)&gt;=100000,INDEX($V$1005:$AE$1005,1,MATCH(COLUMNS($V$1006:AB1006),$V$1006:$AE$1006,0))&gt;=100000), " ",IF(INDEX($V$2:$AE$1001,MATCH(ROWS($O$2:O661),$O$2:$O$1001,0),MATCH(COLUMNS($V$1006:AB1006),$V$1006:$AE$1006,0)), HYPERLINK("#",""), HYPERLINK(CONCATENATE("#Metadata!", ADDRESS(INDEX($Q$2:$Q$1001,MATCH(ROWS($O$2:O661),$O$2:$O$1001,0),0), INDEX($V$1004:$AE$1004,1,MATCH(COLUMNS($V$1006:AB1006),$V$1006:$AE$1006,0)))),"Fix")))</f>
        <v>0</v>
      </c>
      <c r="I661" s="3">
        <f>IF(OR(INDEX($P$2:$P$1001,MATCH(ROWS($O$2:O661),$O$2:$O$1001,0),1)&gt;=100000,INDEX($V$1005:$AE$1005,1,MATCH(COLUMNS($V$1006:AC1006),$V$1006:$AE$1006,0))&gt;=100000), " ",IF(INDEX($V$2:$AE$1001,MATCH(ROWS($O$2:O661),$O$2:$O$1001,0),MATCH(COLUMNS($V$1006:AC1006),$V$1006:$AE$1006,0)), HYPERLINK("#",""), HYPERLINK(CONCATENATE("#Metadata!", ADDRESS(INDEX($Q$2:$Q$1001,MATCH(ROWS($O$2:O661),$O$2:$O$1001,0),0), INDEX($V$1004:$AE$1004,1,MATCH(COLUMNS($V$1006:AC1006),$V$1006:$AE$1006,0)))),"Fix")))</f>
        <v>0</v>
      </c>
      <c r="J661" s="3">
        <f>IF(OR(INDEX($P$2:$P$1001,MATCH(ROWS($O$2:O661),$O$2:$O$1001,0),1)&gt;=100000,INDEX($V$1005:$AE$1005,1,MATCH(COLUMNS($V$1006:AD1006),$V$1006:$AE$1006,0))&gt;=100000), " ",IF(INDEX($V$2:$AE$1001,MATCH(ROWS($O$2:O661),$O$2:$O$1001,0),MATCH(COLUMNS($V$1006:AD1006),$V$1006:$AE$1006,0)), HYPERLINK("#",""), HYPERLINK(CONCATENATE("#Metadata!", ADDRESS(INDEX($Q$2:$Q$1001,MATCH(ROWS($O$2:O661),$O$2:$O$1001,0),0), INDEX($V$1004:$AE$1004,1,MATCH(COLUMNS($V$1006:AD1006),$V$1006:$AE$1006,0)))),"Fix")))</f>
        <v>0</v>
      </c>
      <c r="K661" s="3">
        <f>IF(OR(INDEX($P$2:$P$1001,MATCH(ROWS($O$2:O661),$O$2:$O$1001,0),1)&gt;=100000,INDEX($V$1005:$AE$1005,1,MATCH(COLUMNS($V$1006:AE1006),$V$1006:$AE$1006,0))&gt;=100000), " ",IF(INDEX($V$2:$AE$1001,MATCH(ROWS($O$2:O661),$O$2:$O$1001,0),MATCH(COLUMNS($V$1006:AE1006),$V$1006:$AE$1006,0)), HYPERLINK("#",""), HYPERLINK(CONCATENATE("#Metadata!", ADDRESS(INDEX($Q$2:$Q$1001,MATCH(ROWS($O$2:O661),$O$2:$O$1001,0),0), INDEX($V$1004:$AE$1004,1,MATCH(COLUMNS($V$1006:AE1006),$V$1006:$AE$1006,0)))),"Fix")))</f>
        <v>0</v>
      </c>
      <c r="O661">
        <v>0</v>
      </c>
      <c r="P661">
        <v>0</v>
      </c>
      <c r="Q661">
        <v>0</v>
      </c>
      <c r="R661">
        <f>IF(S661,TRUE,AND(V661:AE661))</f>
        <v>0</v>
      </c>
      <c r="S661">
        <f>COUNTBLANK(Metadata!B661:K661)=COLUMNS(Metadata!B661:K661)</f>
        <v>0</v>
      </c>
      <c r="T661">
        <v>0</v>
      </c>
      <c r="V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W661">
        <f>AND(IF(Metadata!C661="",FALSE,TRUE),exact(Metadata!C661,"animal secretion"))</f>
        <v>0</v>
      </c>
      <c r="X661">
        <f>AND(IF(Metadata!D661="",FALSE,TRUE),exact(Metadata!D661,"saliva"))</f>
        <v>0</v>
      </c>
      <c r="Y661">
        <f>AND(IF(Metadata!E661="",FALSE,TRUE),exact(Metadata!E661,"human-oral"))</f>
        <v>0</v>
      </c>
      <c r="Z661">
        <f>AND(IF(Metadata!F661="",FALSE,TRUE),exact(Metadata!F661,"UBERON:oral cavity"))</f>
        <v>0</v>
      </c>
      <c r="AA661">
        <f>AND(IF(Metadata!G661="",FALSE,TRUE),exact(Metadata!G661,"UBERON:saliva"))</f>
        <v>0</v>
      </c>
      <c r="AB661">
        <f>AND(IF(Metadata!H661="",FALSE,TRUE),exact(Metadata!H661,"UBERON:tongue"))</f>
        <v>0</v>
      </c>
      <c r="AC661">
        <f>AND(IF(Metadata!I661="",FALSE,TRUE),exact(Metadata!I661,"tongue"))</f>
        <v>0</v>
      </c>
      <c r="AD661">
        <f>AND(IF(Metadata!J661="",FALSE,TRUE),exact(Metadata!J661,"human oral metagenome"))</f>
        <v>0</v>
      </c>
      <c r="AE661">
        <f>AND(IF(Metadata!K661="",FALSE,TRUE),exact(Metadata!K661,"447426"))</f>
        <v>0</v>
      </c>
    </row>
    <row r="662" spans="1:31">
      <c r="A662" s="4">
        <f>IF(B662=" "," ",HYPERLINK(CONCATENATE("#metadata!",ADDRESS(INDEX($Q$2:$Q$1001,MATCH(ROWS($O$2:O662),$O$2:$O$1001,0),0),1)),INDEX($T$2:$T$1001,MATCH(ROWS($O$2:O662),$O$2:$O$1001,0),0)))</f>
        <v>0</v>
      </c>
      <c r="B662" s="3">
        <f>IF(OR(INDEX($P$2:$P$1001,MATCH(ROWS($O$2:O662),$O$2:$O$1001,0),1)&gt;=100000,INDEX($V$1005:$AE$1005,1,MATCH(COLUMNS($V$1006:V1006),$V$1006:$AE$1006,0))&gt;=100000), " ",IF(INDEX($V$2:$AE$1001,MATCH(ROWS($O$2:O662),$O$2:$O$1001,0),MATCH(COLUMNS($V$1006:V1006),$V$1006:$AE$1006,0)), HYPERLINK("#",""), HYPERLINK(CONCATENATE("#Metadata!", ADDRESS(INDEX($Q$2:$Q$1001,MATCH(ROWS($O$2:O662),$O$2:$O$1001,0),0), INDEX($V$1004:$AE$1004,1,MATCH(COLUMNS($V$1006:V1006),$V$1006:$AE$1006,0)))),"Fix")))</f>
        <v>0</v>
      </c>
      <c r="C662" s="3">
        <f>IF(OR(INDEX($P$2:$P$1001,MATCH(ROWS($O$2:O662),$O$2:$O$1001,0),1)&gt;=100000,INDEX($V$1005:$AE$1005,1,MATCH(COLUMNS($V$1006:W1006),$V$1006:$AE$1006,0))&gt;=100000), " ",IF(INDEX($V$2:$AE$1001,MATCH(ROWS($O$2:O662),$O$2:$O$1001,0),MATCH(COLUMNS($V$1006:W1006),$V$1006:$AE$1006,0)), HYPERLINK("#",""), HYPERLINK(CONCATENATE("#Metadata!", ADDRESS(INDEX($Q$2:$Q$1001,MATCH(ROWS($O$2:O662),$O$2:$O$1001,0),0), INDEX($V$1004:$AE$1004,1,MATCH(COLUMNS($V$1006:W1006),$V$1006:$AE$1006,0)))),"Fix")))</f>
        <v>0</v>
      </c>
      <c r="D662" s="3">
        <f>IF(OR(INDEX($P$2:$P$1001,MATCH(ROWS($O$2:O662),$O$2:$O$1001,0),1)&gt;=100000,INDEX($V$1005:$AE$1005,1,MATCH(COLUMNS($V$1006:X1006),$V$1006:$AE$1006,0))&gt;=100000), " ",IF(INDEX($V$2:$AE$1001,MATCH(ROWS($O$2:O662),$O$2:$O$1001,0),MATCH(COLUMNS($V$1006:X1006),$V$1006:$AE$1006,0)), HYPERLINK("#",""), HYPERLINK(CONCATENATE("#Metadata!", ADDRESS(INDEX($Q$2:$Q$1001,MATCH(ROWS($O$2:O662),$O$2:$O$1001,0),0), INDEX($V$1004:$AE$1004,1,MATCH(COLUMNS($V$1006:X1006),$V$1006:$AE$1006,0)))),"Fix")))</f>
        <v>0</v>
      </c>
      <c r="E662" s="3">
        <f>IF(OR(INDEX($P$2:$P$1001,MATCH(ROWS($O$2:O662),$O$2:$O$1001,0),1)&gt;=100000,INDEX($V$1005:$AE$1005,1,MATCH(COLUMNS($V$1006:Y1006),$V$1006:$AE$1006,0))&gt;=100000), " ",IF(INDEX($V$2:$AE$1001,MATCH(ROWS($O$2:O662),$O$2:$O$1001,0),MATCH(COLUMNS($V$1006:Y1006),$V$1006:$AE$1006,0)), HYPERLINK("#",""), HYPERLINK(CONCATENATE("#Metadata!", ADDRESS(INDEX($Q$2:$Q$1001,MATCH(ROWS($O$2:O662),$O$2:$O$1001,0),0), INDEX($V$1004:$AE$1004,1,MATCH(COLUMNS($V$1006:Y1006),$V$1006:$AE$1006,0)))),"Fix")))</f>
        <v>0</v>
      </c>
      <c r="F662" s="3">
        <f>IF(OR(INDEX($P$2:$P$1001,MATCH(ROWS($O$2:O662),$O$2:$O$1001,0),1)&gt;=100000,INDEX($V$1005:$AE$1005,1,MATCH(COLUMNS($V$1006:Z1006),$V$1006:$AE$1006,0))&gt;=100000), " ",IF(INDEX($V$2:$AE$1001,MATCH(ROWS($O$2:O662),$O$2:$O$1001,0),MATCH(COLUMNS($V$1006:Z1006),$V$1006:$AE$1006,0)), HYPERLINK("#",""), HYPERLINK(CONCATENATE("#Metadata!", ADDRESS(INDEX($Q$2:$Q$1001,MATCH(ROWS($O$2:O662),$O$2:$O$1001,0),0), INDEX($V$1004:$AE$1004,1,MATCH(COLUMNS($V$1006:Z1006),$V$1006:$AE$1006,0)))),"Fix")))</f>
        <v>0</v>
      </c>
      <c r="G662" s="3">
        <f>IF(OR(INDEX($P$2:$P$1001,MATCH(ROWS($O$2:O662),$O$2:$O$1001,0),1)&gt;=100000,INDEX($V$1005:$AE$1005,1,MATCH(COLUMNS($V$1006:AA1006),$V$1006:$AE$1006,0))&gt;=100000), " ",IF(INDEX($V$2:$AE$1001,MATCH(ROWS($O$2:O662),$O$2:$O$1001,0),MATCH(COLUMNS($V$1006:AA1006),$V$1006:$AE$1006,0)), HYPERLINK("#",""), HYPERLINK(CONCATENATE("#Metadata!", ADDRESS(INDEX($Q$2:$Q$1001,MATCH(ROWS($O$2:O662),$O$2:$O$1001,0),0), INDEX($V$1004:$AE$1004,1,MATCH(COLUMNS($V$1006:AA1006),$V$1006:$AE$1006,0)))),"Fix")))</f>
        <v>0</v>
      </c>
      <c r="H662" s="3">
        <f>IF(OR(INDEX($P$2:$P$1001,MATCH(ROWS($O$2:O662),$O$2:$O$1001,0),1)&gt;=100000,INDEX($V$1005:$AE$1005,1,MATCH(COLUMNS($V$1006:AB1006),$V$1006:$AE$1006,0))&gt;=100000), " ",IF(INDEX($V$2:$AE$1001,MATCH(ROWS($O$2:O662),$O$2:$O$1001,0),MATCH(COLUMNS($V$1006:AB1006),$V$1006:$AE$1006,0)), HYPERLINK("#",""), HYPERLINK(CONCATENATE("#Metadata!", ADDRESS(INDEX($Q$2:$Q$1001,MATCH(ROWS($O$2:O662),$O$2:$O$1001,0),0), INDEX($V$1004:$AE$1004,1,MATCH(COLUMNS($V$1006:AB1006),$V$1006:$AE$1006,0)))),"Fix")))</f>
        <v>0</v>
      </c>
      <c r="I662" s="3">
        <f>IF(OR(INDEX($P$2:$P$1001,MATCH(ROWS($O$2:O662),$O$2:$O$1001,0),1)&gt;=100000,INDEX($V$1005:$AE$1005,1,MATCH(COLUMNS($V$1006:AC1006),$V$1006:$AE$1006,0))&gt;=100000), " ",IF(INDEX($V$2:$AE$1001,MATCH(ROWS($O$2:O662),$O$2:$O$1001,0),MATCH(COLUMNS($V$1006:AC1006),$V$1006:$AE$1006,0)), HYPERLINK("#",""), HYPERLINK(CONCATENATE("#Metadata!", ADDRESS(INDEX($Q$2:$Q$1001,MATCH(ROWS($O$2:O662),$O$2:$O$1001,0),0), INDEX($V$1004:$AE$1004,1,MATCH(COLUMNS($V$1006:AC1006),$V$1006:$AE$1006,0)))),"Fix")))</f>
        <v>0</v>
      </c>
      <c r="J662" s="3">
        <f>IF(OR(INDEX($P$2:$P$1001,MATCH(ROWS($O$2:O662),$O$2:$O$1001,0),1)&gt;=100000,INDEX($V$1005:$AE$1005,1,MATCH(COLUMNS($V$1006:AD1006),$V$1006:$AE$1006,0))&gt;=100000), " ",IF(INDEX($V$2:$AE$1001,MATCH(ROWS($O$2:O662),$O$2:$O$1001,0),MATCH(COLUMNS($V$1006:AD1006),$V$1006:$AE$1006,0)), HYPERLINK("#",""), HYPERLINK(CONCATENATE("#Metadata!", ADDRESS(INDEX($Q$2:$Q$1001,MATCH(ROWS($O$2:O662),$O$2:$O$1001,0),0), INDEX($V$1004:$AE$1004,1,MATCH(COLUMNS($V$1006:AD1006),$V$1006:$AE$1006,0)))),"Fix")))</f>
        <v>0</v>
      </c>
      <c r="K662" s="3">
        <f>IF(OR(INDEX($P$2:$P$1001,MATCH(ROWS($O$2:O662),$O$2:$O$1001,0),1)&gt;=100000,INDEX($V$1005:$AE$1005,1,MATCH(COLUMNS($V$1006:AE1006),$V$1006:$AE$1006,0))&gt;=100000), " ",IF(INDEX($V$2:$AE$1001,MATCH(ROWS($O$2:O662),$O$2:$O$1001,0),MATCH(COLUMNS($V$1006:AE1006),$V$1006:$AE$1006,0)), HYPERLINK("#",""), HYPERLINK(CONCATENATE("#Metadata!", ADDRESS(INDEX($Q$2:$Q$1001,MATCH(ROWS($O$2:O662),$O$2:$O$1001,0),0), INDEX($V$1004:$AE$1004,1,MATCH(COLUMNS($V$1006:AE1006),$V$1006:$AE$1006,0)))),"Fix")))</f>
        <v>0</v>
      </c>
      <c r="O662">
        <v>0</v>
      </c>
      <c r="P662">
        <v>0</v>
      </c>
      <c r="Q662">
        <v>0</v>
      </c>
      <c r="R662">
        <f>IF(S662,TRUE,AND(V662:AE662))</f>
        <v>0</v>
      </c>
      <c r="S662">
        <f>COUNTBLANK(Metadata!B662:K662)=COLUMNS(Metadata!B662:K662)</f>
        <v>0</v>
      </c>
      <c r="T662">
        <v>0</v>
      </c>
      <c r="V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W662">
        <f>AND(IF(Metadata!C662="",FALSE,TRUE),exact(Metadata!C662,"animal secretion"))</f>
        <v>0</v>
      </c>
      <c r="X662">
        <f>AND(IF(Metadata!D662="",FALSE,TRUE),exact(Metadata!D662,"saliva"))</f>
        <v>0</v>
      </c>
      <c r="Y662">
        <f>AND(IF(Metadata!E662="",FALSE,TRUE),exact(Metadata!E662,"human-oral"))</f>
        <v>0</v>
      </c>
      <c r="Z662">
        <f>AND(IF(Metadata!F662="",FALSE,TRUE),exact(Metadata!F662,"UBERON:oral cavity"))</f>
        <v>0</v>
      </c>
      <c r="AA662">
        <f>AND(IF(Metadata!G662="",FALSE,TRUE),exact(Metadata!G662,"UBERON:saliva"))</f>
        <v>0</v>
      </c>
      <c r="AB662">
        <f>AND(IF(Metadata!H662="",FALSE,TRUE),exact(Metadata!H662,"UBERON:tongue"))</f>
        <v>0</v>
      </c>
      <c r="AC662">
        <f>AND(IF(Metadata!I662="",FALSE,TRUE),exact(Metadata!I662,"tongue"))</f>
        <v>0</v>
      </c>
      <c r="AD662">
        <f>AND(IF(Metadata!J662="",FALSE,TRUE),exact(Metadata!J662,"human oral metagenome"))</f>
        <v>0</v>
      </c>
      <c r="AE662">
        <f>AND(IF(Metadata!K662="",FALSE,TRUE),exact(Metadata!K662,"447426"))</f>
        <v>0</v>
      </c>
    </row>
    <row r="663" spans="1:31">
      <c r="A663" s="4">
        <f>IF(B663=" "," ",HYPERLINK(CONCATENATE("#metadata!",ADDRESS(INDEX($Q$2:$Q$1001,MATCH(ROWS($O$2:O663),$O$2:$O$1001,0),0),1)),INDEX($T$2:$T$1001,MATCH(ROWS($O$2:O663),$O$2:$O$1001,0),0)))</f>
        <v>0</v>
      </c>
      <c r="B663" s="3">
        <f>IF(OR(INDEX($P$2:$P$1001,MATCH(ROWS($O$2:O663),$O$2:$O$1001,0),1)&gt;=100000,INDEX($V$1005:$AE$1005,1,MATCH(COLUMNS($V$1006:V1006),$V$1006:$AE$1006,0))&gt;=100000), " ",IF(INDEX($V$2:$AE$1001,MATCH(ROWS($O$2:O663),$O$2:$O$1001,0),MATCH(COLUMNS($V$1006:V1006),$V$1006:$AE$1006,0)), HYPERLINK("#",""), HYPERLINK(CONCATENATE("#Metadata!", ADDRESS(INDEX($Q$2:$Q$1001,MATCH(ROWS($O$2:O663),$O$2:$O$1001,0),0), INDEX($V$1004:$AE$1004,1,MATCH(COLUMNS($V$1006:V1006),$V$1006:$AE$1006,0)))),"Fix")))</f>
        <v>0</v>
      </c>
      <c r="C663" s="3">
        <f>IF(OR(INDEX($P$2:$P$1001,MATCH(ROWS($O$2:O663),$O$2:$O$1001,0),1)&gt;=100000,INDEX($V$1005:$AE$1005,1,MATCH(COLUMNS($V$1006:W1006),$V$1006:$AE$1006,0))&gt;=100000), " ",IF(INDEX($V$2:$AE$1001,MATCH(ROWS($O$2:O663),$O$2:$O$1001,0),MATCH(COLUMNS($V$1006:W1006),$V$1006:$AE$1006,0)), HYPERLINK("#",""), HYPERLINK(CONCATENATE("#Metadata!", ADDRESS(INDEX($Q$2:$Q$1001,MATCH(ROWS($O$2:O663),$O$2:$O$1001,0),0), INDEX($V$1004:$AE$1004,1,MATCH(COLUMNS($V$1006:W1006),$V$1006:$AE$1006,0)))),"Fix")))</f>
        <v>0</v>
      </c>
      <c r="D663" s="3">
        <f>IF(OR(INDEX($P$2:$P$1001,MATCH(ROWS($O$2:O663),$O$2:$O$1001,0),1)&gt;=100000,INDEX($V$1005:$AE$1005,1,MATCH(COLUMNS($V$1006:X1006),$V$1006:$AE$1006,0))&gt;=100000), " ",IF(INDEX($V$2:$AE$1001,MATCH(ROWS($O$2:O663),$O$2:$O$1001,0),MATCH(COLUMNS($V$1006:X1006),$V$1006:$AE$1006,0)), HYPERLINK("#",""), HYPERLINK(CONCATENATE("#Metadata!", ADDRESS(INDEX($Q$2:$Q$1001,MATCH(ROWS($O$2:O663),$O$2:$O$1001,0),0), INDEX($V$1004:$AE$1004,1,MATCH(COLUMNS($V$1006:X1006),$V$1006:$AE$1006,0)))),"Fix")))</f>
        <v>0</v>
      </c>
      <c r="E663" s="3">
        <f>IF(OR(INDEX($P$2:$P$1001,MATCH(ROWS($O$2:O663),$O$2:$O$1001,0),1)&gt;=100000,INDEX($V$1005:$AE$1005,1,MATCH(COLUMNS($V$1006:Y1006),$V$1006:$AE$1006,0))&gt;=100000), " ",IF(INDEX($V$2:$AE$1001,MATCH(ROWS($O$2:O663),$O$2:$O$1001,0),MATCH(COLUMNS($V$1006:Y1006),$V$1006:$AE$1006,0)), HYPERLINK("#",""), HYPERLINK(CONCATENATE("#Metadata!", ADDRESS(INDEX($Q$2:$Q$1001,MATCH(ROWS($O$2:O663),$O$2:$O$1001,0),0), INDEX($V$1004:$AE$1004,1,MATCH(COLUMNS($V$1006:Y1006),$V$1006:$AE$1006,0)))),"Fix")))</f>
        <v>0</v>
      </c>
      <c r="F663" s="3">
        <f>IF(OR(INDEX($P$2:$P$1001,MATCH(ROWS($O$2:O663),$O$2:$O$1001,0),1)&gt;=100000,INDEX($V$1005:$AE$1005,1,MATCH(COLUMNS($V$1006:Z1006),$V$1006:$AE$1006,0))&gt;=100000), " ",IF(INDEX($V$2:$AE$1001,MATCH(ROWS($O$2:O663),$O$2:$O$1001,0),MATCH(COLUMNS($V$1006:Z1006),$V$1006:$AE$1006,0)), HYPERLINK("#",""), HYPERLINK(CONCATENATE("#Metadata!", ADDRESS(INDEX($Q$2:$Q$1001,MATCH(ROWS($O$2:O663),$O$2:$O$1001,0),0), INDEX($V$1004:$AE$1004,1,MATCH(COLUMNS($V$1006:Z1006),$V$1006:$AE$1006,0)))),"Fix")))</f>
        <v>0</v>
      </c>
      <c r="G663" s="3">
        <f>IF(OR(INDEX($P$2:$P$1001,MATCH(ROWS($O$2:O663),$O$2:$O$1001,0),1)&gt;=100000,INDEX($V$1005:$AE$1005,1,MATCH(COLUMNS($V$1006:AA1006),$V$1006:$AE$1006,0))&gt;=100000), " ",IF(INDEX($V$2:$AE$1001,MATCH(ROWS($O$2:O663),$O$2:$O$1001,0),MATCH(COLUMNS($V$1006:AA1006),$V$1006:$AE$1006,0)), HYPERLINK("#",""), HYPERLINK(CONCATENATE("#Metadata!", ADDRESS(INDEX($Q$2:$Q$1001,MATCH(ROWS($O$2:O663),$O$2:$O$1001,0),0), INDEX($V$1004:$AE$1004,1,MATCH(COLUMNS($V$1006:AA1006),$V$1006:$AE$1006,0)))),"Fix")))</f>
        <v>0</v>
      </c>
      <c r="H663" s="3">
        <f>IF(OR(INDEX($P$2:$P$1001,MATCH(ROWS($O$2:O663),$O$2:$O$1001,0),1)&gt;=100000,INDEX($V$1005:$AE$1005,1,MATCH(COLUMNS($V$1006:AB1006),$V$1006:$AE$1006,0))&gt;=100000), " ",IF(INDEX($V$2:$AE$1001,MATCH(ROWS($O$2:O663),$O$2:$O$1001,0),MATCH(COLUMNS($V$1006:AB1006),$V$1006:$AE$1006,0)), HYPERLINK("#",""), HYPERLINK(CONCATENATE("#Metadata!", ADDRESS(INDEX($Q$2:$Q$1001,MATCH(ROWS($O$2:O663),$O$2:$O$1001,0),0), INDEX($V$1004:$AE$1004,1,MATCH(COLUMNS($V$1006:AB1006),$V$1006:$AE$1006,0)))),"Fix")))</f>
        <v>0</v>
      </c>
      <c r="I663" s="3">
        <f>IF(OR(INDEX($P$2:$P$1001,MATCH(ROWS($O$2:O663),$O$2:$O$1001,0),1)&gt;=100000,INDEX($V$1005:$AE$1005,1,MATCH(COLUMNS($V$1006:AC1006),$V$1006:$AE$1006,0))&gt;=100000), " ",IF(INDEX($V$2:$AE$1001,MATCH(ROWS($O$2:O663),$O$2:$O$1001,0),MATCH(COLUMNS($V$1006:AC1006),$V$1006:$AE$1006,0)), HYPERLINK("#",""), HYPERLINK(CONCATENATE("#Metadata!", ADDRESS(INDEX($Q$2:$Q$1001,MATCH(ROWS($O$2:O663),$O$2:$O$1001,0),0), INDEX($V$1004:$AE$1004,1,MATCH(COLUMNS($V$1006:AC1006),$V$1006:$AE$1006,0)))),"Fix")))</f>
        <v>0</v>
      </c>
      <c r="J663" s="3">
        <f>IF(OR(INDEX($P$2:$P$1001,MATCH(ROWS($O$2:O663),$O$2:$O$1001,0),1)&gt;=100000,INDEX($V$1005:$AE$1005,1,MATCH(COLUMNS($V$1006:AD1006),$V$1006:$AE$1006,0))&gt;=100000), " ",IF(INDEX($V$2:$AE$1001,MATCH(ROWS($O$2:O663),$O$2:$O$1001,0),MATCH(COLUMNS($V$1006:AD1006),$V$1006:$AE$1006,0)), HYPERLINK("#",""), HYPERLINK(CONCATENATE("#Metadata!", ADDRESS(INDEX($Q$2:$Q$1001,MATCH(ROWS($O$2:O663),$O$2:$O$1001,0),0), INDEX($V$1004:$AE$1004,1,MATCH(COLUMNS($V$1006:AD1006),$V$1006:$AE$1006,0)))),"Fix")))</f>
        <v>0</v>
      </c>
      <c r="K663" s="3">
        <f>IF(OR(INDEX($P$2:$P$1001,MATCH(ROWS($O$2:O663),$O$2:$O$1001,0),1)&gt;=100000,INDEX($V$1005:$AE$1005,1,MATCH(COLUMNS($V$1006:AE1006),$V$1006:$AE$1006,0))&gt;=100000), " ",IF(INDEX($V$2:$AE$1001,MATCH(ROWS($O$2:O663),$O$2:$O$1001,0),MATCH(COLUMNS($V$1006:AE1006),$V$1006:$AE$1006,0)), HYPERLINK("#",""), HYPERLINK(CONCATENATE("#Metadata!", ADDRESS(INDEX($Q$2:$Q$1001,MATCH(ROWS($O$2:O663),$O$2:$O$1001,0),0), INDEX($V$1004:$AE$1004,1,MATCH(COLUMNS($V$1006:AE1006),$V$1006:$AE$1006,0)))),"Fix")))</f>
        <v>0</v>
      </c>
      <c r="O663">
        <v>0</v>
      </c>
      <c r="P663">
        <v>0</v>
      </c>
      <c r="Q663">
        <v>0</v>
      </c>
      <c r="R663">
        <f>IF(S663,TRUE,AND(V663:AE663))</f>
        <v>0</v>
      </c>
      <c r="S663">
        <f>COUNTBLANK(Metadata!B663:K663)=COLUMNS(Metadata!B663:K663)</f>
        <v>0</v>
      </c>
      <c r="T663">
        <v>0</v>
      </c>
      <c r="V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W663">
        <f>AND(IF(Metadata!C663="",FALSE,TRUE),exact(Metadata!C663,"animal secretion"))</f>
        <v>0</v>
      </c>
      <c r="X663">
        <f>AND(IF(Metadata!D663="",FALSE,TRUE),exact(Metadata!D663,"saliva"))</f>
        <v>0</v>
      </c>
      <c r="Y663">
        <f>AND(IF(Metadata!E663="",FALSE,TRUE),exact(Metadata!E663,"human-oral"))</f>
        <v>0</v>
      </c>
      <c r="Z663">
        <f>AND(IF(Metadata!F663="",FALSE,TRUE),exact(Metadata!F663,"UBERON:oral cavity"))</f>
        <v>0</v>
      </c>
      <c r="AA663">
        <f>AND(IF(Metadata!G663="",FALSE,TRUE),exact(Metadata!G663,"UBERON:saliva"))</f>
        <v>0</v>
      </c>
      <c r="AB663">
        <f>AND(IF(Metadata!H663="",FALSE,TRUE),exact(Metadata!H663,"UBERON:tongue"))</f>
        <v>0</v>
      </c>
      <c r="AC663">
        <f>AND(IF(Metadata!I663="",FALSE,TRUE),exact(Metadata!I663,"tongue"))</f>
        <v>0</v>
      </c>
      <c r="AD663">
        <f>AND(IF(Metadata!J663="",FALSE,TRUE),exact(Metadata!J663,"human oral metagenome"))</f>
        <v>0</v>
      </c>
      <c r="AE663">
        <f>AND(IF(Metadata!K663="",FALSE,TRUE),exact(Metadata!K663,"447426"))</f>
        <v>0</v>
      </c>
    </row>
    <row r="664" spans="1:31">
      <c r="A664" s="4">
        <f>IF(B664=" "," ",HYPERLINK(CONCATENATE("#metadata!",ADDRESS(INDEX($Q$2:$Q$1001,MATCH(ROWS($O$2:O664),$O$2:$O$1001,0),0),1)),INDEX($T$2:$T$1001,MATCH(ROWS($O$2:O664),$O$2:$O$1001,0),0)))</f>
        <v>0</v>
      </c>
      <c r="B664" s="3">
        <f>IF(OR(INDEX($P$2:$P$1001,MATCH(ROWS($O$2:O664),$O$2:$O$1001,0),1)&gt;=100000,INDEX($V$1005:$AE$1005,1,MATCH(COLUMNS($V$1006:V1006),$V$1006:$AE$1006,0))&gt;=100000), " ",IF(INDEX($V$2:$AE$1001,MATCH(ROWS($O$2:O664),$O$2:$O$1001,0),MATCH(COLUMNS($V$1006:V1006),$V$1006:$AE$1006,0)), HYPERLINK("#",""), HYPERLINK(CONCATENATE("#Metadata!", ADDRESS(INDEX($Q$2:$Q$1001,MATCH(ROWS($O$2:O664),$O$2:$O$1001,0),0), INDEX($V$1004:$AE$1004,1,MATCH(COLUMNS($V$1006:V1006),$V$1006:$AE$1006,0)))),"Fix")))</f>
        <v>0</v>
      </c>
      <c r="C664" s="3">
        <f>IF(OR(INDEX($P$2:$P$1001,MATCH(ROWS($O$2:O664),$O$2:$O$1001,0),1)&gt;=100000,INDEX($V$1005:$AE$1005,1,MATCH(COLUMNS($V$1006:W1006),$V$1006:$AE$1006,0))&gt;=100000), " ",IF(INDEX($V$2:$AE$1001,MATCH(ROWS($O$2:O664),$O$2:$O$1001,0),MATCH(COLUMNS($V$1006:W1006),$V$1006:$AE$1006,0)), HYPERLINK("#",""), HYPERLINK(CONCATENATE("#Metadata!", ADDRESS(INDEX($Q$2:$Q$1001,MATCH(ROWS($O$2:O664),$O$2:$O$1001,0),0), INDEX($V$1004:$AE$1004,1,MATCH(COLUMNS($V$1006:W1006),$V$1006:$AE$1006,0)))),"Fix")))</f>
        <v>0</v>
      </c>
      <c r="D664" s="3">
        <f>IF(OR(INDEX($P$2:$P$1001,MATCH(ROWS($O$2:O664),$O$2:$O$1001,0),1)&gt;=100000,INDEX($V$1005:$AE$1005,1,MATCH(COLUMNS($V$1006:X1006),$V$1006:$AE$1006,0))&gt;=100000), " ",IF(INDEX($V$2:$AE$1001,MATCH(ROWS($O$2:O664),$O$2:$O$1001,0),MATCH(COLUMNS($V$1006:X1006),$V$1006:$AE$1006,0)), HYPERLINK("#",""), HYPERLINK(CONCATENATE("#Metadata!", ADDRESS(INDEX($Q$2:$Q$1001,MATCH(ROWS($O$2:O664),$O$2:$O$1001,0),0), INDEX($V$1004:$AE$1004,1,MATCH(COLUMNS($V$1006:X1006),$V$1006:$AE$1006,0)))),"Fix")))</f>
        <v>0</v>
      </c>
      <c r="E664" s="3">
        <f>IF(OR(INDEX($P$2:$P$1001,MATCH(ROWS($O$2:O664),$O$2:$O$1001,0),1)&gt;=100000,INDEX($V$1005:$AE$1005,1,MATCH(COLUMNS($V$1006:Y1006),$V$1006:$AE$1006,0))&gt;=100000), " ",IF(INDEX($V$2:$AE$1001,MATCH(ROWS($O$2:O664),$O$2:$O$1001,0),MATCH(COLUMNS($V$1006:Y1006),$V$1006:$AE$1006,0)), HYPERLINK("#",""), HYPERLINK(CONCATENATE("#Metadata!", ADDRESS(INDEX($Q$2:$Q$1001,MATCH(ROWS($O$2:O664),$O$2:$O$1001,0),0), INDEX($V$1004:$AE$1004,1,MATCH(COLUMNS($V$1006:Y1006),$V$1006:$AE$1006,0)))),"Fix")))</f>
        <v>0</v>
      </c>
      <c r="F664" s="3">
        <f>IF(OR(INDEX($P$2:$P$1001,MATCH(ROWS($O$2:O664),$O$2:$O$1001,0),1)&gt;=100000,INDEX($V$1005:$AE$1005,1,MATCH(COLUMNS($V$1006:Z1006),$V$1006:$AE$1006,0))&gt;=100000), " ",IF(INDEX($V$2:$AE$1001,MATCH(ROWS($O$2:O664),$O$2:$O$1001,0),MATCH(COLUMNS($V$1006:Z1006),$V$1006:$AE$1006,0)), HYPERLINK("#",""), HYPERLINK(CONCATENATE("#Metadata!", ADDRESS(INDEX($Q$2:$Q$1001,MATCH(ROWS($O$2:O664),$O$2:$O$1001,0),0), INDEX($V$1004:$AE$1004,1,MATCH(COLUMNS($V$1006:Z1006),$V$1006:$AE$1006,0)))),"Fix")))</f>
        <v>0</v>
      </c>
      <c r="G664" s="3">
        <f>IF(OR(INDEX($P$2:$P$1001,MATCH(ROWS($O$2:O664),$O$2:$O$1001,0),1)&gt;=100000,INDEX($V$1005:$AE$1005,1,MATCH(COLUMNS($V$1006:AA1006),$V$1006:$AE$1006,0))&gt;=100000), " ",IF(INDEX($V$2:$AE$1001,MATCH(ROWS($O$2:O664),$O$2:$O$1001,0),MATCH(COLUMNS($V$1006:AA1006),$V$1006:$AE$1006,0)), HYPERLINK("#",""), HYPERLINK(CONCATENATE("#Metadata!", ADDRESS(INDEX($Q$2:$Q$1001,MATCH(ROWS($O$2:O664),$O$2:$O$1001,0),0), INDEX($V$1004:$AE$1004,1,MATCH(COLUMNS($V$1006:AA1006),$V$1006:$AE$1006,0)))),"Fix")))</f>
        <v>0</v>
      </c>
      <c r="H664" s="3">
        <f>IF(OR(INDEX($P$2:$P$1001,MATCH(ROWS($O$2:O664),$O$2:$O$1001,0),1)&gt;=100000,INDEX($V$1005:$AE$1005,1,MATCH(COLUMNS($V$1006:AB1006),$V$1006:$AE$1006,0))&gt;=100000), " ",IF(INDEX($V$2:$AE$1001,MATCH(ROWS($O$2:O664),$O$2:$O$1001,0),MATCH(COLUMNS($V$1006:AB1006),$V$1006:$AE$1006,0)), HYPERLINK("#",""), HYPERLINK(CONCATENATE("#Metadata!", ADDRESS(INDEX($Q$2:$Q$1001,MATCH(ROWS($O$2:O664),$O$2:$O$1001,0),0), INDEX($V$1004:$AE$1004,1,MATCH(COLUMNS($V$1006:AB1006),$V$1006:$AE$1006,0)))),"Fix")))</f>
        <v>0</v>
      </c>
      <c r="I664" s="3">
        <f>IF(OR(INDEX($P$2:$P$1001,MATCH(ROWS($O$2:O664),$O$2:$O$1001,0),1)&gt;=100000,INDEX($V$1005:$AE$1005,1,MATCH(COLUMNS($V$1006:AC1006),$V$1006:$AE$1006,0))&gt;=100000), " ",IF(INDEX($V$2:$AE$1001,MATCH(ROWS($O$2:O664),$O$2:$O$1001,0),MATCH(COLUMNS($V$1006:AC1006),$V$1006:$AE$1006,0)), HYPERLINK("#",""), HYPERLINK(CONCATENATE("#Metadata!", ADDRESS(INDEX($Q$2:$Q$1001,MATCH(ROWS($O$2:O664),$O$2:$O$1001,0),0), INDEX($V$1004:$AE$1004,1,MATCH(COLUMNS($V$1006:AC1006),$V$1006:$AE$1006,0)))),"Fix")))</f>
        <v>0</v>
      </c>
      <c r="J664" s="3">
        <f>IF(OR(INDEX($P$2:$P$1001,MATCH(ROWS($O$2:O664),$O$2:$O$1001,0),1)&gt;=100000,INDEX($V$1005:$AE$1005,1,MATCH(COLUMNS($V$1006:AD1006),$V$1006:$AE$1006,0))&gt;=100000), " ",IF(INDEX($V$2:$AE$1001,MATCH(ROWS($O$2:O664),$O$2:$O$1001,0),MATCH(COLUMNS($V$1006:AD1006),$V$1006:$AE$1006,0)), HYPERLINK("#",""), HYPERLINK(CONCATENATE("#Metadata!", ADDRESS(INDEX($Q$2:$Q$1001,MATCH(ROWS($O$2:O664),$O$2:$O$1001,0),0), INDEX($V$1004:$AE$1004,1,MATCH(COLUMNS($V$1006:AD1006),$V$1006:$AE$1006,0)))),"Fix")))</f>
        <v>0</v>
      </c>
      <c r="K664" s="3">
        <f>IF(OR(INDEX($P$2:$P$1001,MATCH(ROWS($O$2:O664),$O$2:$O$1001,0),1)&gt;=100000,INDEX($V$1005:$AE$1005,1,MATCH(COLUMNS($V$1006:AE1006),$V$1006:$AE$1006,0))&gt;=100000), " ",IF(INDEX($V$2:$AE$1001,MATCH(ROWS($O$2:O664),$O$2:$O$1001,0),MATCH(COLUMNS($V$1006:AE1006),$V$1006:$AE$1006,0)), HYPERLINK("#",""), HYPERLINK(CONCATENATE("#Metadata!", ADDRESS(INDEX($Q$2:$Q$1001,MATCH(ROWS($O$2:O664),$O$2:$O$1001,0),0), INDEX($V$1004:$AE$1004,1,MATCH(COLUMNS($V$1006:AE1006),$V$1006:$AE$1006,0)))),"Fix")))</f>
        <v>0</v>
      </c>
      <c r="O664">
        <v>0</v>
      </c>
      <c r="P664">
        <v>0</v>
      </c>
      <c r="Q664">
        <v>0</v>
      </c>
      <c r="R664">
        <f>IF(S664,TRUE,AND(V664:AE664))</f>
        <v>0</v>
      </c>
      <c r="S664">
        <f>COUNTBLANK(Metadata!B664:K664)=COLUMNS(Metadata!B664:K664)</f>
        <v>0</v>
      </c>
      <c r="T664">
        <v>0</v>
      </c>
      <c r="V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W664">
        <f>AND(IF(Metadata!C664="",FALSE,TRUE),exact(Metadata!C664,"animal secretion"))</f>
        <v>0</v>
      </c>
      <c r="X664">
        <f>AND(IF(Metadata!D664="",FALSE,TRUE),exact(Metadata!D664,"saliva"))</f>
        <v>0</v>
      </c>
      <c r="Y664">
        <f>AND(IF(Metadata!E664="",FALSE,TRUE),exact(Metadata!E664,"human-oral"))</f>
        <v>0</v>
      </c>
      <c r="Z664">
        <f>AND(IF(Metadata!F664="",FALSE,TRUE),exact(Metadata!F664,"UBERON:oral cavity"))</f>
        <v>0</v>
      </c>
      <c r="AA664">
        <f>AND(IF(Metadata!G664="",FALSE,TRUE),exact(Metadata!G664,"UBERON:saliva"))</f>
        <v>0</v>
      </c>
      <c r="AB664">
        <f>AND(IF(Metadata!H664="",FALSE,TRUE),exact(Metadata!H664,"UBERON:tongue"))</f>
        <v>0</v>
      </c>
      <c r="AC664">
        <f>AND(IF(Metadata!I664="",FALSE,TRUE),exact(Metadata!I664,"tongue"))</f>
        <v>0</v>
      </c>
      <c r="AD664">
        <f>AND(IF(Metadata!J664="",FALSE,TRUE),exact(Metadata!J664,"human oral metagenome"))</f>
        <v>0</v>
      </c>
      <c r="AE664">
        <f>AND(IF(Metadata!K664="",FALSE,TRUE),exact(Metadata!K664,"447426"))</f>
        <v>0</v>
      </c>
    </row>
    <row r="665" spans="1:31">
      <c r="A665" s="4">
        <f>IF(B665=" "," ",HYPERLINK(CONCATENATE("#metadata!",ADDRESS(INDEX($Q$2:$Q$1001,MATCH(ROWS($O$2:O665),$O$2:$O$1001,0),0),1)),INDEX($T$2:$T$1001,MATCH(ROWS($O$2:O665),$O$2:$O$1001,0),0)))</f>
        <v>0</v>
      </c>
      <c r="B665" s="3">
        <f>IF(OR(INDEX($P$2:$P$1001,MATCH(ROWS($O$2:O665),$O$2:$O$1001,0),1)&gt;=100000,INDEX($V$1005:$AE$1005,1,MATCH(COLUMNS($V$1006:V1006),$V$1006:$AE$1006,0))&gt;=100000), " ",IF(INDEX($V$2:$AE$1001,MATCH(ROWS($O$2:O665),$O$2:$O$1001,0),MATCH(COLUMNS($V$1006:V1006),$V$1006:$AE$1006,0)), HYPERLINK("#",""), HYPERLINK(CONCATENATE("#Metadata!", ADDRESS(INDEX($Q$2:$Q$1001,MATCH(ROWS($O$2:O665),$O$2:$O$1001,0),0), INDEX($V$1004:$AE$1004,1,MATCH(COLUMNS($V$1006:V1006),$V$1006:$AE$1006,0)))),"Fix")))</f>
        <v>0</v>
      </c>
      <c r="C665" s="3">
        <f>IF(OR(INDEX($P$2:$P$1001,MATCH(ROWS($O$2:O665),$O$2:$O$1001,0),1)&gt;=100000,INDEX($V$1005:$AE$1005,1,MATCH(COLUMNS($V$1006:W1006),$V$1006:$AE$1006,0))&gt;=100000), " ",IF(INDEX($V$2:$AE$1001,MATCH(ROWS($O$2:O665),$O$2:$O$1001,0),MATCH(COLUMNS($V$1006:W1006),$V$1006:$AE$1006,0)), HYPERLINK("#",""), HYPERLINK(CONCATENATE("#Metadata!", ADDRESS(INDEX($Q$2:$Q$1001,MATCH(ROWS($O$2:O665),$O$2:$O$1001,0),0), INDEX($V$1004:$AE$1004,1,MATCH(COLUMNS($V$1006:W1006),$V$1006:$AE$1006,0)))),"Fix")))</f>
        <v>0</v>
      </c>
      <c r="D665" s="3">
        <f>IF(OR(INDEX($P$2:$P$1001,MATCH(ROWS($O$2:O665),$O$2:$O$1001,0),1)&gt;=100000,INDEX($V$1005:$AE$1005,1,MATCH(COLUMNS($V$1006:X1006),$V$1006:$AE$1006,0))&gt;=100000), " ",IF(INDEX($V$2:$AE$1001,MATCH(ROWS($O$2:O665),$O$2:$O$1001,0),MATCH(COLUMNS($V$1006:X1006),$V$1006:$AE$1006,0)), HYPERLINK("#",""), HYPERLINK(CONCATENATE("#Metadata!", ADDRESS(INDEX($Q$2:$Q$1001,MATCH(ROWS($O$2:O665),$O$2:$O$1001,0),0), INDEX($V$1004:$AE$1004,1,MATCH(COLUMNS($V$1006:X1006),$V$1006:$AE$1006,0)))),"Fix")))</f>
        <v>0</v>
      </c>
      <c r="E665" s="3">
        <f>IF(OR(INDEX($P$2:$P$1001,MATCH(ROWS($O$2:O665),$O$2:$O$1001,0),1)&gt;=100000,INDEX($V$1005:$AE$1005,1,MATCH(COLUMNS($V$1006:Y1006),$V$1006:$AE$1006,0))&gt;=100000), " ",IF(INDEX($V$2:$AE$1001,MATCH(ROWS($O$2:O665),$O$2:$O$1001,0),MATCH(COLUMNS($V$1006:Y1006),$V$1006:$AE$1006,0)), HYPERLINK("#",""), HYPERLINK(CONCATENATE("#Metadata!", ADDRESS(INDEX($Q$2:$Q$1001,MATCH(ROWS($O$2:O665),$O$2:$O$1001,0),0), INDEX($V$1004:$AE$1004,1,MATCH(COLUMNS($V$1006:Y1006),$V$1006:$AE$1006,0)))),"Fix")))</f>
        <v>0</v>
      </c>
      <c r="F665" s="3">
        <f>IF(OR(INDEX($P$2:$P$1001,MATCH(ROWS($O$2:O665),$O$2:$O$1001,0),1)&gt;=100000,INDEX($V$1005:$AE$1005,1,MATCH(COLUMNS($V$1006:Z1006),$V$1006:$AE$1006,0))&gt;=100000), " ",IF(INDEX($V$2:$AE$1001,MATCH(ROWS($O$2:O665),$O$2:$O$1001,0),MATCH(COLUMNS($V$1006:Z1006),$V$1006:$AE$1006,0)), HYPERLINK("#",""), HYPERLINK(CONCATENATE("#Metadata!", ADDRESS(INDEX($Q$2:$Q$1001,MATCH(ROWS($O$2:O665),$O$2:$O$1001,0),0), INDEX($V$1004:$AE$1004,1,MATCH(COLUMNS($V$1006:Z1006),$V$1006:$AE$1006,0)))),"Fix")))</f>
        <v>0</v>
      </c>
      <c r="G665" s="3">
        <f>IF(OR(INDEX($P$2:$P$1001,MATCH(ROWS($O$2:O665),$O$2:$O$1001,0),1)&gt;=100000,INDEX($V$1005:$AE$1005,1,MATCH(COLUMNS($V$1006:AA1006),$V$1006:$AE$1006,0))&gt;=100000), " ",IF(INDEX($V$2:$AE$1001,MATCH(ROWS($O$2:O665),$O$2:$O$1001,0),MATCH(COLUMNS($V$1006:AA1006),$V$1006:$AE$1006,0)), HYPERLINK("#",""), HYPERLINK(CONCATENATE("#Metadata!", ADDRESS(INDEX($Q$2:$Q$1001,MATCH(ROWS($O$2:O665),$O$2:$O$1001,0),0), INDEX($V$1004:$AE$1004,1,MATCH(COLUMNS($V$1006:AA1006),$V$1006:$AE$1006,0)))),"Fix")))</f>
        <v>0</v>
      </c>
      <c r="H665" s="3">
        <f>IF(OR(INDEX($P$2:$P$1001,MATCH(ROWS($O$2:O665),$O$2:$O$1001,0),1)&gt;=100000,INDEX($V$1005:$AE$1005,1,MATCH(COLUMNS($V$1006:AB1006),$V$1006:$AE$1006,0))&gt;=100000), " ",IF(INDEX($V$2:$AE$1001,MATCH(ROWS($O$2:O665),$O$2:$O$1001,0),MATCH(COLUMNS($V$1006:AB1006),$V$1006:$AE$1006,0)), HYPERLINK("#",""), HYPERLINK(CONCATENATE("#Metadata!", ADDRESS(INDEX($Q$2:$Q$1001,MATCH(ROWS($O$2:O665),$O$2:$O$1001,0),0), INDEX($V$1004:$AE$1004,1,MATCH(COLUMNS($V$1006:AB1006),$V$1006:$AE$1006,0)))),"Fix")))</f>
        <v>0</v>
      </c>
      <c r="I665" s="3">
        <f>IF(OR(INDEX($P$2:$P$1001,MATCH(ROWS($O$2:O665),$O$2:$O$1001,0),1)&gt;=100000,INDEX($V$1005:$AE$1005,1,MATCH(COLUMNS($V$1006:AC1006),$V$1006:$AE$1006,0))&gt;=100000), " ",IF(INDEX($V$2:$AE$1001,MATCH(ROWS($O$2:O665),$O$2:$O$1001,0),MATCH(COLUMNS($V$1006:AC1006),$V$1006:$AE$1006,0)), HYPERLINK("#",""), HYPERLINK(CONCATENATE("#Metadata!", ADDRESS(INDEX($Q$2:$Q$1001,MATCH(ROWS($O$2:O665),$O$2:$O$1001,0),0), INDEX($V$1004:$AE$1004,1,MATCH(COLUMNS($V$1006:AC1006),$V$1006:$AE$1006,0)))),"Fix")))</f>
        <v>0</v>
      </c>
      <c r="J665" s="3">
        <f>IF(OR(INDEX($P$2:$P$1001,MATCH(ROWS($O$2:O665),$O$2:$O$1001,0),1)&gt;=100000,INDEX($V$1005:$AE$1005,1,MATCH(COLUMNS($V$1006:AD1006),$V$1006:$AE$1006,0))&gt;=100000), " ",IF(INDEX($V$2:$AE$1001,MATCH(ROWS($O$2:O665),$O$2:$O$1001,0),MATCH(COLUMNS($V$1006:AD1006),$V$1006:$AE$1006,0)), HYPERLINK("#",""), HYPERLINK(CONCATENATE("#Metadata!", ADDRESS(INDEX($Q$2:$Q$1001,MATCH(ROWS($O$2:O665),$O$2:$O$1001,0),0), INDEX($V$1004:$AE$1004,1,MATCH(COLUMNS($V$1006:AD1006),$V$1006:$AE$1006,0)))),"Fix")))</f>
        <v>0</v>
      </c>
      <c r="K665" s="3">
        <f>IF(OR(INDEX($P$2:$P$1001,MATCH(ROWS($O$2:O665),$O$2:$O$1001,0),1)&gt;=100000,INDEX($V$1005:$AE$1005,1,MATCH(COLUMNS($V$1006:AE1006),$V$1006:$AE$1006,0))&gt;=100000), " ",IF(INDEX($V$2:$AE$1001,MATCH(ROWS($O$2:O665),$O$2:$O$1001,0),MATCH(COLUMNS($V$1006:AE1006),$V$1006:$AE$1006,0)), HYPERLINK("#",""), HYPERLINK(CONCATENATE("#Metadata!", ADDRESS(INDEX($Q$2:$Q$1001,MATCH(ROWS($O$2:O665),$O$2:$O$1001,0),0), INDEX($V$1004:$AE$1004,1,MATCH(COLUMNS($V$1006:AE1006),$V$1006:$AE$1006,0)))),"Fix")))</f>
        <v>0</v>
      </c>
      <c r="O665">
        <v>0</v>
      </c>
      <c r="P665">
        <v>0</v>
      </c>
      <c r="Q665">
        <v>0</v>
      </c>
      <c r="R665">
        <f>IF(S665,TRUE,AND(V665:AE665))</f>
        <v>0</v>
      </c>
      <c r="S665">
        <f>COUNTBLANK(Metadata!B665:K665)=COLUMNS(Metadata!B665:K665)</f>
        <v>0</v>
      </c>
      <c r="T665">
        <v>0</v>
      </c>
      <c r="V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W665">
        <f>AND(IF(Metadata!C665="",FALSE,TRUE),exact(Metadata!C665,"animal secretion"))</f>
        <v>0</v>
      </c>
      <c r="X665">
        <f>AND(IF(Metadata!D665="",FALSE,TRUE),exact(Metadata!D665,"saliva"))</f>
        <v>0</v>
      </c>
      <c r="Y665">
        <f>AND(IF(Metadata!E665="",FALSE,TRUE),exact(Metadata!E665,"human-oral"))</f>
        <v>0</v>
      </c>
      <c r="Z665">
        <f>AND(IF(Metadata!F665="",FALSE,TRUE),exact(Metadata!F665,"UBERON:oral cavity"))</f>
        <v>0</v>
      </c>
      <c r="AA665">
        <f>AND(IF(Metadata!G665="",FALSE,TRUE),exact(Metadata!G665,"UBERON:saliva"))</f>
        <v>0</v>
      </c>
      <c r="AB665">
        <f>AND(IF(Metadata!H665="",FALSE,TRUE),exact(Metadata!H665,"UBERON:tongue"))</f>
        <v>0</v>
      </c>
      <c r="AC665">
        <f>AND(IF(Metadata!I665="",FALSE,TRUE),exact(Metadata!I665,"tongue"))</f>
        <v>0</v>
      </c>
      <c r="AD665">
        <f>AND(IF(Metadata!J665="",FALSE,TRUE),exact(Metadata!J665,"human oral metagenome"))</f>
        <v>0</v>
      </c>
      <c r="AE665">
        <f>AND(IF(Metadata!K665="",FALSE,TRUE),exact(Metadata!K665,"447426"))</f>
        <v>0</v>
      </c>
    </row>
    <row r="666" spans="1:31">
      <c r="A666" s="4">
        <f>IF(B666=" "," ",HYPERLINK(CONCATENATE("#metadata!",ADDRESS(INDEX($Q$2:$Q$1001,MATCH(ROWS($O$2:O666),$O$2:$O$1001,0),0),1)),INDEX($T$2:$T$1001,MATCH(ROWS($O$2:O666),$O$2:$O$1001,0),0)))</f>
        <v>0</v>
      </c>
      <c r="B666" s="3">
        <f>IF(OR(INDEX($P$2:$P$1001,MATCH(ROWS($O$2:O666),$O$2:$O$1001,0),1)&gt;=100000,INDEX($V$1005:$AE$1005,1,MATCH(COLUMNS($V$1006:V1006),$V$1006:$AE$1006,0))&gt;=100000), " ",IF(INDEX($V$2:$AE$1001,MATCH(ROWS($O$2:O666),$O$2:$O$1001,0),MATCH(COLUMNS($V$1006:V1006),$V$1006:$AE$1006,0)), HYPERLINK("#",""), HYPERLINK(CONCATENATE("#Metadata!", ADDRESS(INDEX($Q$2:$Q$1001,MATCH(ROWS($O$2:O666),$O$2:$O$1001,0),0), INDEX($V$1004:$AE$1004,1,MATCH(COLUMNS($V$1006:V1006),$V$1006:$AE$1006,0)))),"Fix")))</f>
        <v>0</v>
      </c>
      <c r="C666" s="3">
        <f>IF(OR(INDEX($P$2:$P$1001,MATCH(ROWS($O$2:O666),$O$2:$O$1001,0),1)&gt;=100000,INDEX($V$1005:$AE$1005,1,MATCH(COLUMNS($V$1006:W1006),$V$1006:$AE$1006,0))&gt;=100000), " ",IF(INDEX($V$2:$AE$1001,MATCH(ROWS($O$2:O666),$O$2:$O$1001,0),MATCH(COLUMNS($V$1006:W1006),$V$1006:$AE$1006,0)), HYPERLINK("#",""), HYPERLINK(CONCATENATE("#Metadata!", ADDRESS(INDEX($Q$2:$Q$1001,MATCH(ROWS($O$2:O666),$O$2:$O$1001,0),0), INDEX($V$1004:$AE$1004,1,MATCH(COLUMNS($V$1006:W1006),$V$1006:$AE$1006,0)))),"Fix")))</f>
        <v>0</v>
      </c>
      <c r="D666" s="3">
        <f>IF(OR(INDEX($P$2:$P$1001,MATCH(ROWS($O$2:O666),$O$2:$O$1001,0),1)&gt;=100000,INDEX($V$1005:$AE$1005,1,MATCH(COLUMNS($V$1006:X1006),$V$1006:$AE$1006,0))&gt;=100000), " ",IF(INDEX($V$2:$AE$1001,MATCH(ROWS($O$2:O666),$O$2:$O$1001,0),MATCH(COLUMNS($V$1006:X1006),$V$1006:$AE$1006,0)), HYPERLINK("#",""), HYPERLINK(CONCATENATE("#Metadata!", ADDRESS(INDEX($Q$2:$Q$1001,MATCH(ROWS($O$2:O666),$O$2:$O$1001,0),0), INDEX($V$1004:$AE$1004,1,MATCH(COLUMNS($V$1006:X1006),$V$1006:$AE$1006,0)))),"Fix")))</f>
        <v>0</v>
      </c>
      <c r="E666" s="3">
        <f>IF(OR(INDEX($P$2:$P$1001,MATCH(ROWS($O$2:O666),$O$2:$O$1001,0),1)&gt;=100000,INDEX($V$1005:$AE$1005,1,MATCH(COLUMNS($V$1006:Y1006),$V$1006:$AE$1006,0))&gt;=100000), " ",IF(INDEX($V$2:$AE$1001,MATCH(ROWS($O$2:O666),$O$2:$O$1001,0),MATCH(COLUMNS($V$1006:Y1006),$V$1006:$AE$1006,0)), HYPERLINK("#",""), HYPERLINK(CONCATENATE("#Metadata!", ADDRESS(INDEX($Q$2:$Q$1001,MATCH(ROWS($O$2:O666),$O$2:$O$1001,0),0), INDEX($V$1004:$AE$1004,1,MATCH(COLUMNS($V$1006:Y1006),$V$1006:$AE$1006,0)))),"Fix")))</f>
        <v>0</v>
      </c>
      <c r="F666" s="3">
        <f>IF(OR(INDEX($P$2:$P$1001,MATCH(ROWS($O$2:O666),$O$2:$O$1001,0),1)&gt;=100000,INDEX($V$1005:$AE$1005,1,MATCH(COLUMNS($V$1006:Z1006),$V$1006:$AE$1006,0))&gt;=100000), " ",IF(INDEX($V$2:$AE$1001,MATCH(ROWS($O$2:O666),$O$2:$O$1001,0),MATCH(COLUMNS($V$1006:Z1006),$V$1006:$AE$1006,0)), HYPERLINK("#",""), HYPERLINK(CONCATENATE("#Metadata!", ADDRESS(INDEX($Q$2:$Q$1001,MATCH(ROWS($O$2:O666),$O$2:$O$1001,0),0), INDEX($V$1004:$AE$1004,1,MATCH(COLUMNS($V$1006:Z1006),$V$1006:$AE$1006,0)))),"Fix")))</f>
        <v>0</v>
      </c>
      <c r="G666" s="3">
        <f>IF(OR(INDEX($P$2:$P$1001,MATCH(ROWS($O$2:O666),$O$2:$O$1001,0),1)&gt;=100000,INDEX($V$1005:$AE$1005,1,MATCH(COLUMNS($V$1006:AA1006),$V$1006:$AE$1006,0))&gt;=100000), " ",IF(INDEX($V$2:$AE$1001,MATCH(ROWS($O$2:O666),$O$2:$O$1001,0),MATCH(COLUMNS($V$1006:AA1006),$V$1006:$AE$1006,0)), HYPERLINK("#",""), HYPERLINK(CONCATENATE("#Metadata!", ADDRESS(INDEX($Q$2:$Q$1001,MATCH(ROWS($O$2:O666),$O$2:$O$1001,0),0), INDEX($V$1004:$AE$1004,1,MATCH(COLUMNS($V$1006:AA1006),$V$1006:$AE$1006,0)))),"Fix")))</f>
        <v>0</v>
      </c>
      <c r="H666" s="3">
        <f>IF(OR(INDEX($P$2:$P$1001,MATCH(ROWS($O$2:O666),$O$2:$O$1001,0),1)&gt;=100000,INDEX($V$1005:$AE$1005,1,MATCH(COLUMNS($V$1006:AB1006),$V$1006:$AE$1006,0))&gt;=100000), " ",IF(INDEX($V$2:$AE$1001,MATCH(ROWS($O$2:O666),$O$2:$O$1001,0),MATCH(COLUMNS($V$1006:AB1006),$V$1006:$AE$1006,0)), HYPERLINK("#",""), HYPERLINK(CONCATENATE("#Metadata!", ADDRESS(INDEX($Q$2:$Q$1001,MATCH(ROWS($O$2:O666),$O$2:$O$1001,0),0), INDEX($V$1004:$AE$1004,1,MATCH(COLUMNS($V$1006:AB1006),$V$1006:$AE$1006,0)))),"Fix")))</f>
        <v>0</v>
      </c>
      <c r="I666" s="3">
        <f>IF(OR(INDEX($P$2:$P$1001,MATCH(ROWS($O$2:O666),$O$2:$O$1001,0),1)&gt;=100000,INDEX($V$1005:$AE$1005,1,MATCH(COLUMNS($V$1006:AC1006),$V$1006:$AE$1006,0))&gt;=100000), " ",IF(INDEX($V$2:$AE$1001,MATCH(ROWS($O$2:O666),$O$2:$O$1001,0),MATCH(COLUMNS($V$1006:AC1006),$V$1006:$AE$1006,0)), HYPERLINK("#",""), HYPERLINK(CONCATENATE("#Metadata!", ADDRESS(INDEX($Q$2:$Q$1001,MATCH(ROWS($O$2:O666),$O$2:$O$1001,0),0), INDEX($V$1004:$AE$1004,1,MATCH(COLUMNS($V$1006:AC1006),$V$1006:$AE$1006,0)))),"Fix")))</f>
        <v>0</v>
      </c>
      <c r="J666" s="3">
        <f>IF(OR(INDEX($P$2:$P$1001,MATCH(ROWS($O$2:O666),$O$2:$O$1001,0),1)&gt;=100000,INDEX($V$1005:$AE$1005,1,MATCH(COLUMNS($V$1006:AD1006),$V$1006:$AE$1006,0))&gt;=100000), " ",IF(INDEX($V$2:$AE$1001,MATCH(ROWS($O$2:O666),$O$2:$O$1001,0),MATCH(COLUMNS($V$1006:AD1006),$V$1006:$AE$1006,0)), HYPERLINK("#",""), HYPERLINK(CONCATENATE("#Metadata!", ADDRESS(INDEX($Q$2:$Q$1001,MATCH(ROWS($O$2:O666),$O$2:$O$1001,0),0), INDEX($V$1004:$AE$1004,1,MATCH(COLUMNS($V$1006:AD1006),$V$1006:$AE$1006,0)))),"Fix")))</f>
        <v>0</v>
      </c>
      <c r="K666" s="3">
        <f>IF(OR(INDEX($P$2:$P$1001,MATCH(ROWS($O$2:O666),$O$2:$O$1001,0),1)&gt;=100000,INDEX($V$1005:$AE$1005,1,MATCH(COLUMNS($V$1006:AE1006),$V$1006:$AE$1006,0))&gt;=100000), " ",IF(INDEX($V$2:$AE$1001,MATCH(ROWS($O$2:O666),$O$2:$O$1001,0),MATCH(COLUMNS($V$1006:AE1006),$V$1006:$AE$1006,0)), HYPERLINK("#",""), HYPERLINK(CONCATENATE("#Metadata!", ADDRESS(INDEX($Q$2:$Q$1001,MATCH(ROWS($O$2:O666),$O$2:$O$1001,0),0), INDEX($V$1004:$AE$1004,1,MATCH(COLUMNS($V$1006:AE1006),$V$1006:$AE$1006,0)))),"Fix")))</f>
        <v>0</v>
      </c>
      <c r="O666">
        <v>0</v>
      </c>
      <c r="P666">
        <v>0</v>
      </c>
      <c r="Q666">
        <v>0</v>
      </c>
      <c r="R666">
        <f>IF(S666,TRUE,AND(V666:AE666))</f>
        <v>0</v>
      </c>
      <c r="S666">
        <f>COUNTBLANK(Metadata!B666:K666)=COLUMNS(Metadata!B666:K666)</f>
        <v>0</v>
      </c>
      <c r="T666">
        <v>0</v>
      </c>
      <c r="V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W666">
        <f>AND(IF(Metadata!C666="",FALSE,TRUE),exact(Metadata!C666,"animal secretion"))</f>
        <v>0</v>
      </c>
      <c r="X666">
        <f>AND(IF(Metadata!D666="",FALSE,TRUE),exact(Metadata!D666,"saliva"))</f>
        <v>0</v>
      </c>
      <c r="Y666">
        <f>AND(IF(Metadata!E666="",FALSE,TRUE),exact(Metadata!E666,"human-oral"))</f>
        <v>0</v>
      </c>
      <c r="Z666">
        <f>AND(IF(Metadata!F666="",FALSE,TRUE),exact(Metadata!F666,"UBERON:oral cavity"))</f>
        <v>0</v>
      </c>
      <c r="AA666">
        <f>AND(IF(Metadata!G666="",FALSE,TRUE),exact(Metadata!G666,"UBERON:saliva"))</f>
        <v>0</v>
      </c>
      <c r="AB666">
        <f>AND(IF(Metadata!H666="",FALSE,TRUE),exact(Metadata!H666,"UBERON:tongue"))</f>
        <v>0</v>
      </c>
      <c r="AC666">
        <f>AND(IF(Metadata!I666="",FALSE,TRUE),exact(Metadata!I666,"tongue"))</f>
        <v>0</v>
      </c>
      <c r="AD666">
        <f>AND(IF(Metadata!J666="",FALSE,TRUE),exact(Metadata!J666,"human oral metagenome"))</f>
        <v>0</v>
      </c>
      <c r="AE666">
        <f>AND(IF(Metadata!K666="",FALSE,TRUE),exact(Metadata!K666,"447426"))</f>
        <v>0</v>
      </c>
    </row>
    <row r="667" spans="1:31">
      <c r="A667" s="4">
        <f>IF(B667=" "," ",HYPERLINK(CONCATENATE("#metadata!",ADDRESS(INDEX($Q$2:$Q$1001,MATCH(ROWS($O$2:O667),$O$2:$O$1001,0),0),1)),INDEX($T$2:$T$1001,MATCH(ROWS($O$2:O667),$O$2:$O$1001,0),0)))</f>
        <v>0</v>
      </c>
      <c r="B667" s="3">
        <f>IF(OR(INDEX($P$2:$P$1001,MATCH(ROWS($O$2:O667),$O$2:$O$1001,0),1)&gt;=100000,INDEX($V$1005:$AE$1005,1,MATCH(COLUMNS($V$1006:V1006),$V$1006:$AE$1006,0))&gt;=100000), " ",IF(INDEX($V$2:$AE$1001,MATCH(ROWS($O$2:O667),$O$2:$O$1001,0),MATCH(COLUMNS($V$1006:V1006),$V$1006:$AE$1006,0)), HYPERLINK("#",""), HYPERLINK(CONCATENATE("#Metadata!", ADDRESS(INDEX($Q$2:$Q$1001,MATCH(ROWS($O$2:O667),$O$2:$O$1001,0),0), INDEX($V$1004:$AE$1004,1,MATCH(COLUMNS($V$1006:V1006),$V$1006:$AE$1006,0)))),"Fix")))</f>
        <v>0</v>
      </c>
      <c r="C667" s="3">
        <f>IF(OR(INDEX($P$2:$P$1001,MATCH(ROWS($O$2:O667),$O$2:$O$1001,0),1)&gt;=100000,INDEX($V$1005:$AE$1005,1,MATCH(COLUMNS($V$1006:W1006),$V$1006:$AE$1006,0))&gt;=100000), " ",IF(INDEX($V$2:$AE$1001,MATCH(ROWS($O$2:O667),$O$2:$O$1001,0),MATCH(COLUMNS($V$1006:W1006),$V$1006:$AE$1006,0)), HYPERLINK("#",""), HYPERLINK(CONCATENATE("#Metadata!", ADDRESS(INDEX($Q$2:$Q$1001,MATCH(ROWS($O$2:O667),$O$2:$O$1001,0),0), INDEX($V$1004:$AE$1004,1,MATCH(COLUMNS($V$1006:W1006),$V$1006:$AE$1006,0)))),"Fix")))</f>
        <v>0</v>
      </c>
      <c r="D667" s="3">
        <f>IF(OR(INDEX($P$2:$P$1001,MATCH(ROWS($O$2:O667),$O$2:$O$1001,0),1)&gt;=100000,INDEX($V$1005:$AE$1005,1,MATCH(COLUMNS($V$1006:X1006),$V$1006:$AE$1006,0))&gt;=100000), " ",IF(INDEX($V$2:$AE$1001,MATCH(ROWS($O$2:O667),$O$2:$O$1001,0),MATCH(COLUMNS($V$1006:X1006),$V$1006:$AE$1006,0)), HYPERLINK("#",""), HYPERLINK(CONCATENATE("#Metadata!", ADDRESS(INDEX($Q$2:$Q$1001,MATCH(ROWS($O$2:O667),$O$2:$O$1001,0),0), INDEX($V$1004:$AE$1004,1,MATCH(COLUMNS($V$1006:X1006),$V$1006:$AE$1006,0)))),"Fix")))</f>
        <v>0</v>
      </c>
      <c r="E667" s="3">
        <f>IF(OR(INDEX($P$2:$P$1001,MATCH(ROWS($O$2:O667),$O$2:$O$1001,0),1)&gt;=100000,INDEX($V$1005:$AE$1005,1,MATCH(COLUMNS($V$1006:Y1006),$V$1006:$AE$1006,0))&gt;=100000), " ",IF(INDEX($V$2:$AE$1001,MATCH(ROWS($O$2:O667),$O$2:$O$1001,0),MATCH(COLUMNS($V$1006:Y1006),$V$1006:$AE$1006,0)), HYPERLINK("#",""), HYPERLINK(CONCATENATE("#Metadata!", ADDRESS(INDEX($Q$2:$Q$1001,MATCH(ROWS($O$2:O667),$O$2:$O$1001,0),0), INDEX($V$1004:$AE$1004,1,MATCH(COLUMNS($V$1006:Y1006),$V$1006:$AE$1006,0)))),"Fix")))</f>
        <v>0</v>
      </c>
      <c r="F667" s="3">
        <f>IF(OR(INDEX($P$2:$P$1001,MATCH(ROWS($O$2:O667),$O$2:$O$1001,0),1)&gt;=100000,INDEX($V$1005:$AE$1005,1,MATCH(COLUMNS($V$1006:Z1006),$V$1006:$AE$1006,0))&gt;=100000), " ",IF(INDEX($V$2:$AE$1001,MATCH(ROWS($O$2:O667),$O$2:$O$1001,0),MATCH(COLUMNS($V$1006:Z1006),$V$1006:$AE$1006,0)), HYPERLINK("#",""), HYPERLINK(CONCATENATE("#Metadata!", ADDRESS(INDEX($Q$2:$Q$1001,MATCH(ROWS($O$2:O667),$O$2:$O$1001,0),0), INDEX($V$1004:$AE$1004,1,MATCH(COLUMNS($V$1006:Z1006),$V$1006:$AE$1006,0)))),"Fix")))</f>
        <v>0</v>
      </c>
      <c r="G667" s="3">
        <f>IF(OR(INDEX($P$2:$P$1001,MATCH(ROWS($O$2:O667),$O$2:$O$1001,0),1)&gt;=100000,INDEX($V$1005:$AE$1005,1,MATCH(COLUMNS($V$1006:AA1006),$V$1006:$AE$1006,0))&gt;=100000), " ",IF(INDEX($V$2:$AE$1001,MATCH(ROWS($O$2:O667),$O$2:$O$1001,0),MATCH(COLUMNS($V$1006:AA1006),$V$1006:$AE$1006,0)), HYPERLINK("#",""), HYPERLINK(CONCATENATE("#Metadata!", ADDRESS(INDEX($Q$2:$Q$1001,MATCH(ROWS($O$2:O667),$O$2:$O$1001,0),0), INDEX($V$1004:$AE$1004,1,MATCH(COLUMNS($V$1006:AA1006),$V$1006:$AE$1006,0)))),"Fix")))</f>
        <v>0</v>
      </c>
      <c r="H667" s="3">
        <f>IF(OR(INDEX($P$2:$P$1001,MATCH(ROWS($O$2:O667),$O$2:$O$1001,0),1)&gt;=100000,INDEX($V$1005:$AE$1005,1,MATCH(COLUMNS($V$1006:AB1006),$V$1006:$AE$1006,0))&gt;=100000), " ",IF(INDEX($V$2:$AE$1001,MATCH(ROWS($O$2:O667),$O$2:$O$1001,0),MATCH(COLUMNS($V$1006:AB1006),$V$1006:$AE$1006,0)), HYPERLINK("#",""), HYPERLINK(CONCATENATE("#Metadata!", ADDRESS(INDEX($Q$2:$Q$1001,MATCH(ROWS($O$2:O667),$O$2:$O$1001,0),0), INDEX($V$1004:$AE$1004,1,MATCH(COLUMNS($V$1006:AB1006),$V$1006:$AE$1006,0)))),"Fix")))</f>
        <v>0</v>
      </c>
      <c r="I667" s="3">
        <f>IF(OR(INDEX($P$2:$P$1001,MATCH(ROWS($O$2:O667),$O$2:$O$1001,0),1)&gt;=100000,INDEX($V$1005:$AE$1005,1,MATCH(COLUMNS($V$1006:AC1006),$V$1006:$AE$1006,0))&gt;=100000), " ",IF(INDEX($V$2:$AE$1001,MATCH(ROWS($O$2:O667),$O$2:$O$1001,0),MATCH(COLUMNS($V$1006:AC1006),$V$1006:$AE$1006,0)), HYPERLINK("#",""), HYPERLINK(CONCATENATE("#Metadata!", ADDRESS(INDEX($Q$2:$Q$1001,MATCH(ROWS($O$2:O667),$O$2:$O$1001,0),0), INDEX($V$1004:$AE$1004,1,MATCH(COLUMNS($V$1006:AC1006),$V$1006:$AE$1006,0)))),"Fix")))</f>
        <v>0</v>
      </c>
      <c r="J667" s="3">
        <f>IF(OR(INDEX($P$2:$P$1001,MATCH(ROWS($O$2:O667),$O$2:$O$1001,0),1)&gt;=100000,INDEX($V$1005:$AE$1005,1,MATCH(COLUMNS($V$1006:AD1006),$V$1006:$AE$1006,0))&gt;=100000), " ",IF(INDEX($V$2:$AE$1001,MATCH(ROWS($O$2:O667),$O$2:$O$1001,0),MATCH(COLUMNS($V$1006:AD1006),$V$1006:$AE$1006,0)), HYPERLINK("#",""), HYPERLINK(CONCATENATE("#Metadata!", ADDRESS(INDEX($Q$2:$Q$1001,MATCH(ROWS($O$2:O667),$O$2:$O$1001,0),0), INDEX($V$1004:$AE$1004,1,MATCH(COLUMNS($V$1006:AD1006),$V$1006:$AE$1006,0)))),"Fix")))</f>
        <v>0</v>
      </c>
      <c r="K667" s="3">
        <f>IF(OR(INDEX($P$2:$P$1001,MATCH(ROWS($O$2:O667),$O$2:$O$1001,0),1)&gt;=100000,INDEX($V$1005:$AE$1005,1,MATCH(COLUMNS($V$1006:AE1006),$V$1006:$AE$1006,0))&gt;=100000), " ",IF(INDEX($V$2:$AE$1001,MATCH(ROWS($O$2:O667),$O$2:$O$1001,0),MATCH(COLUMNS($V$1006:AE1006),$V$1006:$AE$1006,0)), HYPERLINK("#",""), HYPERLINK(CONCATENATE("#Metadata!", ADDRESS(INDEX($Q$2:$Q$1001,MATCH(ROWS($O$2:O667),$O$2:$O$1001,0),0), INDEX($V$1004:$AE$1004,1,MATCH(COLUMNS($V$1006:AE1006),$V$1006:$AE$1006,0)))),"Fix")))</f>
        <v>0</v>
      </c>
      <c r="O667">
        <v>0</v>
      </c>
      <c r="P667">
        <v>0</v>
      </c>
      <c r="Q667">
        <v>0</v>
      </c>
      <c r="R667">
        <f>IF(S667,TRUE,AND(V667:AE667))</f>
        <v>0</v>
      </c>
      <c r="S667">
        <f>COUNTBLANK(Metadata!B667:K667)=COLUMNS(Metadata!B667:K667)</f>
        <v>0</v>
      </c>
      <c r="T667">
        <v>0</v>
      </c>
      <c r="V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W667">
        <f>AND(IF(Metadata!C667="",FALSE,TRUE),exact(Metadata!C667,"animal secretion"))</f>
        <v>0</v>
      </c>
      <c r="X667">
        <f>AND(IF(Metadata!D667="",FALSE,TRUE),exact(Metadata!D667,"saliva"))</f>
        <v>0</v>
      </c>
      <c r="Y667">
        <f>AND(IF(Metadata!E667="",FALSE,TRUE),exact(Metadata!E667,"human-oral"))</f>
        <v>0</v>
      </c>
      <c r="Z667">
        <f>AND(IF(Metadata!F667="",FALSE,TRUE),exact(Metadata!F667,"UBERON:oral cavity"))</f>
        <v>0</v>
      </c>
      <c r="AA667">
        <f>AND(IF(Metadata!G667="",FALSE,TRUE),exact(Metadata!G667,"UBERON:saliva"))</f>
        <v>0</v>
      </c>
      <c r="AB667">
        <f>AND(IF(Metadata!H667="",FALSE,TRUE),exact(Metadata!H667,"UBERON:tongue"))</f>
        <v>0</v>
      </c>
      <c r="AC667">
        <f>AND(IF(Metadata!I667="",FALSE,TRUE),exact(Metadata!I667,"tongue"))</f>
        <v>0</v>
      </c>
      <c r="AD667">
        <f>AND(IF(Metadata!J667="",FALSE,TRUE),exact(Metadata!J667,"human oral metagenome"))</f>
        <v>0</v>
      </c>
      <c r="AE667">
        <f>AND(IF(Metadata!K667="",FALSE,TRUE),exact(Metadata!K667,"447426"))</f>
        <v>0</v>
      </c>
    </row>
    <row r="668" spans="1:31">
      <c r="A668" s="4">
        <f>IF(B668=" "," ",HYPERLINK(CONCATENATE("#metadata!",ADDRESS(INDEX($Q$2:$Q$1001,MATCH(ROWS($O$2:O668),$O$2:$O$1001,0),0),1)),INDEX($T$2:$T$1001,MATCH(ROWS($O$2:O668),$O$2:$O$1001,0),0)))</f>
        <v>0</v>
      </c>
      <c r="B668" s="3">
        <f>IF(OR(INDEX($P$2:$P$1001,MATCH(ROWS($O$2:O668),$O$2:$O$1001,0),1)&gt;=100000,INDEX($V$1005:$AE$1005,1,MATCH(COLUMNS($V$1006:V1006),$V$1006:$AE$1006,0))&gt;=100000), " ",IF(INDEX($V$2:$AE$1001,MATCH(ROWS($O$2:O668),$O$2:$O$1001,0),MATCH(COLUMNS($V$1006:V1006),$V$1006:$AE$1006,0)), HYPERLINK("#",""), HYPERLINK(CONCATENATE("#Metadata!", ADDRESS(INDEX($Q$2:$Q$1001,MATCH(ROWS($O$2:O668),$O$2:$O$1001,0),0), INDEX($V$1004:$AE$1004,1,MATCH(COLUMNS($V$1006:V1006),$V$1006:$AE$1006,0)))),"Fix")))</f>
        <v>0</v>
      </c>
      <c r="C668" s="3">
        <f>IF(OR(INDEX($P$2:$P$1001,MATCH(ROWS($O$2:O668),$O$2:$O$1001,0),1)&gt;=100000,INDEX($V$1005:$AE$1005,1,MATCH(COLUMNS($V$1006:W1006),$V$1006:$AE$1006,0))&gt;=100000), " ",IF(INDEX($V$2:$AE$1001,MATCH(ROWS($O$2:O668),$O$2:$O$1001,0),MATCH(COLUMNS($V$1006:W1006),$V$1006:$AE$1006,0)), HYPERLINK("#",""), HYPERLINK(CONCATENATE("#Metadata!", ADDRESS(INDEX($Q$2:$Q$1001,MATCH(ROWS($O$2:O668),$O$2:$O$1001,0),0), INDEX($V$1004:$AE$1004,1,MATCH(COLUMNS($V$1006:W1006),$V$1006:$AE$1006,0)))),"Fix")))</f>
        <v>0</v>
      </c>
      <c r="D668" s="3">
        <f>IF(OR(INDEX($P$2:$P$1001,MATCH(ROWS($O$2:O668),$O$2:$O$1001,0),1)&gt;=100000,INDEX($V$1005:$AE$1005,1,MATCH(COLUMNS($V$1006:X1006),$V$1006:$AE$1006,0))&gt;=100000), " ",IF(INDEX($V$2:$AE$1001,MATCH(ROWS($O$2:O668),$O$2:$O$1001,0),MATCH(COLUMNS($V$1006:X1006),$V$1006:$AE$1006,0)), HYPERLINK("#",""), HYPERLINK(CONCATENATE("#Metadata!", ADDRESS(INDEX($Q$2:$Q$1001,MATCH(ROWS($O$2:O668),$O$2:$O$1001,0),0), INDEX($V$1004:$AE$1004,1,MATCH(COLUMNS($V$1006:X1006),$V$1006:$AE$1006,0)))),"Fix")))</f>
        <v>0</v>
      </c>
      <c r="E668" s="3">
        <f>IF(OR(INDEX($P$2:$P$1001,MATCH(ROWS($O$2:O668),$O$2:$O$1001,0),1)&gt;=100000,INDEX($V$1005:$AE$1005,1,MATCH(COLUMNS($V$1006:Y1006),$V$1006:$AE$1006,0))&gt;=100000), " ",IF(INDEX($V$2:$AE$1001,MATCH(ROWS($O$2:O668),$O$2:$O$1001,0),MATCH(COLUMNS($V$1006:Y1006),$V$1006:$AE$1006,0)), HYPERLINK("#",""), HYPERLINK(CONCATENATE("#Metadata!", ADDRESS(INDEX($Q$2:$Q$1001,MATCH(ROWS($O$2:O668),$O$2:$O$1001,0),0), INDEX($V$1004:$AE$1004,1,MATCH(COLUMNS($V$1006:Y1006),$V$1006:$AE$1006,0)))),"Fix")))</f>
        <v>0</v>
      </c>
      <c r="F668" s="3">
        <f>IF(OR(INDEX($P$2:$P$1001,MATCH(ROWS($O$2:O668),$O$2:$O$1001,0),1)&gt;=100000,INDEX($V$1005:$AE$1005,1,MATCH(COLUMNS($V$1006:Z1006),$V$1006:$AE$1006,0))&gt;=100000), " ",IF(INDEX($V$2:$AE$1001,MATCH(ROWS($O$2:O668),$O$2:$O$1001,0),MATCH(COLUMNS($V$1006:Z1006),$V$1006:$AE$1006,0)), HYPERLINK("#",""), HYPERLINK(CONCATENATE("#Metadata!", ADDRESS(INDEX($Q$2:$Q$1001,MATCH(ROWS($O$2:O668),$O$2:$O$1001,0),0), INDEX($V$1004:$AE$1004,1,MATCH(COLUMNS($V$1006:Z1006),$V$1006:$AE$1006,0)))),"Fix")))</f>
        <v>0</v>
      </c>
      <c r="G668" s="3">
        <f>IF(OR(INDEX($P$2:$P$1001,MATCH(ROWS($O$2:O668),$O$2:$O$1001,0),1)&gt;=100000,INDEX($V$1005:$AE$1005,1,MATCH(COLUMNS($V$1006:AA1006),$V$1006:$AE$1006,0))&gt;=100000), " ",IF(INDEX($V$2:$AE$1001,MATCH(ROWS($O$2:O668),$O$2:$O$1001,0),MATCH(COLUMNS($V$1006:AA1006),$V$1006:$AE$1006,0)), HYPERLINK("#",""), HYPERLINK(CONCATENATE("#Metadata!", ADDRESS(INDEX($Q$2:$Q$1001,MATCH(ROWS($O$2:O668),$O$2:$O$1001,0),0), INDEX($V$1004:$AE$1004,1,MATCH(COLUMNS($V$1006:AA1006),$V$1006:$AE$1006,0)))),"Fix")))</f>
        <v>0</v>
      </c>
      <c r="H668" s="3">
        <f>IF(OR(INDEX($P$2:$P$1001,MATCH(ROWS($O$2:O668),$O$2:$O$1001,0),1)&gt;=100000,INDEX($V$1005:$AE$1005,1,MATCH(COLUMNS($V$1006:AB1006),$V$1006:$AE$1006,0))&gt;=100000), " ",IF(INDEX($V$2:$AE$1001,MATCH(ROWS($O$2:O668),$O$2:$O$1001,0),MATCH(COLUMNS($V$1006:AB1006),$V$1006:$AE$1006,0)), HYPERLINK("#",""), HYPERLINK(CONCATENATE("#Metadata!", ADDRESS(INDEX($Q$2:$Q$1001,MATCH(ROWS($O$2:O668),$O$2:$O$1001,0),0), INDEX($V$1004:$AE$1004,1,MATCH(COLUMNS($V$1006:AB1006),$V$1006:$AE$1006,0)))),"Fix")))</f>
        <v>0</v>
      </c>
      <c r="I668" s="3">
        <f>IF(OR(INDEX($P$2:$P$1001,MATCH(ROWS($O$2:O668),$O$2:$O$1001,0),1)&gt;=100000,INDEX($V$1005:$AE$1005,1,MATCH(COLUMNS($V$1006:AC1006),$V$1006:$AE$1006,0))&gt;=100000), " ",IF(INDEX($V$2:$AE$1001,MATCH(ROWS($O$2:O668),$O$2:$O$1001,0),MATCH(COLUMNS($V$1006:AC1006),$V$1006:$AE$1006,0)), HYPERLINK("#",""), HYPERLINK(CONCATENATE("#Metadata!", ADDRESS(INDEX($Q$2:$Q$1001,MATCH(ROWS($O$2:O668),$O$2:$O$1001,0),0), INDEX($V$1004:$AE$1004,1,MATCH(COLUMNS($V$1006:AC1006),$V$1006:$AE$1006,0)))),"Fix")))</f>
        <v>0</v>
      </c>
      <c r="J668" s="3">
        <f>IF(OR(INDEX($P$2:$P$1001,MATCH(ROWS($O$2:O668),$O$2:$O$1001,0),1)&gt;=100000,INDEX($V$1005:$AE$1005,1,MATCH(COLUMNS($V$1006:AD1006),$V$1006:$AE$1006,0))&gt;=100000), " ",IF(INDEX($V$2:$AE$1001,MATCH(ROWS($O$2:O668),$O$2:$O$1001,0),MATCH(COLUMNS($V$1006:AD1006),$V$1006:$AE$1006,0)), HYPERLINK("#",""), HYPERLINK(CONCATENATE("#Metadata!", ADDRESS(INDEX($Q$2:$Q$1001,MATCH(ROWS($O$2:O668),$O$2:$O$1001,0),0), INDEX($V$1004:$AE$1004,1,MATCH(COLUMNS($V$1006:AD1006),$V$1006:$AE$1006,0)))),"Fix")))</f>
        <v>0</v>
      </c>
      <c r="K668" s="3">
        <f>IF(OR(INDEX($P$2:$P$1001,MATCH(ROWS($O$2:O668),$O$2:$O$1001,0),1)&gt;=100000,INDEX($V$1005:$AE$1005,1,MATCH(COLUMNS($V$1006:AE1006),$V$1006:$AE$1006,0))&gt;=100000), " ",IF(INDEX($V$2:$AE$1001,MATCH(ROWS($O$2:O668),$O$2:$O$1001,0),MATCH(COLUMNS($V$1006:AE1006),$V$1006:$AE$1006,0)), HYPERLINK("#",""), HYPERLINK(CONCATENATE("#Metadata!", ADDRESS(INDEX($Q$2:$Q$1001,MATCH(ROWS($O$2:O668),$O$2:$O$1001,0),0), INDEX($V$1004:$AE$1004,1,MATCH(COLUMNS($V$1006:AE1006),$V$1006:$AE$1006,0)))),"Fix")))</f>
        <v>0</v>
      </c>
      <c r="O668">
        <v>0</v>
      </c>
      <c r="P668">
        <v>0</v>
      </c>
      <c r="Q668">
        <v>0</v>
      </c>
      <c r="R668">
        <f>IF(S668,TRUE,AND(V668:AE668))</f>
        <v>0</v>
      </c>
      <c r="S668">
        <f>COUNTBLANK(Metadata!B668:K668)=COLUMNS(Metadata!B668:K668)</f>
        <v>0</v>
      </c>
      <c r="T668">
        <v>0</v>
      </c>
      <c r="V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W668">
        <f>AND(IF(Metadata!C668="",FALSE,TRUE),exact(Metadata!C668,"animal secretion"))</f>
        <v>0</v>
      </c>
      <c r="X668">
        <f>AND(IF(Metadata!D668="",FALSE,TRUE),exact(Metadata!D668,"saliva"))</f>
        <v>0</v>
      </c>
      <c r="Y668">
        <f>AND(IF(Metadata!E668="",FALSE,TRUE),exact(Metadata!E668,"human-oral"))</f>
        <v>0</v>
      </c>
      <c r="Z668">
        <f>AND(IF(Metadata!F668="",FALSE,TRUE),exact(Metadata!F668,"UBERON:oral cavity"))</f>
        <v>0</v>
      </c>
      <c r="AA668">
        <f>AND(IF(Metadata!G668="",FALSE,TRUE),exact(Metadata!G668,"UBERON:saliva"))</f>
        <v>0</v>
      </c>
      <c r="AB668">
        <f>AND(IF(Metadata!H668="",FALSE,TRUE),exact(Metadata!H668,"UBERON:tongue"))</f>
        <v>0</v>
      </c>
      <c r="AC668">
        <f>AND(IF(Metadata!I668="",FALSE,TRUE),exact(Metadata!I668,"tongue"))</f>
        <v>0</v>
      </c>
      <c r="AD668">
        <f>AND(IF(Metadata!J668="",FALSE,TRUE),exact(Metadata!J668,"human oral metagenome"))</f>
        <v>0</v>
      </c>
      <c r="AE668">
        <f>AND(IF(Metadata!K668="",FALSE,TRUE),exact(Metadata!K668,"447426"))</f>
        <v>0</v>
      </c>
    </row>
    <row r="669" spans="1:31">
      <c r="A669" s="4">
        <f>IF(B669=" "," ",HYPERLINK(CONCATENATE("#metadata!",ADDRESS(INDEX($Q$2:$Q$1001,MATCH(ROWS($O$2:O669),$O$2:$O$1001,0),0),1)),INDEX($T$2:$T$1001,MATCH(ROWS($O$2:O669),$O$2:$O$1001,0),0)))</f>
        <v>0</v>
      </c>
      <c r="B669" s="3">
        <f>IF(OR(INDEX($P$2:$P$1001,MATCH(ROWS($O$2:O669),$O$2:$O$1001,0),1)&gt;=100000,INDEX($V$1005:$AE$1005,1,MATCH(COLUMNS($V$1006:V1006),$V$1006:$AE$1006,0))&gt;=100000), " ",IF(INDEX($V$2:$AE$1001,MATCH(ROWS($O$2:O669),$O$2:$O$1001,0),MATCH(COLUMNS($V$1006:V1006),$V$1006:$AE$1006,0)), HYPERLINK("#",""), HYPERLINK(CONCATENATE("#Metadata!", ADDRESS(INDEX($Q$2:$Q$1001,MATCH(ROWS($O$2:O669),$O$2:$O$1001,0),0), INDEX($V$1004:$AE$1004,1,MATCH(COLUMNS($V$1006:V1006),$V$1006:$AE$1006,0)))),"Fix")))</f>
        <v>0</v>
      </c>
      <c r="C669" s="3">
        <f>IF(OR(INDEX($P$2:$P$1001,MATCH(ROWS($O$2:O669),$O$2:$O$1001,0),1)&gt;=100000,INDEX($V$1005:$AE$1005,1,MATCH(COLUMNS($V$1006:W1006),$V$1006:$AE$1006,0))&gt;=100000), " ",IF(INDEX($V$2:$AE$1001,MATCH(ROWS($O$2:O669),$O$2:$O$1001,0),MATCH(COLUMNS($V$1006:W1006),$V$1006:$AE$1006,0)), HYPERLINK("#",""), HYPERLINK(CONCATENATE("#Metadata!", ADDRESS(INDEX($Q$2:$Q$1001,MATCH(ROWS($O$2:O669),$O$2:$O$1001,0),0), INDEX($V$1004:$AE$1004,1,MATCH(COLUMNS($V$1006:W1006),$V$1006:$AE$1006,0)))),"Fix")))</f>
        <v>0</v>
      </c>
      <c r="D669" s="3">
        <f>IF(OR(INDEX($P$2:$P$1001,MATCH(ROWS($O$2:O669),$O$2:$O$1001,0),1)&gt;=100000,INDEX($V$1005:$AE$1005,1,MATCH(COLUMNS($V$1006:X1006),$V$1006:$AE$1006,0))&gt;=100000), " ",IF(INDEX($V$2:$AE$1001,MATCH(ROWS($O$2:O669),$O$2:$O$1001,0),MATCH(COLUMNS($V$1006:X1006),$V$1006:$AE$1006,0)), HYPERLINK("#",""), HYPERLINK(CONCATENATE("#Metadata!", ADDRESS(INDEX($Q$2:$Q$1001,MATCH(ROWS($O$2:O669),$O$2:$O$1001,0),0), INDEX($V$1004:$AE$1004,1,MATCH(COLUMNS($V$1006:X1006),$V$1006:$AE$1006,0)))),"Fix")))</f>
        <v>0</v>
      </c>
      <c r="E669" s="3">
        <f>IF(OR(INDEX($P$2:$P$1001,MATCH(ROWS($O$2:O669),$O$2:$O$1001,0),1)&gt;=100000,INDEX($V$1005:$AE$1005,1,MATCH(COLUMNS($V$1006:Y1006),$V$1006:$AE$1006,0))&gt;=100000), " ",IF(INDEX($V$2:$AE$1001,MATCH(ROWS($O$2:O669),$O$2:$O$1001,0),MATCH(COLUMNS($V$1006:Y1006),$V$1006:$AE$1006,0)), HYPERLINK("#",""), HYPERLINK(CONCATENATE("#Metadata!", ADDRESS(INDEX($Q$2:$Q$1001,MATCH(ROWS($O$2:O669),$O$2:$O$1001,0),0), INDEX($V$1004:$AE$1004,1,MATCH(COLUMNS($V$1006:Y1006),$V$1006:$AE$1006,0)))),"Fix")))</f>
        <v>0</v>
      </c>
      <c r="F669" s="3">
        <f>IF(OR(INDEX($P$2:$P$1001,MATCH(ROWS($O$2:O669),$O$2:$O$1001,0),1)&gt;=100000,INDEX($V$1005:$AE$1005,1,MATCH(COLUMNS($V$1006:Z1006),$V$1006:$AE$1006,0))&gt;=100000), " ",IF(INDEX($V$2:$AE$1001,MATCH(ROWS($O$2:O669),$O$2:$O$1001,0),MATCH(COLUMNS($V$1006:Z1006),$V$1006:$AE$1006,0)), HYPERLINK("#",""), HYPERLINK(CONCATENATE("#Metadata!", ADDRESS(INDEX($Q$2:$Q$1001,MATCH(ROWS($O$2:O669),$O$2:$O$1001,0),0), INDEX($V$1004:$AE$1004,1,MATCH(COLUMNS($V$1006:Z1006),$V$1006:$AE$1006,0)))),"Fix")))</f>
        <v>0</v>
      </c>
      <c r="G669" s="3">
        <f>IF(OR(INDEX($P$2:$P$1001,MATCH(ROWS($O$2:O669),$O$2:$O$1001,0),1)&gt;=100000,INDEX($V$1005:$AE$1005,1,MATCH(COLUMNS($V$1006:AA1006),$V$1006:$AE$1006,0))&gt;=100000), " ",IF(INDEX($V$2:$AE$1001,MATCH(ROWS($O$2:O669),$O$2:$O$1001,0),MATCH(COLUMNS($V$1006:AA1006),$V$1006:$AE$1006,0)), HYPERLINK("#",""), HYPERLINK(CONCATENATE("#Metadata!", ADDRESS(INDEX($Q$2:$Q$1001,MATCH(ROWS($O$2:O669),$O$2:$O$1001,0),0), INDEX($V$1004:$AE$1004,1,MATCH(COLUMNS($V$1006:AA1006),$V$1006:$AE$1006,0)))),"Fix")))</f>
        <v>0</v>
      </c>
      <c r="H669" s="3">
        <f>IF(OR(INDEX($P$2:$P$1001,MATCH(ROWS($O$2:O669),$O$2:$O$1001,0),1)&gt;=100000,INDEX($V$1005:$AE$1005,1,MATCH(COLUMNS($V$1006:AB1006),$V$1006:$AE$1006,0))&gt;=100000), " ",IF(INDEX($V$2:$AE$1001,MATCH(ROWS($O$2:O669),$O$2:$O$1001,0),MATCH(COLUMNS($V$1006:AB1006),$V$1006:$AE$1006,0)), HYPERLINK("#",""), HYPERLINK(CONCATENATE("#Metadata!", ADDRESS(INDEX($Q$2:$Q$1001,MATCH(ROWS($O$2:O669),$O$2:$O$1001,0),0), INDEX($V$1004:$AE$1004,1,MATCH(COLUMNS($V$1006:AB1006),$V$1006:$AE$1006,0)))),"Fix")))</f>
        <v>0</v>
      </c>
      <c r="I669" s="3">
        <f>IF(OR(INDEX($P$2:$P$1001,MATCH(ROWS($O$2:O669),$O$2:$O$1001,0),1)&gt;=100000,INDEX($V$1005:$AE$1005,1,MATCH(COLUMNS($V$1006:AC1006),$V$1006:$AE$1006,0))&gt;=100000), " ",IF(INDEX($V$2:$AE$1001,MATCH(ROWS($O$2:O669),$O$2:$O$1001,0),MATCH(COLUMNS($V$1006:AC1006),$V$1006:$AE$1006,0)), HYPERLINK("#",""), HYPERLINK(CONCATENATE("#Metadata!", ADDRESS(INDEX($Q$2:$Q$1001,MATCH(ROWS($O$2:O669),$O$2:$O$1001,0),0), INDEX($V$1004:$AE$1004,1,MATCH(COLUMNS($V$1006:AC1006),$V$1006:$AE$1006,0)))),"Fix")))</f>
        <v>0</v>
      </c>
      <c r="J669" s="3">
        <f>IF(OR(INDEX($P$2:$P$1001,MATCH(ROWS($O$2:O669),$O$2:$O$1001,0),1)&gt;=100000,INDEX($V$1005:$AE$1005,1,MATCH(COLUMNS($V$1006:AD1006),$V$1006:$AE$1006,0))&gt;=100000), " ",IF(INDEX($V$2:$AE$1001,MATCH(ROWS($O$2:O669),$O$2:$O$1001,0),MATCH(COLUMNS($V$1006:AD1006),$V$1006:$AE$1006,0)), HYPERLINK("#",""), HYPERLINK(CONCATENATE("#Metadata!", ADDRESS(INDEX($Q$2:$Q$1001,MATCH(ROWS($O$2:O669),$O$2:$O$1001,0),0), INDEX($V$1004:$AE$1004,1,MATCH(COLUMNS($V$1006:AD1006),$V$1006:$AE$1006,0)))),"Fix")))</f>
        <v>0</v>
      </c>
      <c r="K669" s="3">
        <f>IF(OR(INDEX($P$2:$P$1001,MATCH(ROWS($O$2:O669),$O$2:$O$1001,0),1)&gt;=100000,INDEX($V$1005:$AE$1005,1,MATCH(COLUMNS($V$1006:AE1006),$V$1006:$AE$1006,0))&gt;=100000), " ",IF(INDEX($V$2:$AE$1001,MATCH(ROWS($O$2:O669),$O$2:$O$1001,0),MATCH(COLUMNS($V$1006:AE1006),$V$1006:$AE$1006,0)), HYPERLINK("#",""), HYPERLINK(CONCATENATE("#Metadata!", ADDRESS(INDEX($Q$2:$Q$1001,MATCH(ROWS($O$2:O669),$O$2:$O$1001,0),0), INDEX($V$1004:$AE$1004,1,MATCH(COLUMNS($V$1006:AE1006),$V$1006:$AE$1006,0)))),"Fix")))</f>
        <v>0</v>
      </c>
      <c r="O669">
        <v>0</v>
      </c>
      <c r="P669">
        <v>0</v>
      </c>
      <c r="Q669">
        <v>0</v>
      </c>
      <c r="R669">
        <f>IF(S669,TRUE,AND(V669:AE669))</f>
        <v>0</v>
      </c>
      <c r="S669">
        <f>COUNTBLANK(Metadata!B669:K669)=COLUMNS(Metadata!B669:K669)</f>
        <v>0</v>
      </c>
      <c r="T669">
        <v>0</v>
      </c>
      <c r="V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W669">
        <f>AND(IF(Metadata!C669="",FALSE,TRUE),exact(Metadata!C669,"animal secretion"))</f>
        <v>0</v>
      </c>
      <c r="X669">
        <f>AND(IF(Metadata!D669="",FALSE,TRUE),exact(Metadata!D669,"saliva"))</f>
        <v>0</v>
      </c>
      <c r="Y669">
        <f>AND(IF(Metadata!E669="",FALSE,TRUE),exact(Metadata!E669,"human-oral"))</f>
        <v>0</v>
      </c>
      <c r="Z669">
        <f>AND(IF(Metadata!F669="",FALSE,TRUE),exact(Metadata!F669,"UBERON:oral cavity"))</f>
        <v>0</v>
      </c>
      <c r="AA669">
        <f>AND(IF(Metadata!G669="",FALSE,TRUE),exact(Metadata!G669,"UBERON:saliva"))</f>
        <v>0</v>
      </c>
      <c r="AB669">
        <f>AND(IF(Metadata!H669="",FALSE,TRUE),exact(Metadata!H669,"UBERON:tongue"))</f>
        <v>0</v>
      </c>
      <c r="AC669">
        <f>AND(IF(Metadata!I669="",FALSE,TRUE),exact(Metadata!I669,"tongue"))</f>
        <v>0</v>
      </c>
      <c r="AD669">
        <f>AND(IF(Metadata!J669="",FALSE,TRUE),exact(Metadata!J669,"human oral metagenome"))</f>
        <v>0</v>
      </c>
      <c r="AE669">
        <f>AND(IF(Metadata!K669="",FALSE,TRUE),exact(Metadata!K669,"447426"))</f>
        <v>0</v>
      </c>
    </row>
    <row r="670" spans="1:31">
      <c r="A670" s="4">
        <f>IF(B670=" "," ",HYPERLINK(CONCATENATE("#metadata!",ADDRESS(INDEX($Q$2:$Q$1001,MATCH(ROWS($O$2:O670),$O$2:$O$1001,0),0),1)),INDEX($T$2:$T$1001,MATCH(ROWS($O$2:O670),$O$2:$O$1001,0),0)))</f>
        <v>0</v>
      </c>
      <c r="B670" s="3">
        <f>IF(OR(INDEX($P$2:$P$1001,MATCH(ROWS($O$2:O670),$O$2:$O$1001,0),1)&gt;=100000,INDEX($V$1005:$AE$1005,1,MATCH(COLUMNS($V$1006:V1006),$V$1006:$AE$1006,0))&gt;=100000), " ",IF(INDEX($V$2:$AE$1001,MATCH(ROWS($O$2:O670),$O$2:$O$1001,0),MATCH(COLUMNS($V$1006:V1006),$V$1006:$AE$1006,0)), HYPERLINK("#",""), HYPERLINK(CONCATENATE("#Metadata!", ADDRESS(INDEX($Q$2:$Q$1001,MATCH(ROWS($O$2:O670),$O$2:$O$1001,0),0), INDEX($V$1004:$AE$1004,1,MATCH(COLUMNS($V$1006:V1006),$V$1006:$AE$1006,0)))),"Fix")))</f>
        <v>0</v>
      </c>
      <c r="C670" s="3">
        <f>IF(OR(INDEX($P$2:$P$1001,MATCH(ROWS($O$2:O670),$O$2:$O$1001,0),1)&gt;=100000,INDEX($V$1005:$AE$1005,1,MATCH(COLUMNS($V$1006:W1006),$V$1006:$AE$1006,0))&gt;=100000), " ",IF(INDEX($V$2:$AE$1001,MATCH(ROWS($O$2:O670),$O$2:$O$1001,0),MATCH(COLUMNS($V$1006:W1006),$V$1006:$AE$1006,0)), HYPERLINK("#",""), HYPERLINK(CONCATENATE("#Metadata!", ADDRESS(INDEX($Q$2:$Q$1001,MATCH(ROWS($O$2:O670),$O$2:$O$1001,0),0), INDEX($V$1004:$AE$1004,1,MATCH(COLUMNS($V$1006:W1006),$V$1006:$AE$1006,0)))),"Fix")))</f>
        <v>0</v>
      </c>
      <c r="D670" s="3">
        <f>IF(OR(INDEX($P$2:$P$1001,MATCH(ROWS($O$2:O670),$O$2:$O$1001,0),1)&gt;=100000,INDEX($V$1005:$AE$1005,1,MATCH(COLUMNS($V$1006:X1006),$V$1006:$AE$1006,0))&gt;=100000), " ",IF(INDEX($V$2:$AE$1001,MATCH(ROWS($O$2:O670),$O$2:$O$1001,0),MATCH(COLUMNS($V$1006:X1006),$V$1006:$AE$1006,0)), HYPERLINK("#",""), HYPERLINK(CONCATENATE("#Metadata!", ADDRESS(INDEX($Q$2:$Q$1001,MATCH(ROWS($O$2:O670),$O$2:$O$1001,0),0), INDEX($V$1004:$AE$1004,1,MATCH(COLUMNS($V$1006:X1006),$V$1006:$AE$1006,0)))),"Fix")))</f>
        <v>0</v>
      </c>
      <c r="E670" s="3">
        <f>IF(OR(INDEX($P$2:$P$1001,MATCH(ROWS($O$2:O670),$O$2:$O$1001,0),1)&gt;=100000,INDEX($V$1005:$AE$1005,1,MATCH(COLUMNS($V$1006:Y1006),$V$1006:$AE$1006,0))&gt;=100000), " ",IF(INDEX($V$2:$AE$1001,MATCH(ROWS($O$2:O670),$O$2:$O$1001,0),MATCH(COLUMNS($V$1006:Y1006),$V$1006:$AE$1006,0)), HYPERLINK("#",""), HYPERLINK(CONCATENATE("#Metadata!", ADDRESS(INDEX($Q$2:$Q$1001,MATCH(ROWS($O$2:O670),$O$2:$O$1001,0),0), INDEX($V$1004:$AE$1004,1,MATCH(COLUMNS($V$1006:Y1006),$V$1006:$AE$1006,0)))),"Fix")))</f>
        <v>0</v>
      </c>
      <c r="F670" s="3">
        <f>IF(OR(INDEX($P$2:$P$1001,MATCH(ROWS($O$2:O670),$O$2:$O$1001,0),1)&gt;=100000,INDEX($V$1005:$AE$1005,1,MATCH(COLUMNS($V$1006:Z1006),$V$1006:$AE$1006,0))&gt;=100000), " ",IF(INDEX($V$2:$AE$1001,MATCH(ROWS($O$2:O670),$O$2:$O$1001,0),MATCH(COLUMNS($V$1006:Z1006),$V$1006:$AE$1006,0)), HYPERLINK("#",""), HYPERLINK(CONCATENATE("#Metadata!", ADDRESS(INDEX($Q$2:$Q$1001,MATCH(ROWS($O$2:O670),$O$2:$O$1001,0),0), INDEX($V$1004:$AE$1004,1,MATCH(COLUMNS($V$1006:Z1006),$V$1006:$AE$1006,0)))),"Fix")))</f>
        <v>0</v>
      </c>
      <c r="G670" s="3">
        <f>IF(OR(INDEX($P$2:$P$1001,MATCH(ROWS($O$2:O670),$O$2:$O$1001,0),1)&gt;=100000,INDEX($V$1005:$AE$1005,1,MATCH(COLUMNS($V$1006:AA1006),$V$1006:$AE$1006,0))&gt;=100000), " ",IF(INDEX($V$2:$AE$1001,MATCH(ROWS($O$2:O670),$O$2:$O$1001,0),MATCH(COLUMNS($V$1006:AA1006),$V$1006:$AE$1006,0)), HYPERLINK("#",""), HYPERLINK(CONCATENATE("#Metadata!", ADDRESS(INDEX($Q$2:$Q$1001,MATCH(ROWS($O$2:O670),$O$2:$O$1001,0),0), INDEX($V$1004:$AE$1004,1,MATCH(COLUMNS($V$1006:AA1006),$V$1006:$AE$1006,0)))),"Fix")))</f>
        <v>0</v>
      </c>
      <c r="H670" s="3">
        <f>IF(OR(INDEX($P$2:$P$1001,MATCH(ROWS($O$2:O670),$O$2:$O$1001,0),1)&gt;=100000,INDEX($V$1005:$AE$1005,1,MATCH(COLUMNS($V$1006:AB1006),$V$1006:$AE$1006,0))&gt;=100000), " ",IF(INDEX($V$2:$AE$1001,MATCH(ROWS($O$2:O670),$O$2:$O$1001,0),MATCH(COLUMNS($V$1006:AB1006),$V$1006:$AE$1006,0)), HYPERLINK("#",""), HYPERLINK(CONCATENATE("#Metadata!", ADDRESS(INDEX($Q$2:$Q$1001,MATCH(ROWS($O$2:O670),$O$2:$O$1001,0),0), INDEX($V$1004:$AE$1004,1,MATCH(COLUMNS($V$1006:AB1006),$V$1006:$AE$1006,0)))),"Fix")))</f>
        <v>0</v>
      </c>
      <c r="I670" s="3">
        <f>IF(OR(INDEX($P$2:$P$1001,MATCH(ROWS($O$2:O670),$O$2:$O$1001,0),1)&gt;=100000,INDEX($V$1005:$AE$1005,1,MATCH(COLUMNS($V$1006:AC1006),$V$1006:$AE$1006,0))&gt;=100000), " ",IF(INDEX($V$2:$AE$1001,MATCH(ROWS($O$2:O670),$O$2:$O$1001,0),MATCH(COLUMNS($V$1006:AC1006),$V$1006:$AE$1006,0)), HYPERLINK("#",""), HYPERLINK(CONCATENATE("#Metadata!", ADDRESS(INDEX($Q$2:$Q$1001,MATCH(ROWS($O$2:O670),$O$2:$O$1001,0),0), INDEX($V$1004:$AE$1004,1,MATCH(COLUMNS($V$1006:AC1006),$V$1006:$AE$1006,0)))),"Fix")))</f>
        <v>0</v>
      </c>
      <c r="J670" s="3">
        <f>IF(OR(INDEX($P$2:$P$1001,MATCH(ROWS($O$2:O670),$O$2:$O$1001,0),1)&gt;=100000,INDEX($V$1005:$AE$1005,1,MATCH(COLUMNS($V$1006:AD1006),$V$1006:$AE$1006,0))&gt;=100000), " ",IF(INDEX($V$2:$AE$1001,MATCH(ROWS($O$2:O670),$O$2:$O$1001,0),MATCH(COLUMNS($V$1006:AD1006),$V$1006:$AE$1006,0)), HYPERLINK("#",""), HYPERLINK(CONCATENATE("#Metadata!", ADDRESS(INDEX($Q$2:$Q$1001,MATCH(ROWS($O$2:O670),$O$2:$O$1001,0),0), INDEX($V$1004:$AE$1004,1,MATCH(COLUMNS($V$1006:AD1006),$V$1006:$AE$1006,0)))),"Fix")))</f>
        <v>0</v>
      </c>
      <c r="K670" s="3">
        <f>IF(OR(INDEX($P$2:$P$1001,MATCH(ROWS($O$2:O670),$O$2:$O$1001,0),1)&gt;=100000,INDEX($V$1005:$AE$1005,1,MATCH(COLUMNS($V$1006:AE1006),$V$1006:$AE$1006,0))&gt;=100000), " ",IF(INDEX($V$2:$AE$1001,MATCH(ROWS($O$2:O670),$O$2:$O$1001,0),MATCH(COLUMNS($V$1006:AE1006),$V$1006:$AE$1006,0)), HYPERLINK("#",""), HYPERLINK(CONCATENATE("#Metadata!", ADDRESS(INDEX($Q$2:$Q$1001,MATCH(ROWS($O$2:O670),$O$2:$O$1001,0),0), INDEX($V$1004:$AE$1004,1,MATCH(COLUMNS($V$1006:AE1006),$V$1006:$AE$1006,0)))),"Fix")))</f>
        <v>0</v>
      </c>
      <c r="O670">
        <v>0</v>
      </c>
      <c r="P670">
        <v>0</v>
      </c>
      <c r="Q670">
        <v>0</v>
      </c>
      <c r="R670">
        <f>IF(S670,TRUE,AND(V670:AE670))</f>
        <v>0</v>
      </c>
      <c r="S670">
        <f>COUNTBLANK(Metadata!B670:K670)=COLUMNS(Metadata!B670:K670)</f>
        <v>0</v>
      </c>
      <c r="T670">
        <v>0</v>
      </c>
      <c r="V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W670">
        <f>AND(IF(Metadata!C670="",FALSE,TRUE),exact(Metadata!C670,"animal secretion"))</f>
        <v>0</v>
      </c>
      <c r="X670">
        <f>AND(IF(Metadata!D670="",FALSE,TRUE),exact(Metadata!D670,"saliva"))</f>
        <v>0</v>
      </c>
      <c r="Y670">
        <f>AND(IF(Metadata!E670="",FALSE,TRUE),exact(Metadata!E670,"human-oral"))</f>
        <v>0</v>
      </c>
      <c r="Z670">
        <f>AND(IF(Metadata!F670="",FALSE,TRUE),exact(Metadata!F670,"UBERON:oral cavity"))</f>
        <v>0</v>
      </c>
      <c r="AA670">
        <f>AND(IF(Metadata!G670="",FALSE,TRUE),exact(Metadata!G670,"UBERON:saliva"))</f>
        <v>0</v>
      </c>
      <c r="AB670">
        <f>AND(IF(Metadata!H670="",FALSE,TRUE),exact(Metadata!H670,"UBERON:tongue"))</f>
        <v>0</v>
      </c>
      <c r="AC670">
        <f>AND(IF(Metadata!I670="",FALSE,TRUE),exact(Metadata!I670,"tongue"))</f>
        <v>0</v>
      </c>
      <c r="AD670">
        <f>AND(IF(Metadata!J670="",FALSE,TRUE),exact(Metadata!J670,"human oral metagenome"))</f>
        <v>0</v>
      </c>
      <c r="AE670">
        <f>AND(IF(Metadata!K670="",FALSE,TRUE),exact(Metadata!K670,"447426"))</f>
        <v>0</v>
      </c>
    </row>
    <row r="671" spans="1:31">
      <c r="A671" s="4">
        <f>IF(B671=" "," ",HYPERLINK(CONCATENATE("#metadata!",ADDRESS(INDEX($Q$2:$Q$1001,MATCH(ROWS($O$2:O671),$O$2:$O$1001,0),0),1)),INDEX($T$2:$T$1001,MATCH(ROWS($O$2:O671),$O$2:$O$1001,0),0)))</f>
        <v>0</v>
      </c>
      <c r="B671" s="3">
        <f>IF(OR(INDEX($P$2:$P$1001,MATCH(ROWS($O$2:O671),$O$2:$O$1001,0),1)&gt;=100000,INDEX($V$1005:$AE$1005,1,MATCH(COLUMNS($V$1006:V1006),$V$1006:$AE$1006,0))&gt;=100000), " ",IF(INDEX($V$2:$AE$1001,MATCH(ROWS($O$2:O671),$O$2:$O$1001,0),MATCH(COLUMNS($V$1006:V1006),$V$1006:$AE$1006,0)), HYPERLINK("#",""), HYPERLINK(CONCATENATE("#Metadata!", ADDRESS(INDEX($Q$2:$Q$1001,MATCH(ROWS($O$2:O671),$O$2:$O$1001,0),0), INDEX($V$1004:$AE$1004,1,MATCH(COLUMNS($V$1006:V1006),$V$1006:$AE$1006,0)))),"Fix")))</f>
        <v>0</v>
      </c>
      <c r="C671" s="3">
        <f>IF(OR(INDEX($P$2:$P$1001,MATCH(ROWS($O$2:O671),$O$2:$O$1001,0),1)&gt;=100000,INDEX($V$1005:$AE$1005,1,MATCH(COLUMNS($V$1006:W1006),$V$1006:$AE$1006,0))&gt;=100000), " ",IF(INDEX($V$2:$AE$1001,MATCH(ROWS($O$2:O671),$O$2:$O$1001,0),MATCH(COLUMNS($V$1006:W1006),$V$1006:$AE$1006,0)), HYPERLINK("#",""), HYPERLINK(CONCATENATE("#Metadata!", ADDRESS(INDEX($Q$2:$Q$1001,MATCH(ROWS($O$2:O671),$O$2:$O$1001,0),0), INDEX($V$1004:$AE$1004,1,MATCH(COLUMNS($V$1006:W1006),$V$1006:$AE$1006,0)))),"Fix")))</f>
        <v>0</v>
      </c>
      <c r="D671" s="3">
        <f>IF(OR(INDEX($P$2:$P$1001,MATCH(ROWS($O$2:O671),$O$2:$O$1001,0),1)&gt;=100000,INDEX($V$1005:$AE$1005,1,MATCH(COLUMNS($V$1006:X1006),$V$1006:$AE$1006,0))&gt;=100000), " ",IF(INDEX($V$2:$AE$1001,MATCH(ROWS($O$2:O671),$O$2:$O$1001,0),MATCH(COLUMNS($V$1006:X1006),$V$1006:$AE$1006,0)), HYPERLINK("#",""), HYPERLINK(CONCATENATE("#Metadata!", ADDRESS(INDEX($Q$2:$Q$1001,MATCH(ROWS($O$2:O671),$O$2:$O$1001,0),0), INDEX($V$1004:$AE$1004,1,MATCH(COLUMNS($V$1006:X1006),$V$1006:$AE$1006,0)))),"Fix")))</f>
        <v>0</v>
      </c>
      <c r="E671" s="3">
        <f>IF(OR(INDEX($P$2:$P$1001,MATCH(ROWS($O$2:O671),$O$2:$O$1001,0),1)&gt;=100000,INDEX($V$1005:$AE$1005,1,MATCH(COLUMNS($V$1006:Y1006),$V$1006:$AE$1006,0))&gt;=100000), " ",IF(INDEX($V$2:$AE$1001,MATCH(ROWS($O$2:O671),$O$2:$O$1001,0),MATCH(COLUMNS($V$1006:Y1006),$V$1006:$AE$1006,0)), HYPERLINK("#",""), HYPERLINK(CONCATENATE("#Metadata!", ADDRESS(INDEX($Q$2:$Q$1001,MATCH(ROWS($O$2:O671),$O$2:$O$1001,0),0), INDEX($V$1004:$AE$1004,1,MATCH(COLUMNS($V$1006:Y1006),$V$1006:$AE$1006,0)))),"Fix")))</f>
        <v>0</v>
      </c>
      <c r="F671" s="3">
        <f>IF(OR(INDEX($P$2:$P$1001,MATCH(ROWS($O$2:O671),$O$2:$O$1001,0),1)&gt;=100000,INDEX($V$1005:$AE$1005,1,MATCH(COLUMNS($V$1006:Z1006),$V$1006:$AE$1006,0))&gt;=100000), " ",IF(INDEX($V$2:$AE$1001,MATCH(ROWS($O$2:O671),$O$2:$O$1001,0),MATCH(COLUMNS($V$1006:Z1006),$V$1006:$AE$1006,0)), HYPERLINK("#",""), HYPERLINK(CONCATENATE("#Metadata!", ADDRESS(INDEX($Q$2:$Q$1001,MATCH(ROWS($O$2:O671),$O$2:$O$1001,0),0), INDEX($V$1004:$AE$1004,1,MATCH(COLUMNS($V$1006:Z1006),$V$1006:$AE$1006,0)))),"Fix")))</f>
        <v>0</v>
      </c>
      <c r="G671" s="3">
        <f>IF(OR(INDEX($P$2:$P$1001,MATCH(ROWS($O$2:O671),$O$2:$O$1001,0),1)&gt;=100000,INDEX($V$1005:$AE$1005,1,MATCH(COLUMNS($V$1006:AA1006),$V$1006:$AE$1006,0))&gt;=100000), " ",IF(INDEX($V$2:$AE$1001,MATCH(ROWS($O$2:O671),$O$2:$O$1001,0),MATCH(COLUMNS($V$1006:AA1006),$V$1006:$AE$1006,0)), HYPERLINK("#",""), HYPERLINK(CONCATENATE("#Metadata!", ADDRESS(INDEX($Q$2:$Q$1001,MATCH(ROWS($O$2:O671),$O$2:$O$1001,0),0), INDEX($V$1004:$AE$1004,1,MATCH(COLUMNS($V$1006:AA1006),$V$1006:$AE$1006,0)))),"Fix")))</f>
        <v>0</v>
      </c>
      <c r="H671" s="3">
        <f>IF(OR(INDEX($P$2:$P$1001,MATCH(ROWS($O$2:O671),$O$2:$O$1001,0),1)&gt;=100000,INDEX($V$1005:$AE$1005,1,MATCH(COLUMNS($V$1006:AB1006),$V$1006:$AE$1006,0))&gt;=100000), " ",IF(INDEX($V$2:$AE$1001,MATCH(ROWS($O$2:O671),$O$2:$O$1001,0),MATCH(COLUMNS($V$1006:AB1006),$V$1006:$AE$1006,0)), HYPERLINK("#",""), HYPERLINK(CONCATENATE("#Metadata!", ADDRESS(INDEX($Q$2:$Q$1001,MATCH(ROWS($O$2:O671),$O$2:$O$1001,0),0), INDEX($V$1004:$AE$1004,1,MATCH(COLUMNS($V$1006:AB1006),$V$1006:$AE$1006,0)))),"Fix")))</f>
        <v>0</v>
      </c>
      <c r="I671" s="3">
        <f>IF(OR(INDEX($P$2:$P$1001,MATCH(ROWS($O$2:O671),$O$2:$O$1001,0),1)&gt;=100000,INDEX($V$1005:$AE$1005,1,MATCH(COLUMNS($V$1006:AC1006),$V$1006:$AE$1006,0))&gt;=100000), " ",IF(INDEX($V$2:$AE$1001,MATCH(ROWS($O$2:O671),$O$2:$O$1001,0),MATCH(COLUMNS($V$1006:AC1006),$V$1006:$AE$1006,0)), HYPERLINK("#",""), HYPERLINK(CONCATENATE("#Metadata!", ADDRESS(INDEX($Q$2:$Q$1001,MATCH(ROWS($O$2:O671),$O$2:$O$1001,0),0), INDEX($V$1004:$AE$1004,1,MATCH(COLUMNS($V$1006:AC1006),$V$1006:$AE$1006,0)))),"Fix")))</f>
        <v>0</v>
      </c>
      <c r="J671" s="3">
        <f>IF(OR(INDEX($P$2:$P$1001,MATCH(ROWS($O$2:O671),$O$2:$O$1001,0),1)&gt;=100000,INDEX($V$1005:$AE$1005,1,MATCH(COLUMNS($V$1006:AD1006),$V$1006:$AE$1006,0))&gt;=100000), " ",IF(INDEX($V$2:$AE$1001,MATCH(ROWS($O$2:O671),$O$2:$O$1001,0),MATCH(COLUMNS($V$1006:AD1006),$V$1006:$AE$1006,0)), HYPERLINK("#",""), HYPERLINK(CONCATENATE("#Metadata!", ADDRESS(INDEX($Q$2:$Q$1001,MATCH(ROWS($O$2:O671),$O$2:$O$1001,0),0), INDEX($V$1004:$AE$1004,1,MATCH(COLUMNS($V$1006:AD1006),$V$1006:$AE$1006,0)))),"Fix")))</f>
        <v>0</v>
      </c>
      <c r="K671" s="3">
        <f>IF(OR(INDEX($P$2:$P$1001,MATCH(ROWS($O$2:O671),$O$2:$O$1001,0),1)&gt;=100000,INDEX($V$1005:$AE$1005,1,MATCH(COLUMNS($V$1006:AE1006),$V$1006:$AE$1006,0))&gt;=100000), " ",IF(INDEX($V$2:$AE$1001,MATCH(ROWS($O$2:O671),$O$2:$O$1001,0),MATCH(COLUMNS($V$1006:AE1006),$V$1006:$AE$1006,0)), HYPERLINK("#",""), HYPERLINK(CONCATENATE("#Metadata!", ADDRESS(INDEX($Q$2:$Q$1001,MATCH(ROWS($O$2:O671),$O$2:$O$1001,0),0), INDEX($V$1004:$AE$1004,1,MATCH(COLUMNS($V$1006:AE1006),$V$1006:$AE$1006,0)))),"Fix")))</f>
        <v>0</v>
      </c>
      <c r="O671">
        <v>0</v>
      </c>
      <c r="P671">
        <v>0</v>
      </c>
      <c r="Q671">
        <v>0</v>
      </c>
      <c r="R671">
        <f>IF(S671,TRUE,AND(V671:AE671))</f>
        <v>0</v>
      </c>
      <c r="S671">
        <f>COUNTBLANK(Metadata!B671:K671)=COLUMNS(Metadata!B671:K671)</f>
        <v>0</v>
      </c>
      <c r="T671">
        <v>0</v>
      </c>
      <c r="V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W671">
        <f>AND(IF(Metadata!C671="",FALSE,TRUE),exact(Metadata!C671,"animal secretion"))</f>
        <v>0</v>
      </c>
      <c r="X671">
        <f>AND(IF(Metadata!D671="",FALSE,TRUE),exact(Metadata!D671,"saliva"))</f>
        <v>0</v>
      </c>
      <c r="Y671">
        <f>AND(IF(Metadata!E671="",FALSE,TRUE),exact(Metadata!E671,"human-oral"))</f>
        <v>0</v>
      </c>
      <c r="Z671">
        <f>AND(IF(Metadata!F671="",FALSE,TRUE),exact(Metadata!F671,"UBERON:oral cavity"))</f>
        <v>0</v>
      </c>
      <c r="AA671">
        <f>AND(IF(Metadata!G671="",FALSE,TRUE),exact(Metadata!G671,"UBERON:saliva"))</f>
        <v>0</v>
      </c>
      <c r="AB671">
        <f>AND(IF(Metadata!H671="",FALSE,TRUE),exact(Metadata!H671,"UBERON:tongue"))</f>
        <v>0</v>
      </c>
      <c r="AC671">
        <f>AND(IF(Metadata!I671="",FALSE,TRUE),exact(Metadata!I671,"tongue"))</f>
        <v>0</v>
      </c>
      <c r="AD671">
        <f>AND(IF(Metadata!J671="",FALSE,TRUE),exact(Metadata!J671,"human oral metagenome"))</f>
        <v>0</v>
      </c>
      <c r="AE671">
        <f>AND(IF(Metadata!K671="",FALSE,TRUE),exact(Metadata!K671,"447426"))</f>
        <v>0</v>
      </c>
    </row>
    <row r="672" spans="1:31">
      <c r="A672" s="4">
        <f>IF(B672=" "," ",HYPERLINK(CONCATENATE("#metadata!",ADDRESS(INDEX($Q$2:$Q$1001,MATCH(ROWS($O$2:O672),$O$2:$O$1001,0),0),1)),INDEX($T$2:$T$1001,MATCH(ROWS($O$2:O672),$O$2:$O$1001,0),0)))</f>
        <v>0</v>
      </c>
      <c r="B672" s="3">
        <f>IF(OR(INDEX($P$2:$P$1001,MATCH(ROWS($O$2:O672),$O$2:$O$1001,0),1)&gt;=100000,INDEX($V$1005:$AE$1005,1,MATCH(COLUMNS($V$1006:V1006),$V$1006:$AE$1006,0))&gt;=100000), " ",IF(INDEX($V$2:$AE$1001,MATCH(ROWS($O$2:O672),$O$2:$O$1001,0),MATCH(COLUMNS($V$1006:V1006),$V$1006:$AE$1006,0)), HYPERLINK("#",""), HYPERLINK(CONCATENATE("#Metadata!", ADDRESS(INDEX($Q$2:$Q$1001,MATCH(ROWS($O$2:O672),$O$2:$O$1001,0),0), INDEX($V$1004:$AE$1004,1,MATCH(COLUMNS($V$1006:V1006),$V$1006:$AE$1006,0)))),"Fix")))</f>
        <v>0</v>
      </c>
      <c r="C672" s="3">
        <f>IF(OR(INDEX($P$2:$P$1001,MATCH(ROWS($O$2:O672),$O$2:$O$1001,0),1)&gt;=100000,INDEX($V$1005:$AE$1005,1,MATCH(COLUMNS($V$1006:W1006),$V$1006:$AE$1006,0))&gt;=100000), " ",IF(INDEX($V$2:$AE$1001,MATCH(ROWS($O$2:O672),$O$2:$O$1001,0),MATCH(COLUMNS($V$1006:W1006),$V$1006:$AE$1006,0)), HYPERLINK("#",""), HYPERLINK(CONCATENATE("#Metadata!", ADDRESS(INDEX($Q$2:$Q$1001,MATCH(ROWS($O$2:O672),$O$2:$O$1001,0),0), INDEX($V$1004:$AE$1004,1,MATCH(COLUMNS($V$1006:W1006),$V$1006:$AE$1006,0)))),"Fix")))</f>
        <v>0</v>
      </c>
      <c r="D672" s="3">
        <f>IF(OR(INDEX($P$2:$P$1001,MATCH(ROWS($O$2:O672),$O$2:$O$1001,0),1)&gt;=100000,INDEX($V$1005:$AE$1005,1,MATCH(COLUMNS($V$1006:X1006),$V$1006:$AE$1006,0))&gt;=100000), " ",IF(INDEX($V$2:$AE$1001,MATCH(ROWS($O$2:O672),$O$2:$O$1001,0),MATCH(COLUMNS($V$1006:X1006),$V$1006:$AE$1006,0)), HYPERLINK("#",""), HYPERLINK(CONCATENATE("#Metadata!", ADDRESS(INDEX($Q$2:$Q$1001,MATCH(ROWS($O$2:O672),$O$2:$O$1001,0),0), INDEX($V$1004:$AE$1004,1,MATCH(COLUMNS($V$1006:X1006),$V$1006:$AE$1006,0)))),"Fix")))</f>
        <v>0</v>
      </c>
      <c r="E672" s="3">
        <f>IF(OR(INDEX($P$2:$P$1001,MATCH(ROWS($O$2:O672),$O$2:$O$1001,0),1)&gt;=100000,INDEX($V$1005:$AE$1005,1,MATCH(COLUMNS($V$1006:Y1006),$V$1006:$AE$1006,0))&gt;=100000), " ",IF(INDEX($V$2:$AE$1001,MATCH(ROWS($O$2:O672),$O$2:$O$1001,0),MATCH(COLUMNS($V$1006:Y1006),$V$1006:$AE$1006,0)), HYPERLINK("#",""), HYPERLINK(CONCATENATE("#Metadata!", ADDRESS(INDEX($Q$2:$Q$1001,MATCH(ROWS($O$2:O672),$O$2:$O$1001,0),0), INDEX($V$1004:$AE$1004,1,MATCH(COLUMNS($V$1006:Y1006),$V$1006:$AE$1006,0)))),"Fix")))</f>
        <v>0</v>
      </c>
      <c r="F672" s="3">
        <f>IF(OR(INDEX($P$2:$P$1001,MATCH(ROWS($O$2:O672),$O$2:$O$1001,0),1)&gt;=100000,INDEX($V$1005:$AE$1005,1,MATCH(COLUMNS($V$1006:Z1006),$V$1006:$AE$1006,0))&gt;=100000), " ",IF(INDEX($V$2:$AE$1001,MATCH(ROWS($O$2:O672),$O$2:$O$1001,0),MATCH(COLUMNS($V$1006:Z1006),$V$1006:$AE$1006,0)), HYPERLINK("#",""), HYPERLINK(CONCATENATE("#Metadata!", ADDRESS(INDEX($Q$2:$Q$1001,MATCH(ROWS($O$2:O672),$O$2:$O$1001,0),0), INDEX($V$1004:$AE$1004,1,MATCH(COLUMNS($V$1006:Z1006),$V$1006:$AE$1006,0)))),"Fix")))</f>
        <v>0</v>
      </c>
      <c r="G672" s="3">
        <f>IF(OR(INDEX($P$2:$P$1001,MATCH(ROWS($O$2:O672),$O$2:$O$1001,0),1)&gt;=100000,INDEX($V$1005:$AE$1005,1,MATCH(COLUMNS($V$1006:AA1006),$V$1006:$AE$1006,0))&gt;=100000), " ",IF(INDEX($V$2:$AE$1001,MATCH(ROWS($O$2:O672),$O$2:$O$1001,0),MATCH(COLUMNS($V$1006:AA1006),$V$1006:$AE$1006,0)), HYPERLINK("#",""), HYPERLINK(CONCATENATE("#Metadata!", ADDRESS(INDEX($Q$2:$Q$1001,MATCH(ROWS($O$2:O672),$O$2:$O$1001,0),0), INDEX($V$1004:$AE$1004,1,MATCH(COLUMNS($V$1006:AA1006),$V$1006:$AE$1006,0)))),"Fix")))</f>
        <v>0</v>
      </c>
      <c r="H672" s="3">
        <f>IF(OR(INDEX($P$2:$P$1001,MATCH(ROWS($O$2:O672),$O$2:$O$1001,0),1)&gt;=100000,INDEX($V$1005:$AE$1005,1,MATCH(COLUMNS($V$1006:AB1006),$V$1006:$AE$1006,0))&gt;=100000), " ",IF(INDEX($V$2:$AE$1001,MATCH(ROWS($O$2:O672),$O$2:$O$1001,0),MATCH(COLUMNS($V$1006:AB1006),$V$1006:$AE$1006,0)), HYPERLINK("#",""), HYPERLINK(CONCATENATE("#Metadata!", ADDRESS(INDEX($Q$2:$Q$1001,MATCH(ROWS($O$2:O672),$O$2:$O$1001,0),0), INDEX($V$1004:$AE$1004,1,MATCH(COLUMNS($V$1006:AB1006),$V$1006:$AE$1006,0)))),"Fix")))</f>
        <v>0</v>
      </c>
      <c r="I672" s="3">
        <f>IF(OR(INDEX($P$2:$P$1001,MATCH(ROWS($O$2:O672),$O$2:$O$1001,0),1)&gt;=100000,INDEX($V$1005:$AE$1005,1,MATCH(COLUMNS($V$1006:AC1006),$V$1006:$AE$1006,0))&gt;=100000), " ",IF(INDEX($V$2:$AE$1001,MATCH(ROWS($O$2:O672),$O$2:$O$1001,0),MATCH(COLUMNS($V$1006:AC1006),$V$1006:$AE$1006,0)), HYPERLINK("#",""), HYPERLINK(CONCATENATE("#Metadata!", ADDRESS(INDEX($Q$2:$Q$1001,MATCH(ROWS($O$2:O672),$O$2:$O$1001,0),0), INDEX($V$1004:$AE$1004,1,MATCH(COLUMNS($V$1006:AC1006),$V$1006:$AE$1006,0)))),"Fix")))</f>
        <v>0</v>
      </c>
      <c r="J672" s="3">
        <f>IF(OR(INDEX($P$2:$P$1001,MATCH(ROWS($O$2:O672),$O$2:$O$1001,0),1)&gt;=100000,INDEX($V$1005:$AE$1005,1,MATCH(COLUMNS($V$1006:AD1006),$V$1006:$AE$1006,0))&gt;=100000), " ",IF(INDEX($V$2:$AE$1001,MATCH(ROWS($O$2:O672),$O$2:$O$1001,0),MATCH(COLUMNS($V$1006:AD1006),$V$1006:$AE$1006,0)), HYPERLINK("#",""), HYPERLINK(CONCATENATE("#Metadata!", ADDRESS(INDEX($Q$2:$Q$1001,MATCH(ROWS($O$2:O672),$O$2:$O$1001,0),0), INDEX($V$1004:$AE$1004,1,MATCH(COLUMNS($V$1006:AD1006),$V$1006:$AE$1006,0)))),"Fix")))</f>
        <v>0</v>
      </c>
      <c r="K672" s="3">
        <f>IF(OR(INDEX($P$2:$P$1001,MATCH(ROWS($O$2:O672),$O$2:$O$1001,0),1)&gt;=100000,INDEX($V$1005:$AE$1005,1,MATCH(COLUMNS($V$1006:AE1006),$V$1006:$AE$1006,0))&gt;=100000), " ",IF(INDEX($V$2:$AE$1001,MATCH(ROWS($O$2:O672),$O$2:$O$1001,0),MATCH(COLUMNS($V$1006:AE1006),$V$1006:$AE$1006,0)), HYPERLINK("#",""), HYPERLINK(CONCATENATE("#Metadata!", ADDRESS(INDEX($Q$2:$Q$1001,MATCH(ROWS($O$2:O672),$O$2:$O$1001,0),0), INDEX($V$1004:$AE$1004,1,MATCH(COLUMNS($V$1006:AE1006),$V$1006:$AE$1006,0)))),"Fix")))</f>
        <v>0</v>
      </c>
      <c r="O672">
        <v>0</v>
      </c>
      <c r="P672">
        <v>0</v>
      </c>
      <c r="Q672">
        <v>0</v>
      </c>
      <c r="R672">
        <f>IF(S672,TRUE,AND(V672:AE672))</f>
        <v>0</v>
      </c>
      <c r="S672">
        <f>COUNTBLANK(Metadata!B672:K672)=COLUMNS(Metadata!B672:K672)</f>
        <v>0</v>
      </c>
      <c r="T672">
        <v>0</v>
      </c>
      <c r="V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W672">
        <f>AND(IF(Metadata!C672="",FALSE,TRUE),exact(Metadata!C672,"animal secretion"))</f>
        <v>0</v>
      </c>
      <c r="X672">
        <f>AND(IF(Metadata!D672="",FALSE,TRUE),exact(Metadata!D672,"saliva"))</f>
        <v>0</v>
      </c>
      <c r="Y672">
        <f>AND(IF(Metadata!E672="",FALSE,TRUE),exact(Metadata!E672,"human-oral"))</f>
        <v>0</v>
      </c>
      <c r="Z672">
        <f>AND(IF(Metadata!F672="",FALSE,TRUE),exact(Metadata!F672,"UBERON:oral cavity"))</f>
        <v>0</v>
      </c>
      <c r="AA672">
        <f>AND(IF(Metadata!G672="",FALSE,TRUE),exact(Metadata!G672,"UBERON:saliva"))</f>
        <v>0</v>
      </c>
      <c r="AB672">
        <f>AND(IF(Metadata!H672="",FALSE,TRUE),exact(Metadata!H672,"UBERON:tongue"))</f>
        <v>0</v>
      </c>
      <c r="AC672">
        <f>AND(IF(Metadata!I672="",FALSE,TRUE),exact(Metadata!I672,"tongue"))</f>
        <v>0</v>
      </c>
      <c r="AD672">
        <f>AND(IF(Metadata!J672="",FALSE,TRUE),exact(Metadata!J672,"human oral metagenome"))</f>
        <v>0</v>
      </c>
      <c r="AE672">
        <f>AND(IF(Metadata!K672="",FALSE,TRUE),exact(Metadata!K672,"447426"))</f>
        <v>0</v>
      </c>
    </row>
    <row r="673" spans="1:31">
      <c r="A673" s="4">
        <f>IF(B673=" "," ",HYPERLINK(CONCATENATE("#metadata!",ADDRESS(INDEX($Q$2:$Q$1001,MATCH(ROWS($O$2:O673),$O$2:$O$1001,0),0),1)),INDEX($T$2:$T$1001,MATCH(ROWS($O$2:O673),$O$2:$O$1001,0),0)))</f>
        <v>0</v>
      </c>
      <c r="B673" s="3">
        <f>IF(OR(INDEX($P$2:$P$1001,MATCH(ROWS($O$2:O673),$O$2:$O$1001,0),1)&gt;=100000,INDEX($V$1005:$AE$1005,1,MATCH(COLUMNS($V$1006:V1006),$V$1006:$AE$1006,0))&gt;=100000), " ",IF(INDEX($V$2:$AE$1001,MATCH(ROWS($O$2:O673),$O$2:$O$1001,0),MATCH(COLUMNS($V$1006:V1006),$V$1006:$AE$1006,0)), HYPERLINK("#",""), HYPERLINK(CONCATENATE("#Metadata!", ADDRESS(INDEX($Q$2:$Q$1001,MATCH(ROWS($O$2:O673),$O$2:$O$1001,0),0), INDEX($V$1004:$AE$1004,1,MATCH(COLUMNS($V$1006:V1006),$V$1006:$AE$1006,0)))),"Fix")))</f>
        <v>0</v>
      </c>
      <c r="C673" s="3">
        <f>IF(OR(INDEX($P$2:$P$1001,MATCH(ROWS($O$2:O673),$O$2:$O$1001,0),1)&gt;=100000,INDEX($V$1005:$AE$1005,1,MATCH(COLUMNS($V$1006:W1006),$V$1006:$AE$1006,0))&gt;=100000), " ",IF(INDEX($V$2:$AE$1001,MATCH(ROWS($O$2:O673),$O$2:$O$1001,0),MATCH(COLUMNS($V$1006:W1006),$V$1006:$AE$1006,0)), HYPERLINK("#",""), HYPERLINK(CONCATENATE("#Metadata!", ADDRESS(INDEX($Q$2:$Q$1001,MATCH(ROWS($O$2:O673),$O$2:$O$1001,0),0), INDEX($V$1004:$AE$1004,1,MATCH(COLUMNS($V$1006:W1006),$V$1006:$AE$1006,0)))),"Fix")))</f>
        <v>0</v>
      </c>
      <c r="D673" s="3">
        <f>IF(OR(INDEX($P$2:$P$1001,MATCH(ROWS($O$2:O673),$O$2:$O$1001,0),1)&gt;=100000,INDEX($V$1005:$AE$1005,1,MATCH(COLUMNS($V$1006:X1006),$V$1006:$AE$1006,0))&gt;=100000), " ",IF(INDEX($V$2:$AE$1001,MATCH(ROWS($O$2:O673),$O$2:$O$1001,0),MATCH(COLUMNS($V$1006:X1006),$V$1006:$AE$1006,0)), HYPERLINK("#",""), HYPERLINK(CONCATENATE("#Metadata!", ADDRESS(INDEX($Q$2:$Q$1001,MATCH(ROWS($O$2:O673),$O$2:$O$1001,0),0), INDEX($V$1004:$AE$1004,1,MATCH(COLUMNS($V$1006:X1006),$V$1006:$AE$1006,0)))),"Fix")))</f>
        <v>0</v>
      </c>
      <c r="E673" s="3">
        <f>IF(OR(INDEX($P$2:$P$1001,MATCH(ROWS($O$2:O673),$O$2:$O$1001,0),1)&gt;=100000,INDEX($V$1005:$AE$1005,1,MATCH(COLUMNS($V$1006:Y1006),$V$1006:$AE$1006,0))&gt;=100000), " ",IF(INDEX($V$2:$AE$1001,MATCH(ROWS($O$2:O673),$O$2:$O$1001,0),MATCH(COLUMNS($V$1006:Y1006),$V$1006:$AE$1006,0)), HYPERLINK("#",""), HYPERLINK(CONCATENATE("#Metadata!", ADDRESS(INDEX($Q$2:$Q$1001,MATCH(ROWS($O$2:O673),$O$2:$O$1001,0),0), INDEX($V$1004:$AE$1004,1,MATCH(COLUMNS($V$1006:Y1006),$V$1006:$AE$1006,0)))),"Fix")))</f>
        <v>0</v>
      </c>
      <c r="F673" s="3">
        <f>IF(OR(INDEX($P$2:$P$1001,MATCH(ROWS($O$2:O673),$O$2:$O$1001,0),1)&gt;=100000,INDEX($V$1005:$AE$1005,1,MATCH(COLUMNS($V$1006:Z1006),$V$1006:$AE$1006,0))&gt;=100000), " ",IF(INDEX($V$2:$AE$1001,MATCH(ROWS($O$2:O673),$O$2:$O$1001,0),MATCH(COLUMNS($V$1006:Z1006),$V$1006:$AE$1006,0)), HYPERLINK("#",""), HYPERLINK(CONCATENATE("#Metadata!", ADDRESS(INDEX($Q$2:$Q$1001,MATCH(ROWS($O$2:O673),$O$2:$O$1001,0),0), INDEX($V$1004:$AE$1004,1,MATCH(COLUMNS($V$1006:Z1006),$V$1006:$AE$1006,0)))),"Fix")))</f>
        <v>0</v>
      </c>
      <c r="G673" s="3">
        <f>IF(OR(INDEX($P$2:$P$1001,MATCH(ROWS($O$2:O673),$O$2:$O$1001,0),1)&gt;=100000,INDEX($V$1005:$AE$1005,1,MATCH(COLUMNS($V$1006:AA1006),$V$1006:$AE$1006,0))&gt;=100000), " ",IF(INDEX($V$2:$AE$1001,MATCH(ROWS($O$2:O673),$O$2:$O$1001,0),MATCH(COLUMNS($V$1006:AA1006),$V$1006:$AE$1006,0)), HYPERLINK("#",""), HYPERLINK(CONCATENATE("#Metadata!", ADDRESS(INDEX($Q$2:$Q$1001,MATCH(ROWS($O$2:O673),$O$2:$O$1001,0),0), INDEX($V$1004:$AE$1004,1,MATCH(COLUMNS($V$1006:AA1006),$V$1006:$AE$1006,0)))),"Fix")))</f>
        <v>0</v>
      </c>
      <c r="H673" s="3">
        <f>IF(OR(INDEX($P$2:$P$1001,MATCH(ROWS($O$2:O673),$O$2:$O$1001,0),1)&gt;=100000,INDEX($V$1005:$AE$1005,1,MATCH(COLUMNS($V$1006:AB1006),$V$1006:$AE$1006,0))&gt;=100000), " ",IF(INDEX($V$2:$AE$1001,MATCH(ROWS($O$2:O673),$O$2:$O$1001,0),MATCH(COLUMNS($V$1006:AB1006),$V$1006:$AE$1006,0)), HYPERLINK("#",""), HYPERLINK(CONCATENATE("#Metadata!", ADDRESS(INDEX($Q$2:$Q$1001,MATCH(ROWS($O$2:O673),$O$2:$O$1001,0),0), INDEX($V$1004:$AE$1004,1,MATCH(COLUMNS($V$1006:AB1006),$V$1006:$AE$1006,0)))),"Fix")))</f>
        <v>0</v>
      </c>
      <c r="I673" s="3">
        <f>IF(OR(INDEX($P$2:$P$1001,MATCH(ROWS($O$2:O673),$O$2:$O$1001,0),1)&gt;=100000,INDEX($V$1005:$AE$1005,1,MATCH(COLUMNS($V$1006:AC1006),$V$1006:$AE$1006,0))&gt;=100000), " ",IF(INDEX($V$2:$AE$1001,MATCH(ROWS($O$2:O673),$O$2:$O$1001,0),MATCH(COLUMNS($V$1006:AC1006),$V$1006:$AE$1006,0)), HYPERLINK("#",""), HYPERLINK(CONCATENATE("#Metadata!", ADDRESS(INDEX($Q$2:$Q$1001,MATCH(ROWS($O$2:O673),$O$2:$O$1001,0),0), INDEX($V$1004:$AE$1004,1,MATCH(COLUMNS($V$1006:AC1006),$V$1006:$AE$1006,0)))),"Fix")))</f>
        <v>0</v>
      </c>
      <c r="J673" s="3">
        <f>IF(OR(INDEX($P$2:$P$1001,MATCH(ROWS($O$2:O673),$O$2:$O$1001,0),1)&gt;=100000,INDEX($V$1005:$AE$1005,1,MATCH(COLUMNS($V$1006:AD1006),$V$1006:$AE$1006,0))&gt;=100000), " ",IF(INDEX($V$2:$AE$1001,MATCH(ROWS($O$2:O673),$O$2:$O$1001,0),MATCH(COLUMNS($V$1006:AD1006),$V$1006:$AE$1006,0)), HYPERLINK("#",""), HYPERLINK(CONCATENATE("#Metadata!", ADDRESS(INDEX($Q$2:$Q$1001,MATCH(ROWS($O$2:O673),$O$2:$O$1001,0),0), INDEX($V$1004:$AE$1004,1,MATCH(COLUMNS($V$1006:AD1006),$V$1006:$AE$1006,0)))),"Fix")))</f>
        <v>0</v>
      </c>
      <c r="K673" s="3">
        <f>IF(OR(INDEX($P$2:$P$1001,MATCH(ROWS($O$2:O673),$O$2:$O$1001,0),1)&gt;=100000,INDEX($V$1005:$AE$1005,1,MATCH(COLUMNS($V$1006:AE1006),$V$1006:$AE$1006,0))&gt;=100000), " ",IF(INDEX($V$2:$AE$1001,MATCH(ROWS($O$2:O673),$O$2:$O$1001,0),MATCH(COLUMNS($V$1006:AE1006),$V$1006:$AE$1006,0)), HYPERLINK("#",""), HYPERLINK(CONCATENATE("#Metadata!", ADDRESS(INDEX($Q$2:$Q$1001,MATCH(ROWS($O$2:O673),$O$2:$O$1001,0),0), INDEX($V$1004:$AE$1004,1,MATCH(COLUMNS($V$1006:AE1006),$V$1006:$AE$1006,0)))),"Fix")))</f>
        <v>0</v>
      </c>
      <c r="O673">
        <v>0</v>
      </c>
      <c r="P673">
        <v>0</v>
      </c>
      <c r="Q673">
        <v>0</v>
      </c>
      <c r="R673">
        <f>IF(S673,TRUE,AND(V673:AE673))</f>
        <v>0</v>
      </c>
      <c r="S673">
        <f>COUNTBLANK(Metadata!B673:K673)=COLUMNS(Metadata!B673:K673)</f>
        <v>0</v>
      </c>
      <c r="T673">
        <v>0</v>
      </c>
      <c r="V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W673">
        <f>AND(IF(Metadata!C673="",FALSE,TRUE),exact(Metadata!C673,"animal secretion"))</f>
        <v>0</v>
      </c>
      <c r="X673">
        <f>AND(IF(Metadata!D673="",FALSE,TRUE),exact(Metadata!D673,"saliva"))</f>
        <v>0</v>
      </c>
      <c r="Y673">
        <f>AND(IF(Metadata!E673="",FALSE,TRUE),exact(Metadata!E673,"human-oral"))</f>
        <v>0</v>
      </c>
      <c r="Z673">
        <f>AND(IF(Metadata!F673="",FALSE,TRUE),exact(Metadata!F673,"UBERON:oral cavity"))</f>
        <v>0</v>
      </c>
      <c r="AA673">
        <f>AND(IF(Metadata!G673="",FALSE,TRUE),exact(Metadata!G673,"UBERON:saliva"))</f>
        <v>0</v>
      </c>
      <c r="AB673">
        <f>AND(IF(Metadata!H673="",FALSE,TRUE),exact(Metadata!H673,"UBERON:tongue"))</f>
        <v>0</v>
      </c>
      <c r="AC673">
        <f>AND(IF(Metadata!I673="",FALSE,TRUE),exact(Metadata!I673,"tongue"))</f>
        <v>0</v>
      </c>
      <c r="AD673">
        <f>AND(IF(Metadata!J673="",FALSE,TRUE),exact(Metadata!J673,"human oral metagenome"))</f>
        <v>0</v>
      </c>
      <c r="AE673">
        <f>AND(IF(Metadata!K673="",FALSE,TRUE),exact(Metadata!K673,"447426"))</f>
        <v>0</v>
      </c>
    </row>
    <row r="674" spans="1:31">
      <c r="A674" s="4">
        <f>IF(B674=" "," ",HYPERLINK(CONCATENATE("#metadata!",ADDRESS(INDEX($Q$2:$Q$1001,MATCH(ROWS($O$2:O674),$O$2:$O$1001,0),0),1)),INDEX($T$2:$T$1001,MATCH(ROWS($O$2:O674),$O$2:$O$1001,0),0)))</f>
        <v>0</v>
      </c>
      <c r="B674" s="3">
        <f>IF(OR(INDEX($P$2:$P$1001,MATCH(ROWS($O$2:O674),$O$2:$O$1001,0),1)&gt;=100000,INDEX($V$1005:$AE$1005,1,MATCH(COLUMNS($V$1006:V1006),$V$1006:$AE$1006,0))&gt;=100000), " ",IF(INDEX($V$2:$AE$1001,MATCH(ROWS($O$2:O674),$O$2:$O$1001,0),MATCH(COLUMNS($V$1006:V1006),$V$1006:$AE$1006,0)), HYPERLINK("#",""), HYPERLINK(CONCATENATE("#Metadata!", ADDRESS(INDEX($Q$2:$Q$1001,MATCH(ROWS($O$2:O674),$O$2:$O$1001,0),0), INDEX($V$1004:$AE$1004,1,MATCH(COLUMNS($V$1006:V1006),$V$1006:$AE$1006,0)))),"Fix")))</f>
        <v>0</v>
      </c>
      <c r="C674" s="3">
        <f>IF(OR(INDEX($P$2:$P$1001,MATCH(ROWS($O$2:O674),$O$2:$O$1001,0),1)&gt;=100000,INDEX($V$1005:$AE$1005,1,MATCH(COLUMNS($V$1006:W1006),$V$1006:$AE$1006,0))&gt;=100000), " ",IF(INDEX($V$2:$AE$1001,MATCH(ROWS($O$2:O674),$O$2:$O$1001,0),MATCH(COLUMNS($V$1006:W1006),$V$1006:$AE$1006,0)), HYPERLINK("#",""), HYPERLINK(CONCATENATE("#Metadata!", ADDRESS(INDEX($Q$2:$Q$1001,MATCH(ROWS($O$2:O674),$O$2:$O$1001,0),0), INDEX($V$1004:$AE$1004,1,MATCH(COLUMNS($V$1006:W1006),$V$1006:$AE$1006,0)))),"Fix")))</f>
        <v>0</v>
      </c>
      <c r="D674" s="3">
        <f>IF(OR(INDEX($P$2:$P$1001,MATCH(ROWS($O$2:O674),$O$2:$O$1001,0),1)&gt;=100000,INDEX($V$1005:$AE$1005,1,MATCH(COLUMNS($V$1006:X1006),$V$1006:$AE$1006,0))&gt;=100000), " ",IF(INDEX($V$2:$AE$1001,MATCH(ROWS($O$2:O674),$O$2:$O$1001,0),MATCH(COLUMNS($V$1006:X1006),$V$1006:$AE$1006,0)), HYPERLINK("#",""), HYPERLINK(CONCATENATE("#Metadata!", ADDRESS(INDEX($Q$2:$Q$1001,MATCH(ROWS($O$2:O674),$O$2:$O$1001,0),0), INDEX($V$1004:$AE$1004,1,MATCH(COLUMNS($V$1006:X1006),$V$1006:$AE$1006,0)))),"Fix")))</f>
        <v>0</v>
      </c>
      <c r="E674" s="3">
        <f>IF(OR(INDEX($P$2:$P$1001,MATCH(ROWS($O$2:O674),$O$2:$O$1001,0),1)&gt;=100000,INDEX($V$1005:$AE$1005,1,MATCH(COLUMNS($V$1006:Y1006),$V$1006:$AE$1006,0))&gt;=100000), " ",IF(INDEX($V$2:$AE$1001,MATCH(ROWS($O$2:O674),$O$2:$O$1001,0),MATCH(COLUMNS($V$1006:Y1006),$V$1006:$AE$1006,0)), HYPERLINK("#",""), HYPERLINK(CONCATENATE("#Metadata!", ADDRESS(INDEX($Q$2:$Q$1001,MATCH(ROWS($O$2:O674),$O$2:$O$1001,0),0), INDEX($V$1004:$AE$1004,1,MATCH(COLUMNS($V$1006:Y1006),$V$1006:$AE$1006,0)))),"Fix")))</f>
        <v>0</v>
      </c>
      <c r="F674" s="3">
        <f>IF(OR(INDEX($P$2:$P$1001,MATCH(ROWS($O$2:O674),$O$2:$O$1001,0),1)&gt;=100000,INDEX($V$1005:$AE$1005,1,MATCH(COLUMNS($V$1006:Z1006),$V$1006:$AE$1006,0))&gt;=100000), " ",IF(INDEX($V$2:$AE$1001,MATCH(ROWS($O$2:O674),$O$2:$O$1001,0),MATCH(COLUMNS($V$1006:Z1006),$V$1006:$AE$1006,0)), HYPERLINK("#",""), HYPERLINK(CONCATENATE("#Metadata!", ADDRESS(INDEX($Q$2:$Q$1001,MATCH(ROWS($O$2:O674),$O$2:$O$1001,0),0), INDEX($V$1004:$AE$1004,1,MATCH(COLUMNS($V$1006:Z1006),$V$1006:$AE$1006,0)))),"Fix")))</f>
        <v>0</v>
      </c>
      <c r="G674" s="3">
        <f>IF(OR(INDEX($P$2:$P$1001,MATCH(ROWS($O$2:O674),$O$2:$O$1001,0),1)&gt;=100000,INDEX($V$1005:$AE$1005,1,MATCH(COLUMNS($V$1006:AA1006),$V$1006:$AE$1006,0))&gt;=100000), " ",IF(INDEX($V$2:$AE$1001,MATCH(ROWS($O$2:O674),$O$2:$O$1001,0),MATCH(COLUMNS($V$1006:AA1006),$V$1006:$AE$1006,0)), HYPERLINK("#",""), HYPERLINK(CONCATENATE("#Metadata!", ADDRESS(INDEX($Q$2:$Q$1001,MATCH(ROWS($O$2:O674),$O$2:$O$1001,0),0), INDEX($V$1004:$AE$1004,1,MATCH(COLUMNS($V$1006:AA1006),$V$1006:$AE$1006,0)))),"Fix")))</f>
        <v>0</v>
      </c>
      <c r="H674" s="3">
        <f>IF(OR(INDEX($P$2:$P$1001,MATCH(ROWS($O$2:O674),$O$2:$O$1001,0),1)&gt;=100000,INDEX($V$1005:$AE$1005,1,MATCH(COLUMNS($V$1006:AB1006),$V$1006:$AE$1006,0))&gt;=100000), " ",IF(INDEX($V$2:$AE$1001,MATCH(ROWS($O$2:O674),$O$2:$O$1001,0),MATCH(COLUMNS($V$1006:AB1006),$V$1006:$AE$1006,0)), HYPERLINK("#",""), HYPERLINK(CONCATENATE("#Metadata!", ADDRESS(INDEX($Q$2:$Q$1001,MATCH(ROWS($O$2:O674),$O$2:$O$1001,0),0), INDEX($V$1004:$AE$1004,1,MATCH(COLUMNS($V$1006:AB1006),$V$1006:$AE$1006,0)))),"Fix")))</f>
        <v>0</v>
      </c>
      <c r="I674" s="3">
        <f>IF(OR(INDEX($P$2:$P$1001,MATCH(ROWS($O$2:O674),$O$2:$O$1001,0),1)&gt;=100000,INDEX($V$1005:$AE$1005,1,MATCH(COLUMNS($V$1006:AC1006),$V$1006:$AE$1006,0))&gt;=100000), " ",IF(INDEX($V$2:$AE$1001,MATCH(ROWS($O$2:O674),$O$2:$O$1001,0),MATCH(COLUMNS($V$1006:AC1006),$V$1006:$AE$1006,0)), HYPERLINK("#",""), HYPERLINK(CONCATENATE("#Metadata!", ADDRESS(INDEX($Q$2:$Q$1001,MATCH(ROWS($O$2:O674),$O$2:$O$1001,0),0), INDEX($V$1004:$AE$1004,1,MATCH(COLUMNS($V$1006:AC1006),$V$1006:$AE$1006,0)))),"Fix")))</f>
        <v>0</v>
      </c>
      <c r="J674" s="3">
        <f>IF(OR(INDEX($P$2:$P$1001,MATCH(ROWS($O$2:O674),$O$2:$O$1001,0),1)&gt;=100000,INDEX($V$1005:$AE$1005,1,MATCH(COLUMNS($V$1006:AD1006),$V$1006:$AE$1006,0))&gt;=100000), " ",IF(INDEX($V$2:$AE$1001,MATCH(ROWS($O$2:O674),$O$2:$O$1001,0),MATCH(COLUMNS($V$1006:AD1006),$V$1006:$AE$1006,0)), HYPERLINK("#",""), HYPERLINK(CONCATENATE("#Metadata!", ADDRESS(INDEX($Q$2:$Q$1001,MATCH(ROWS($O$2:O674),$O$2:$O$1001,0),0), INDEX($V$1004:$AE$1004,1,MATCH(COLUMNS($V$1006:AD1006),$V$1006:$AE$1006,0)))),"Fix")))</f>
        <v>0</v>
      </c>
      <c r="K674" s="3">
        <f>IF(OR(INDEX($P$2:$P$1001,MATCH(ROWS($O$2:O674),$O$2:$O$1001,0),1)&gt;=100000,INDEX($V$1005:$AE$1005,1,MATCH(COLUMNS($V$1006:AE1006),$V$1006:$AE$1006,0))&gt;=100000), " ",IF(INDEX($V$2:$AE$1001,MATCH(ROWS($O$2:O674),$O$2:$O$1001,0),MATCH(COLUMNS($V$1006:AE1006),$V$1006:$AE$1006,0)), HYPERLINK("#",""), HYPERLINK(CONCATENATE("#Metadata!", ADDRESS(INDEX($Q$2:$Q$1001,MATCH(ROWS($O$2:O674),$O$2:$O$1001,0),0), INDEX($V$1004:$AE$1004,1,MATCH(COLUMNS($V$1006:AE1006),$V$1006:$AE$1006,0)))),"Fix")))</f>
        <v>0</v>
      </c>
      <c r="O674">
        <v>0</v>
      </c>
      <c r="P674">
        <v>0</v>
      </c>
      <c r="Q674">
        <v>0</v>
      </c>
      <c r="R674">
        <f>IF(S674,TRUE,AND(V674:AE674))</f>
        <v>0</v>
      </c>
      <c r="S674">
        <f>COUNTBLANK(Metadata!B674:K674)=COLUMNS(Metadata!B674:K674)</f>
        <v>0</v>
      </c>
      <c r="T674">
        <v>0</v>
      </c>
      <c r="V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W674">
        <f>AND(IF(Metadata!C674="",FALSE,TRUE),exact(Metadata!C674,"animal secretion"))</f>
        <v>0</v>
      </c>
      <c r="X674">
        <f>AND(IF(Metadata!D674="",FALSE,TRUE),exact(Metadata!D674,"saliva"))</f>
        <v>0</v>
      </c>
      <c r="Y674">
        <f>AND(IF(Metadata!E674="",FALSE,TRUE),exact(Metadata!E674,"human-oral"))</f>
        <v>0</v>
      </c>
      <c r="Z674">
        <f>AND(IF(Metadata!F674="",FALSE,TRUE),exact(Metadata!F674,"UBERON:oral cavity"))</f>
        <v>0</v>
      </c>
      <c r="AA674">
        <f>AND(IF(Metadata!G674="",FALSE,TRUE),exact(Metadata!G674,"UBERON:saliva"))</f>
        <v>0</v>
      </c>
      <c r="AB674">
        <f>AND(IF(Metadata!H674="",FALSE,TRUE),exact(Metadata!H674,"UBERON:tongue"))</f>
        <v>0</v>
      </c>
      <c r="AC674">
        <f>AND(IF(Metadata!I674="",FALSE,TRUE),exact(Metadata!I674,"tongue"))</f>
        <v>0</v>
      </c>
      <c r="AD674">
        <f>AND(IF(Metadata!J674="",FALSE,TRUE),exact(Metadata!J674,"human oral metagenome"))</f>
        <v>0</v>
      </c>
      <c r="AE674">
        <f>AND(IF(Metadata!K674="",FALSE,TRUE),exact(Metadata!K674,"447426"))</f>
        <v>0</v>
      </c>
    </row>
    <row r="675" spans="1:31">
      <c r="A675" s="4">
        <f>IF(B675=" "," ",HYPERLINK(CONCATENATE("#metadata!",ADDRESS(INDEX($Q$2:$Q$1001,MATCH(ROWS($O$2:O675),$O$2:$O$1001,0),0),1)),INDEX($T$2:$T$1001,MATCH(ROWS($O$2:O675),$O$2:$O$1001,0),0)))</f>
        <v>0</v>
      </c>
      <c r="B675" s="3">
        <f>IF(OR(INDEX($P$2:$P$1001,MATCH(ROWS($O$2:O675),$O$2:$O$1001,0),1)&gt;=100000,INDEX($V$1005:$AE$1005,1,MATCH(COLUMNS($V$1006:V1006),$V$1006:$AE$1006,0))&gt;=100000), " ",IF(INDEX($V$2:$AE$1001,MATCH(ROWS($O$2:O675),$O$2:$O$1001,0),MATCH(COLUMNS($V$1006:V1006),$V$1006:$AE$1006,0)), HYPERLINK("#",""), HYPERLINK(CONCATENATE("#Metadata!", ADDRESS(INDEX($Q$2:$Q$1001,MATCH(ROWS($O$2:O675),$O$2:$O$1001,0),0), INDEX($V$1004:$AE$1004,1,MATCH(COLUMNS($V$1006:V1006),$V$1006:$AE$1006,0)))),"Fix")))</f>
        <v>0</v>
      </c>
      <c r="C675" s="3">
        <f>IF(OR(INDEX($P$2:$P$1001,MATCH(ROWS($O$2:O675),$O$2:$O$1001,0),1)&gt;=100000,INDEX($V$1005:$AE$1005,1,MATCH(COLUMNS($V$1006:W1006),$V$1006:$AE$1006,0))&gt;=100000), " ",IF(INDEX($V$2:$AE$1001,MATCH(ROWS($O$2:O675),$O$2:$O$1001,0),MATCH(COLUMNS($V$1006:W1006),$V$1006:$AE$1006,0)), HYPERLINK("#",""), HYPERLINK(CONCATENATE("#Metadata!", ADDRESS(INDEX($Q$2:$Q$1001,MATCH(ROWS($O$2:O675),$O$2:$O$1001,0),0), INDEX($V$1004:$AE$1004,1,MATCH(COLUMNS($V$1006:W1006),$V$1006:$AE$1006,0)))),"Fix")))</f>
        <v>0</v>
      </c>
      <c r="D675" s="3">
        <f>IF(OR(INDEX($P$2:$P$1001,MATCH(ROWS($O$2:O675),$O$2:$O$1001,0),1)&gt;=100000,INDEX($V$1005:$AE$1005,1,MATCH(COLUMNS($V$1006:X1006),$V$1006:$AE$1006,0))&gt;=100000), " ",IF(INDEX($V$2:$AE$1001,MATCH(ROWS($O$2:O675),$O$2:$O$1001,0),MATCH(COLUMNS($V$1006:X1006),$V$1006:$AE$1006,0)), HYPERLINK("#",""), HYPERLINK(CONCATENATE("#Metadata!", ADDRESS(INDEX($Q$2:$Q$1001,MATCH(ROWS($O$2:O675),$O$2:$O$1001,0),0), INDEX($V$1004:$AE$1004,1,MATCH(COLUMNS($V$1006:X1006),$V$1006:$AE$1006,0)))),"Fix")))</f>
        <v>0</v>
      </c>
      <c r="E675" s="3">
        <f>IF(OR(INDEX($P$2:$P$1001,MATCH(ROWS($O$2:O675),$O$2:$O$1001,0),1)&gt;=100000,INDEX($V$1005:$AE$1005,1,MATCH(COLUMNS($V$1006:Y1006),$V$1006:$AE$1006,0))&gt;=100000), " ",IF(INDEX($V$2:$AE$1001,MATCH(ROWS($O$2:O675),$O$2:$O$1001,0),MATCH(COLUMNS($V$1006:Y1006),$V$1006:$AE$1006,0)), HYPERLINK("#",""), HYPERLINK(CONCATENATE("#Metadata!", ADDRESS(INDEX($Q$2:$Q$1001,MATCH(ROWS($O$2:O675),$O$2:$O$1001,0),0), INDEX($V$1004:$AE$1004,1,MATCH(COLUMNS($V$1006:Y1006),$V$1006:$AE$1006,0)))),"Fix")))</f>
        <v>0</v>
      </c>
      <c r="F675" s="3">
        <f>IF(OR(INDEX($P$2:$P$1001,MATCH(ROWS($O$2:O675),$O$2:$O$1001,0),1)&gt;=100000,INDEX($V$1005:$AE$1005,1,MATCH(COLUMNS($V$1006:Z1006),$V$1006:$AE$1006,0))&gt;=100000), " ",IF(INDEX($V$2:$AE$1001,MATCH(ROWS($O$2:O675),$O$2:$O$1001,0),MATCH(COLUMNS($V$1006:Z1006),$V$1006:$AE$1006,0)), HYPERLINK("#",""), HYPERLINK(CONCATENATE("#Metadata!", ADDRESS(INDEX($Q$2:$Q$1001,MATCH(ROWS($O$2:O675),$O$2:$O$1001,0),0), INDEX($V$1004:$AE$1004,1,MATCH(COLUMNS($V$1006:Z1006),$V$1006:$AE$1006,0)))),"Fix")))</f>
        <v>0</v>
      </c>
      <c r="G675" s="3">
        <f>IF(OR(INDEX($P$2:$P$1001,MATCH(ROWS($O$2:O675),$O$2:$O$1001,0),1)&gt;=100000,INDEX($V$1005:$AE$1005,1,MATCH(COLUMNS($V$1006:AA1006),$V$1006:$AE$1006,0))&gt;=100000), " ",IF(INDEX($V$2:$AE$1001,MATCH(ROWS($O$2:O675),$O$2:$O$1001,0),MATCH(COLUMNS($V$1006:AA1006),$V$1006:$AE$1006,0)), HYPERLINK("#",""), HYPERLINK(CONCATENATE("#Metadata!", ADDRESS(INDEX($Q$2:$Q$1001,MATCH(ROWS($O$2:O675),$O$2:$O$1001,0),0), INDEX($V$1004:$AE$1004,1,MATCH(COLUMNS($V$1006:AA1006),$V$1006:$AE$1006,0)))),"Fix")))</f>
        <v>0</v>
      </c>
      <c r="H675" s="3">
        <f>IF(OR(INDEX($P$2:$P$1001,MATCH(ROWS($O$2:O675),$O$2:$O$1001,0),1)&gt;=100000,INDEX($V$1005:$AE$1005,1,MATCH(COLUMNS($V$1006:AB1006),$V$1006:$AE$1006,0))&gt;=100000), " ",IF(INDEX($V$2:$AE$1001,MATCH(ROWS($O$2:O675),$O$2:$O$1001,0),MATCH(COLUMNS($V$1006:AB1006),$V$1006:$AE$1006,0)), HYPERLINK("#",""), HYPERLINK(CONCATENATE("#Metadata!", ADDRESS(INDEX($Q$2:$Q$1001,MATCH(ROWS($O$2:O675),$O$2:$O$1001,0),0), INDEX($V$1004:$AE$1004,1,MATCH(COLUMNS($V$1006:AB1006),$V$1006:$AE$1006,0)))),"Fix")))</f>
        <v>0</v>
      </c>
      <c r="I675" s="3">
        <f>IF(OR(INDEX($P$2:$P$1001,MATCH(ROWS($O$2:O675),$O$2:$O$1001,0),1)&gt;=100000,INDEX($V$1005:$AE$1005,1,MATCH(COLUMNS($V$1006:AC1006),$V$1006:$AE$1006,0))&gt;=100000), " ",IF(INDEX($V$2:$AE$1001,MATCH(ROWS($O$2:O675),$O$2:$O$1001,0),MATCH(COLUMNS($V$1006:AC1006),$V$1006:$AE$1006,0)), HYPERLINK("#",""), HYPERLINK(CONCATENATE("#Metadata!", ADDRESS(INDEX($Q$2:$Q$1001,MATCH(ROWS($O$2:O675),$O$2:$O$1001,0),0), INDEX($V$1004:$AE$1004,1,MATCH(COLUMNS($V$1006:AC1006),$V$1006:$AE$1006,0)))),"Fix")))</f>
        <v>0</v>
      </c>
      <c r="J675" s="3">
        <f>IF(OR(INDEX($P$2:$P$1001,MATCH(ROWS($O$2:O675),$O$2:$O$1001,0),1)&gt;=100000,INDEX($V$1005:$AE$1005,1,MATCH(COLUMNS($V$1006:AD1006),$V$1006:$AE$1006,0))&gt;=100000), " ",IF(INDEX($V$2:$AE$1001,MATCH(ROWS($O$2:O675),$O$2:$O$1001,0),MATCH(COLUMNS($V$1006:AD1006),$V$1006:$AE$1006,0)), HYPERLINK("#",""), HYPERLINK(CONCATENATE("#Metadata!", ADDRESS(INDEX($Q$2:$Q$1001,MATCH(ROWS($O$2:O675),$O$2:$O$1001,0),0), INDEX($V$1004:$AE$1004,1,MATCH(COLUMNS($V$1006:AD1006),$V$1006:$AE$1006,0)))),"Fix")))</f>
        <v>0</v>
      </c>
      <c r="K675" s="3">
        <f>IF(OR(INDEX($P$2:$P$1001,MATCH(ROWS($O$2:O675),$O$2:$O$1001,0),1)&gt;=100000,INDEX($V$1005:$AE$1005,1,MATCH(COLUMNS($V$1006:AE1006),$V$1006:$AE$1006,0))&gt;=100000), " ",IF(INDEX($V$2:$AE$1001,MATCH(ROWS($O$2:O675),$O$2:$O$1001,0),MATCH(COLUMNS($V$1006:AE1006),$V$1006:$AE$1006,0)), HYPERLINK("#",""), HYPERLINK(CONCATENATE("#Metadata!", ADDRESS(INDEX($Q$2:$Q$1001,MATCH(ROWS($O$2:O675),$O$2:$O$1001,0),0), INDEX($V$1004:$AE$1004,1,MATCH(COLUMNS($V$1006:AE1006),$V$1006:$AE$1006,0)))),"Fix")))</f>
        <v>0</v>
      </c>
      <c r="O675">
        <v>0</v>
      </c>
      <c r="P675">
        <v>0</v>
      </c>
      <c r="Q675">
        <v>0</v>
      </c>
      <c r="R675">
        <f>IF(S675,TRUE,AND(V675:AE675))</f>
        <v>0</v>
      </c>
      <c r="S675">
        <f>COUNTBLANK(Metadata!B675:K675)=COLUMNS(Metadata!B675:K675)</f>
        <v>0</v>
      </c>
      <c r="T675">
        <v>0</v>
      </c>
      <c r="V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W675">
        <f>AND(IF(Metadata!C675="",FALSE,TRUE),exact(Metadata!C675,"animal secretion"))</f>
        <v>0</v>
      </c>
      <c r="X675">
        <f>AND(IF(Metadata!D675="",FALSE,TRUE),exact(Metadata!D675,"saliva"))</f>
        <v>0</v>
      </c>
      <c r="Y675">
        <f>AND(IF(Metadata!E675="",FALSE,TRUE),exact(Metadata!E675,"human-oral"))</f>
        <v>0</v>
      </c>
      <c r="Z675">
        <f>AND(IF(Metadata!F675="",FALSE,TRUE),exact(Metadata!F675,"UBERON:oral cavity"))</f>
        <v>0</v>
      </c>
      <c r="AA675">
        <f>AND(IF(Metadata!G675="",FALSE,TRUE),exact(Metadata!G675,"UBERON:saliva"))</f>
        <v>0</v>
      </c>
      <c r="AB675">
        <f>AND(IF(Metadata!H675="",FALSE,TRUE),exact(Metadata!H675,"UBERON:tongue"))</f>
        <v>0</v>
      </c>
      <c r="AC675">
        <f>AND(IF(Metadata!I675="",FALSE,TRUE),exact(Metadata!I675,"tongue"))</f>
        <v>0</v>
      </c>
      <c r="AD675">
        <f>AND(IF(Metadata!J675="",FALSE,TRUE),exact(Metadata!J675,"human oral metagenome"))</f>
        <v>0</v>
      </c>
      <c r="AE675">
        <f>AND(IF(Metadata!K675="",FALSE,TRUE),exact(Metadata!K675,"447426"))</f>
        <v>0</v>
      </c>
    </row>
    <row r="676" spans="1:31">
      <c r="A676" s="4">
        <f>IF(B676=" "," ",HYPERLINK(CONCATENATE("#metadata!",ADDRESS(INDEX($Q$2:$Q$1001,MATCH(ROWS($O$2:O676),$O$2:$O$1001,0),0),1)),INDEX($T$2:$T$1001,MATCH(ROWS($O$2:O676),$O$2:$O$1001,0),0)))</f>
        <v>0</v>
      </c>
      <c r="B676" s="3">
        <f>IF(OR(INDEX($P$2:$P$1001,MATCH(ROWS($O$2:O676),$O$2:$O$1001,0),1)&gt;=100000,INDEX($V$1005:$AE$1005,1,MATCH(COLUMNS($V$1006:V1006),$V$1006:$AE$1006,0))&gt;=100000), " ",IF(INDEX($V$2:$AE$1001,MATCH(ROWS($O$2:O676),$O$2:$O$1001,0),MATCH(COLUMNS($V$1006:V1006),$V$1006:$AE$1006,0)), HYPERLINK("#",""), HYPERLINK(CONCATENATE("#Metadata!", ADDRESS(INDEX($Q$2:$Q$1001,MATCH(ROWS($O$2:O676),$O$2:$O$1001,0),0), INDEX($V$1004:$AE$1004,1,MATCH(COLUMNS($V$1006:V1006),$V$1006:$AE$1006,0)))),"Fix")))</f>
        <v>0</v>
      </c>
      <c r="C676" s="3">
        <f>IF(OR(INDEX($P$2:$P$1001,MATCH(ROWS($O$2:O676),$O$2:$O$1001,0),1)&gt;=100000,INDEX($V$1005:$AE$1005,1,MATCH(COLUMNS($V$1006:W1006),$V$1006:$AE$1006,0))&gt;=100000), " ",IF(INDEX($V$2:$AE$1001,MATCH(ROWS($O$2:O676),$O$2:$O$1001,0),MATCH(COLUMNS($V$1006:W1006),$V$1006:$AE$1006,0)), HYPERLINK("#",""), HYPERLINK(CONCATENATE("#Metadata!", ADDRESS(INDEX($Q$2:$Q$1001,MATCH(ROWS($O$2:O676),$O$2:$O$1001,0),0), INDEX($V$1004:$AE$1004,1,MATCH(COLUMNS($V$1006:W1006),$V$1006:$AE$1006,0)))),"Fix")))</f>
        <v>0</v>
      </c>
      <c r="D676" s="3">
        <f>IF(OR(INDEX($P$2:$P$1001,MATCH(ROWS($O$2:O676),$O$2:$O$1001,0),1)&gt;=100000,INDEX($V$1005:$AE$1005,1,MATCH(COLUMNS($V$1006:X1006),$V$1006:$AE$1006,0))&gt;=100000), " ",IF(INDEX($V$2:$AE$1001,MATCH(ROWS($O$2:O676),$O$2:$O$1001,0),MATCH(COLUMNS($V$1006:X1006),$V$1006:$AE$1006,0)), HYPERLINK("#",""), HYPERLINK(CONCATENATE("#Metadata!", ADDRESS(INDEX($Q$2:$Q$1001,MATCH(ROWS($O$2:O676),$O$2:$O$1001,0),0), INDEX($V$1004:$AE$1004,1,MATCH(COLUMNS($V$1006:X1006),$V$1006:$AE$1006,0)))),"Fix")))</f>
        <v>0</v>
      </c>
      <c r="E676" s="3">
        <f>IF(OR(INDEX($P$2:$P$1001,MATCH(ROWS($O$2:O676),$O$2:$O$1001,0),1)&gt;=100000,INDEX($V$1005:$AE$1005,1,MATCH(COLUMNS($V$1006:Y1006),$V$1006:$AE$1006,0))&gt;=100000), " ",IF(INDEX($V$2:$AE$1001,MATCH(ROWS($O$2:O676),$O$2:$O$1001,0),MATCH(COLUMNS($V$1006:Y1006),$V$1006:$AE$1006,0)), HYPERLINK("#",""), HYPERLINK(CONCATENATE("#Metadata!", ADDRESS(INDEX($Q$2:$Q$1001,MATCH(ROWS($O$2:O676),$O$2:$O$1001,0),0), INDEX($V$1004:$AE$1004,1,MATCH(COLUMNS($V$1006:Y1006),$V$1006:$AE$1006,0)))),"Fix")))</f>
        <v>0</v>
      </c>
      <c r="F676" s="3">
        <f>IF(OR(INDEX($P$2:$P$1001,MATCH(ROWS($O$2:O676),$O$2:$O$1001,0),1)&gt;=100000,INDEX($V$1005:$AE$1005,1,MATCH(COLUMNS($V$1006:Z1006),$V$1006:$AE$1006,0))&gt;=100000), " ",IF(INDEX($V$2:$AE$1001,MATCH(ROWS($O$2:O676),$O$2:$O$1001,0),MATCH(COLUMNS($V$1006:Z1006),$V$1006:$AE$1006,0)), HYPERLINK("#",""), HYPERLINK(CONCATENATE("#Metadata!", ADDRESS(INDEX($Q$2:$Q$1001,MATCH(ROWS($O$2:O676),$O$2:$O$1001,0),0), INDEX($V$1004:$AE$1004,1,MATCH(COLUMNS($V$1006:Z1006),$V$1006:$AE$1006,0)))),"Fix")))</f>
        <v>0</v>
      </c>
      <c r="G676" s="3">
        <f>IF(OR(INDEX($P$2:$P$1001,MATCH(ROWS($O$2:O676),$O$2:$O$1001,0),1)&gt;=100000,INDEX($V$1005:$AE$1005,1,MATCH(COLUMNS($V$1006:AA1006),$V$1006:$AE$1006,0))&gt;=100000), " ",IF(INDEX($V$2:$AE$1001,MATCH(ROWS($O$2:O676),$O$2:$O$1001,0),MATCH(COLUMNS($V$1006:AA1006),$V$1006:$AE$1006,0)), HYPERLINK("#",""), HYPERLINK(CONCATENATE("#Metadata!", ADDRESS(INDEX($Q$2:$Q$1001,MATCH(ROWS($O$2:O676),$O$2:$O$1001,0),0), INDEX($V$1004:$AE$1004,1,MATCH(COLUMNS($V$1006:AA1006),$V$1006:$AE$1006,0)))),"Fix")))</f>
        <v>0</v>
      </c>
      <c r="H676" s="3">
        <f>IF(OR(INDEX($P$2:$P$1001,MATCH(ROWS($O$2:O676),$O$2:$O$1001,0),1)&gt;=100000,INDEX($V$1005:$AE$1005,1,MATCH(COLUMNS($V$1006:AB1006),$V$1006:$AE$1006,0))&gt;=100000), " ",IF(INDEX($V$2:$AE$1001,MATCH(ROWS($O$2:O676),$O$2:$O$1001,0),MATCH(COLUMNS($V$1006:AB1006),$V$1006:$AE$1006,0)), HYPERLINK("#",""), HYPERLINK(CONCATENATE("#Metadata!", ADDRESS(INDEX($Q$2:$Q$1001,MATCH(ROWS($O$2:O676),$O$2:$O$1001,0),0), INDEX($V$1004:$AE$1004,1,MATCH(COLUMNS($V$1006:AB1006),$V$1006:$AE$1006,0)))),"Fix")))</f>
        <v>0</v>
      </c>
      <c r="I676" s="3">
        <f>IF(OR(INDEX($P$2:$P$1001,MATCH(ROWS($O$2:O676),$O$2:$O$1001,0),1)&gt;=100000,INDEX($V$1005:$AE$1005,1,MATCH(COLUMNS($V$1006:AC1006),$V$1006:$AE$1006,0))&gt;=100000), " ",IF(INDEX($V$2:$AE$1001,MATCH(ROWS($O$2:O676),$O$2:$O$1001,0),MATCH(COLUMNS($V$1006:AC1006),$V$1006:$AE$1006,0)), HYPERLINK("#",""), HYPERLINK(CONCATENATE("#Metadata!", ADDRESS(INDEX($Q$2:$Q$1001,MATCH(ROWS($O$2:O676),$O$2:$O$1001,0),0), INDEX($V$1004:$AE$1004,1,MATCH(COLUMNS($V$1006:AC1006),$V$1006:$AE$1006,0)))),"Fix")))</f>
        <v>0</v>
      </c>
      <c r="J676" s="3">
        <f>IF(OR(INDEX($P$2:$P$1001,MATCH(ROWS($O$2:O676),$O$2:$O$1001,0),1)&gt;=100000,INDEX($V$1005:$AE$1005,1,MATCH(COLUMNS($V$1006:AD1006),$V$1006:$AE$1006,0))&gt;=100000), " ",IF(INDEX($V$2:$AE$1001,MATCH(ROWS($O$2:O676),$O$2:$O$1001,0),MATCH(COLUMNS($V$1006:AD1006),$V$1006:$AE$1006,0)), HYPERLINK("#",""), HYPERLINK(CONCATENATE("#Metadata!", ADDRESS(INDEX($Q$2:$Q$1001,MATCH(ROWS($O$2:O676),$O$2:$O$1001,0),0), INDEX($V$1004:$AE$1004,1,MATCH(COLUMNS($V$1006:AD1006),$V$1006:$AE$1006,0)))),"Fix")))</f>
        <v>0</v>
      </c>
      <c r="K676" s="3">
        <f>IF(OR(INDEX($P$2:$P$1001,MATCH(ROWS($O$2:O676),$O$2:$O$1001,0),1)&gt;=100000,INDEX($V$1005:$AE$1005,1,MATCH(COLUMNS($V$1006:AE1006),$V$1006:$AE$1006,0))&gt;=100000), " ",IF(INDEX($V$2:$AE$1001,MATCH(ROWS($O$2:O676),$O$2:$O$1001,0),MATCH(COLUMNS($V$1006:AE1006),$V$1006:$AE$1006,0)), HYPERLINK("#",""), HYPERLINK(CONCATENATE("#Metadata!", ADDRESS(INDEX($Q$2:$Q$1001,MATCH(ROWS($O$2:O676),$O$2:$O$1001,0),0), INDEX($V$1004:$AE$1004,1,MATCH(COLUMNS($V$1006:AE1006),$V$1006:$AE$1006,0)))),"Fix")))</f>
        <v>0</v>
      </c>
      <c r="O676">
        <v>0</v>
      </c>
      <c r="P676">
        <v>0</v>
      </c>
      <c r="Q676">
        <v>0</v>
      </c>
      <c r="R676">
        <f>IF(S676,TRUE,AND(V676:AE676))</f>
        <v>0</v>
      </c>
      <c r="S676">
        <f>COUNTBLANK(Metadata!B676:K676)=COLUMNS(Metadata!B676:K676)</f>
        <v>0</v>
      </c>
      <c r="T676">
        <v>0</v>
      </c>
      <c r="V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W676">
        <f>AND(IF(Metadata!C676="",FALSE,TRUE),exact(Metadata!C676,"animal secretion"))</f>
        <v>0</v>
      </c>
      <c r="X676">
        <f>AND(IF(Metadata!D676="",FALSE,TRUE),exact(Metadata!D676,"saliva"))</f>
        <v>0</v>
      </c>
      <c r="Y676">
        <f>AND(IF(Metadata!E676="",FALSE,TRUE),exact(Metadata!E676,"human-oral"))</f>
        <v>0</v>
      </c>
      <c r="Z676">
        <f>AND(IF(Metadata!F676="",FALSE,TRUE),exact(Metadata!F676,"UBERON:oral cavity"))</f>
        <v>0</v>
      </c>
      <c r="AA676">
        <f>AND(IF(Metadata!G676="",FALSE,TRUE),exact(Metadata!G676,"UBERON:saliva"))</f>
        <v>0</v>
      </c>
      <c r="AB676">
        <f>AND(IF(Metadata!H676="",FALSE,TRUE),exact(Metadata!H676,"UBERON:tongue"))</f>
        <v>0</v>
      </c>
      <c r="AC676">
        <f>AND(IF(Metadata!I676="",FALSE,TRUE),exact(Metadata!I676,"tongue"))</f>
        <v>0</v>
      </c>
      <c r="AD676">
        <f>AND(IF(Metadata!J676="",FALSE,TRUE),exact(Metadata!J676,"human oral metagenome"))</f>
        <v>0</v>
      </c>
      <c r="AE676">
        <f>AND(IF(Metadata!K676="",FALSE,TRUE),exact(Metadata!K676,"447426"))</f>
        <v>0</v>
      </c>
    </row>
    <row r="677" spans="1:31">
      <c r="A677" s="4">
        <f>IF(B677=" "," ",HYPERLINK(CONCATENATE("#metadata!",ADDRESS(INDEX($Q$2:$Q$1001,MATCH(ROWS($O$2:O677),$O$2:$O$1001,0),0),1)),INDEX($T$2:$T$1001,MATCH(ROWS($O$2:O677),$O$2:$O$1001,0),0)))</f>
        <v>0</v>
      </c>
      <c r="B677" s="3">
        <f>IF(OR(INDEX($P$2:$P$1001,MATCH(ROWS($O$2:O677),$O$2:$O$1001,0),1)&gt;=100000,INDEX($V$1005:$AE$1005,1,MATCH(COLUMNS($V$1006:V1006),$V$1006:$AE$1006,0))&gt;=100000), " ",IF(INDEX($V$2:$AE$1001,MATCH(ROWS($O$2:O677),$O$2:$O$1001,0),MATCH(COLUMNS($V$1006:V1006),$V$1006:$AE$1006,0)), HYPERLINK("#",""), HYPERLINK(CONCATENATE("#Metadata!", ADDRESS(INDEX($Q$2:$Q$1001,MATCH(ROWS($O$2:O677),$O$2:$O$1001,0),0), INDEX($V$1004:$AE$1004,1,MATCH(COLUMNS($V$1006:V1006),$V$1006:$AE$1006,0)))),"Fix")))</f>
        <v>0</v>
      </c>
      <c r="C677" s="3">
        <f>IF(OR(INDEX($P$2:$P$1001,MATCH(ROWS($O$2:O677),$O$2:$O$1001,0),1)&gt;=100000,INDEX($V$1005:$AE$1005,1,MATCH(COLUMNS($V$1006:W1006),$V$1006:$AE$1006,0))&gt;=100000), " ",IF(INDEX($V$2:$AE$1001,MATCH(ROWS($O$2:O677),$O$2:$O$1001,0),MATCH(COLUMNS($V$1006:W1006),$V$1006:$AE$1006,0)), HYPERLINK("#",""), HYPERLINK(CONCATENATE("#Metadata!", ADDRESS(INDEX($Q$2:$Q$1001,MATCH(ROWS($O$2:O677),$O$2:$O$1001,0),0), INDEX($V$1004:$AE$1004,1,MATCH(COLUMNS($V$1006:W1006),$V$1006:$AE$1006,0)))),"Fix")))</f>
        <v>0</v>
      </c>
      <c r="D677" s="3">
        <f>IF(OR(INDEX($P$2:$P$1001,MATCH(ROWS($O$2:O677),$O$2:$O$1001,0),1)&gt;=100000,INDEX($V$1005:$AE$1005,1,MATCH(COLUMNS($V$1006:X1006),$V$1006:$AE$1006,0))&gt;=100000), " ",IF(INDEX($V$2:$AE$1001,MATCH(ROWS($O$2:O677),$O$2:$O$1001,0),MATCH(COLUMNS($V$1006:X1006),$V$1006:$AE$1006,0)), HYPERLINK("#",""), HYPERLINK(CONCATENATE("#Metadata!", ADDRESS(INDEX($Q$2:$Q$1001,MATCH(ROWS($O$2:O677),$O$2:$O$1001,0),0), INDEX($V$1004:$AE$1004,1,MATCH(COLUMNS($V$1006:X1006),$V$1006:$AE$1006,0)))),"Fix")))</f>
        <v>0</v>
      </c>
      <c r="E677" s="3">
        <f>IF(OR(INDEX($P$2:$P$1001,MATCH(ROWS($O$2:O677),$O$2:$O$1001,0),1)&gt;=100000,INDEX($V$1005:$AE$1005,1,MATCH(COLUMNS($V$1006:Y1006),$V$1006:$AE$1006,0))&gt;=100000), " ",IF(INDEX($V$2:$AE$1001,MATCH(ROWS($O$2:O677),$O$2:$O$1001,0),MATCH(COLUMNS($V$1006:Y1006),$V$1006:$AE$1006,0)), HYPERLINK("#",""), HYPERLINK(CONCATENATE("#Metadata!", ADDRESS(INDEX($Q$2:$Q$1001,MATCH(ROWS($O$2:O677),$O$2:$O$1001,0),0), INDEX($V$1004:$AE$1004,1,MATCH(COLUMNS($V$1006:Y1006),$V$1006:$AE$1006,0)))),"Fix")))</f>
        <v>0</v>
      </c>
      <c r="F677" s="3">
        <f>IF(OR(INDEX($P$2:$P$1001,MATCH(ROWS($O$2:O677),$O$2:$O$1001,0),1)&gt;=100000,INDEX($V$1005:$AE$1005,1,MATCH(COLUMNS($V$1006:Z1006),$V$1006:$AE$1006,0))&gt;=100000), " ",IF(INDEX($V$2:$AE$1001,MATCH(ROWS($O$2:O677),$O$2:$O$1001,0),MATCH(COLUMNS($V$1006:Z1006),$V$1006:$AE$1006,0)), HYPERLINK("#",""), HYPERLINK(CONCATENATE("#Metadata!", ADDRESS(INDEX($Q$2:$Q$1001,MATCH(ROWS($O$2:O677),$O$2:$O$1001,0),0), INDEX($V$1004:$AE$1004,1,MATCH(COLUMNS($V$1006:Z1006),$V$1006:$AE$1006,0)))),"Fix")))</f>
        <v>0</v>
      </c>
      <c r="G677" s="3">
        <f>IF(OR(INDEX($P$2:$P$1001,MATCH(ROWS($O$2:O677),$O$2:$O$1001,0),1)&gt;=100000,INDEX($V$1005:$AE$1005,1,MATCH(COLUMNS($V$1006:AA1006),$V$1006:$AE$1006,0))&gt;=100000), " ",IF(INDEX($V$2:$AE$1001,MATCH(ROWS($O$2:O677),$O$2:$O$1001,0),MATCH(COLUMNS($V$1006:AA1006),$V$1006:$AE$1006,0)), HYPERLINK("#",""), HYPERLINK(CONCATENATE("#Metadata!", ADDRESS(INDEX($Q$2:$Q$1001,MATCH(ROWS($O$2:O677),$O$2:$O$1001,0),0), INDEX($V$1004:$AE$1004,1,MATCH(COLUMNS($V$1006:AA1006),$V$1006:$AE$1006,0)))),"Fix")))</f>
        <v>0</v>
      </c>
      <c r="H677" s="3">
        <f>IF(OR(INDEX($P$2:$P$1001,MATCH(ROWS($O$2:O677),$O$2:$O$1001,0),1)&gt;=100000,INDEX($V$1005:$AE$1005,1,MATCH(COLUMNS($V$1006:AB1006),$V$1006:$AE$1006,0))&gt;=100000), " ",IF(INDEX($V$2:$AE$1001,MATCH(ROWS($O$2:O677),$O$2:$O$1001,0),MATCH(COLUMNS($V$1006:AB1006),$V$1006:$AE$1006,0)), HYPERLINK("#",""), HYPERLINK(CONCATENATE("#Metadata!", ADDRESS(INDEX($Q$2:$Q$1001,MATCH(ROWS($O$2:O677),$O$2:$O$1001,0),0), INDEX($V$1004:$AE$1004,1,MATCH(COLUMNS($V$1006:AB1006),$V$1006:$AE$1006,0)))),"Fix")))</f>
        <v>0</v>
      </c>
      <c r="I677" s="3">
        <f>IF(OR(INDEX($P$2:$P$1001,MATCH(ROWS($O$2:O677),$O$2:$O$1001,0),1)&gt;=100000,INDEX($V$1005:$AE$1005,1,MATCH(COLUMNS($V$1006:AC1006),$V$1006:$AE$1006,0))&gt;=100000), " ",IF(INDEX($V$2:$AE$1001,MATCH(ROWS($O$2:O677),$O$2:$O$1001,0),MATCH(COLUMNS($V$1006:AC1006),$V$1006:$AE$1006,0)), HYPERLINK("#",""), HYPERLINK(CONCATENATE("#Metadata!", ADDRESS(INDEX($Q$2:$Q$1001,MATCH(ROWS($O$2:O677),$O$2:$O$1001,0),0), INDEX($V$1004:$AE$1004,1,MATCH(COLUMNS($V$1006:AC1006),$V$1006:$AE$1006,0)))),"Fix")))</f>
        <v>0</v>
      </c>
      <c r="J677" s="3">
        <f>IF(OR(INDEX($P$2:$P$1001,MATCH(ROWS($O$2:O677),$O$2:$O$1001,0),1)&gt;=100000,INDEX($V$1005:$AE$1005,1,MATCH(COLUMNS($V$1006:AD1006),$V$1006:$AE$1006,0))&gt;=100000), " ",IF(INDEX($V$2:$AE$1001,MATCH(ROWS($O$2:O677),$O$2:$O$1001,0),MATCH(COLUMNS($V$1006:AD1006),$V$1006:$AE$1006,0)), HYPERLINK("#",""), HYPERLINK(CONCATENATE("#Metadata!", ADDRESS(INDEX($Q$2:$Q$1001,MATCH(ROWS($O$2:O677),$O$2:$O$1001,0),0), INDEX($V$1004:$AE$1004,1,MATCH(COLUMNS($V$1006:AD1006),$V$1006:$AE$1006,0)))),"Fix")))</f>
        <v>0</v>
      </c>
      <c r="K677" s="3">
        <f>IF(OR(INDEX($P$2:$P$1001,MATCH(ROWS($O$2:O677),$O$2:$O$1001,0),1)&gt;=100000,INDEX($V$1005:$AE$1005,1,MATCH(COLUMNS($V$1006:AE1006),$V$1006:$AE$1006,0))&gt;=100000), " ",IF(INDEX($V$2:$AE$1001,MATCH(ROWS($O$2:O677),$O$2:$O$1001,0),MATCH(COLUMNS($V$1006:AE1006),$V$1006:$AE$1006,0)), HYPERLINK("#",""), HYPERLINK(CONCATENATE("#Metadata!", ADDRESS(INDEX($Q$2:$Q$1001,MATCH(ROWS($O$2:O677),$O$2:$O$1001,0),0), INDEX($V$1004:$AE$1004,1,MATCH(COLUMNS($V$1006:AE1006),$V$1006:$AE$1006,0)))),"Fix")))</f>
        <v>0</v>
      </c>
      <c r="O677">
        <v>0</v>
      </c>
      <c r="P677">
        <v>0</v>
      </c>
      <c r="Q677">
        <v>0</v>
      </c>
      <c r="R677">
        <f>IF(S677,TRUE,AND(V677:AE677))</f>
        <v>0</v>
      </c>
      <c r="S677">
        <f>COUNTBLANK(Metadata!B677:K677)=COLUMNS(Metadata!B677:K677)</f>
        <v>0</v>
      </c>
      <c r="T677">
        <v>0</v>
      </c>
      <c r="V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W677">
        <f>AND(IF(Metadata!C677="",FALSE,TRUE),exact(Metadata!C677,"animal secretion"))</f>
        <v>0</v>
      </c>
      <c r="X677">
        <f>AND(IF(Metadata!D677="",FALSE,TRUE),exact(Metadata!D677,"saliva"))</f>
        <v>0</v>
      </c>
      <c r="Y677">
        <f>AND(IF(Metadata!E677="",FALSE,TRUE),exact(Metadata!E677,"human-oral"))</f>
        <v>0</v>
      </c>
      <c r="Z677">
        <f>AND(IF(Metadata!F677="",FALSE,TRUE),exact(Metadata!F677,"UBERON:oral cavity"))</f>
        <v>0</v>
      </c>
      <c r="AA677">
        <f>AND(IF(Metadata!G677="",FALSE,TRUE),exact(Metadata!G677,"UBERON:saliva"))</f>
        <v>0</v>
      </c>
      <c r="AB677">
        <f>AND(IF(Metadata!H677="",FALSE,TRUE),exact(Metadata!H677,"UBERON:tongue"))</f>
        <v>0</v>
      </c>
      <c r="AC677">
        <f>AND(IF(Metadata!I677="",FALSE,TRUE),exact(Metadata!I677,"tongue"))</f>
        <v>0</v>
      </c>
      <c r="AD677">
        <f>AND(IF(Metadata!J677="",FALSE,TRUE),exact(Metadata!J677,"human oral metagenome"))</f>
        <v>0</v>
      </c>
      <c r="AE677">
        <f>AND(IF(Metadata!K677="",FALSE,TRUE),exact(Metadata!K677,"447426"))</f>
        <v>0</v>
      </c>
    </row>
    <row r="678" spans="1:31">
      <c r="A678" s="4">
        <f>IF(B678=" "," ",HYPERLINK(CONCATENATE("#metadata!",ADDRESS(INDEX($Q$2:$Q$1001,MATCH(ROWS($O$2:O678),$O$2:$O$1001,0),0),1)),INDEX($T$2:$T$1001,MATCH(ROWS($O$2:O678),$O$2:$O$1001,0),0)))</f>
        <v>0</v>
      </c>
      <c r="B678" s="3">
        <f>IF(OR(INDEX($P$2:$P$1001,MATCH(ROWS($O$2:O678),$O$2:$O$1001,0),1)&gt;=100000,INDEX($V$1005:$AE$1005,1,MATCH(COLUMNS($V$1006:V1006),$V$1006:$AE$1006,0))&gt;=100000), " ",IF(INDEX($V$2:$AE$1001,MATCH(ROWS($O$2:O678),$O$2:$O$1001,0),MATCH(COLUMNS($V$1006:V1006),$V$1006:$AE$1006,0)), HYPERLINK("#",""), HYPERLINK(CONCATENATE("#Metadata!", ADDRESS(INDEX($Q$2:$Q$1001,MATCH(ROWS($O$2:O678),$O$2:$O$1001,0),0), INDEX($V$1004:$AE$1004,1,MATCH(COLUMNS($V$1006:V1006),$V$1006:$AE$1006,0)))),"Fix")))</f>
        <v>0</v>
      </c>
      <c r="C678" s="3">
        <f>IF(OR(INDEX($P$2:$P$1001,MATCH(ROWS($O$2:O678),$O$2:$O$1001,0),1)&gt;=100000,INDEX($V$1005:$AE$1005,1,MATCH(COLUMNS($V$1006:W1006),$V$1006:$AE$1006,0))&gt;=100000), " ",IF(INDEX($V$2:$AE$1001,MATCH(ROWS($O$2:O678),$O$2:$O$1001,0),MATCH(COLUMNS($V$1006:W1006),$V$1006:$AE$1006,0)), HYPERLINK("#",""), HYPERLINK(CONCATENATE("#Metadata!", ADDRESS(INDEX($Q$2:$Q$1001,MATCH(ROWS($O$2:O678),$O$2:$O$1001,0),0), INDEX($V$1004:$AE$1004,1,MATCH(COLUMNS($V$1006:W1006),$V$1006:$AE$1006,0)))),"Fix")))</f>
        <v>0</v>
      </c>
      <c r="D678" s="3">
        <f>IF(OR(INDEX($P$2:$P$1001,MATCH(ROWS($O$2:O678),$O$2:$O$1001,0),1)&gt;=100000,INDEX($V$1005:$AE$1005,1,MATCH(COLUMNS($V$1006:X1006),$V$1006:$AE$1006,0))&gt;=100000), " ",IF(INDEX($V$2:$AE$1001,MATCH(ROWS($O$2:O678),$O$2:$O$1001,0),MATCH(COLUMNS($V$1006:X1006),$V$1006:$AE$1006,0)), HYPERLINK("#",""), HYPERLINK(CONCATENATE("#Metadata!", ADDRESS(INDEX($Q$2:$Q$1001,MATCH(ROWS($O$2:O678),$O$2:$O$1001,0),0), INDEX($V$1004:$AE$1004,1,MATCH(COLUMNS($V$1006:X1006),$V$1006:$AE$1006,0)))),"Fix")))</f>
        <v>0</v>
      </c>
      <c r="E678" s="3">
        <f>IF(OR(INDEX($P$2:$P$1001,MATCH(ROWS($O$2:O678),$O$2:$O$1001,0),1)&gt;=100000,INDEX($V$1005:$AE$1005,1,MATCH(COLUMNS($V$1006:Y1006),$V$1006:$AE$1006,0))&gt;=100000), " ",IF(INDEX($V$2:$AE$1001,MATCH(ROWS($O$2:O678),$O$2:$O$1001,0),MATCH(COLUMNS($V$1006:Y1006),$V$1006:$AE$1006,0)), HYPERLINK("#",""), HYPERLINK(CONCATENATE("#Metadata!", ADDRESS(INDEX($Q$2:$Q$1001,MATCH(ROWS($O$2:O678),$O$2:$O$1001,0),0), INDEX($V$1004:$AE$1004,1,MATCH(COLUMNS($V$1006:Y1006),$V$1006:$AE$1006,0)))),"Fix")))</f>
        <v>0</v>
      </c>
      <c r="F678" s="3">
        <f>IF(OR(INDEX($P$2:$P$1001,MATCH(ROWS($O$2:O678),$O$2:$O$1001,0),1)&gt;=100000,INDEX($V$1005:$AE$1005,1,MATCH(COLUMNS($V$1006:Z1006),$V$1006:$AE$1006,0))&gt;=100000), " ",IF(INDEX($V$2:$AE$1001,MATCH(ROWS($O$2:O678),$O$2:$O$1001,0),MATCH(COLUMNS($V$1006:Z1006),$V$1006:$AE$1006,0)), HYPERLINK("#",""), HYPERLINK(CONCATENATE("#Metadata!", ADDRESS(INDEX($Q$2:$Q$1001,MATCH(ROWS($O$2:O678),$O$2:$O$1001,0),0), INDEX($V$1004:$AE$1004,1,MATCH(COLUMNS($V$1006:Z1006),$V$1006:$AE$1006,0)))),"Fix")))</f>
        <v>0</v>
      </c>
      <c r="G678" s="3">
        <f>IF(OR(INDEX($P$2:$P$1001,MATCH(ROWS($O$2:O678),$O$2:$O$1001,0),1)&gt;=100000,INDEX($V$1005:$AE$1005,1,MATCH(COLUMNS($V$1006:AA1006),$V$1006:$AE$1006,0))&gt;=100000), " ",IF(INDEX($V$2:$AE$1001,MATCH(ROWS($O$2:O678),$O$2:$O$1001,0),MATCH(COLUMNS($V$1006:AA1006),$V$1006:$AE$1006,0)), HYPERLINK("#",""), HYPERLINK(CONCATENATE("#Metadata!", ADDRESS(INDEX($Q$2:$Q$1001,MATCH(ROWS($O$2:O678),$O$2:$O$1001,0),0), INDEX($V$1004:$AE$1004,1,MATCH(COLUMNS($V$1006:AA1006),$V$1006:$AE$1006,0)))),"Fix")))</f>
        <v>0</v>
      </c>
      <c r="H678" s="3">
        <f>IF(OR(INDEX($P$2:$P$1001,MATCH(ROWS($O$2:O678),$O$2:$O$1001,0),1)&gt;=100000,INDEX($V$1005:$AE$1005,1,MATCH(COLUMNS($V$1006:AB1006),$V$1006:$AE$1006,0))&gt;=100000), " ",IF(INDEX($V$2:$AE$1001,MATCH(ROWS($O$2:O678),$O$2:$O$1001,0),MATCH(COLUMNS($V$1006:AB1006),$V$1006:$AE$1006,0)), HYPERLINK("#",""), HYPERLINK(CONCATENATE("#Metadata!", ADDRESS(INDEX($Q$2:$Q$1001,MATCH(ROWS($O$2:O678),$O$2:$O$1001,0),0), INDEX($V$1004:$AE$1004,1,MATCH(COLUMNS($V$1006:AB1006),$V$1006:$AE$1006,0)))),"Fix")))</f>
        <v>0</v>
      </c>
      <c r="I678" s="3">
        <f>IF(OR(INDEX($P$2:$P$1001,MATCH(ROWS($O$2:O678),$O$2:$O$1001,0),1)&gt;=100000,INDEX($V$1005:$AE$1005,1,MATCH(COLUMNS($V$1006:AC1006),$V$1006:$AE$1006,0))&gt;=100000), " ",IF(INDEX($V$2:$AE$1001,MATCH(ROWS($O$2:O678),$O$2:$O$1001,0),MATCH(COLUMNS($V$1006:AC1006),$V$1006:$AE$1006,0)), HYPERLINK("#",""), HYPERLINK(CONCATENATE("#Metadata!", ADDRESS(INDEX($Q$2:$Q$1001,MATCH(ROWS($O$2:O678),$O$2:$O$1001,0),0), INDEX($V$1004:$AE$1004,1,MATCH(COLUMNS($V$1006:AC1006),$V$1006:$AE$1006,0)))),"Fix")))</f>
        <v>0</v>
      </c>
      <c r="J678" s="3">
        <f>IF(OR(INDEX($P$2:$P$1001,MATCH(ROWS($O$2:O678),$O$2:$O$1001,0),1)&gt;=100000,INDEX($V$1005:$AE$1005,1,MATCH(COLUMNS($V$1006:AD1006),$V$1006:$AE$1006,0))&gt;=100000), " ",IF(INDEX($V$2:$AE$1001,MATCH(ROWS($O$2:O678),$O$2:$O$1001,0),MATCH(COLUMNS($V$1006:AD1006),$V$1006:$AE$1006,0)), HYPERLINK("#",""), HYPERLINK(CONCATENATE("#Metadata!", ADDRESS(INDEX($Q$2:$Q$1001,MATCH(ROWS($O$2:O678),$O$2:$O$1001,0),0), INDEX($V$1004:$AE$1004,1,MATCH(COLUMNS($V$1006:AD1006),$V$1006:$AE$1006,0)))),"Fix")))</f>
        <v>0</v>
      </c>
      <c r="K678" s="3">
        <f>IF(OR(INDEX($P$2:$P$1001,MATCH(ROWS($O$2:O678),$O$2:$O$1001,0),1)&gt;=100000,INDEX($V$1005:$AE$1005,1,MATCH(COLUMNS($V$1006:AE1006),$V$1006:$AE$1006,0))&gt;=100000), " ",IF(INDEX($V$2:$AE$1001,MATCH(ROWS($O$2:O678),$O$2:$O$1001,0),MATCH(COLUMNS($V$1006:AE1006),$V$1006:$AE$1006,0)), HYPERLINK("#",""), HYPERLINK(CONCATENATE("#Metadata!", ADDRESS(INDEX($Q$2:$Q$1001,MATCH(ROWS($O$2:O678),$O$2:$O$1001,0),0), INDEX($V$1004:$AE$1004,1,MATCH(COLUMNS($V$1006:AE1006),$V$1006:$AE$1006,0)))),"Fix")))</f>
        <v>0</v>
      </c>
      <c r="O678">
        <v>0</v>
      </c>
      <c r="P678">
        <v>0</v>
      </c>
      <c r="Q678">
        <v>0</v>
      </c>
      <c r="R678">
        <f>IF(S678,TRUE,AND(V678:AE678))</f>
        <v>0</v>
      </c>
      <c r="S678">
        <f>COUNTBLANK(Metadata!B678:K678)=COLUMNS(Metadata!B678:K678)</f>
        <v>0</v>
      </c>
      <c r="T678">
        <v>0</v>
      </c>
      <c r="V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W678">
        <f>AND(IF(Metadata!C678="",FALSE,TRUE),exact(Metadata!C678,"animal secretion"))</f>
        <v>0</v>
      </c>
      <c r="X678">
        <f>AND(IF(Metadata!D678="",FALSE,TRUE),exact(Metadata!D678,"saliva"))</f>
        <v>0</v>
      </c>
      <c r="Y678">
        <f>AND(IF(Metadata!E678="",FALSE,TRUE),exact(Metadata!E678,"human-oral"))</f>
        <v>0</v>
      </c>
      <c r="Z678">
        <f>AND(IF(Metadata!F678="",FALSE,TRUE),exact(Metadata!F678,"UBERON:oral cavity"))</f>
        <v>0</v>
      </c>
      <c r="AA678">
        <f>AND(IF(Metadata!G678="",FALSE,TRUE),exact(Metadata!G678,"UBERON:saliva"))</f>
        <v>0</v>
      </c>
      <c r="AB678">
        <f>AND(IF(Metadata!H678="",FALSE,TRUE),exact(Metadata!H678,"UBERON:tongue"))</f>
        <v>0</v>
      </c>
      <c r="AC678">
        <f>AND(IF(Metadata!I678="",FALSE,TRUE),exact(Metadata!I678,"tongue"))</f>
        <v>0</v>
      </c>
      <c r="AD678">
        <f>AND(IF(Metadata!J678="",FALSE,TRUE),exact(Metadata!J678,"human oral metagenome"))</f>
        <v>0</v>
      </c>
      <c r="AE678">
        <f>AND(IF(Metadata!K678="",FALSE,TRUE),exact(Metadata!K678,"447426"))</f>
        <v>0</v>
      </c>
    </row>
    <row r="679" spans="1:31">
      <c r="A679" s="4">
        <f>IF(B679=" "," ",HYPERLINK(CONCATENATE("#metadata!",ADDRESS(INDEX($Q$2:$Q$1001,MATCH(ROWS($O$2:O679),$O$2:$O$1001,0),0),1)),INDEX($T$2:$T$1001,MATCH(ROWS($O$2:O679),$O$2:$O$1001,0),0)))</f>
        <v>0</v>
      </c>
      <c r="B679" s="3">
        <f>IF(OR(INDEX($P$2:$P$1001,MATCH(ROWS($O$2:O679),$O$2:$O$1001,0),1)&gt;=100000,INDEX($V$1005:$AE$1005,1,MATCH(COLUMNS($V$1006:V1006),$V$1006:$AE$1006,0))&gt;=100000), " ",IF(INDEX($V$2:$AE$1001,MATCH(ROWS($O$2:O679),$O$2:$O$1001,0),MATCH(COLUMNS($V$1006:V1006),$V$1006:$AE$1006,0)), HYPERLINK("#",""), HYPERLINK(CONCATENATE("#Metadata!", ADDRESS(INDEX($Q$2:$Q$1001,MATCH(ROWS($O$2:O679),$O$2:$O$1001,0),0), INDEX($V$1004:$AE$1004,1,MATCH(COLUMNS($V$1006:V1006),$V$1006:$AE$1006,0)))),"Fix")))</f>
        <v>0</v>
      </c>
      <c r="C679" s="3">
        <f>IF(OR(INDEX($P$2:$P$1001,MATCH(ROWS($O$2:O679),$O$2:$O$1001,0),1)&gt;=100000,INDEX($V$1005:$AE$1005,1,MATCH(COLUMNS($V$1006:W1006),$V$1006:$AE$1006,0))&gt;=100000), " ",IF(INDEX($V$2:$AE$1001,MATCH(ROWS($O$2:O679),$O$2:$O$1001,0),MATCH(COLUMNS($V$1006:W1006),$V$1006:$AE$1006,0)), HYPERLINK("#",""), HYPERLINK(CONCATENATE("#Metadata!", ADDRESS(INDEX($Q$2:$Q$1001,MATCH(ROWS($O$2:O679),$O$2:$O$1001,0),0), INDEX($V$1004:$AE$1004,1,MATCH(COLUMNS($V$1006:W1006),$V$1006:$AE$1006,0)))),"Fix")))</f>
        <v>0</v>
      </c>
      <c r="D679" s="3">
        <f>IF(OR(INDEX($P$2:$P$1001,MATCH(ROWS($O$2:O679),$O$2:$O$1001,0),1)&gt;=100000,INDEX($V$1005:$AE$1005,1,MATCH(COLUMNS($V$1006:X1006),$V$1006:$AE$1006,0))&gt;=100000), " ",IF(INDEX($V$2:$AE$1001,MATCH(ROWS($O$2:O679),$O$2:$O$1001,0),MATCH(COLUMNS($V$1006:X1006),$V$1006:$AE$1006,0)), HYPERLINK("#",""), HYPERLINK(CONCATENATE("#Metadata!", ADDRESS(INDEX($Q$2:$Q$1001,MATCH(ROWS($O$2:O679),$O$2:$O$1001,0),0), INDEX($V$1004:$AE$1004,1,MATCH(COLUMNS($V$1006:X1006),$V$1006:$AE$1006,0)))),"Fix")))</f>
        <v>0</v>
      </c>
      <c r="E679" s="3">
        <f>IF(OR(INDEX($P$2:$P$1001,MATCH(ROWS($O$2:O679),$O$2:$O$1001,0),1)&gt;=100000,INDEX($V$1005:$AE$1005,1,MATCH(COLUMNS($V$1006:Y1006),$V$1006:$AE$1006,0))&gt;=100000), " ",IF(INDEX($V$2:$AE$1001,MATCH(ROWS($O$2:O679),$O$2:$O$1001,0),MATCH(COLUMNS($V$1006:Y1006),$V$1006:$AE$1006,0)), HYPERLINK("#",""), HYPERLINK(CONCATENATE("#Metadata!", ADDRESS(INDEX($Q$2:$Q$1001,MATCH(ROWS($O$2:O679),$O$2:$O$1001,0),0), INDEX($V$1004:$AE$1004,1,MATCH(COLUMNS($V$1006:Y1006),$V$1006:$AE$1006,0)))),"Fix")))</f>
        <v>0</v>
      </c>
      <c r="F679" s="3">
        <f>IF(OR(INDEX($P$2:$P$1001,MATCH(ROWS($O$2:O679),$O$2:$O$1001,0),1)&gt;=100000,INDEX($V$1005:$AE$1005,1,MATCH(COLUMNS($V$1006:Z1006),$V$1006:$AE$1006,0))&gt;=100000), " ",IF(INDEX($V$2:$AE$1001,MATCH(ROWS($O$2:O679),$O$2:$O$1001,0),MATCH(COLUMNS($V$1006:Z1006),$V$1006:$AE$1006,0)), HYPERLINK("#",""), HYPERLINK(CONCATENATE("#Metadata!", ADDRESS(INDEX($Q$2:$Q$1001,MATCH(ROWS($O$2:O679),$O$2:$O$1001,0),0), INDEX($V$1004:$AE$1004,1,MATCH(COLUMNS($V$1006:Z1006),$V$1006:$AE$1006,0)))),"Fix")))</f>
        <v>0</v>
      </c>
      <c r="G679" s="3">
        <f>IF(OR(INDEX($P$2:$P$1001,MATCH(ROWS($O$2:O679),$O$2:$O$1001,0),1)&gt;=100000,INDEX($V$1005:$AE$1005,1,MATCH(COLUMNS($V$1006:AA1006),$V$1006:$AE$1006,0))&gt;=100000), " ",IF(INDEX($V$2:$AE$1001,MATCH(ROWS($O$2:O679),$O$2:$O$1001,0),MATCH(COLUMNS($V$1006:AA1006),$V$1006:$AE$1006,0)), HYPERLINK("#",""), HYPERLINK(CONCATENATE("#Metadata!", ADDRESS(INDEX($Q$2:$Q$1001,MATCH(ROWS($O$2:O679),$O$2:$O$1001,0),0), INDEX($V$1004:$AE$1004,1,MATCH(COLUMNS($V$1006:AA1006),$V$1006:$AE$1006,0)))),"Fix")))</f>
        <v>0</v>
      </c>
      <c r="H679" s="3">
        <f>IF(OR(INDEX($P$2:$P$1001,MATCH(ROWS($O$2:O679),$O$2:$O$1001,0),1)&gt;=100000,INDEX($V$1005:$AE$1005,1,MATCH(COLUMNS($V$1006:AB1006),$V$1006:$AE$1006,0))&gt;=100000), " ",IF(INDEX($V$2:$AE$1001,MATCH(ROWS($O$2:O679),$O$2:$O$1001,0),MATCH(COLUMNS($V$1006:AB1006),$V$1006:$AE$1006,0)), HYPERLINK("#",""), HYPERLINK(CONCATENATE("#Metadata!", ADDRESS(INDEX($Q$2:$Q$1001,MATCH(ROWS($O$2:O679),$O$2:$O$1001,0),0), INDEX($V$1004:$AE$1004,1,MATCH(COLUMNS($V$1006:AB1006),$V$1006:$AE$1006,0)))),"Fix")))</f>
        <v>0</v>
      </c>
      <c r="I679" s="3">
        <f>IF(OR(INDEX($P$2:$P$1001,MATCH(ROWS($O$2:O679),$O$2:$O$1001,0),1)&gt;=100000,INDEX($V$1005:$AE$1005,1,MATCH(COLUMNS($V$1006:AC1006),$V$1006:$AE$1006,0))&gt;=100000), " ",IF(INDEX($V$2:$AE$1001,MATCH(ROWS($O$2:O679),$O$2:$O$1001,0),MATCH(COLUMNS($V$1006:AC1006),$V$1006:$AE$1006,0)), HYPERLINK("#",""), HYPERLINK(CONCATENATE("#Metadata!", ADDRESS(INDEX($Q$2:$Q$1001,MATCH(ROWS($O$2:O679),$O$2:$O$1001,0),0), INDEX($V$1004:$AE$1004,1,MATCH(COLUMNS($V$1006:AC1006),$V$1006:$AE$1006,0)))),"Fix")))</f>
        <v>0</v>
      </c>
      <c r="J679" s="3">
        <f>IF(OR(INDEX($P$2:$P$1001,MATCH(ROWS($O$2:O679),$O$2:$O$1001,0),1)&gt;=100000,INDEX($V$1005:$AE$1005,1,MATCH(COLUMNS($V$1006:AD1006),$V$1006:$AE$1006,0))&gt;=100000), " ",IF(INDEX($V$2:$AE$1001,MATCH(ROWS($O$2:O679),$O$2:$O$1001,0),MATCH(COLUMNS($V$1006:AD1006),$V$1006:$AE$1006,0)), HYPERLINK("#",""), HYPERLINK(CONCATENATE("#Metadata!", ADDRESS(INDEX($Q$2:$Q$1001,MATCH(ROWS($O$2:O679),$O$2:$O$1001,0),0), INDEX($V$1004:$AE$1004,1,MATCH(COLUMNS($V$1006:AD1006),$V$1006:$AE$1006,0)))),"Fix")))</f>
        <v>0</v>
      </c>
      <c r="K679" s="3">
        <f>IF(OR(INDEX($P$2:$P$1001,MATCH(ROWS($O$2:O679),$O$2:$O$1001,0),1)&gt;=100000,INDEX($V$1005:$AE$1005,1,MATCH(COLUMNS($V$1006:AE1006),$V$1006:$AE$1006,0))&gt;=100000), " ",IF(INDEX($V$2:$AE$1001,MATCH(ROWS($O$2:O679),$O$2:$O$1001,0),MATCH(COLUMNS($V$1006:AE1006),$V$1006:$AE$1006,0)), HYPERLINK("#",""), HYPERLINK(CONCATENATE("#Metadata!", ADDRESS(INDEX($Q$2:$Q$1001,MATCH(ROWS($O$2:O679),$O$2:$O$1001,0),0), INDEX($V$1004:$AE$1004,1,MATCH(COLUMNS($V$1006:AE1006),$V$1006:$AE$1006,0)))),"Fix")))</f>
        <v>0</v>
      </c>
      <c r="O679">
        <v>0</v>
      </c>
      <c r="P679">
        <v>0</v>
      </c>
      <c r="Q679">
        <v>0</v>
      </c>
      <c r="R679">
        <f>IF(S679,TRUE,AND(V679:AE679))</f>
        <v>0</v>
      </c>
      <c r="S679">
        <f>COUNTBLANK(Metadata!B679:K679)=COLUMNS(Metadata!B679:K679)</f>
        <v>0</v>
      </c>
      <c r="T679">
        <v>0</v>
      </c>
      <c r="V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W679">
        <f>AND(IF(Metadata!C679="",FALSE,TRUE),exact(Metadata!C679,"animal secretion"))</f>
        <v>0</v>
      </c>
      <c r="X679">
        <f>AND(IF(Metadata!D679="",FALSE,TRUE),exact(Metadata!D679,"saliva"))</f>
        <v>0</v>
      </c>
      <c r="Y679">
        <f>AND(IF(Metadata!E679="",FALSE,TRUE),exact(Metadata!E679,"human-oral"))</f>
        <v>0</v>
      </c>
      <c r="Z679">
        <f>AND(IF(Metadata!F679="",FALSE,TRUE),exact(Metadata!F679,"UBERON:oral cavity"))</f>
        <v>0</v>
      </c>
      <c r="AA679">
        <f>AND(IF(Metadata!G679="",FALSE,TRUE),exact(Metadata!G679,"UBERON:saliva"))</f>
        <v>0</v>
      </c>
      <c r="AB679">
        <f>AND(IF(Metadata!H679="",FALSE,TRUE),exact(Metadata!H679,"UBERON:tongue"))</f>
        <v>0</v>
      </c>
      <c r="AC679">
        <f>AND(IF(Metadata!I679="",FALSE,TRUE),exact(Metadata!I679,"tongue"))</f>
        <v>0</v>
      </c>
      <c r="AD679">
        <f>AND(IF(Metadata!J679="",FALSE,TRUE),exact(Metadata!J679,"human oral metagenome"))</f>
        <v>0</v>
      </c>
      <c r="AE679">
        <f>AND(IF(Metadata!K679="",FALSE,TRUE),exact(Metadata!K679,"447426"))</f>
        <v>0</v>
      </c>
    </row>
    <row r="680" spans="1:31">
      <c r="A680" s="4">
        <f>IF(B680=" "," ",HYPERLINK(CONCATENATE("#metadata!",ADDRESS(INDEX($Q$2:$Q$1001,MATCH(ROWS($O$2:O680),$O$2:$O$1001,0),0),1)),INDEX($T$2:$T$1001,MATCH(ROWS($O$2:O680),$O$2:$O$1001,0),0)))</f>
        <v>0</v>
      </c>
      <c r="B680" s="3">
        <f>IF(OR(INDEX($P$2:$P$1001,MATCH(ROWS($O$2:O680),$O$2:$O$1001,0),1)&gt;=100000,INDEX($V$1005:$AE$1005,1,MATCH(COLUMNS($V$1006:V1006),$V$1006:$AE$1006,0))&gt;=100000), " ",IF(INDEX($V$2:$AE$1001,MATCH(ROWS($O$2:O680),$O$2:$O$1001,0),MATCH(COLUMNS($V$1006:V1006),$V$1006:$AE$1006,0)), HYPERLINK("#",""), HYPERLINK(CONCATENATE("#Metadata!", ADDRESS(INDEX($Q$2:$Q$1001,MATCH(ROWS($O$2:O680),$O$2:$O$1001,0),0), INDEX($V$1004:$AE$1004,1,MATCH(COLUMNS($V$1006:V1006),$V$1006:$AE$1006,0)))),"Fix")))</f>
        <v>0</v>
      </c>
      <c r="C680" s="3">
        <f>IF(OR(INDEX($P$2:$P$1001,MATCH(ROWS($O$2:O680),$O$2:$O$1001,0),1)&gt;=100000,INDEX($V$1005:$AE$1005,1,MATCH(COLUMNS($V$1006:W1006),$V$1006:$AE$1006,0))&gt;=100000), " ",IF(INDEX($V$2:$AE$1001,MATCH(ROWS($O$2:O680),$O$2:$O$1001,0),MATCH(COLUMNS($V$1006:W1006),$V$1006:$AE$1006,0)), HYPERLINK("#",""), HYPERLINK(CONCATENATE("#Metadata!", ADDRESS(INDEX($Q$2:$Q$1001,MATCH(ROWS($O$2:O680),$O$2:$O$1001,0),0), INDEX($V$1004:$AE$1004,1,MATCH(COLUMNS($V$1006:W1006),$V$1006:$AE$1006,0)))),"Fix")))</f>
        <v>0</v>
      </c>
      <c r="D680" s="3">
        <f>IF(OR(INDEX($P$2:$P$1001,MATCH(ROWS($O$2:O680),$O$2:$O$1001,0),1)&gt;=100000,INDEX($V$1005:$AE$1005,1,MATCH(COLUMNS($V$1006:X1006),$V$1006:$AE$1006,0))&gt;=100000), " ",IF(INDEX($V$2:$AE$1001,MATCH(ROWS($O$2:O680),$O$2:$O$1001,0),MATCH(COLUMNS($V$1006:X1006),$V$1006:$AE$1006,0)), HYPERLINK("#",""), HYPERLINK(CONCATENATE("#Metadata!", ADDRESS(INDEX($Q$2:$Q$1001,MATCH(ROWS($O$2:O680),$O$2:$O$1001,0),0), INDEX($V$1004:$AE$1004,1,MATCH(COLUMNS($V$1006:X1006),$V$1006:$AE$1006,0)))),"Fix")))</f>
        <v>0</v>
      </c>
      <c r="E680" s="3">
        <f>IF(OR(INDEX($P$2:$P$1001,MATCH(ROWS($O$2:O680),$O$2:$O$1001,0),1)&gt;=100000,INDEX($V$1005:$AE$1005,1,MATCH(COLUMNS($V$1006:Y1006),$V$1006:$AE$1006,0))&gt;=100000), " ",IF(INDEX($V$2:$AE$1001,MATCH(ROWS($O$2:O680),$O$2:$O$1001,0),MATCH(COLUMNS($V$1006:Y1006),$V$1006:$AE$1006,0)), HYPERLINK("#",""), HYPERLINK(CONCATENATE("#Metadata!", ADDRESS(INDEX($Q$2:$Q$1001,MATCH(ROWS($O$2:O680),$O$2:$O$1001,0),0), INDEX($V$1004:$AE$1004,1,MATCH(COLUMNS($V$1006:Y1006),$V$1006:$AE$1006,0)))),"Fix")))</f>
        <v>0</v>
      </c>
      <c r="F680" s="3">
        <f>IF(OR(INDEX($P$2:$P$1001,MATCH(ROWS($O$2:O680),$O$2:$O$1001,0),1)&gt;=100000,INDEX($V$1005:$AE$1005,1,MATCH(COLUMNS($V$1006:Z1006),$V$1006:$AE$1006,0))&gt;=100000), " ",IF(INDEX($V$2:$AE$1001,MATCH(ROWS($O$2:O680),$O$2:$O$1001,0),MATCH(COLUMNS($V$1006:Z1006),$V$1006:$AE$1006,0)), HYPERLINK("#",""), HYPERLINK(CONCATENATE("#Metadata!", ADDRESS(INDEX($Q$2:$Q$1001,MATCH(ROWS($O$2:O680),$O$2:$O$1001,0),0), INDEX($V$1004:$AE$1004,1,MATCH(COLUMNS($V$1006:Z1006),$V$1006:$AE$1006,0)))),"Fix")))</f>
        <v>0</v>
      </c>
      <c r="G680" s="3">
        <f>IF(OR(INDEX($P$2:$P$1001,MATCH(ROWS($O$2:O680),$O$2:$O$1001,0),1)&gt;=100000,INDEX($V$1005:$AE$1005,1,MATCH(COLUMNS($V$1006:AA1006),$V$1006:$AE$1006,0))&gt;=100000), " ",IF(INDEX($V$2:$AE$1001,MATCH(ROWS($O$2:O680),$O$2:$O$1001,0),MATCH(COLUMNS($V$1006:AA1006),$V$1006:$AE$1006,0)), HYPERLINK("#",""), HYPERLINK(CONCATENATE("#Metadata!", ADDRESS(INDEX($Q$2:$Q$1001,MATCH(ROWS($O$2:O680),$O$2:$O$1001,0),0), INDEX($V$1004:$AE$1004,1,MATCH(COLUMNS($V$1006:AA1006),$V$1006:$AE$1006,0)))),"Fix")))</f>
        <v>0</v>
      </c>
      <c r="H680" s="3">
        <f>IF(OR(INDEX($P$2:$P$1001,MATCH(ROWS($O$2:O680),$O$2:$O$1001,0),1)&gt;=100000,INDEX($V$1005:$AE$1005,1,MATCH(COLUMNS($V$1006:AB1006),$V$1006:$AE$1006,0))&gt;=100000), " ",IF(INDEX($V$2:$AE$1001,MATCH(ROWS($O$2:O680),$O$2:$O$1001,0),MATCH(COLUMNS($V$1006:AB1006),$V$1006:$AE$1006,0)), HYPERLINK("#",""), HYPERLINK(CONCATENATE("#Metadata!", ADDRESS(INDEX($Q$2:$Q$1001,MATCH(ROWS($O$2:O680),$O$2:$O$1001,0),0), INDEX($V$1004:$AE$1004,1,MATCH(COLUMNS($V$1006:AB1006),$V$1006:$AE$1006,0)))),"Fix")))</f>
        <v>0</v>
      </c>
      <c r="I680" s="3">
        <f>IF(OR(INDEX($P$2:$P$1001,MATCH(ROWS($O$2:O680),$O$2:$O$1001,0),1)&gt;=100000,INDEX($V$1005:$AE$1005,1,MATCH(COLUMNS($V$1006:AC1006),$V$1006:$AE$1006,0))&gt;=100000), " ",IF(INDEX($V$2:$AE$1001,MATCH(ROWS($O$2:O680),$O$2:$O$1001,0),MATCH(COLUMNS($V$1006:AC1006),$V$1006:$AE$1006,0)), HYPERLINK("#",""), HYPERLINK(CONCATENATE("#Metadata!", ADDRESS(INDEX($Q$2:$Q$1001,MATCH(ROWS($O$2:O680),$O$2:$O$1001,0),0), INDEX($V$1004:$AE$1004,1,MATCH(COLUMNS($V$1006:AC1006),$V$1006:$AE$1006,0)))),"Fix")))</f>
        <v>0</v>
      </c>
      <c r="J680" s="3">
        <f>IF(OR(INDEX($P$2:$P$1001,MATCH(ROWS($O$2:O680),$O$2:$O$1001,0),1)&gt;=100000,INDEX($V$1005:$AE$1005,1,MATCH(COLUMNS($V$1006:AD1006),$V$1006:$AE$1006,0))&gt;=100000), " ",IF(INDEX($V$2:$AE$1001,MATCH(ROWS($O$2:O680),$O$2:$O$1001,0),MATCH(COLUMNS($V$1006:AD1006),$V$1006:$AE$1006,0)), HYPERLINK("#",""), HYPERLINK(CONCATENATE("#Metadata!", ADDRESS(INDEX($Q$2:$Q$1001,MATCH(ROWS($O$2:O680),$O$2:$O$1001,0),0), INDEX($V$1004:$AE$1004,1,MATCH(COLUMNS($V$1006:AD1006),$V$1006:$AE$1006,0)))),"Fix")))</f>
        <v>0</v>
      </c>
      <c r="K680" s="3">
        <f>IF(OR(INDEX($P$2:$P$1001,MATCH(ROWS($O$2:O680),$O$2:$O$1001,0),1)&gt;=100000,INDEX($V$1005:$AE$1005,1,MATCH(COLUMNS($V$1006:AE1006),$V$1006:$AE$1006,0))&gt;=100000), " ",IF(INDEX($V$2:$AE$1001,MATCH(ROWS($O$2:O680),$O$2:$O$1001,0),MATCH(COLUMNS($V$1006:AE1006),$V$1006:$AE$1006,0)), HYPERLINK("#",""), HYPERLINK(CONCATENATE("#Metadata!", ADDRESS(INDEX($Q$2:$Q$1001,MATCH(ROWS($O$2:O680),$O$2:$O$1001,0),0), INDEX($V$1004:$AE$1004,1,MATCH(COLUMNS($V$1006:AE1006),$V$1006:$AE$1006,0)))),"Fix")))</f>
        <v>0</v>
      </c>
      <c r="O680">
        <v>0</v>
      </c>
      <c r="P680">
        <v>0</v>
      </c>
      <c r="Q680">
        <v>0</v>
      </c>
      <c r="R680">
        <f>IF(S680,TRUE,AND(V680:AE680))</f>
        <v>0</v>
      </c>
      <c r="S680">
        <f>COUNTBLANK(Metadata!B680:K680)=COLUMNS(Metadata!B680:K680)</f>
        <v>0</v>
      </c>
      <c r="T680">
        <v>0</v>
      </c>
      <c r="V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W680">
        <f>AND(IF(Metadata!C680="",FALSE,TRUE),exact(Metadata!C680,"animal secretion"))</f>
        <v>0</v>
      </c>
      <c r="X680">
        <f>AND(IF(Metadata!D680="",FALSE,TRUE),exact(Metadata!D680,"saliva"))</f>
        <v>0</v>
      </c>
      <c r="Y680">
        <f>AND(IF(Metadata!E680="",FALSE,TRUE),exact(Metadata!E680,"human-oral"))</f>
        <v>0</v>
      </c>
      <c r="Z680">
        <f>AND(IF(Metadata!F680="",FALSE,TRUE),exact(Metadata!F680,"UBERON:oral cavity"))</f>
        <v>0</v>
      </c>
      <c r="AA680">
        <f>AND(IF(Metadata!G680="",FALSE,TRUE),exact(Metadata!G680,"UBERON:saliva"))</f>
        <v>0</v>
      </c>
      <c r="AB680">
        <f>AND(IF(Metadata!H680="",FALSE,TRUE),exact(Metadata!H680,"UBERON:tongue"))</f>
        <v>0</v>
      </c>
      <c r="AC680">
        <f>AND(IF(Metadata!I680="",FALSE,TRUE),exact(Metadata!I680,"tongue"))</f>
        <v>0</v>
      </c>
      <c r="AD680">
        <f>AND(IF(Metadata!J680="",FALSE,TRUE),exact(Metadata!J680,"human oral metagenome"))</f>
        <v>0</v>
      </c>
      <c r="AE680">
        <f>AND(IF(Metadata!K680="",FALSE,TRUE),exact(Metadata!K680,"447426"))</f>
        <v>0</v>
      </c>
    </row>
    <row r="681" spans="1:31">
      <c r="A681" s="4">
        <f>IF(B681=" "," ",HYPERLINK(CONCATENATE("#metadata!",ADDRESS(INDEX($Q$2:$Q$1001,MATCH(ROWS($O$2:O681),$O$2:$O$1001,0),0),1)),INDEX($T$2:$T$1001,MATCH(ROWS($O$2:O681),$O$2:$O$1001,0),0)))</f>
        <v>0</v>
      </c>
      <c r="B681" s="3">
        <f>IF(OR(INDEX($P$2:$P$1001,MATCH(ROWS($O$2:O681),$O$2:$O$1001,0),1)&gt;=100000,INDEX($V$1005:$AE$1005,1,MATCH(COLUMNS($V$1006:V1006),$V$1006:$AE$1006,0))&gt;=100000), " ",IF(INDEX($V$2:$AE$1001,MATCH(ROWS($O$2:O681),$O$2:$O$1001,0),MATCH(COLUMNS($V$1006:V1006),$V$1006:$AE$1006,0)), HYPERLINK("#",""), HYPERLINK(CONCATENATE("#Metadata!", ADDRESS(INDEX($Q$2:$Q$1001,MATCH(ROWS($O$2:O681),$O$2:$O$1001,0),0), INDEX($V$1004:$AE$1004,1,MATCH(COLUMNS($V$1006:V1006),$V$1006:$AE$1006,0)))),"Fix")))</f>
        <v>0</v>
      </c>
      <c r="C681" s="3">
        <f>IF(OR(INDEX($P$2:$P$1001,MATCH(ROWS($O$2:O681),$O$2:$O$1001,0),1)&gt;=100000,INDEX($V$1005:$AE$1005,1,MATCH(COLUMNS($V$1006:W1006),$V$1006:$AE$1006,0))&gt;=100000), " ",IF(INDEX($V$2:$AE$1001,MATCH(ROWS($O$2:O681),$O$2:$O$1001,0),MATCH(COLUMNS($V$1006:W1006),$V$1006:$AE$1006,0)), HYPERLINK("#",""), HYPERLINK(CONCATENATE("#Metadata!", ADDRESS(INDEX($Q$2:$Q$1001,MATCH(ROWS($O$2:O681),$O$2:$O$1001,0),0), INDEX($V$1004:$AE$1004,1,MATCH(COLUMNS($V$1006:W1006),$V$1006:$AE$1006,0)))),"Fix")))</f>
        <v>0</v>
      </c>
      <c r="D681" s="3">
        <f>IF(OR(INDEX($P$2:$P$1001,MATCH(ROWS($O$2:O681),$O$2:$O$1001,0),1)&gt;=100000,INDEX($V$1005:$AE$1005,1,MATCH(COLUMNS($V$1006:X1006),$V$1006:$AE$1006,0))&gt;=100000), " ",IF(INDEX($V$2:$AE$1001,MATCH(ROWS($O$2:O681),$O$2:$O$1001,0),MATCH(COLUMNS($V$1006:X1006),$V$1006:$AE$1006,0)), HYPERLINK("#",""), HYPERLINK(CONCATENATE("#Metadata!", ADDRESS(INDEX($Q$2:$Q$1001,MATCH(ROWS($O$2:O681),$O$2:$O$1001,0),0), INDEX($V$1004:$AE$1004,1,MATCH(COLUMNS($V$1006:X1006),$V$1006:$AE$1006,0)))),"Fix")))</f>
        <v>0</v>
      </c>
      <c r="E681" s="3">
        <f>IF(OR(INDEX($P$2:$P$1001,MATCH(ROWS($O$2:O681),$O$2:$O$1001,0),1)&gt;=100000,INDEX($V$1005:$AE$1005,1,MATCH(COLUMNS($V$1006:Y1006),$V$1006:$AE$1006,0))&gt;=100000), " ",IF(INDEX($V$2:$AE$1001,MATCH(ROWS($O$2:O681),$O$2:$O$1001,0),MATCH(COLUMNS($V$1006:Y1006),$V$1006:$AE$1006,0)), HYPERLINK("#",""), HYPERLINK(CONCATENATE("#Metadata!", ADDRESS(INDEX($Q$2:$Q$1001,MATCH(ROWS($O$2:O681),$O$2:$O$1001,0),0), INDEX($V$1004:$AE$1004,1,MATCH(COLUMNS($V$1006:Y1006),$V$1006:$AE$1006,0)))),"Fix")))</f>
        <v>0</v>
      </c>
      <c r="F681" s="3">
        <f>IF(OR(INDEX($P$2:$P$1001,MATCH(ROWS($O$2:O681),$O$2:$O$1001,0),1)&gt;=100000,INDEX($V$1005:$AE$1005,1,MATCH(COLUMNS($V$1006:Z1006),$V$1006:$AE$1006,0))&gt;=100000), " ",IF(INDEX($V$2:$AE$1001,MATCH(ROWS($O$2:O681),$O$2:$O$1001,0),MATCH(COLUMNS($V$1006:Z1006),$V$1006:$AE$1006,0)), HYPERLINK("#",""), HYPERLINK(CONCATENATE("#Metadata!", ADDRESS(INDEX($Q$2:$Q$1001,MATCH(ROWS($O$2:O681),$O$2:$O$1001,0),0), INDEX($V$1004:$AE$1004,1,MATCH(COLUMNS($V$1006:Z1006),$V$1006:$AE$1006,0)))),"Fix")))</f>
        <v>0</v>
      </c>
      <c r="G681" s="3">
        <f>IF(OR(INDEX($P$2:$P$1001,MATCH(ROWS($O$2:O681),$O$2:$O$1001,0),1)&gt;=100000,INDEX($V$1005:$AE$1005,1,MATCH(COLUMNS($V$1006:AA1006),$V$1006:$AE$1006,0))&gt;=100000), " ",IF(INDEX($V$2:$AE$1001,MATCH(ROWS($O$2:O681),$O$2:$O$1001,0),MATCH(COLUMNS($V$1006:AA1006),$V$1006:$AE$1006,0)), HYPERLINK("#",""), HYPERLINK(CONCATENATE("#Metadata!", ADDRESS(INDEX($Q$2:$Q$1001,MATCH(ROWS($O$2:O681),$O$2:$O$1001,0),0), INDEX($V$1004:$AE$1004,1,MATCH(COLUMNS($V$1006:AA1006),$V$1006:$AE$1006,0)))),"Fix")))</f>
        <v>0</v>
      </c>
      <c r="H681" s="3">
        <f>IF(OR(INDEX($P$2:$P$1001,MATCH(ROWS($O$2:O681),$O$2:$O$1001,0),1)&gt;=100000,INDEX($V$1005:$AE$1005,1,MATCH(COLUMNS($V$1006:AB1006),$V$1006:$AE$1006,0))&gt;=100000), " ",IF(INDEX($V$2:$AE$1001,MATCH(ROWS($O$2:O681),$O$2:$O$1001,0),MATCH(COLUMNS($V$1006:AB1006),$V$1006:$AE$1006,0)), HYPERLINK("#",""), HYPERLINK(CONCATENATE("#Metadata!", ADDRESS(INDEX($Q$2:$Q$1001,MATCH(ROWS($O$2:O681),$O$2:$O$1001,0),0), INDEX($V$1004:$AE$1004,1,MATCH(COLUMNS($V$1006:AB1006),$V$1006:$AE$1006,0)))),"Fix")))</f>
        <v>0</v>
      </c>
      <c r="I681" s="3">
        <f>IF(OR(INDEX($P$2:$P$1001,MATCH(ROWS($O$2:O681),$O$2:$O$1001,0),1)&gt;=100000,INDEX($V$1005:$AE$1005,1,MATCH(COLUMNS($V$1006:AC1006),$V$1006:$AE$1006,0))&gt;=100000), " ",IF(INDEX($V$2:$AE$1001,MATCH(ROWS($O$2:O681),$O$2:$O$1001,0),MATCH(COLUMNS($V$1006:AC1006),$V$1006:$AE$1006,0)), HYPERLINK("#",""), HYPERLINK(CONCATENATE("#Metadata!", ADDRESS(INDEX($Q$2:$Q$1001,MATCH(ROWS($O$2:O681),$O$2:$O$1001,0),0), INDEX($V$1004:$AE$1004,1,MATCH(COLUMNS($V$1006:AC1006),$V$1006:$AE$1006,0)))),"Fix")))</f>
        <v>0</v>
      </c>
      <c r="J681" s="3">
        <f>IF(OR(INDEX($P$2:$P$1001,MATCH(ROWS($O$2:O681),$O$2:$O$1001,0),1)&gt;=100000,INDEX($V$1005:$AE$1005,1,MATCH(COLUMNS($V$1006:AD1006),$V$1006:$AE$1006,0))&gt;=100000), " ",IF(INDEX($V$2:$AE$1001,MATCH(ROWS($O$2:O681),$O$2:$O$1001,0),MATCH(COLUMNS($V$1006:AD1006),$V$1006:$AE$1006,0)), HYPERLINK("#",""), HYPERLINK(CONCATENATE("#Metadata!", ADDRESS(INDEX($Q$2:$Q$1001,MATCH(ROWS($O$2:O681),$O$2:$O$1001,0),0), INDEX($V$1004:$AE$1004,1,MATCH(COLUMNS($V$1006:AD1006),$V$1006:$AE$1006,0)))),"Fix")))</f>
        <v>0</v>
      </c>
      <c r="K681" s="3">
        <f>IF(OR(INDEX($P$2:$P$1001,MATCH(ROWS($O$2:O681),$O$2:$O$1001,0),1)&gt;=100000,INDEX($V$1005:$AE$1005,1,MATCH(COLUMNS($V$1006:AE1006),$V$1006:$AE$1006,0))&gt;=100000), " ",IF(INDEX($V$2:$AE$1001,MATCH(ROWS($O$2:O681),$O$2:$O$1001,0),MATCH(COLUMNS($V$1006:AE1006),$V$1006:$AE$1006,0)), HYPERLINK("#",""), HYPERLINK(CONCATENATE("#Metadata!", ADDRESS(INDEX($Q$2:$Q$1001,MATCH(ROWS($O$2:O681),$O$2:$O$1001,0),0), INDEX($V$1004:$AE$1004,1,MATCH(COLUMNS($V$1006:AE1006),$V$1006:$AE$1006,0)))),"Fix")))</f>
        <v>0</v>
      </c>
      <c r="O681">
        <v>0</v>
      </c>
      <c r="P681">
        <v>0</v>
      </c>
      <c r="Q681">
        <v>0</v>
      </c>
      <c r="R681">
        <f>IF(S681,TRUE,AND(V681:AE681))</f>
        <v>0</v>
      </c>
      <c r="S681">
        <f>COUNTBLANK(Metadata!B681:K681)=COLUMNS(Metadata!B681:K681)</f>
        <v>0</v>
      </c>
      <c r="T681">
        <v>0</v>
      </c>
      <c r="V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W681">
        <f>AND(IF(Metadata!C681="",FALSE,TRUE),exact(Metadata!C681,"animal secretion"))</f>
        <v>0</v>
      </c>
      <c r="X681">
        <f>AND(IF(Metadata!D681="",FALSE,TRUE),exact(Metadata!D681,"saliva"))</f>
        <v>0</v>
      </c>
      <c r="Y681">
        <f>AND(IF(Metadata!E681="",FALSE,TRUE),exact(Metadata!E681,"human-oral"))</f>
        <v>0</v>
      </c>
      <c r="Z681">
        <f>AND(IF(Metadata!F681="",FALSE,TRUE),exact(Metadata!F681,"UBERON:oral cavity"))</f>
        <v>0</v>
      </c>
      <c r="AA681">
        <f>AND(IF(Metadata!G681="",FALSE,TRUE),exact(Metadata!G681,"UBERON:saliva"))</f>
        <v>0</v>
      </c>
      <c r="AB681">
        <f>AND(IF(Metadata!H681="",FALSE,TRUE),exact(Metadata!H681,"UBERON:tongue"))</f>
        <v>0</v>
      </c>
      <c r="AC681">
        <f>AND(IF(Metadata!I681="",FALSE,TRUE),exact(Metadata!I681,"tongue"))</f>
        <v>0</v>
      </c>
      <c r="AD681">
        <f>AND(IF(Metadata!J681="",FALSE,TRUE),exact(Metadata!J681,"human oral metagenome"))</f>
        <v>0</v>
      </c>
      <c r="AE681">
        <f>AND(IF(Metadata!K681="",FALSE,TRUE),exact(Metadata!K681,"447426"))</f>
        <v>0</v>
      </c>
    </row>
    <row r="682" spans="1:31">
      <c r="A682" s="4">
        <f>IF(B682=" "," ",HYPERLINK(CONCATENATE("#metadata!",ADDRESS(INDEX($Q$2:$Q$1001,MATCH(ROWS($O$2:O682),$O$2:$O$1001,0),0),1)),INDEX($T$2:$T$1001,MATCH(ROWS($O$2:O682),$O$2:$O$1001,0),0)))</f>
        <v>0</v>
      </c>
      <c r="B682" s="3">
        <f>IF(OR(INDEX($P$2:$P$1001,MATCH(ROWS($O$2:O682),$O$2:$O$1001,0),1)&gt;=100000,INDEX($V$1005:$AE$1005,1,MATCH(COLUMNS($V$1006:V1006),$V$1006:$AE$1006,0))&gt;=100000), " ",IF(INDEX($V$2:$AE$1001,MATCH(ROWS($O$2:O682),$O$2:$O$1001,0),MATCH(COLUMNS($V$1006:V1006),$V$1006:$AE$1006,0)), HYPERLINK("#",""), HYPERLINK(CONCATENATE("#Metadata!", ADDRESS(INDEX($Q$2:$Q$1001,MATCH(ROWS($O$2:O682),$O$2:$O$1001,0),0), INDEX($V$1004:$AE$1004,1,MATCH(COLUMNS($V$1006:V1006),$V$1006:$AE$1006,0)))),"Fix")))</f>
        <v>0</v>
      </c>
      <c r="C682" s="3">
        <f>IF(OR(INDEX($P$2:$P$1001,MATCH(ROWS($O$2:O682),$O$2:$O$1001,0),1)&gt;=100000,INDEX($V$1005:$AE$1005,1,MATCH(COLUMNS($V$1006:W1006),$V$1006:$AE$1006,0))&gt;=100000), " ",IF(INDEX($V$2:$AE$1001,MATCH(ROWS($O$2:O682),$O$2:$O$1001,0),MATCH(COLUMNS($V$1006:W1006),$V$1006:$AE$1006,0)), HYPERLINK("#",""), HYPERLINK(CONCATENATE("#Metadata!", ADDRESS(INDEX($Q$2:$Q$1001,MATCH(ROWS($O$2:O682),$O$2:$O$1001,0),0), INDEX($V$1004:$AE$1004,1,MATCH(COLUMNS($V$1006:W1006),$V$1006:$AE$1006,0)))),"Fix")))</f>
        <v>0</v>
      </c>
      <c r="D682" s="3">
        <f>IF(OR(INDEX($P$2:$P$1001,MATCH(ROWS($O$2:O682),$O$2:$O$1001,0),1)&gt;=100000,INDEX($V$1005:$AE$1005,1,MATCH(COLUMNS($V$1006:X1006),$V$1006:$AE$1006,0))&gt;=100000), " ",IF(INDEX($V$2:$AE$1001,MATCH(ROWS($O$2:O682),$O$2:$O$1001,0),MATCH(COLUMNS($V$1006:X1006),$V$1006:$AE$1006,0)), HYPERLINK("#",""), HYPERLINK(CONCATENATE("#Metadata!", ADDRESS(INDEX($Q$2:$Q$1001,MATCH(ROWS($O$2:O682),$O$2:$O$1001,0),0), INDEX($V$1004:$AE$1004,1,MATCH(COLUMNS($V$1006:X1006),$V$1006:$AE$1006,0)))),"Fix")))</f>
        <v>0</v>
      </c>
      <c r="E682" s="3">
        <f>IF(OR(INDEX($P$2:$P$1001,MATCH(ROWS($O$2:O682),$O$2:$O$1001,0),1)&gt;=100000,INDEX($V$1005:$AE$1005,1,MATCH(COLUMNS($V$1006:Y1006),$V$1006:$AE$1006,0))&gt;=100000), " ",IF(INDEX($V$2:$AE$1001,MATCH(ROWS($O$2:O682),$O$2:$O$1001,0),MATCH(COLUMNS($V$1006:Y1006),$V$1006:$AE$1006,0)), HYPERLINK("#",""), HYPERLINK(CONCATENATE("#Metadata!", ADDRESS(INDEX($Q$2:$Q$1001,MATCH(ROWS($O$2:O682),$O$2:$O$1001,0),0), INDEX($V$1004:$AE$1004,1,MATCH(COLUMNS($V$1006:Y1006),$V$1006:$AE$1006,0)))),"Fix")))</f>
        <v>0</v>
      </c>
      <c r="F682" s="3">
        <f>IF(OR(INDEX($P$2:$P$1001,MATCH(ROWS($O$2:O682),$O$2:$O$1001,0),1)&gt;=100000,INDEX($V$1005:$AE$1005,1,MATCH(COLUMNS($V$1006:Z1006),$V$1006:$AE$1006,0))&gt;=100000), " ",IF(INDEX($V$2:$AE$1001,MATCH(ROWS($O$2:O682),$O$2:$O$1001,0),MATCH(COLUMNS($V$1006:Z1006),$V$1006:$AE$1006,0)), HYPERLINK("#",""), HYPERLINK(CONCATENATE("#Metadata!", ADDRESS(INDEX($Q$2:$Q$1001,MATCH(ROWS($O$2:O682),$O$2:$O$1001,0),0), INDEX($V$1004:$AE$1004,1,MATCH(COLUMNS($V$1006:Z1006),$V$1006:$AE$1006,0)))),"Fix")))</f>
        <v>0</v>
      </c>
      <c r="G682" s="3">
        <f>IF(OR(INDEX($P$2:$P$1001,MATCH(ROWS($O$2:O682),$O$2:$O$1001,0),1)&gt;=100000,INDEX($V$1005:$AE$1005,1,MATCH(COLUMNS($V$1006:AA1006),$V$1006:$AE$1006,0))&gt;=100000), " ",IF(INDEX($V$2:$AE$1001,MATCH(ROWS($O$2:O682),$O$2:$O$1001,0),MATCH(COLUMNS($V$1006:AA1006),$V$1006:$AE$1006,0)), HYPERLINK("#",""), HYPERLINK(CONCATENATE("#Metadata!", ADDRESS(INDEX($Q$2:$Q$1001,MATCH(ROWS($O$2:O682),$O$2:$O$1001,0),0), INDEX($V$1004:$AE$1004,1,MATCH(COLUMNS($V$1006:AA1006),$V$1006:$AE$1006,0)))),"Fix")))</f>
        <v>0</v>
      </c>
      <c r="H682" s="3">
        <f>IF(OR(INDEX($P$2:$P$1001,MATCH(ROWS($O$2:O682),$O$2:$O$1001,0),1)&gt;=100000,INDEX($V$1005:$AE$1005,1,MATCH(COLUMNS($V$1006:AB1006),$V$1006:$AE$1006,0))&gt;=100000), " ",IF(INDEX($V$2:$AE$1001,MATCH(ROWS($O$2:O682),$O$2:$O$1001,0),MATCH(COLUMNS($V$1006:AB1006),$V$1006:$AE$1006,0)), HYPERLINK("#",""), HYPERLINK(CONCATENATE("#Metadata!", ADDRESS(INDEX($Q$2:$Q$1001,MATCH(ROWS($O$2:O682),$O$2:$O$1001,0),0), INDEX($V$1004:$AE$1004,1,MATCH(COLUMNS($V$1006:AB1006),$V$1006:$AE$1006,0)))),"Fix")))</f>
        <v>0</v>
      </c>
      <c r="I682" s="3">
        <f>IF(OR(INDEX($P$2:$P$1001,MATCH(ROWS($O$2:O682),$O$2:$O$1001,0),1)&gt;=100000,INDEX($V$1005:$AE$1005,1,MATCH(COLUMNS($V$1006:AC1006),$V$1006:$AE$1006,0))&gt;=100000), " ",IF(INDEX($V$2:$AE$1001,MATCH(ROWS($O$2:O682),$O$2:$O$1001,0),MATCH(COLUMNS($V$1006:AC1006),$V$1006:$AE$1006,0)), HYPERLINK("#",""), HYPERLINK(CONCATENATE("#Metadata!", ADDRESS(INDEX($Q$2:$Q$1001,MATCH(ROWS($O$2:O682),$O$2:$O$1001,0),0), INDEX($V$1004:$AE$1004,1,MATCH(COLUMNS($V$1006:AC1006),$V$1006:$AE$1006,0)))),"Fix")))</f>
        <v>0</v>
      </c>
      <c r="J682" s="3">
        <f>IF(OR(INDEX($P$2:$P$1001,MATCH(ROWS($O$2:O682),$O$2:$O$1001,0),1)&gt;=100000,INDEX($V$1005:$AE$1005,1,MATCH(COLUMNS($V$1006:AD1006),$V$1006:$AE$1006,0))&gt;=100000), " ",IF(INDEX($V$2:$AE$1001,MATCH(ROWS($O$2:O682),$O$2:$O$1001,0),MATCH(COLUMNS($V$1006:AD1006),$V$1006:$AE$1006,0)), HYPERLINK("#",""), HYPERLINK(CONCATENATE("#Metadata!", ADDRESS(INDEX($Q$2:$Q$1001,MATCH(ROWS($O$2:O682),$O$2:$O$1001,0),0), INDEX($V$1004:$AE$1004,1,MATCH(COLUMNS($V$1006:AD1006),$V$1006:$AE$1006,0)))),"Fix")))</f>
        <v>0</v>
      </c>
      <c r="K682" s="3">
        <f>IF(OR(INDEX($P$2:$P$1001,MATCH(ROWS($O$2:O682),$O$2:$O$1001,0),1)&gt;=100000,INDEX($V$1005:$AE$1005,1,MATCH(COLUMNS($V$1006:AE1006),$V$1006:$AE$1006,0))&gt;=100000), " ",IF(INDEX($V$2:$AE$1001,MATCH(ROWS($O$2:O682),$O$2:$O$1001,0),MATCH(COLUMNS($V$1006:AE1006),$V$1006:$AE$1006,0)), HYPERLINK("#",""), HYPERLINK(CONCATENATE("#Metadata!", ADDRESS(INDEX($Q$2:$Q$1001,MATCH(ROWS($O$2:O682),$O$2:$O$1001,0),0), INDEX($V$1004:$AE$1004,1,MATCH(COLUMNS($V$1006:AE1006),$V$1006:$AE$1006,0)))),"Fix")))</f>
        <v>0</v>
      </c>
      <c r="O682">
        <v>0</v>
      </c>
      <c r="P682">
        <v>0</v>
      </c>
      <c r="Q682">
        <v>0</v>
      </c>
      <c r="R682">
        <f>IF(S682,TRUE,AND(V682:AE682))</f>
        <v>0</v>
      </c>
      <c r="S682">
        <f>COUNTBLANK(Metadata!B682:K682)=COLUMNS(Metadata!B682:K682)</f>
        <v>0</v>
      </c>
      <c r="T682">
        <v>0</v>
      </c>
      <c r="V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W682">
        <f>AND(IF(Metadata!C682="",FALSE,TRUE),exact(Metadata!C682,"animal secretion"))</f>
        <v>0</v>
      </c>
      <c r="X682">
        <f>AND(IF(Metadata!D682="",FALSE,TRUE),exact(Metadata!D682,"saliva"))</f>
        <v>0</v>
      </c>
      <c r="Y682">
        <f>AND(IF(Metadata!E682="",FALSE,TRUE),exact(Metadata!E682,"human-oral"))</f>
        <v>0</v>
      </c>
      <c r="Z682">
        <f>AND(IF(Metadata!F682="",FALSE,TRUE),exact(Metadata!F682,"UBERON:oral cavity"))</f>
        <v>0</v>
      </c>
      <c r="AA682">
        <f>AND(IF(Metadata!G682="",FALSE,TRUE),exact(Metadata!G682,"UBERON:saliva"))</f>
        <v>0</v>
      </c>
      <c r="AB682">
        <f>AND(IF(Metadata!H682="",FALSE,TRUE),exact(Metadata!H682,"UBERON:tongue"))</f>
        <v>0</v>
      </c>
      <c r="AC682">
        <f>AND(IF(Metadata!I682="",FALSE,TRUE),exact(Metadata!I682,"tongue"))</f>
        <v>0</v>
      </c>
      <c r="AD682">
        <f>AND(IF(Metadata!J682="",FALSE,TRUE),exact(Metadata!J682,"human oral metagenome"))</f>
        <v>0</v>
      </c>
      <c r="AE682">
        <f>AND(IF(Metadata!K682="",FALSE,TRUE),exact(Metadata!K682,"447426"))</f>
        <v>0</v>
      </c>
    </row>
    <row r="683" spans="1:31">
      <c r="A683" s="4">
        <f>IF(B683=" "," ",HYPERLINK(CONCATENATE("#metadata!",ADDRESS(INDEX($Q$2:$Q$1001,MATCH(ROWS($O$2:O683),$O$2:$O$1001,0),0),1)),INDEX($T$2:$T$1001,MATCH(ROWS($O$2:O683),$O$2:$O$1001,0),0)))</f>
        <v>0</v>
      </c>
      <c r="B683" s="3">
        <f>IF(OR(INDEX($P$2:$P$1001,MATCH(ROWS($O$2:O683),$O$2:$O$1001,0),1)&gt;=100000,INDEX($V$1005:$AE$1005,1,MATCH(COLUMNS($V$1006:V1006),$V$1006:$AE$1006,0))&gt;=100000), " ",IF(INDEX($V$2:$AE$1001,MATCH(ROWS($O$2:O683),$O$2:$O$1001,0),MATCH(COLUMNS($V$1006:V1006),$V$1006:$AE$1006,0)), HYPERLINK("#",""), HYPERLINK(CONCATENATE("#Metadata!", ADDRESS(INDEX($Q$2:$Q$1001,MATCH(ROWS($O$2:O683),$O$2:$O$1001,0),0), INDEX($V$1004:$AE$1004,1,MATCH(COLUMNS($V$1006:V1006),$V$1006:$AE$1006,0)))),"Fix")))</f>
        <v>0</v>
      </c>
      <c r="C683" s="3">
        <f>IF(OR(INDEX($P$2:$P$1001,MATCH(ROWS($O$2:O683),$O$2:$O$1001,0),1)&gt;=100000,INDEX($V$1005:$AE$1005,1,MATCH(COLUMNS($V$1006:W1006),$V$1006:$AE$1006,0))&gt;=100000), " ",IF(INDEX($V$2:$AE$1001,MATCH(ROWS($O$2:O683),$O$2:$O$1001,0),MATCH(COLUMNS($V$1006:W1006),$V$1006:$AE$1006,0)), HYPERLINK("#",""), HYPERLINK(CONCATENATE("#Metadata!", ADDRESS(INDEX($Q$2:$Q$1001,MATCH(ROWS($O$2:O683),$O$2:$O$1001,0),0), INDEX($V$1004:$AE$1004,1,MATCH(COLUMNS($V$1006:W1006),$V$1006:$AE$1006,0)))),"Fix")))</f>
        <v>0</v>
      </c>
      <c r="D683" s="3">
        <f>IF(OR(INDEX($P$2:$P$1001,MATCH(ROWS($O$2:O683),$O$2:$O$1001,0),1)&gt;=100000,INDEX($V$1005:$AE$1005,1,MATCH(COLUMNS($V$1006:X1006),$V$1006:$AE$1006,0))&gt;=100000), " ",IF(INDEX($V$2:$AE$1001,MATCH(ROWS($O$2:O683),$O$2:$O$1001,0),MATCH(COLUMNS($V$1006:X1006),$V$1006:$AE$1006,0)), HYPERLINK("#",""), HYPERLINK(CONCATENATE("#Metadata!", ADDRESS(INDEX($Q$2:$Q$1001,MATCH(ROWS($O$2:O683),$O$2:$O$1001,0),0), INDEX($V$1004:$AE$1004,1,MATCH(COLUMNS($V$1006:X1006),$V$1006:$AE$1006,0)))),"Fix")))</f>
        <v>0</v>
      </c>
      <c r="E683" s="3">
        <f>IF(OR(INDEX($P$2:$P$1001,MATCH(ROWS($O$2:O683),$O$2:$O$1001,0),1)&gt;=100000,INDEX($V$1005:$AE$1005,1,MATCH(COLUMNS($V$1006:Y1006),$V$1006:$AE$1006,0))&gt;=100000), " ",IF(INDEX($V$2:$AE$1001,MATCH(ROWS($O$2:O683),$O$2:$O$1001,0),MATCH(COLUMNS($V$1006:Y1006),$V$1006:$AE$1006,0)), HYPERLINK("#",""), HYPERLINK(CONCATENATE("#Metadata!", ADDRESS(INDEX($Q$2:$Q$1001,MATCH(ROWS($O$2:O683),$O$2:$O$1001,0),0), INDEX($V$1004:$AE$1004,1,MATCH(COLUMNS($V$1006:Y1006),$V$1006:$AE$1006,0)))),"Fix")))</f>
        <v>0</v>
      </c>
      <c r="F683" s="3">
        <f>IF(OR(INDEX($P$2:$P$1001,MATCH(ROWS($O$2:O683),$O$2:$O$1001,0),1)&gt;=100000,INDEX($V$1005:$AE$1005,1,MATCH(COLUMNS($V$1006:Z1006),$V$1006:$AE$1006,0))&gt;=100000), " ",IF(INDEX($V$2:$AE$1001,MATCH(ROWS($O$2:O683),$O$2:$O$1001,0),MATCH(COLUMNS($V$1006:Z1006),$V$1006:$AE$1006,0)), HYPERLINK("#",""), HYPERLINK(CONCATENATE("#Metadata!", ADDRESS(INDEX($Q$2:$Q$1001,MATCH(ROWS($O$2:O683),$O$2:$O$1001,0),0), INDEX($V$1004:$AE$1004,1,MATCH(COLUMNS($V$1006:Z1006),$V$1006:$AE$1006,0)))),"Fix")))</f>
        <v>0</v>
      </c>
      <c r="G683" s="3">
        <f>IF(OR(INDEX($P$2:$P$1001,MATCH(ROWS($O$2:O683),$O$2:$O$1001,0),1)&gt;=100000,INDEX($V$1005:$AE$1005,1,MATCH(COLUMNS($V$1006:AA1006),$V$1006:$AE$1006,0))&gt;=100000), " ",IF(INDEX($V$2:$AE$1001,MATCH(ROWS($O$2:O683),$O$2:$O$1001,0),MATCH(COLUMNS($V$1006:AA1006),$V$1006:$AE$1006,0)), HYPERLINK("#",""), HYPERLINK(CONCATENATE("#Metadata!", ADDRESS(INDEX($Q$2:$Q$1001,MATCH(ROWS($O$2:O683),$O$2:$O$1001,0),0), INDEX($V$1004:$AE$1004,1,MATCH(COLUMNS($V$1006:AA1006),$V$1006:$AE$1006,0)))),"Fix")))</f>
        <v>0</v>
      </c>
      <c r="H683" s="3">
        <f>IF(OR(INDEX($P$2:$P$1001,MATCH(ROWS($O$2:O683),$O$2:$O$1001,0),1)&gt;=100000,INDEX($V$1005:$AE$1005,1,MATCH(COLUMNS($V$1006:AB1006),$V$1006:$AE$1006,0))&gt;=100000), " ",IF(INDEX($V$2:$AE$1001,MATCH(ROWS($O$2:O683),$O$2:$O$1001,0),MATCH(COLUMNS($V$1006:AB1006),$V$1006:$AE$1006,0)), HYPERLINK("#",""), HYPERLINK(CONCATENATE("#Metadata!", ADDRESS(INDEX($Q$2:$Q$1001,MATCH(ROWS($O$2:O683),$O$2:$O$1001,0),0), INDEX($V$1004:$AE$1004,1,MATCH(COLUMNS($V$1006:AB1006),$V$1006:$AE$1006,0)))),"Fix")))</f>
        <v>0</v>
      </c>
      <c r="I683" s="3">
        <f>IF(OR(INDEX($P$2:$P$1001,MATCH(ROWS($O$2:O683),$O$2:$O$1001,0),1)&gt;=100000,INDEX($V$1005:$AE$1005,1,MATCH(COLUMNS($V$1006:AC1006),$V$1006:$AE$1006,0))&gt;=100000), " ",IF(INDEX($V$2:$AE$1001,MATCH(ROWS($O$2:O683),$O$2:$O$1001,0),MATCH(COLUMNS($V$1006:AC1006),$V$1006:$AE$1006,0)), HYPERLINK("#",""), HYPERLINK(CONCATENATE("#Metadata!", ADDRESS(INDEX($Q$2:$Q$1001,MATCH(ROWS($O$2:O683),$O$2:$O$1001,0),0), INDEX($V$1004:$AE$1004,1,MATCH(COLUMNS($V$1006:AC1006),$V$1006:$AE$1006,0)))),"Fix")))</f>
        <v>0</v>
      </c>
      <c r="J683" s="3">
        <f>IF(OR(INDEX($P$2:$P$1001,MATCH(ROWS($O$2:O683),$O$2:$O$1001,0),1)&gt;=100000,INDEX($V$1005:$AE$1005,1,MATCH(COLUMNS($V$1006:AD1006),$V$1006:$AE$1006,0))&gt;=100000), " ",IF(INDEX($V$2:$AE$1001,MATCH(ROWS($O$2:O683),$O$2:$O$1001,0),MATCH(COLUMNS($V$1006:AD1006),$V$1006:$AE$1006,0)), HYPERLINK("#",""), HYPERLINK(CONCATENATE("#Metadata!", ADDRESS(INDEX($Q$2:$Q$1001,MATCH(ROWS($O$2:O683),$O$2:$O$1001,0),0), INDEX($V$1004:$AE$1004,1,MATCH(COLUMNS($V$1006:AD1006),$V$1006:$AE$1006,0)))),"Fix")))</f>
        <v>0</v>
      </c>
      <c r="K683" s="3">
        <f>IF(OR(INDEX($P$2:$P$1001,MATCH(ROWS($O$2:O683),$O$2:$O$1001,0),1)&gt;=100000,INDEX($V$1005:$AE$1005,1,MATCH(COLUMNS($V$1006:AE1006),$V$1006:$AE$1006,0))&gt;=100000), " ",IF(INDEX($V$2:$AE$1001,MATCH(ROWS($O$2:O683),$O$2:$O$1001,0),MATCH(COLUMNS($V$1006:AE1006),$V$1006:$AE$1006,0)), HYPERLINK("#",""), HYPERLINK(CONCATENATE("#Metadata!", ADDRESS(INDEX($Q$2:$Q$1001,MATCH(ROWS($O$2:O683),$O$2:$O$1001,0),0), INDEX($V$1004:$AE$1004,1,MATCH(COLUMNS($V$1006:AE1006),$V$1006:$AE$1006,0)))),"Fix")))</f>
        <v>0</v>
      </c>
      <c r="O683">
        <v>0</v>
      </c>
      <c r="P683">
        <v>0</v>
      </c>
      <c r="Q683">
        <v>0</v>
      </c>
      <c r="R683">
        <f>IF(S683,TRUE,AND(V683:AE683))</f>
        <v>0</v>
      </c>
      <c r="S683">
        <f>COUNTBLANK(Metadata!B683:K683)=COLUMNS(Metadata!B683:K683)</f>
        <v>0</v>
      </c>
      <c r="T683">
        <v>0</v>
      </c>
      <c r="V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W683">
        <f>AND(IF(Metadata!C683="",FALSE,TRUE),exact(Metadata!C683,"animal secretion"))</f>
        <v>0</v>
      </c>
      <c r="X683">
        <f>AND(IF(Metadata!D683="",FALSE,TRUE),exact(Metadata!D683,"saliva"))</f>
        <v>0</v>
      </c>
      <c r="Y683">
        <f>AND(IF(Metadata!E683="",FALSE,TRUE),exact(Metadata!E683,"human-oral"))</f>
        <v>0</v>
      </c>
      <c r="Z683">
        <f>AND(IF(Metadata!F683="",FALSE,TRUE),exact(Metadata!F683,"UBERON:oral cavity"))</f>
        <v>0</v>
      </c>
      <c r="AA683">
        <f>AND(IF(Metadata!G683="",FALSE,TRUE),exact(Metadata!G683,"UBERON:saliva"))</f>
        <v>0</v>
      </c>
      <c r="AB683">
        <f>AND(IF(Metadata!H683="",FALSE,TRUE),exact(Metadata!H683,"UBERON:tongue"))</f>
        <v>0</v>
      </c>
      <c r="AC683">
        <f>AND(IF(Metadata!I683="",FALSE,TRUE),exact(Metadata!I683,"tongue"))</f>
        <v>0</v>
      </c>
      <c r="AD683">
        <f>AND(IF(Metadata!J683="",FALSE,TRUE),exact(Metadata!J683,"human oral metagenome"))</f>
        <v>0</v>
      </c>
      <c r="AE683">
        <f>AND(IF(Metadata!K683="",FALSE,TRUE),exact(Metadata!K683,"447426"))</f>
        <v>0</v>
      </c>
    </row>
    <row r="684" spans="1:31">
      <c r="A684" s="4">
        <f>IF(B684=" "," ",HYPERLINK(CONCATENATE("#metadata!",ADDRESS(INDEX($Q$2:$Q$1001,MATCH(ROWS($O$2:O684),$O$2:$O$1001,0),0),1)),INDEX($T$2:$T$1001,MATCH(ROWS($O$2:O684),$O$2:$O$1001,0),0)))</f>
        <v>0</v>
      </c>
      <c r="B684" s="3">
        <f>IF(OR(INDEX($P$2:$P$1001,MATCH(ROWS($O$2:O684),$O$2:$O$1001,0),1)&gt;=100000,INDEX($V$1005:$AE$1005,1,MATCH(COLUMNS($V$1006:V1006),$V$1006:$AE$1006,0))&gt;=100000), " ",IF(INDEX($V$2:$AE$1001,MATCH(ROWS($O$2:O684),$O$2:$O$1001,0),MATCH(COLUMNS($V$1006:V1006),$V$1006:$AE$1006,0)), HYPERLINK("#",""), HYPERLINK(CONCATENATE("#Metadata!", ADDRESS(INDEX($Q$2:$Q$1001,MATCH(ROWS($O$2:O684),$O$2:$O$1001,0),0), INDEX($V$1004:$AE$1004,1,MATCH(COLUMNS($V$1006:V1006),$V$1006:$AE$1006,0)))),"Fix")))</f>
        <v>0</v>
      </c>
      <c r="C684" s="3">
        <f>IF(OR(INDEX($P$2:$P$1001,MATCH(ROWS($O$2:O684),$O$2:$O$1001,0),1)&gt;=100000,INDEX($V$1005:$AE$1005,1,MATCH(COLUMNS($V$1006:W1006),$V$1006:$AE$1006,0))&gt;=100000), " ",IF(INDEX($V$2:$AE$1001,MATCH(ROWS($O$2:O684),$O$2:$O$1001,0),MATCH(COLUMNS($V$1006:W1006),$V$1006:$AE$1006,0)), HYPERLINK("#",""), HYPERLINK(CONCATENATE("#Metadata!", ADDRESS(INDEX($Q$2:$Q$1001,MATCH(ROWS($O$2:O684),$O$2:$O$1001,0),0), INDEX($V$1004:$AE$1004,1,MATCH(COLUMNS($V$1006:W1006),$V$1006:$AE$1006,0)))),"Fix")))</f>
        <v>0</v>
      </c>
      <c r="D684" s="3">
        <f>IF(OR(INDEX($P$2:$P$1001,MATCH(ROWS($O$2:O684),$O$2:$O$1001,0),1)&gt;=100000,INDEX($V$1005:$AE$1005,1,MATCH(COLUMNS($V$1006:X1006),$V$1006:$AE$1006,0))&gt;=100000), " ",IF(INDEX($V$2:$AE$1001,MATCH(ROWS($O$2:O684),$O$2:$O$1001,0),MATCH(COLUMNS($V$1006:X1006),$V$1006:$AE$1006,0)), HYPERLINK("#",""), HYPERLINK(CONCATENATE("#Metadata!", ADDRESS(INDEX($Q$2:$Q$1001,MATCH(ROWS($O$2:O684),$O$2:$O$1001,0),0), INDEX($V$1004:$AE$1004,1,MATCH(COLUMNS($V$1006:X1006),$V$1006:$AE$1006,0)))),"Fix")))</f>
        <v>0</v>
      </c>
      <c r="E684" s="3">
        <f>IF(OR(INDEX($P$2:$P$1001,MATCH(ROWS($O$2:O684),$O$2:$O$1001,0),1)&gt;=100000,INDEX($V$1005:$AE$1005,1,MATCH(COLUMNS($V$1006:Y1006),$V$1006:$AE$1006,0))&gt;=100000), " ",IF(INDEX($V$2:$AE$1001,MATCH(ROWS($O$2:O684),$O$2:$O$1001,0),MATCH(COLUMNS($V$1006:Y1006),$V$1006:$AE$1006,0)), HYPERLINK("#",""), HYPERLINK(CONCATENATE("#Metadata!", ADDRESS(INDEX($Q$2:$Q$1001,MATCH(ROWS($O$2:O684),$O$2:$O$1001,0),0), INDEX($V$1004:$AE$1004,1,MATCH(COLUMNS($V$1006:Y1006),$V$1006:$AE$1006,0)))),"Fix")))</f>
        <v>0</v>
      </c>
      <c r="F684" s="3">
        <f>IF(OR(INDEX($P$2:$P$1001,MATCH(ROWS($O$2:O684),$O$2:$O$1001,0),1)&gt;=100000,INDEX($V$1005:$AE$1005,1,MATCH(COLUMNS($V$1006:Z1006),$V$1006:$AE$1006,0))&gt;=100000), " ",IF(INDEX($V$2:$AE$1001,MATCH(ROWS($O$2:O684),$O$2:$O$1001,0),MATCH(COLUMNS($V$1006:Z1006),$V$1006:$AE$1006,0)), HYPERLINK("#",""), HYPERLINK(CONCATENATE("#Metadata!", ADDRESS(INDEX($Q$2:$Q$1001,MATCH(ROWS($O$2:O684),$O$2:$O$1001,0),0), INDEX($V$1004:$AE$1004,1,MATCH(COLUMNS($V$1006:Z1006),$V$1006:$AE$1006,0)))),"Fix")))</f>
        <v>0</v>
      </c>
      <c r="G684" s="3">
        <f>IF(OR(INDEX($P$2:$P$1001,MATCH(ROWS($O$2:O684),$O$2:$O$1001,0),1)&gt;=100000,INDEX($V$1005:$AE$1005,1,MATCH(COLUMNS($V$1006:AA1006),$V$1006:$AE$1006,0))&gt;=100000), " ",IF(INDEX($V$2:$AE$1001,MATCH(ROWS($O$2:O684),$O$2:$O$1001,0),MATCH(COLUMNS($V$1006:AA1006),$V$1006:$AE$1006,0)), HYPERLINK("#",""), HYPERLINK(CONCATENATE("#Metadata!", ADDRESS(INDEX($Q$2:$Q$1001,MATCH(ROWS($O$2:O684),$O$2:$O$1001,0),0), INDEX($V$1004:$AE$1004,1,MATCH(COLUMNS($V$1006:AA1006),$V$1006:$AE$1006,0)))),"Fix")))</f>
        <v>0</v>
      </c>
      <c r="H684" s="3">
        <f>IF(OR(INDEX($P$2:$P$1001,MATCH(ROWS($O$2:O684),$O$2:$O$1001,0),1)&gt;=100000,INDEX($V$1005:$AE$1005,1,MATCH(COLUMNS($V$1006:AB1006),$V$1006:$AE$1006,0))&gt;=100000), " ",IF(INDEX($V$2:$AE$1001,MATCH(ROWS($O$2:O684),$O$2:$O$1001,0),MATCH(COLUMNS($V$1006:AB1006),$V$1006:$AE$1006,0)), HYPERLINK("#",""), HYPERLINK(CONCATENATE("#Metadata!", ADDRESS(INDEX($Q$2:$Q$1001,MATCH(ROWS($O$2:O684),$O$2:$O$1001,0),0), INDEX($V$1004:$AE$1004,1,MATCH(COLUMNS($V$1006:AB1006),$V$1006:$AE$1006,0)))),"Fix")))</f>
        <v>0</v>
      </c>
      <c r="I684" s="3">
        <f>IF(OR(INDEX($P$2:$P$1001,MATCH(ROWS($O$2:O684),$O$2:$O$1001,0),1)&gt;=100000,INDEX($V$1005:$AE$1005,1,MATCH(COLUMNS($V$1006:AC1006),$V$1006:$AE$1006,0))&gt;=100000), " ",IF(INDEX($V$2:$AE$1001,MATCH(ROWS($O$2:O684),$O$2:$O$1001,0),MATCH(COLUMNS($V$1006:AC1006),$V$1006:$AE$1006,0)), HYPERLINK("#",""), HYPERLINK(CONCATENATE("#Metadata!", ADDRESS(INDEX($Q$2:$Q$1001,MATCH(ROWS($O$2:O684),$O$2:$O$1001,0),0), INDEX($V$1004:$AE$1004,1,MATCH(COLUMNS($V$1006:AC1006),$V$1006:$AE$1006,0)))),"Fix")))</f>
        <v>0</v>
      </c>
      <c r="J684" s="3">
        <f>IF(OR(INDEX($P$2:$P$1001,MATCH(ROWS($O$2:O684),$O$2:$O$1001,0),1)&gt;=100000,INDEX($V$1005:$AE$1005,1,MATCH(COLUMNS($V$1006:AD1006),$V$1006:$AE$1006,0))&gt;=100000), " ",IF(INDEX($V$2:$AE$1001,MATCH(ROWS($O$2:O684),$O$2:$O$1001,0),MATCH(COLUMNS($V$1006:AD1006),$V$1006:$AE$1006,0)), HYPERLINK("#",""), HYPERLINK(CONCATENATE("#Metadata!", ADDRESS(INDEX($Q$2:$Q$1001,MATCH(ROWS($O$2:O684),$O$2:$O$1001,0),0), INDEX($V$1004:$AE$1004,1,MATCH(COLUMNS($V$1006:AD1006),$V$1006:$AE$1006,0)))),"Fix")))</f>
        <v>0</v>
      </c>
      <c r="K684" s="3">
        <f>IF(OR(INDEX($P$2:$P$1001,MATCH(ROWS($O$2:O684),$O$2:$O$1001,0),1)&gt;=100000,INDEX($V$1005:$AE$1005,1,MATCH(COLUMNS($V$1006:AE1006),$V$1006:$AE$1006,0))&gt;=100000), " ",IF(INDEX($V$2:$AE$1001,MATCH(ROWS($O$2:O684),$O$2:$O$1001,0),MATCH(COLUMNS($V$1006:AE1006),$V$1006:$AE$1006,0)), HYPERLINK("#",""), HYPERLINK(CONCATENATE("#Metadata!", ADDRESS(INDEX($Q$2:$Q$1001,MATCH(ROWS($O$2:O684),$O$2:$O$1001,0),0), INDEX($V$1004:$AE$1004,1,MATCH(COLUMNS($V$1006:AE1006),$V$1006:$AE$1006,0)))),"Fix")))</f>
        <v>0</v>
      </c>
      <c r="O684">
        <v>0</v>
      </c>
      <c r="P684">
        <v>0</v>
      </c>
      <c r="Q684">
        <v>0</v>
      </c>
      <c r="R684">
        <f>IF(S684,TRUE,AND(V684:AE684))</f>
        <v>0</v>
      </c>
      <c r="S684">
        <f>COUNTBLANK(Metadata!B684:K684)=COLUMNS(Metadata!B684:K684)</f>
        <v>0</v>
      </c>
      <c r="T684">
        <v>0</v>
      </c>
      <c r="V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W684">
        <f>AND(IF(Metadata!C684="",FALSE,TRUE),exact(Metadata!C684,"animal secretion"))</f>
        <v>0</v>
      </c>
      <c r="X684">
        <f>AND(IF(Metadata!D684="",FALSE,TRUE),exact(Metadata!D684,"saliva"))</f>
        <v>0</v>
      </c>
      <c r="Y684">
        <f>AND(IF(Metadata!E684="",FALSE,TRUE),exact(Metadata!E684,"human-oral"))</f>
        <v>0</v>
      </c>
      <c r="Z684">
        <f>AND(IF(Metadata!F684="",FALSE,TRUE),exact(Metadata!F684,"UBERON:oral cavity"))</f>
        <v>0</v>
      </c>
      <c r="AA684">
        <f>AND(IF(Metadata!G684="",FALSE,TRUE),exact(Metadata!G684,"UBERON:saliva"))</f>
        <v>0</v>
      </c>
      <c r="AB684">
        <f>AND(IF(Metadata!H684="",FALSE,TRUE),exact(Metadata!H684,"UBERON:tongue"))</f>
        <v>0</v>
      </c>
      <c r="AC684">
        <f>AND(IF(Metadata!I684="",FALSE,TRUE),exact(Metadata!I684,"tongue"))</f>
        <v>0</v>
      </c>
      <c r="AD684">
        <f>AND(IF(Metadata!J684="",FALSE,TRUE),exact(Metadata!J684,"human oral metagenome"))</f>
        <v>0</v>
      </c>
      <c r="AE684">
        <f>AND(IF(Metadata!K684="",FALSE,TRUE),exact(Metadata!K684,"447426"))</f>
        <v>0</v>
      </c>
    </row>
    <row r="685" spans="1:31">
      <c r="A685" s="4">
        <f>IF(B685=" "," ",HYPERLINK(CONCATENATE("#metadata!",ADDRESS(INDEX($Q$2:$Q$1001,MATCH(ROWS($O$2:O685),$O$2:$O$1001,0),0),1)),INDEX($T$2:$T$1001,MATCH(ROWS($O$2:O685),$O$2:$O$1001,0),0)))</f>
        <v>0</v>
      </c>
      <c r="B685" s="3">
        <f>IF(OR(INDEX($P$2:$P$1001,MATCH(ROWS($O$2:O685),$O$2:$O$1001,0),1)&gt;=100000,INDEX($V$1005:$AE$1005,1,MATCH(COLUMNS($V$1006:V1006),$V$1006:$AE$1006,0))&gt;=100000), " ",IF(INDEX($V$2:$AE$1001,MATCH(ROWS($O$2:O685),$O$2:$O$1001,0),MATCH(COLUMNS($V$1006:V1006),$V$1006:$AE$1006,0)), HYPERLINK("#",""), HYPERLINK(CONCATENATE("#Metadata!", ADDRESS(INDEX($Q$2:$Q$1001,MATCH(ROWS($O$2:O685),$O$2:$O$1001,0),0), INDEX($V$1004:$AE$1004,1,MATCH(COLUMNS($V$1006:V1006),$V$1006:$AE$1006,0)))),"Fix")))</f>
        <v>0</v>
      </c>
      <c r="C685" s="3">
        <f>IF(OR(INDEX($P$2:$P$1001,MATCH(ROWS($O$2:O685),$O$2:$O$1001,0),1)&gt;=100000,INDEX($V$1005:$AE$1005,1,MATCH(COLUMNS($V$1006:W1006),$V$1006:$AE$1006,0))&gt;=100000), " ",IF(INDEX($V$2:$AE$1001,MATCH(ROWS($O$2:O685),$O$2:$O$1001,0),MATCH(COLUMNS($V$1006:W1006),$V$1006:$AE$1006,0)), HYPERLINK("#",""), HYPERLINK(CONCATENATE("#Metadata!", ADDRESS(INDEX($Q$2:$Q$1001,MATCH(ROWS($O$2:O685),$O$2:$O$1001,0),0), INDEX($V$1004:$AE$1004,1,MATCH(COLUMNS($V$1006:W1006),$V$1006:$AE$1006,0)))),"Fix")))</f>
        <v>0</v>
      </c>
      <c r="D685" s="3">
        <f>IF(OR(INDEX($P$2:$P$1001,MATCH(ROWS($O$2:O685),$O$2:$O$1001,0),1)&gt;=100000,INDEX($V$1005:$AE$1005,1,MATCH(COLUMNS($V$1006:X1006),$V$1006:$AE$1006,0))&gt;=100000), " ",IF(INDEX($V$2:$AE$1001,MATCH(ROWS($O$2:O685),$O$2:$O$1001,0),MATCH(COLUMNS($V$1006:X1006),$V$1006:$AE$1006,0)), HYPERLINK("#",""), HYPERLINK(CONCATENATE("#Metadata!", ADDRESS(INDEX($Q$2:$Q$1001,MATCH(ROWS($O$2:O685),$O$2:$O$1001,0),0), INDEX($V$1004:$AE$1004,1,MATCH(COLUMNS($V$1006:X1006),$V$1006:$AE$1006,0)))),"Fix")))</f>
        <v>0</v>
      </c>
      <c r="E685" s="3">
        <f>IF(OR(INDEX($P$2:$P$1001,MATCH(ROWS($O$2:O685),$O$2:$O$1001,0),1)&gt;=100000,INDEX($V$1005:$AE$1005,1,MATCH(COLUMNS($V$1006:Y1006),$V$1006:$AE$1006,0))&gt;=100000), " ",IF(INDEX($V$2:$AE$1001,MATCH(ROWS($O$2:O685),$O$2:$O$1001,0),MATCH(COLUMNS($V$1006:Y1006),$V$1006:$AE$1006,0)), HYPERLINK("#",""), HYPERLINK(CONCATENATE("#Metadata!", ADDRESS(INDEX($Q$2:$Q$1001,MATCH(ROWS($O$2:O685),$O$2:$O$1001,0),0), INDEX($V$1004:$AE$1004,1,MATCH(COLUMNS($V$1006:Y1006),$V$1006:$AE$1006,0)))),"Fix")))</f>
        <v>0</v>
      </c>
      <c r="F685" s="3">
        <f>IF(OR(INDEX($P$2:$P$1001,MATCH(ROWS($O$2:O685),$O$2:$O$1001,0),1)&gt;=100000,INDEX($V$1005:$AE$1005,1,MATCH(COLUMNS($V$1006:Z1006),$V$1006:$AE$1006,0))&gt;=100000), " ",IF(INDEX($V$2:$AE$1001,MATCH(ROWS($O$2:O685),$O$2:$O$1001,0),MATCH(COLUMNS($V$1006:Z1006),$V$1006:$AE$1006,0)), HYPERLINK("#",""), HYPERLINK(CONCATENATE("#Metadata!", ADDRESS(INDEX($Q$2:$Q$1001,MATCH(ROWS($O$2:O685),$O$2:$O$1001,0),0), INDEX($V$1004:$AE$1004,1,MATCH(COLUMNS($V$1006:Z1006),$V$1006:$AE$1006,0)))),"Fix")))</f>
        <v>0</v>
      </c>
      <c r="G685" s="3">
        <f>IF(OR(INDEX($P$2:$P$1001,MATCH(ROWS($O$2:O685),$O$2:$O$1001,0),1)&gt;=100000,INDEX($V$1005:$AE$1005,1,MATCH(COLUMNS($V$1006:AA1006),$V$1006:$AE$1006,0))&gt;=100000), " ",IF(INDEX($V$2:$AE$1001,MATCH(ROWS($O$2:O685),$O$2:$O$1001,0),MATCH(COLUMNS($V$1006:AA1006),$V$1006:$AE$1006,0)), HYPERLINK("#",""), HYPERLINK(CONCATENATE("#Metadata!", ADDRESS(INDEX($Q$2:$Q$1001,MATCH(ROWS($O$2:O685),$O$2:$O$1001,0),0), INDEX($V$1004:$AE$1004,1,MATCH(COLUMNS($V$1006:AA1006),$V$1006:$AE$1006,0)))),"Fix")))</f>
        <v>0</v>
      </c>
      <c r="H685" s="3">
        <f>IF(OR(INDEX($P$2:$P$1001,MATCH(ROWS($O$2:O685),$O$2:$O$1001,0),1)&gt;=100000,INDEX($V$1005:$AE$1005,1,MATCH(COLUMNS($V$1006:AB1006),$V$1006:$AE$1006,0))&gt;=100000), " ",IF(INDEX($V$2:$AE$1001,MATCH(ROWS($O$2:O685),$O$2:$O$1001,0),MATCH(COLUMNS($V$1006:AB1006),$V$1006:$AE$1006,0)), HYPERLINK("#",""), HYPERLINK(CONCATENATE("#Metadata!", ADDRESS(INDEX($Q$2:$Q$1001,MATCH(ROWS($O$2:O685),$O$2:$O$1001,0),0), INDEX($V$1004:$AE$1004,1,MATCH(COLUMNS($V$1006:AB1006),$V$1006:$AE$1006,0)))),"Fix")))</f>
        <v>0</v>
      </c>
      <c r="I685" s="3">
        <f>IF(OR(INDEX($P$2:$P$1001,MATCH(ROWS($O$2:O685),$O$2:$O$1001,0),1)&gt;=100000,INDEX($V$1005:$AE$1005,1,MATCH(COLUMNS($V$1006:AC1006),$V$1006:$AE$1006,0))&gt;=100000), " ",IF(INDEX($V$2:$AE$1001,MATCH(ROWS($O$2:O685),$O$2:$O$1001,0),MATCH(COLUMNS($V$1006:AC1006),$V$1006:$AE$1006,0)), HYPERLINK("#",""), HYPERLINK(CONCATENATE("#Metadata!", ADDRESS(INDEX($Q$2:$Q$1001,MATCH(ROWS($O$2:O685),$O$2:$O$1001,0),0), INDEX($V$1004:$AE$1004,1,MATCH(COLUMNS($V$1006:AC1006),$V$1006:$AE$1006,0)))),"Fix")))</f>
        <v>0</v>
      </c>
      <c r="J685" s="3">
        <f>IF(OR(INDEX($P$2:$P$1001,MATCH(ROWS($O$2:O685),$O$2:$O$1001,0),1)&gt;=100000,INDEX($V$1005:$AE$1005,1,MATCH(COLUMNS($V$1006:AD1006),$V$1006:$AE$1006,0))&gt;=100000), " ",IF(INDEX($V$2:$AE$1001,MATCH(ROWS($O$2:O685),$O$2:$O$1001,0),MATCH(COLUMNS($V$1006:AD1006),$V$1006:$AE$1006,0)), HYPERLINK("#",""), HYPERLINK(CONCATENATE("#Metadata!", ADDRESS(INDEX($Q$2:$Q$1001,MATCH(ROWS($O$2:O685),$O$2:$O$1001,0),0), INDEX($V$1004:$AE$1004,1,MATCH(COLUMNS($V$1006:AD1006),$V$1006:$AE$1006,0)))),"Fix")))</f>
        <v>0</v>
      </c>
      <c r="K685" s="3">
        <f>IF(OR(INDEX($P$2:$P$1001,MATCH(ROWS($O$2:O685),$O$2:$O$1001,0),1)&gt;=100000,INDEX($V$1005:$AE$1005,1,MATCH(COLUMNS($V$1006:AE1006),$V$1006:$AE$1006,0))&gt;=100000), " ",IF(INDEX($V$2:$AE$1001,MATCH(ROWS($O$2:O685),$O$2:$O$1001,0),MATCH(COLUMNS($V$1006:AE1006),$V$1006:$AE$1006,0)), HYPERLINK("#",""), HYPERLINK(CONCATENATE("#Metadata!", ADDRESS(INDEX($Q$2:$Q$1001,MATCH(ROWS($O$2:O685),$O$2:$O$1001,0),0), INDEX($V$1004:$AE$1004,1,MATCH(COLUMNS($V$1006:AE1006),$V$1006:$AE$1006,0)))),"Fix")))</f>
        <v>0</v>
      </c>
      <c r="O685">
        <v>0</v>
      </c>
      <c r="P685">
        <v>0</v>
      </c>
      <c r="Q685">
        <v>0</v>
      </c>
      <c r="R685">
        <f>IF(S685,TRUE,AND(V685:AE685))</f>
        <v>0</v>
      </c>
      <c r="S685">
        <f>COUNTBLANK(Metadata!B685:K685)=COLUMNS(Metadata!B685:K685)</f>
        <v>0</v>
      </c>
      <c r="T685">
        <v>0</v>
      </c>
      <c r="V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W685">
        <f>AND(IF(Metadata!C685="",FALSE,TRUE),exact(Metadata!C685,"animal secretion"))</f>
        <v>0</v>
      </c>
      <c r="X685">
        <f>AND(IF(Metadata!D685="",FALSE,TRUE),exact(Metadata!D685,"saliva"))</f>
        <v>0</v>
      </c>
      <c r="Y685">
        <f>AND(IF(Metadata!E685="",FALSE,TRUE),exact(Metadata!E685,"human-oral"))</f>
        <v>0</v>
      </c>
      <c r="Z685">
        <f>AND(IF(Metadata!F685="",FALSE,TRUE),exact(Metadata!F685,"UBERON:oral cavity"))</f>
        <v>0</v>
      </c>
      <c r="AA685">
        <f>AND(IF(Metadata!G685="",FALSE,TRUE),exact(Metadata!G685,"UBERON:saliva"))</f>
        <v>0</v>
      </c>
      <c r="AB685">
        <f>AND(IF(Metadata!H685="",FALSE,TRUE),exact(Metadata!H685,"UBERON:tongue"))</f>
        <v>0</v>
      </c>
      <c r="AC685">
        <f>AND(IF(Metadata!I685="",FALSE,TRUE),exact(Metadata!I685,"tongue"))</f>
        <v>0</v>
      </c>
      <c r="AD685">
        <f>AND(IF(Metadata!J685="",FALSE,TRUE),exact(Metadata!J685,"human oral metagenome"))</f>
        <v>0</v>
      </c>
      <c r="AE685">
        <f>AND(IF(Metadata!K685="",FALSE,TRUE),exact(Metadata!K685,"447426"))</f>
        <v>0</v>
      </c>
    </row>
    <row r="686" spans="1:31">
      <c r="A686" s="4">
        <f>IF(B686=" "," ",HYPERLINK(CONCATENATE("#metadata!",ADDRESS(INDEX($Q$2:$Q$1001,MATCH(ROWS($O$2:O686),$O$2:$O$1001,0),0),1)),INDEX($T$2:$T$1001,MATCH(ROWS($O$2:O686),$O$2:$O$1001,0),0)))</f>
        <v>0</v>
      </c>
      <c r="B686" s="3">
        <f>IF(OR(INDEX($P$2:$P$1001,MATCH(ROWS($O$2:O686),$O$2:$O$1001,0),1)&gt;=100000,INDEX($V$1005:$AE$1005,1,MATCH(COLUMNS($V$1006:V1006),$V$1006:$AE$1006,0))&gt;=100000), " ",IF(INDEX($V$2:$AE$1001,MATCH(ROWS($O$2:O686),$O$2:$O$1001,0),MATCH(COLUMNS($V$1006:V1006),$V$1006:$AE$1006,0)), HYPERLINK("#",""), HYPERLINK(CONCATENATE("#Metadata!", ADDRESS(INDEX($Q$2:$Q$1001,MATCH(ROWS($O$2:O686),$O$2:$O$1001,0),0), INDEX($V$1004:$AE$1004,1,MATCH(COLUMNS($V$1006:V1006),$V$1006:$AE$1006,0)))),"Fix")))</f>
        <v>0</v>
      </c>
      <c r="C686" s="3">
        <f>IF(OR(INDEX($P$2:$P$1001,MATCH(ROWS($O$2:O686),$O$2:$O$1001,0),1)&gt;=100000,INDEX($V$1005:$AE$1005,1,MATCH(COLUMNS($V$1006:W1006),$V$1006:$AE$1006,0))&gt;=100000), " ",IF(INDEX($V$2:$AE$1001,MATCH(ROWS($O$2:O686),$O$2:$O$1001,0),MATCH(COLUMNS($V$1006:W1006),$V$1006:$AE$1006,0)), HYPERLINK("#",""), HYPERLINK(CONCATENATE("#Metadata!", ADDRESS(INDEX($Q$2:$Q$1001,MATCH(ROWS($O$2:O686),$O$2:$O$1001,0),0), INDEX($V$1004:$AE$1004,1,MATCH(COLUMNS($V$1006:W1006),$V$1006:$AE$1006,0)))),"Fix")))</f>
        <v>0</v>
      </c>
      <c r="D686" s="3">
        <f>IF(OR(INDEX($P$2:$P$1001,MATCH(ROWS($O$2:O686),$O$2:$O$1001,0),1)&gt;=100000,INDEX($V$1005:$AE$1005,1,MATCH(COLUMNS($V$1006:X1006),$V$1006:$AE$1006,0))&gt;=100000), " ",IF(INDEX($V$2:$AE$1001,MATCH(ROWS($O$2:O686),$O$2:$O$1001,0),MATCH(COLUMNS($V$1006:X1006),$V$1006:$AE$1006,0)), HYPERLINK("#",""), HYPERLINK(CONCATENATE("#Metadata!", ADDRESS(INDEX($Q$2:$Q$1001,MATCH(ROWS($O$2:O686),$O$2:$O$1001,0),0), INDEX($V$1004:$AE$1004,1,MATCH(COLUMNS($V$1006:X1006),$V$1006:$AE$1006,0)))),"Fix")))</f>
        <v>0</v>
      </c>
      <c r="E686" s="3">
        <f>IF(OR(INDEX($P$2:$P$1001,MATCH(ROWS($O$2:O686),$O$2:$O$1001,0),1)&gt;=100000,INDEX($V$1005:$AE$1005,1,MATCH(COLUMNS($V$1006:Y1006),$V$1006:$AE$1006,0))&gt;=100000), " ",IF(INDEX($V$2:$AE$1001,MATCH(ROWS($O$2:O686),$O$2:$O$1001,0),MATCH(COLUMNS($V$1006:Y1006),$V$1006:$AE$1006,0)), HYPERLINK("#",""), HYPERLINK(CONCATENATE("#Metadata!", ADDRESS(INDEX($Q$2:$Q$1001,MATCH(ROWS($O$2:O686),$O$2:$O$1001,0),0), INDEX($V$1004:$AE$1004,1,MATCH(COLUMNS($V$1006:Y1006),$V$1006:$AE$1006,0)))),"Fix")))</f>
        <v>0</v>
      </c>
      <c r="F686" s="3">
        <f>IF(OR(INDEX($P$2:$P$1001,MATCH(ROWS($O$2:O686),$O$2:$O$1001,0),1)&gt;=100000,INDEX($V$1005:$AE$1005,1,MATCH(COLUMNS($V$1006:Z1006),$V$1006:$AE$1006,0))&gt;=100000), " ",IF(INDEX($V$2:$AE$1001,MATCH(ROWS($O$2:O686),$O$2:$O$1001,0),MATCH(COLUMNS($V$1006:Z1006),$V$1006:$AE$1006,0)), HYPERLINK("#",""), HYPERLINK(CONCATENATE("#Metadata!", ADDRESS(INDEX($Q$2:$Q$1001,MATCH(ROWS($O$2:O686),$O$2:$O$1001,0),0), INDEX($V$1004:$AE$1004,1,MATCH(COLUMNS($V$1006:Z1006),$V$1006:$AE$1006,0)))),"Fix")))</f>
        <v>0</v>
      </c>
      <c r="G686" s="3">
        <f>IF(OR(INDEX($P$2:$P$1001,MATCH(ROWS($O$2:O686),$O$2:$O$1001,0),1)&gt;=100000,INDEX($V$1005:$AE$1005,1,MATCH(COLUMNS($V$1006:AA1006),$V$1006:$AE$1006,0))&gt;=100000), " ",IF(INDEX($V$2:$AE$1001,MATCH(ROWS($O$2:O686),$O$2:$O$1001,0),MATCH(COLUMNS($V$1006:AA1006),$V$1006:$AE$1006,0)), HYPERLINK("#",""), HYPERLINK(CONCATENATE("#Metadata!", ADDRESS(INDEX($Q$2:$Q$1001,MATCH(ROWS($O$2:O686),$O$2:$O$1001,0),0), INDEX($V$1004:$AE$1004,1,MATCH(COLUMNS($V$1006:AA1006),$V$1006:$AE$1006,0)))),"Fix")))</f>
        <v>0</v>
      </c>
      <c r="H686" s="3">
        <f>IF(OR(INDEX($P$2:$P$1001,MATCH(ROWS($O$2:O686),$O$2:$O$1001,0),1)&gt;=100000,INDEX($V$1005:$AE$1005,1,MATCH(COLUMNS($V$1006:AB1006),$V$1006:$AE$1006,0))&gt;=100000), " ",IF(INDEX($V$2:$AE$1001,MATCH(ROWS($O$2:O686),$O$2:$O$1001,0),MATCH(COLUMNS($V$1006:AB1006),$V$1006:$AE$1006,0)), HYPERLINK("#",""), HYPERLINK(CONCATENATE("#Metadata!", ADDRESS(INDEX($Q$2:$Q$1001,MATCH(ROWS($O$2:O686),$O$2:$O$1001,0),0), INDEX($V$1004:$AE$1004,1,MATCH(COLUMNS($V$1006:AB1006),$V$1006:$AE$1006,0)))),"Fix")))</f>
        <v>0</v>
      </c>
      <c r="I686" s="3">
        <f>IF(OR(INDEX($P$2:$P$1001,MATCH(ROWS($O$2:O686),$O$2:$O$1001,0),1)&gt;=100000,INDEX($V$1005:$AE$1005,1,MATCH(COLUMNS($V$1006:AC1006),$V$1006:$AE$1006,0))&gt;=100000), " ",IF(INDEX($V$2:$AE$1001,MATCH(ROWS($O$2:O686),$O$2:$O$1001,0),MATCH(COLUMNS($V$1006:AC1006),$V$1006:$AE$1006,0)), HYPERLINK("#",""), HYPERLINK(CONCATENATE("#Metadata!", ADDRESS(INDEX($Q$2:$Q$1001,MATCH(ROWS($O$2:O686),$O$2:$O$1001,0),0), INDEX($V$1004:$AE$1004,1,MATCH(COLUMNS($V$1006:AC1006),$V$1006:$AE$1006,0)))),"Fix")))</f>
        <v>0</v>
      </c>
      <c r="J686" s="3">
        <f>IF(OR(INDEX($P$2:$P$1001,MATCH(ROWS($O$2:O686),$O$2:$O$1001,0),1)&gt;=100000,INDEX($V$1005:$AE$1005,1,MATCH(COLUMNS($V$1006:AD1006),$V$1006:$AE$1006,0))&gt;=100000), " ",IF(INDEX($V$2:$AE$1001,MATCH(ROWS($O$2:O686),$O$2:$O$1001,0),MATCH(COLUMNS($V$1006:AD1006),$V$1006:$AE$1006,0)), HYPERLINK("#",""), HYPERLINK(CONCATENATE("#Metadata!", ADDRESS(INDEX($Q$2:$Q$1001,MATCH(ROWS($O$2:O686),$O$2:$O$1001,0),0), INDEX($V$1004:$AE$1004,1,MATCH(COLUMNS($V$1006:AD1006),$V$1006:$AE$1006,0)))),"Fix")))</f>
        <v>0</v>
      </c>
      <c r="K686" s="3">
        <f>IF(OR(INDEX($P$2:$P$1001,MATCH(ROWS($O$2:O686),$O$2:$O$1001,0),1)&gt;=100000,INDEX($V$1005:$AE$1005,1,MATCH(COLUMNS($V$1006:AE1006),$V$1006:$AE$1006,0))&gt;=100000), " ",IF(INDEX($V$2:$AE$1001,MATCH(ROWS($O$2:O686),$O$2:$O$1001,0),MATCH(COLUMNS($V$1006:AE1006),$V$1006:$AE$1006,0)), HYPERLINK("#",""), HYPERLINK(CONCATENATE("#Metadata!", ADDRESS(INDEX($Q$2:$Q$1001,MATCH(ROWS($O$2:O686),$O$2:$O$1001,0),0), INDEX($V$1004:$AE$1004,1,MATCH(COLUMNS($V$1006:AE1006),$V$1006:$AE$1006,0)))),"Fix")))</f>
        <v>0</v>
      </c>
      <c r="O686">
        <v>0</v>
      </c>
      <c r="P686">
        <v>0</v>
      </c>
      <c r="Q686">
        <v>0</v>
      </c>
      <c r="R686">
        <f>IF(S686,TRUE,AND(V686:AE686))</f>
        <v>0</v>
      </c>
      <c r="S686">
        <f>COUNTBLANK(Metadata!B686:K686)=COLUMNS(Metadata!B686:K686)</f>
        <v>0</v>
      </c>
      <c r="T686">
        <v>0</v>
      </c>
      <c r="V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W686">
        <f>AND(IF(Metadata!C686="",FALSE,TRUE),exact(Metadata!C686,"animal secretion"))</f>
        <v>0</v>
      </c>
      <c r="X686">
        <f>AND(IF(Metadata!D686="",FALSE,TRUE),exact(Metadata!D686,"saliva"))</f>
        <v>0</v>
      </c>
      <c r="Y686">
        <f>AND(IF(Metadata!E686="",FALSE,TRUE),exact(Metadata!E686,"human-oral"))</f>
        <v>0</v>
      </c>
      <c r="Z686">
        <f>AND(IF(Metadata!F686="",FALSE,TRUE),exact(Metadata!F686,"UBERON:oral cavity"))</f>
        <v>0</v>
      </c>
      <c r="AA686">
        <f>AND(IF(Metadata!G686="",FALSE,TRUE),exact(Metadata!G686,"UBERON:saliva"))</f>
        <v>0</v>
      </c>
      <c r="AB686">
        <f>AND(IF(Metadata!H686="",FALSE,TRUE),exact(Metadata!H686,"UBERON:tongue"))</f>
        <v>0</v>
      </c>
      <c r="AC686">
        <f>AND(IF(Metadata!I686="",FALSE,TRUE),exact(Metadata!I686,"tongue"))</f>
        <v>0</v>
      </c>
      <c r="AD686">
        <f>AND(IF(Metadata!J686="",FALSE,TRUE),exact(Metadata!J686,"human oral metagenome"))</f>
        <v>0</v>
      </c>
      <c r="AE686">
        <f>AND(IF(Metadata!K686="",FALSE,TRUE),exact(Metadata!K686,"447426"))</f>
        <v>0</v>
      </c>
    </row>
    <row r="687" spans="1:31">
      <c r="A687" s="4">
        <f>IF(B687=" "," ",HYPERLINK(CONCATENATE("#metadata!",ADDRESS(INDEX($Q$2:$Q$1001,MATCH(ROWS($O$2:O687),$O$2:$O$1001,0),0),1)),INDEX($T$2:$T$1001,MATCH(ROWS($O$2:O687),$O$2:$O$1001,0),0)))</f>
        <v>0</v>
      </c>
      <c r="B687" s="3">
        <f>IF(OR(INDEX($P$2:$P$1001,MATCH(ROWS($O$2:O687),$O$2:$O$1001,0),1)&gt;=100000,INDEX($V$1005:$AE$1005,1,MATCH(COLUMNS($V$1006:V1006),$V$1006:$AE$1006,0))&gt;=100000), " ",IF(INDEX($V$2:$AE$1001,MATCH(ROWS($O$2:O687),$O$2:$O$1001,0),MATCH(COLUMNS($V$1006:V1006),$V$1006:$AE$1006,0)), HYPERLINK("#",""), HYPERLINK(CONCATENATE("#Metadata!", ADDRESS(INDEX($Q$2:$Q$1001,MATCH(ROWS($O$2:O687),$O$2:$O$1001,0),0), INDEX($V$1004:$AE$1004,1,MATCH(COLUMNS($V$1006:V1006),$V$1006:$AE$1006,0)))),"Fix")))</f>
        <v>0</v>
      </c>
      <c r="C687" s="3">
        <f>IF(OR(INDEX($P$2:$P$1001,MATCH(ROWS($O$2:O687),$O$2:$O$1001,0),1)&gt;=100000,INDEX($V$1005:$AE$1005,1,MATCH(COLUMNS($V$1006:W1006),$V$1006:$AE$1006,0))&gt;=100000), " ",IF(INDEX($V$2:$AE$1001,MATCH(ROWS($O$2:O687),$O$2:$O$1001,0),MATCH(COLUMNS($V$1006:W1006),$V$1006:$AE$1006,0)), HYPERLINK("#",""), HYPERLINK(CONCATENATE("#Metadata!", ADDRESS(INDEX($Q$2:$Q$1001,MATCH(ROWS($O$2:O687),$O$2:$O$1001,0),0), INDEX($V$1004:$AE$1004,1,MATCH(COLUMNS($V$1006:W1006),$V$1006:$AE$1006,0)))),"Fix")))</f>
        <v>0</v>
      </c>
      <c r="D687" s="3">
        <f>IF(OR(INDEX($P$2:$P$1001,MATCH(ROWS($O$2:O687),$O$2:$O$1001,0),1)&gt;=100000,INDEX($V$1005:$AE$1005,1,MATCH(COLUMNS($V$1006:X1006),$V$1006:$AE$1006,0))&gt;=100000), " ",IF(INDEX($V$2:$AE$1001,MATCH(ROWS($O$2:O687),$O$2:$O$1001,0),MATCH(COLUMNS($V$1006:X1006),$V$1006:$AE$1006,0)), HYPERLINK("#",""), HYPERLINK(CONCATENATE("#Metadata!", ADDRESS(INDEX($Q$2:$Q$1001,MATCH(ROWS($O$2:O687),$O$2:$O$1001,0),0), INDEX($V$1004:$AE$1004,1,MATCH(COLUMNS($V$1006:X1006),$V$1006:$AE$1006,0)))),"Fix")))</f>
        <v>0</v>
      </c>
      <c r="E687" s="3">
        <f>IF(OR(INDEX($P$2:$P$1001,MATCH(ROWS($O$2:O687),$O$2:$O$1001,0),1)&gt;=100000,INDEX($V$1005:$AE$1005,1,MATCH(COLUMNS($V$1006:Y1006),$V$1006:$AE$1006,0))&gt;=100000), " ",IF(INDEX($V$2:$AE$1001,MATCH(ROWS($O$2:O687),$O$2:$O$1001,0),MATCH(COLUMNS($V$1006:Y1006),$V$1006:$AE$1006,0)), HYPERLINK("#",""), HYPERLINK(CONCATENATE("#Metadata!", ADDRESS(INDEX($Q$2:$Q$1001,MATCH(ROWS($O$2:O687),$O$2:$O$1001,0),0), INDEX($V$1004:$AE$1004,1,MATCH(COLUMNS($V$1006:Y1006),$V$1006:$AE$1006,0)))),"Fix")))</f>
        <v>0</v>
      </c>
      <c r="F687" s="3">
        <f>IF(OR(INDEX($P$2:$P$1001,MATCH(ROWS($O$2:O687),$O$2:$O$1001,0),1)&gt;=100000,INDEX($V$1005:$AE$1005,1,MATCH(COLUMNS($V$1006:Z1006),$V$1006:$AE$1006,0))&gt;=100000), " ",IF(INDEX($V$2:$AE$1001,MATCH(ROWS($O$2:O687),$O$2:$O$1001,0),MATCH(COLUMNS($V$1006:Z1006),$V$1006:$AE$1006,0)), HYPERLINK("#",""), HYPERLINK(CONCATENATE("#Metadata!", ADDRESS(INDEX($Q$2:$Q$1001,MATCH(ROWS($O$2:O687),$O$2:$O$1001,0),0), INDEX($V$1004:$AE$1004,1,MATCH(COLUMNS($V$1006:Z1006),$V$1006:$AE$1006,0)))),"Fix")))</f>
        <v>0</v>
      </c>
      <c r="G687" s="3">
        <f>IF(OR(INDEX($P$2:$P$1001,MATCH(ROWS($O$2:O687),$O$2:$O$1001,0),1)&gt;=100000,INDEX($V$1005:$AE$1005,1,MATCH(COLUMNS($V$1006:AA1006),$V$1006:$AE$1006,0))&gt;=100000), " ",IF(INDEX($V$2:$AE$1001,MATCH(ROWS($O$2:O687),$O$2:$O$1001,0),MATCH(COLUMNS($V$1006:AA1006),$V$1006:$AE$1006,0)), HYPERLINK("#",""), HYPERLINK(CONCATENATE("#Metadata!", ADDRESS(INDEX($Q$2:$Q$1001,MATCH(ROWS($O$2:O687),$O$2:$O$1001,0),0), INDEX($V$1004:$AE$1004,1,MATCH(COLUMNS($V$1006:AA1006),$V$1006:$AE$1006,0)))),"Fix")))</f>
        <v>0</v>
      </c>
      <c r="H687" s="3">
        <f>IF(OR(INDEX($P$2:$P$1001,MATCH(ROWS($O$2:O687),$O$2:$O$1001,0),1)&gt;=100000,INDEX($V$1005:$AE$1005,1,MATCH(COLUMNS($V$1006:AB1006),$V$1006:$AE$1006,0))&gt;=100000), " ",IF(INDEX($V$2:$AE$1001,MATCH(ROWS($O$2:O687),$O$2:$O$1001,0),MATCH(COLUMNS($V$1006:AB1006),$V$1006:$AE$1006,0)), HYPERLINK("#",""), HYPERLINK(CONCATENATE("#Metadata!", ADDRESS(INDEX($Q$2:$Q$1001,MATCH(ROWS($O$2:O687),$O$2:$O$1001,0),0), INDEX($V$1004:$AE$1004,1,MATCH(COLUMNS($V$1006:AB1006),$V$1006:$AE$1006,0)))),"Fix")))</f>
        <v>0</v>
      </c>
      <c r="I687" s="3">
        <f>IF(OR(INDEX($P$2:$P$1001,MATCH(ROWS($O$2:O687),$O$2:$O$1001,0),1)&gt;=100000,INDEX($V$1005:$AE$1005,1,MATCH(COLUMNS($V$1006:AC1006),$V$1006:$AE$1006,0))&gt;=100000), " ",IF(INDEX($V$2:$AE$1001,MATCH(ROWS($O$2:O687),$O$2:$O$1001,0),MATCH(COLUMNS($V$1006:AC1006),$V$1006:$AE$1006,0)), HYPERLINK("#",""), HYPERLINK(CONCATENATE("#Metadata!", ADDRESS(INDEX($Q$2:$Q$1001,MATCH(ROWS($O$2:O687),$O$2:$O$1001,0),0), INDEX($V$1004:$AE$1004,1,MATCH(COLUMNS($V$1006:AC1006),$V$1006:$AE$1006,0)))),"Fix")))</f>
        <v>0</v>
      </c>
      <c r="J687" s="3">
        <f>IF(OR(INDEX($P$2:$P$1001,MATCH(ROWS($O$2:O687),$O$2:$O$1001,0),1)&gt;=100000,INDEX($V$1005:$AE$1005,1,MATCH(COLUMNS($V$1006:AD1006),$V$1006:$AE$1006,0))&gt;=100000), " ",IF(INDEX($V$2:$AE$1001,MATCH(ROWS($O$2:O687),$O$2:$O$1001,0),MATCH(COLUMNS($V$1006:AD1006),$V$1006:$AE$1006,0)), HYPERLINK("#",""), HYPERLINK(CONCATENATE("#Metadata!", ADDRESS(INDEX($Q$2:$Q$1001,MATCH(ROWS($O$2:O687),$O$2:$O$1001,0),0), INDEX($V$1004:$AE$1004,1,MATCH(COLUMNS($V$1006:AD1006),$V$1006:$AE$1006,0)))),"Fix")))</f>
        <v>0</v>
      </c>
      <c r="K687" s="3">
        <f>IF(OR(INDEX($P$2:$P$1001,MATCH(ROWS($O$2:O687),$O$2:$O$1001,0),1)&gt;=100000,INDEX($V$1005:$AE$1005,1,MATCH(COLUMNS($V$1006:AE1006),$V$1006:$AE$1006,0))&gt;=100000), " ",IF(INDEX($V$2:$AE$1001,MATCH(ROWS($O$2:O687),$O$2:$O$1001,0),MATCH(COLUMNS($V$1006:AE1006),$V$1006:$AE$1006,0)), HYPERLINK("#",""), HYPERLINK(CONCATENATE("#Metadata!", ADDRESS(INDEX($Q$2:$Q$1001,MATCH(ROWS($O$2:O687),$O$2:$O$1001,0),0), INDEX($V$1004:$AE$1004,1,MATCH(COLUMNS($V$1006:AE1006),$V$1006:$AE$1006,0)))),"Fix")))</f>
        <v>0</v>
      </c>
      <c r="O687">
        <v>0</v>
      </c>
      <c r="P687">
        <v>0</v>
      </c>
      <c r="Q687">
        <v>0</v>
      </c>
      <c r="R687">
        <f>IF(S687,TRUE,AND(V687:AE687))</f>
        <v>0</v>
      </c>
      <c r="S687">
        <f>COUNTBLANK(Metadata!B687:K687)=COLUMNS(Metadata!B687:K687)</f>
        <v>0</v>
      </c>
      <c r="T687">
        <v>0</v>
      </c>
      <c r="V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W687">
        <f>AND(IF(Metadata!C687="",FALSE,TRUE),exact(Metadata!C687,"animal secretion"))</f>
        <v>0</v>
      </c>
      <c r="X687">
        <f>AND(IF(Metadata!D687="",FALSE,TRUE),exact(Metadata!D687,"saliva"))</f>
        <v>0</v>
      </c>
      <c r="Y687">
        <f>AND(IF(Metadata!E687="",FALSE,TRUE),exact(Metadata!E687,"human-oral"))</f>
        <v>0</v>
      </c>
      <c r="Z687">
        <f>AND(IF(Metadata!F687="",FALSE,TRUE),exact(Metadata!F687,"UBERON:oral cavity"))</f>
        <v>0</v>
      </c>
      <c r="AA687">
        <f>AND(IF(Metadata!G687="",FALSE,TRUE),exact(Metadata!G687,"UBERON:saliva"))</f>
        <v>0</v>
      </c>
      <c r="AB687">
        <f>AND(IF(Metadata!H687="",FALSE,TRUE),exact(Metadata!H687,"UBERON:tongue"))</f>
        <v>0</v>
      </c>
      <c r="AC687">
        <f>AND(IF(Metadata!I687="",FALSE,TRUE),exact(Metadata!I687,"tongue"))</f>
        <v>0</v>
      </c>
      <c r="AD687">
        <f>AND(IF(Metadata!J687="",FALSE,TRUE),exact(Metadata!J687,"human oral metagenome"))</f>
        <v>0</v>
      </c>
      <c r="AE687">
        <f>AND(IF(Metadata!K687="",FALSE,TRUE),exact(Metadata!K687,"447426"))</f>
        <v>0</v>
      </c>
    </row>
    <row r="688" spans="1:31">
      <c r="A688" s="4">
        <f>IF(B688=" "," ",HYPERLINK(CONCATENATE("#metadata!",ADDRESS(INDEX($Q$2:$Q$1001,MATCH(ROWS($O$2:O688),$O$2:$O$1001,0),0),1)),INDEX($T$2:$T$1001,MATCH(ROWS($O$2:O688),$O$2:$O$1001,0),0)))</f>
        <v>0</v>
      </c>
      <c r="B688" s="3">
        <f>IF(OR(INDEX($P$2:$P$1001,MATCH(ROWS($O$2:O688),$O$2:$O$1001,0),1)&gt;=100000,INDEX($V$1005:$AE$1005,1,MATCH(COLUMNS($V$1006:V1006),$V$1006:$AE$1006,0))&gt;=100000), " ",IF(INDEX($V$2:$AE$1001,MATCH(ROWS($O$2:O688),$O$2:$O$1001,0),MATCH(COLUMNS($V$1006:V1006),$V$1006:$AE$1006,0)), HYPERLINK("#",""), HYPERLINK(CONCATENATE("#Metadata!", ADDRESS(INDEX($Q$2:$Q$1001,MATCH(ROWS($O$2:O688),$O$2:$O$1001,0),0), INDEX($V$1004:$AE$1004,1,MATCH(COLUMNS($V$1006:V1006),$V$1006:$AE$1006,0)))),"Fix")))</f>
        <v>0</v>
      </c>
      <c r="C688" s="3">
        <f>IF(OR(INDEX($P$2:$P$1001,MATCH(ROWS($O$2:O688),$O$2:$O$1001,0),1)&gt;=100000,INDEX($V$1005:$AE$1005,1,MATCH(COLUMNS($V$1006:W1006),$V$1006:$AE$1006,0))&gt;=100000), " ",IF(INDEX($V$2:$AE$1001,MATCH(ROWS($O$2:O688),$O$2:$O$1001,0),MATCH(COLUMNS($V$1006:W1006),$V$1006:$AE$1006,0)), HYPERLINK("#",""), HYPERLINK(CONCATENATE("#Metadata!", ADDRESS(INDEX($Q$2:$Q$1001,MATCH(ROWS($O$2:O688),$O$2:$O$1001,0),0), INDEX($V$1004:$AE$1004,1,MATCH(COLUMNS($V$1006:W1006),$V$1006:$AE$1006,0)))),"Fix")))</f>
        <v>0</v>
      </c>
      <c r="D688" s="3">
        <f>IF(OR(INDEX($P$2:$P$1001,MATCH(ROWS($O$2:O688),$O$2:$O$1001,0),1)&gt;=100000,INDEX($V$1005:$AE$1005,1,MATCH(COLUMNS($V$1006:X1006),$V$1006:$AE$1006,0))&gt;=100000), " ",IF(INDEX($V$2:$AE$1001,MATCH(ROWS($O$2:O688),$O$2:$O$1001,0),MATCH(COLUMNS($V$1006:X1006),$V$1006:$AE$1006,0)), HYPERLINK("#",""), HYPERLINK(CONCATENATE("#Metadata!", ADDRESS(INDEX($Q$2:$Q$1001,MATCH(ROWS($O$2:O688),$O$2:$O$1001,0),0), INDEX($V$1004:$AE$1004,1,MATCH(COLUMNS($V$1006:X1006),$V$1006:$AE$1006,0)))),"Fix")))</f>
        <v>0</v>
      </c>
      <c r="E688" s="3">
        <f>IF(OR(INDEX($P$2:$P$1001,MATCH(ROWS($O$2:O688),$O$2:$O$1001,0),1)&gt;=100000,INDEX($V$1005:$AE$1005,1,MATCH(COLUMNS($V$1006:Y1006),$V$1006:$AE$1006,0))&gt;=100000), " ",IF(INDEX($V$2:$AE$1001,MATCH(ROWS($O$2:O688),$O$2:$O$1001,0),MATCH(COLUMNS($V$1006:Y1006),$V$1006:$AE$1006,0)), HYPERLINK("#",""), HYPERLINK(CONCATENATE("#Metadata!", ADDRESS(INDEX($Q$2:$Q$1001,MATCH(ROWS($O$2:O688),$O$2:$O$1001,0),0), INDEX($V$1004:$AE$1004,1,MATCH(COLUMNS($V$1006:Y1006),$V$1006:$AE$1006,0)))),"Fix")))</f>
        <v>0</v>
      </c>
      <c r="F688" s="3">
        <f>IF(OR(INDEX($P$2:$P$1001,MATCH(ROWS($O$2:O688),$O$2:$O$1001,0),1)&gt;=100000,INDEX($V$1005:$AE$1005,1,MATCH(COLUMNS($V$1006:Z1006),$V$1006:$AE$1006,0))&gt;=100000), " ",IF(INDEX($V$2:$AE$1001,MATCH(ROWS($O$2:O688),$O$2:$O$1001,0),MATCH(COLUMNS($V$1006:Z1006),$V$1006:$AE$1006,0)), HYPERLINK("#",""), HYPERLINK(CONCATENATE("#Metadata!", ADDRESS(INDEX($Q$2:$Q$1001,MATCH(ROWS($O$2:O688),$O$2:$O$1001,0),0), INDEX($V$1004:$AE$1004,1,MATCH(COLUMNS($V$1006:Z1006),$V$1006:$AE$1006,0)))),"Fix")))</f>
        <v>0</v>
      </c>
      <c r="G688" s="3">
        <f>IF(OR(INDEX($P$2:$P$1001,MATCH(ROWS($O$2:O688),$O$2:$O$1001,0),1)&gt;=100000,INDEX($V$1005:$AE$1005,1,MATCH(COLUMNS($V$1006:AA1006),$V$1006:$AE$1006,0))&gt;=100000), " ",IF(INDEX($V$2:$AE$1001,MATCH(ROWS($O$2:O688),$O$2:$O$1001,0),MATCH(COLUMNS($V$1006:AA1006),$V$1006:$AE$1006,0)), HYPERLINK("#",""), HYPERLINK(CONCATENATE("#Metadata!", ADDRESS(INDEX($Q$2:$Q$1001,MATCH(ROWS($O$2:O688),$O$2:$O$1001,0),0), INDEX($V$1004:$AE$1004,1,MATCH(COLUMNS($V$1006:AA1006),$V$1006:$AE$1006,0)))),"Fix")))</f>
        <v>0</v>
      </c>
      <c r="H688" s="3">
        <f>IF(OR(INDEX($P$2:$P$1001,MATCH(ROWS($O$2:O688),$O$2:$O$1001,0),1)&gt;=100000,INDEX($V$1005:$AE$1005,1,MATCH(COLUMNS($V$1006:AB1006),$V$1006:$AE$1006,0))&gt;=100000), " ",IF(INDEX($V$2:$AE$1001,MATCH(ROWS($O$2:O688),$O$2:$O$1001,0),MATCH(COLUMNS($V$1006:AB1006),$V$1006:$AE$1006,0)), HYPERLINK("#",""), HYPERLINK(CONCATENATE("#Metadata!", ADDRESS(INDEX($Q$2:$Q$1001,MATCH(ROWS($O$2:O688),$O$2:$O$1001,0),0), INDEX($V$1004:$AE$1004,1,MATCH(COLUMNS($V$1006:AB1006),$V$1006:$AE$1006,0)))),"Fix")))</f>
        <v>0</v>
      </c>
      <c r="I688" s="3">
        <f>IF(OR(INDEX($P$2:$P$1001,MATCH(ROWS($O$2:O688),$O$2:$O$1001,0),1)&gt;=100000,INDEX($V$1005:$AE$1005,1,MATCH(COLUMNS($V$1006:AC1006),$V$1006:$AE$1006,0))&gt;=100000), " ",IF(INDEX($V$2:$AE$1001,MATCH(ROWS($O$2:O688),$O$2:$O$1001,0),MATCH(COLUMNS($V$1006:AC1006),$V$1006:$AE$1006,0)), HYPERLINK("#",""), HYPERLINK(CONCATENATE("#Metadata!", ADDRESS(INDEX($Q$2:$Q$1001,MATCH(ROWS($O$2:O688),$O$2:$O$1001,0),0), INDEX($V$1004:$AE$1004,1,MATCH(COLUMNS($V$1006:AC1006),$V$1006:$AE$1006,0)))),"Fix")))</f>
        <v>0</v>
      </c>
      <c r="J688" s="3">
        <f>IF(OR(INDEX($P$2:$P$1001,MATCH(ROWS($O$2:O688),$O$2:$O$1001,0),1)&gt;=100000,INDEX($V$1005:$AE$1005,1,MATCH(COLUMNS($V$1006:AD1006),$V$1006:$AE$1006,0))&gt;=100000), " ",IF(INDEX($V$2:$AE$1001,MATCH(ROWS($O$2:O688),$O$2:$O$1001,0),MATCH(COLUMNS($V$1006:AD1006),$V$1006:$AE$1006,0)), HYPERLINK("#",""), HYPERLINK(CONCATENATE("#Metadata!", ADDRESS(INDEX($Q$2:$Q$1001,MATCH(ROWS($O$2:O688),$O$2:$O$1001,0),0), INDEX($V$1004:$AE$1004,1,MATCH(COLUMNS($V$1006:AD1006),$V$1006:$AE$1006,0)))),"Fix")))</f>
        <v>0</v>
      </c>
      <c r="K688" s="3">
        <f>IF(OR(INDEX($P$2:$P$1001,MATCH(ROWS($O$2:O688),$O$2:$O$1001,0),1)&gt;=100000,INDEX($V$1005:$AE$1005,1,MATCH(COLUMNS($V$1006:AE1006),$V$1006:$AE$1006,0))&gt;=100000), " ",IF(INDEX($V$2:$AE$1001,MATCH(ROWS($O$2:O688),$O$2:$O$1001,0),MATCH(COLUMNS($V$1006:AE1006),$V$1006:$AE$1006,0)), HYPERLINK("#",""), HYPERLINK(CONCATENATE("#Metadata!", ADDRESS(INDEX($Q$2:$Q$1001,MATCH(ROWS($O$2:O688),$O$2:$O$1001,0),0), INDEX($V$1004:$AE$1004,1,MATCH(COLUMNS($V$1006:AE1006),$V$1006:$AE$1006,0)))),"Fix")))</f>
        <v>0</v>
      </c>
      <c r="O688">
        <v>0</v>
      </c>
      <c r="P688">
        <v>0</v>
      </c>
      <c r="Q688">
        <v>0</v>
      </c>
      <c r="R688">
        <f>IF(S688,TRUE,AND(V688:AE688))</f>
        <v>0</v>
      </c>
      <c r="S688">
        <f>COUNTBLANK(Metadata!B688:K688)=COLUMNS(Metadata!B688:K688)</f>
        <v>0</v>
      </c>
      <c r="T688">
        <v>0</v>
      </c>
      <c r="V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W688">
        <f>AND(IF(Metadata!C688="",FALSE,TRUE),exact(Metadata!C688,"animal secretion"))</f>
        <v>0</v>
      </c>
      <c r="X688">
        <f>AND(IF(Metadata!D688="",FALSE,TRUE),exact(Metadata!D688,"saliva"))</f>
        <v>0</v>
      </c>
      <c r="Y688">
        <f>AND(IF(Metadata!E688="",FALSE,TRUE),exact(Metadata!E688,"human-oral"))</f>
        <v>0</v>
      </c>
      <c r="Z688">
        <f>AND(IF(Metadata!F688="",FALSE,TRUE),exact(Metadata!F688,"UBERON:oral cavity"))</f>
        <v>0</v>
      </c>
      <c r="AA688">
        <f>AND(IF(Metadata!G688="",FALSE,TRUE),exact(Metadata!G688,"UBERON:saliva"))</f>
        <v>0</v>
      </c>
      <c r="AB688">
        <f>AND(IF(Metadata!H688="",FALSE,TRUE),exact(Metadata!H688,"UBERON:tongue"))</f>
        <v>0</v>
      </c>
      <c r="AC688">
        <f>AND(IF(Metadata!I688="",FALSE,TRUE),exact(Metadata!I688,"tongue"))</f>
        <v>0</v>
      </c>
      <c r="AD688">
        <f>AND(IF(Metadata!J688="",FALSE,TRUE),exact(Metadata!J688,"human oral metagenome"))</f>
        <v>0</v>
      </c>
      <c r="AE688">
        <f>AND(IF(Metadata!K688="",FALSE,TRUE),exact(Metadata!K688,"447426"))</f>
        <v>0</v>
      </c>
    </row>
    <row r="689" spans="1:31">
      <c r="A689" s="4">
        <f>IF(B689=" "," ",HYPERLINK(CONCATENATE("#metadata!",ADDRESS(INDEX($Q$2:$Q$1001,MATCH(ROWS($O$2:O689),$O$2:$O$1001,0),0),1)),INDEX($T$2:$T$1001,MATCH(ROWS($O$2:O689),$O$2:$O$1001,0),0)))</f>
        <v>0</v>
      </c>
      <c r="B689" s="3">
        <f>IF(OR(INDEX($P$2:$P$1001,MATCH(ROWS($O$2:O689),$O$2:$O$1001,0),1)&gt;=100000,INDEX($V$1005:$AE$1005,1,MATCH(COLUMNS($V$1006:V1006),$V$1006:$AE$1006,0))&gt;=100000), " ",IF(INDEX($V$2:$AE$1001,MATCH(ROWS($O$2:O689),$O$2:$O$1001,0),MATCH(COLUMNS($V$1006:V1006),$V$1006:$AE$1006,0)), HYPERLINK("#",""), HYPERLINK(CONCATENATE("#Metadata!", ADDRESS(INDEX($Q$2:$Q$1001,MATCH(ROWS($O$2:O689),$O$2:$O$1001,0),0), INDEX($V$1004:$AE$1004,1,MATCH(COLUMNS($V$1006:V1006),$V$1006:$AE$1006,0)))),"Fix")))</f>
        <v>0</v>
      </c>
      <c r="C689" s="3">
        <f>IF(OR(INDEX($P$2:$P$1001,MATCH(ROWS($O$2:O689),$O$2:$O$1001,0),1)&gt;=100000,INDEX($V$1005:$AE$1005,1,MATCH(COLUMNS($V$1006:W1006),$V$1006:$AE$1006,0))&gt;=100000), " ",IF(INDEX($V$2:$AE$1001,MATCH(ROWS($O$2:O689),$O$2:$O$1001,0),MATCH(COLUMNS($V$1006:W1006),$V$1006:$AE$1006,0)), HYPERLINK("#",""), HYPERLINK(CONCATENATE("#Metadata!", ADDRESS(INDEX($Q$2:$Q$1001,MATCH(ROWS($O$2:O689),$O$2:$O$1001,0),0), INDEX($V$1004:$AE$1004,1,MATCH(COLUMNS($V$1006:W1006),$V$1006:$AE$1006,0)))),"Fix")))</f>
        <v>0</v>
      </c>
      <c r="D689" s="3">
        <f>IF(OR(INDEX($P$2:$P$1001,MATCH(ROWS($O$2:O689),$O$2:$O$1001,0),1)&gt;=100000,INDEX($V$1005:$AE$1005,1,MATCH(COLUMNS($V$1006:X1006),$V$1006:$AE$1006,0))&gt;=100000), " ",IF(INDEX($V$2:$AE$1001,MATCH(ROWS($O$2:O689),$O$2:$O$1001,0),MATCH(COLUMNS($V$1006:X1006),$V$1006:$AE$1006,0)), HYPERLINK("#",""), HYPERLINK(CONCATENATE("#Metadata!", ADDRESS(INDEX($Q$2:$Q$1001,MATCH(ROWS($O$2:O689),$O$2:$O$1001,0),0), INDEX($V$1004:$AE$1004,1,MATCH(COLUMNS($V$1006:X1006),$V$1006:$AE$1006,0)))),"Fix")))</f>
        <v>0</v>
      </c>
      <c r="E689" s="3">
        <f>IF(OR(INDEX($P$2:$P$1001,MATCH(ROWS($O$2:O689),$O$2:$O$1001,0),1)&gt;=100000,INDEX($V$1005:$AE$1005,1,MATCH(COLUMNS($V$1006:Y1006),$V$1006:$AE$1006,0))&gt;=100000), " ",IF(INDEX($V$2:$AE$1001,MATCH(ROWS($O$2:O689),$O$2:$O$1001,0),MATCH(COLUMNS($V$1006:Y1006),$V$1006:$AE$1006,0)), HYPERLINK("#",""), HYPERLINK(CONCATENATE("#Metadata!", ADDRESS(INDEX($Q$2:$Q$1001,MATCH(ROWS($O$2:O689),$O$2:$O$1001,0),0), INDEX($V$1004:$AE$1004,1,MATCH(COLUMNS($V$1006:Y1006),$V$1006:$AE$1006,0)))),"Fix")))</f>
        <v>0</v>
      </c>
      <c r="F689" s="3">
        <f>IF(OR(INDEX($P$2:$P$1001,MATCH(ROWS($O$2:O689),$O$2:$O$1001,0),1)&gt;=100000,INDEX($V$1005:$AE$1005,1,MATCH(COLUMNS($V$1006:Z1006),$V$1006:$AE$1006,0))&gt;=100000), " ",IF(INDEX($V$2:$AE$1001,MATCH(ROWS($O$2:O689),$O$2:$O$1001,0),MATCH(COLUMNS($V$1006:Z1006),$V$1006:$AE$1006,0)), HYPERLINK("#",""), HYPERLINK(CONCATENATE("#Metadata!", ADDRESS(INDEX($Q$2:$Q$1001,MATCH(ROWS($O$2:O689),$O$2:$O$1001,0),0), INDEX($V$1004:$AE$1004,1,MATCH(COLUMNS($V$1006:Z1006),$V$1006:$AE$1006,0)))),"Fix")))</f>
        <v>0</v>
      </c>
      <c r="G689" s="3">
        <f>IF(OR(INDEX($P$2:$P$1001,MATCH(ROWS($O$2:O689),$O$2:$O$1001,0),1)&gt;=100000,INDEX($V$1005:$AE$1005,1,MATCH(COLUMNS($V$1006:AA1006),$V$1006:$AE$1006,0))&gt;=100000), " ",IF(INDEX($V$2:$AE$1001,MATCH(ROWS($O$2:O689),$O$2:$O$1001,0),MATCH(COLUMNS($V$1006:AA1006),$V$1006:$AE$1006,0)), HYPERLINK("#",""), HYPERLINK(CONCATENATE("#Metadata!", ADDRESS(INDEX($Q$2:$Q$1001,MATCH(ROWS($O$2:O689),$O$2:$O$1001,0),0), INDEX($V$1004:$AE$1004,1,MATCH(COLUMNS($V$1006:AA1006),$V$1006:$AE$1006,0)))),"Fix")))</f>
        <v>0</v>
      </c>
      <c r="H689" s="3">
        <f>IF(OR(INDEX($P$2:$P$1001,MATCH(ROWS($O$2:O689),$O$2:$O$1001,0),1)&gt;=100000,INDEX($V$1005:$AE$1005,1,MATCH(COLUMNS($V$1006:AB1006),$V$1006:$AE$1006,0))&gt;=100000), " ",IF(INDEX($V$2:$AE$1001,MATCH(ROWS($O$2:O689),$O$2:$O$1001,0),MATCH(COLUMNS($V$1006:AB1006),$V$1006:$AE$1006,0)), HYPERLINK("#",""), HYPERLINK(CONCATENATE("#Metadata!", ADDRESS(INDEX($Q$2:$Q$1001,MATCH(ROWS($O$2:O689),$O$2:$O$1001,0),0), INDEX($V$1004:$AE$1004,1,MATCH(COLUMNS($V$1006:AB1006),$V$1006:$AE$1006,0)))),"Fix")))</f>
        <v>0</v>
      </c>
      <c r="I689" s="3">
        <f>IF(OR(INDEX($P$2:$P$1001,MATCH(ROWS($O$2:O689),$O$2:$O$1001,0),1)&gt;=100000,INDEX($V$1005:$AE$1005,1,MATCH(COLUMNS($V$1006:AC1006),$V$1006:$AE$1006,0))&gt;=100000), " ",IF(INDEX($V$2:$AE$1001,MATCH(ROWS($O$2:O689),$O$2:$O$1001,0),MATCH(COLUMNS($V$1006:AC1006),$V$1006:$AE$1006,0)), HYPERLINK("#",""), HYPERLINK(CONCATENATE("#Metadata!", ADDRESS(INDEX($Q$2:$Q$1001,MATCH(ROWS($O$2:O689),$O$2:$O$1001,0),0), INDEX($V$1004:$AE$1004,1,MATCH(COLUMNS($V$1006:AC1006),$V$1006:$AE$1006,0)))),"Fix")))</f>
        <v>0</v>
      </c>
      <c r="J689" s="3">
        <f>IF(OR(INDEX($P$2:$P$1001,MATCH(ROWS($O$2:O689),$O$2:$O$1001,0),1)&gt;=100000,INDEX($V$1005:$AE$1005,1,MATCH(COLUMNS($V$1006:AD1006),$V$1006:$AE$1006,0))&gt;=100000), " ",IF(INDEX($V$2:$AE$1001,MATCH(ROWS($O$2:O689),$O$2:$O$1001,0),MATCH(COLUMNS($V$1006:AD1006),$V$1006:$AE$1006,0)), HYPERLINK("#",""), HYPERLINK(CONCATENATE("#Metadata!", ADDRESS(INDEX($Q$2:$Q$1001,MATCH(ROWS($O$2:O689),$O$2:$O$1001,0),0), INDEX($V$1004:$AE$1004,1,MATCH(COLUMNS($V$1006:AD1006),$V$1006:$AE$1006,0)))),"Fix")))</f>
        <v>0</v>
      </c>
      <c r="K689" s="3">
        <f>IF(OR(INDEX($P$2:$P$1001,MATCH(ROWS($O$2:O689),$O$2:$O$1001,0),1)&gt;=100000,INDEX($V$1005:$AE$1005,1,MATCH(COLUMNS($V$1006:AE1006),$V$1006:$AE$1006,0))&gt;=100000), " ",IF(INDEX($V$2:$AE$1001,MATCH(ROWS($O$2:O689),$O$2:$O$1001,0),MATCH(COLUMNS($V$1006:AE1006),$V$1006:$AE$1006,0)), HYPERLINK("#",""), HYPERLINK(CONCATENATE("#Metadata!", ADDRESS(INDEX($Q$2:$Q$1001,MATCH(ROWS($O$2:O689),$O$2:$O$1001,0),0), INDEX($V$1004:$AE$1004,1,MATCH(COLUMNS($V$1006:AE1006),$V$1006:$AE$1006,0)))),"Fix")))</f>
        <v>0</v>
      </c>
      <c r="O689">
        <v>0</v>
      </c>
      <c r="P689">
        <v>0</v>
      </c>
      <c r="Q689">
        <v>0</v>
      </c>
      <c r="R689">
        <f>IF(S689,TRUE,AND(V689:AE689))</f>
        <v>0</v>
      </c>
      <c r="S689">
        <f>COUNTBLANK(Metadata!B689:K689)=COLUMNS(Metadata!B689:K689)</f>
        <v>0</v>
      </c>
      <c r="T689">
        <v>0</v>
      </c>
      <c r="V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W689">
        <f>AND(IF(Metadata!C689="",FALSE,TRUE),exact(Metadata!C689,"animal secretion"))</f>
        <v>0</v>
      </c>
      <c r="X689">
        <f>AND(IF(Metadata!D689="",FALSE,TRUE),exact(Metadata!D689,"saliva"))</f>
        <v>0</v>
      </c>
      <c r="Y689">
        <f>AND(IF(Metadata!E689="",FALSE,TRUE),exact(Metadata!E689,"human-oral"))</f>
        <v>0</v>
      </c>
      <c r="Z689">
        <f>AND(IF(Metadata!F689="",FALSE,TRUE),exact(Metadata!F689,"UBERON:oral cavity"))</f>
        <v>0</v>
      </c>
      <c r="AA689">
        <f>AND(IF(Metadata!G689="",FALSE,TRUE),exact(Metadata!G689,"UBERON:saliva"))</f>
        <v>0</v>
      </c>
      <c r="AB689">
        <f>AND(IF(Metadata!H689="",FALSE,TRUE),exact(Metadata!H689,"UBERON:tongue"))</f>
        <v>0</v>
      </c>
      <c r="AC689">
        <f>AND(IF(Metadata!I689="",FALSE,TRUE),exact(Metadata!I689,"tongue"))</f>
        <v>0</v>
      </c>
      <c r="AD689">
        <f>AND(IF(Metadata!J689="",FALSE,TRUE),exact(Metadata!J689,"human oral metagenome"))</f>
        <v>0</v>
      </c>
      <c r="AE689">
        <f>AND(IF(Metadata!K689="",FALSE,TRUE),exact(Metadata!K689,"447426"))</f>
        <v>0</v>
      </c>
    </row>
    <row r="690" spans="1:31">
      <c r="A690" s="4">
        <f>IF(B690=" "," ",HYPERLINK(CONCATENATE("#metadata!",ADDRESS(INDEX($Q$2:$Q$1001,MATCH(ROWS($O$2:O690),$O$2:$O$1001,0),0),1)),INDEX($T$2:$T$1001,MATCH(ROWS($O$2:O690),$O$2:$O$1001,0),0)))</f>
        <v>0</v>
      </c>
      <c r="B690" s="3">
        <f>IF(OR(INDEX($P$2:$P$1001,MATCH(ROWS($O$2:O690),$O$2:$O$1001,0),1)&gt;=100000,INDEX($V$1005:$AE$1005,1,MATCH(COLUMNS($V$1006:V1006),$V$1006:$AE$1006,0))&gt;=100000), " ",IF(INDEX($V$2:$AE$1001,MATCH(ROWS($O$2:O690),$O$2:$O$1001,0),MATCH(COLUMNS($V$1006:V1006),$V$1006:$AE$1006,0)), HYPERLINK("#",""), HYPERLINK(CONCATENATE("#Metadata!", ADDRESS(INDEX($Q$2:$Q$1001,MATCH(ROWS($O$2:O690),$O$2:$O$1001,0),0), INDEX($V$1004:$AE$1004,1,MATCH(COLUMNS($V$1006:V1006),$V$1006:$AE$1006,0)))),"Fix")))</f>
        <v>0</v>
      </c>
      <c r="C690" s="3">
        <f>IF(OR(INDEX($P$2:$P$1001,MATCH(ROWS($O$2:O690),$O$2:$O$1001,0),1)&gt;=100000,INDEX($V$1005:$AE$1005,1,MATCH(COLUMNS($V$1006:W1006),$V$1006:$AE$1006,0))&gt;=100000), " ",IF(INDEX($V$2:$AE$1001,MATCH(ROWS($O$2:O690),$O$2:$O$1001,0),MATCH(COLUMNS($V$1006:W1006),$V$1006:$AE$1006,0)), HYPERLINK("#",""), HYPERLINK(CONCATENATE("#Metadata!", ADDRESS(INDEX($Q$2:$Q$1001,MATCH(ROWS($O$2:O690),$O$2:$O$1001,0),0), INDEX($V$1004:$AE$1004,1,MATCH(COLUMNS($V$1006:W1006),$V$1006:$AE$1006,0)))),"Fix")))</f>
        <v>0</v>
      </c>
      <c r="D690" s="3">
        <f>IF(OR(INDEX($P$2:$P$1001,MATCH(ROWS($O$2:O690),$O$2:$O$1001,0),1)&gt;=100000,INDEX($V$1005:$AE$1005,1,MATCH(COLUMNS($V$1006:X1006),$V$1006:$AE$1006,0))&gt;=100000), " ",IF(INDEX($V$2:$AE$1001,MATCH(ROWS($O$2:O690),$O$2:$O$1001,0),MATCH(COLUMNS($V$1006:X1006),$V$1006:$AE$1006,0)), HYPERLINK("#",""), HYPERLINK(CONCATENATE("#Metadata!", ADDRESS(INDEX($Q$2:$Q$1001,MATCH(ROWS($O$2:O690),$O$2:$O$1001,0),0), INDEX($V$1004:$AE$1004,1,MATCH(COLUMNS($V$1006:X1006),$V$1006:$AE$1006,0)))),"Fix")))</f>
        <v>0</v>
      </c>
      <c r="E690" s="3">
        <f>IF(OR(INDEX($P$2:$P$1001,MATCH(ROWS($O$2:O690),$O$2:$O$1001,0),1)&gt;=100000,INDEX($V$1005:$AE$1005,1,MATCH(COLUMNS($V$1006:Y1006),$V$1006:$AE$1006,0))&gt;=100000), " ",IF(INDEX($V$2:$AE$1001,MATCH(ROWS($O$2:O690),$O$2:$O$1001,0),MATCH(COLUMNS($V$1006:Y1006),$V$1006:$AE$1006,0)), HYPERLINK("#",""), HYPERLINK(CONCATENATE("#Metadata!", ADDRESS(INDEX($Q$2:$Q$1001,MATCH(ROWS($O$2:O690),$O$2:$O$1001,0),0), INDEX($V$1004:$AE$1004,1,MATCH(COLUMNS($V$1006:Y1006),$V$1006:$AE$1006,0)))),"Fix")))</f>
        <v>0</v>
      </c>
      <c r="F690" s="3">
        <f>IF(OR(INDEX($P$2:$P$1001,MATCH(ROWS($O$2:O690),$O$2:$O$1001,0),1)&gt;=100000,INDEX($V$1005:$AE$1005,1,MATCH(COLUMNS($V$1006:Z1006),$V$1006:$AE$1006,0))&gt;=100000), " ",IF(INDEX($V$2:$AE$1001,MATCH(ROWS($O$2:O690),$O$2:$O$1001,0),MATCH(COLUMNS($V$1006:Z1006),$V$1006:$AE$1006,0)), HYPERLINK("#",""), HYPERLINK(CONCATENATE("#Metadata!", ADDRESS(INDEX($Q$2:$Q$1001,MATCH(ROWS($O$2:O690),$O$2:$O$1001,0),0), INDEX($V$1004:$AE$1004,1,MATCH(COLUMNS($V$1006:Z1006),$V$1006:$AE$1006,0)))),"Fix")))</f>
        <v>0</v>
      </c>
      <c r="G690" s="3">
        <f>IF(OR(INDEX($P$2:$P$1001,MATCH(ROWS($O$2:O690),$O$2:$O$1001,0),1)&gt;=100000,INDEX($V$1005:$AE$1005,1,MATCH(COLUMNS($V$1006:AA1006),$V$1006:$AE$1006,0))&gt;=100000), " ",IF(INDEX($V$2:$AE$1001,MATCH(ROWS($O$2:O690),$O$2:$O$1001,0),MATCH(COLUMNS($V$1006:AA1006),$V$1006:$AE$1006,0)), HYPERLINK("#",""), HYPERLINK(CONCATENATE("#Metadata!", ADDRESS(INDEX($Q$2:$Q$1001,MATCH(ROWS($O$2:O690),$O$2:$O$1001,0),0), INDEX($V$1004:$AE$1004,1,MATCH(COLUMNS($V$1006:AA1006),$V$1006:$AE$1006,0)))),"Fix")))</f>
        <v>0</v>
      </c>
      <c r="H690" s="3">
        <f>IF(OR(INDEX($P$2:$P$1001,MATCH(ROWS($O$2:O690),$O$2:$O$1001,0),1)&gt;=100000,INDEX($V$1005:$AE$1005,1,MATCH(COLUMNS($V$1006:AB1006),$V$1006:$AE$1006,0))&gt;=100000), " ",IF(INDEX($V$2:$AE$1001,MATCH(ROWS($O$2:O690),$O$2:$O$1001,0),MATCH(COLUMNS($V$1006:AB1006),$V$1006:$AE$1006,0)), HYPERLINK("#",""), HYPERLINK(CONCATENATE("#Metadata!", ADDRESS(INDEX($Q$2:$Q$1001,MATCH(ROWS($O$2:O690),$O$2:$O$1001,0),0), INDEX($V$1004:$AE$1004,1,MATCH(COLUMNS($V$1006:AB1006),$V$1006:$AE$1006,0)))),"Fix")))</f>
        <v>0</v>
      </c>
      <c r="I690" s="3">
        <f>IF(OR(INDEX($P$2:$P$1001,MATCH(ROWS($O$2:O690),$O$2:$O$1001,0),1)&gt;=100000,INDEX($V$1005:$AE$1005,1,MATCH(COLUMNS($V$1006:AC1006),$V$1006:$AE$1006,0))&gt;=100000), " ",IF(INDEX($V$2:$AE$1001,MATCH(ROWS($O$2:O690),$O$2:$O$1001,0),MATCH(COLUMNS($V$1006:AC1006),$V$1006:$AE$1006,0)), HYPERLINK("#",""), HYPERLINK(CONCATENATE("#Metadata!", ADDRESS(INDEX($Q$2:$Q$1001,MATCH(ROWS($O$2:O690),$O$2:$O$1001,0),0), INDEX($V$1004:$AE$1004,1,MATCH(COLUMNS($V$1006:AC1006),$V$1006:$AE$1006,0)))),"Fix")))</f>
        <v>0</v>
      </c>
      <c r="J690" s="3">
        <f>IF(OR(INDEX($P$2:$P$1001,MATCH(ROWS($O$2:O690),$O$2:$O$1001,0),1)&gt;=100000,INDEX($V$1005:$AE$1005,1,MATCH(COLUMNS($V$1006:AD1006),$V$1006:$AE$1006,0))&gt;=100000), " ",IF(INDEX($V$2:$AE$1001,MATCH(ROWS($O$2:O690),$O$2:$O$1001,0),MATCH(COLUMNS($V$1006:AD1006),$V$1006:$AE$1006,0)), HYPERLINK("#",""), HYPERLINK(CONCATENATE("#Metadata!", ADDRESS(INDEX($Q$2:$Q$1001,MATCH(ROWS($O$2:O690),$O$2:$O$1001,0),0), INDEX($V$1004:$AE$1004,1,MATCH(COLUMNS($V$1006:AD1006),$V$1006:$AE$1006,0)))),"Fix")))</f>
        <v>0</v>
      </c>
      <c r="K690" s="3">
        <f>IF(OR(INDEX($P$2:$P$1001,MATCH(ROWS($O$2:O690),$O$2:$O$1001,0),1)&gt;=100000,INDEX($V$1005:$AE$1005,1,MATCH(COLUMNS($V$1006:AE1006),$V$1006:$AE$1006,0))&gt;=100000), " ",IF(INDEX($V$2:$AE$1001,MATCH(ROWS($O$2:O690),$O$2:$O$1001,0),MATCH(COLUMNS($V$1006:AE1006),$V$1006:$AE$1006,0)), HYPERLINK("#",""), HYPERLINK(CONCATENATE("#Metadata!", ADDRESS(INDEX($Q$2:$Q$1001,MATCH(ROWS($O$2:O690),$O$2:$O$1001,0),0), INDEX($V$1004:$AE$1004,1,MATCH(COLUMNS($V$1006:AE1006),$V$1006:$AE$1006,0)))),"Fix")))</f>
        <v>0</v>
      </c>
      <c r="O690">
        <v>0</v>
      </c>
      <c r="P690">
        <v>0</v>
      </c>
      <c r="Q690">
        <v>0</v>
      </c>
      <c r="R690">
        <f>IF(S690,TRUE,AND(V690:AE690))</f>
        <v>0</v>
      </c>
      <c r="S690">
        <f>COUNTBLANK(Metadata!B690:K690)=COLUMNS(Metadata!B690:K690)</f>
        <v>0</v>
      </c>
      <c r="T690">
        <v>0</v>
      </c>
      <c r="V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W690">
        <f>AND(IF(Metadata!C690="",FALSE,TRUE),exact(Metadata!C690,"animal secretion"))</f>
        <v>0</v>
      </c>
      <c r="X690">
        <f>AND(IF(Metadata!D690="",FALSE,TRUE),exact(Metadata!D690,"saliva"))</f>
        <v>0</v>
      </c>
      <c r="Y690">
        <f>AND(IF(Metadata!E690="",FALSE,TRUE),exact(Metadata!E690,"human-oral"))</f>
        <v>0</v>
      </c>
      <c r="Z690">
        <f>AND(IF(Metadata!F690="",FALSE,TRUE),exact(Metadata!F690,"UBERON:oral cavity"))</f>
        <v>0</v>
      </c>
      <c r="AA690">
        <f>AND(IF(Metadata!G690="",FALSE,TRUE),exact(Metadata!G690,"UBERON:saliva"))</f>
        <v>0</v>
      </c>
      <c r="AB690">
        <f>AND(IF(Metadata!H690="",FALSE,TRUE),exact(Metadata!H690,"UBERON:tongue"))</f>
        <v>0</v>
      </c>
      <c r="AC690">
        <f>AND(IF(Metadata!I690="",FALSE,TRUE),exact(Metadata!I690,"tongue"))</f>
        <v>0</v>
      </c>
      <c r="AD690">
        <f>AND(IF(Metadata!J690="",FALSE,TRUE),exact(Metadata!J690,"human oral metagenome"))</f>
        <v>0</v>
      </c>
      <c r="AE690">
        <f>AND(IF(Metadata!K690="",FALSE,TRUE),exact(Metadata!K690,"447426"))</f>
        <v>0</v>
      </c>
    </row>
    <row r="691" spans="1:31">
      <c r="A691" s="4">
        <f>IF(B691=" "," ",HYPERLINK(CONCATENATE("#metadata!",ADDRESS(INDEX($Q$2:$Q$1001,MATCH(ROWS($O$2:O691),$O$2:$O$1001,0),0),1)),INDEX($T$2:$T$1001,MATCH(ROWS($O$2:O691),$O$2:$O$1001,0),0)))</f>
        <v>0</v>
      </c>
      <c r="B691" s="3">
        <f>IF(OR(INDEX($P$2:$P$1001,MATCH(ROWS($O$2:O691),$O$2:$O$1001,0),1)&gt;=100000,INDEX($V$1005:$AE$1005,1,MATCH(COLUMNS($V$1006:V1006),$V$1006:$AE$1006,0))&gt;=100000), " ",IF(INDEX($V$2:$AE$1001,MATCH(ROWS($O$2:O691),$O$2:$O$1001,0),MATCH(COLUMNS($V$1006:V1006),$V$1006:$AE$1006,0)), HYPERLINK("#",""), HYPERLINK(CONCATENATE("#Metadata!", ADDRESS(INDEX($Q$2:$Q$1001,MATCH(ROWS($O$2:O691),$O$2:$O$1001,0),0), INDEX($V$1004:$AE$1004,1,MATCH(COLUMNS($V$1006:V1006),$V$1006:$AE$1006,0)))),"Fix")))</f>
        <v>0</v>
      </c>
      <c r="C691" s="3">
        <f>IF(OR(INDEX($P$2:$P$1001,MATCH(ROWS($O$2:O691),$O$2:$O$1001,0),1)&gt;=100000,INDEX($V$1005:$AE$1005,1,MATCH(COLUMNS($V$1006:W1006),$V$1006:$AE$1006,0))&gt;=100000), " ",IF(INDEX($V$2:$AE$1001,MATCH(ROWS($O$2:O691),$O$2:$O$1001,0),MATCH(COLUMNS($V$1006:W1006),$V$1006:$AE$1006,0)), HYPERLINK("#",""), HYPERLINK(CONCATENATE("#Metadata!", ADDRESS(INDEX($Q$2:$Q$1001,MATCH(ROWS($O$2:O691),$O$2:$O$1001,0),0), INDEX($V$1004:$AE$1004,1,MATCH(COLUMNS($V$1006:W1006),$V$1006:$AE$1006,0)))),"Fix")))</f>
        <v>0</v>
      </c>
      <c r="D691" s="3">
        <f>IF(OR(INDEX($P$2:$P$1001,MATCH(ROWS($O$2:O691),$O$2:$O$1001,0),1)&gt;=100000,INDEX($V$1005:$AE$1005,1,MATCH(COLUMNS($V$1006:X1006),$V$1006:$AE$1006,0))&gt;=100000), " ",IF(INDEX($V$2:$AE$1001,MATCH(ROWS($O$2:O691),$O$2:$O$1001,0),MATCH(COLUMNS($V$1006:X1006),$V$1006:$AE$1006,0)), HYPERLINK("#",""), HYPERLINK(CONCATENATE("#Metadata!", ADDRESS(INDEX($Q$2:$Q$1001,MATCH(ROWS($O$2:O691),$O$2:$O$1001,0),0), INDEX($V$1004:$AE$1004,1,MATCH(COLUMNS($V$1006:X1006),$V$1006:$AE$1006,0)))),"Fix")))</f>
        <v>0</v>
      </c>
      <c r="E691" s="3">
        <f>IF(OR(INDEX($P$2:$P$1001,MATCH(ROWS($O$2:O691),$O$2:$O$1001,0),1)&gt;=100000,INDEX($V$1005:$AE$1005,1,MATCH(COLUMNS($V$1006:Y1006),$V$1006:$AE$1006,0))&gt;=100000), " ",IF(INDEX($V$2:$AE$1001,MATCH(ROWS($O$2:O691),$O$2:$O$1001,0),MATCH(COLUMNS($V$1006:Y1006),$V$1006:$AE$1006,0)), HYPERLINK("#",""), HYPERLINK(CONCATENATE("#Metadata!", ADDRESS(INDEX($Q$2:$Q$1001,MATCH(ROWS($O$2:O691),$O$2:$O$1001,0),0), INDEX($V$1004:$AE$1004,1,MATCH(COLUMNS($V$1006:Y1006),$V$1006:$AE$1006,0)))),"Fix")))</f>
        <v>0</v>
      </c>
      <c r="F691" s="3">
        <f>IF(OR(INDEX($P$2:$P$1001,MATCH(ROWS($O$2:O691),$O$2:$O$1001,0),1)&gt;=100000,INDEX($V$1005:$AE$1005,1,MATCH(COLUMNS($V$1006:Z1006),$V$1006:$AE$1006,0))&gt;=100000), " ",IF(INDEX($V$2:$AE$1001,MATCH(ROWS($O$2:O691),$O$2:$O$1001,0),MATCH(COLUMNS($V$1006:Z1006),$V$1006:$AE$1006,0)), HYPERLINK("#",""), HYPERLINK(CONCATENATE("#Metadata!", ADDRESS(INDEX($Q$2:$Q$1001,MATCH(ROWS($O$2:O691),$O$2:$O$1001,0),0), INDEX($V$1004:$AE$1004,1,MATCH(COLUMNS($V$1006:Z1006),$V$1006:$AE$1006,0)))),"Fix")))</f>
        <v>0</v>
      </c>
      <c r="G691" s="3">
        <f>IF(OR(INDEX($P$2:$P$1001,MATCH(ROWS($O$2:O691),$O$2:$O$1001,0),1)&gt;=100000,INDEX($V$1005:$AE$1005,1,MATCH(COLUMNS($V$1006:AA1006),$V$1006:$AE$1006,0))&gt;=100000), " ",IF(INDEX($V$2:$AE$1001,MATCH(ROWS($O$2:O691),$O$2:$O$1001,0),MATCH(COLUMNS($V$1006:AA1006),$V$1006:$AE$1006,0)), HYPERLINK("#",""), HYPERLINK(CONCATENATE("#Metadata!", ADDRESS(INDEX($Q$2:$Q$1001,MATCH(ROWS($O$2:O691),$O$2:$O$1001,0),0), INDEX($V$1004:$AE$1004,1,MATCH(COLUMNS($V$1006:AA1006),$V$1006:$AE$1006,0)))),"Fix")))</f>
        <v>0</v>
      </c>
      <c r="H691" s="3">
        <f>IF(OR(INDEX($P$2:$P$1001,MATCH(ROWS($O$2:O691),$O$2:$O$1001,0),1)&gt;=100000,INDEX($V$1005:$AE$1005,1,MATCH(COLUMNS($V$1006:AB1006),$V$1006:$AE$1006,0))&gt;=100000), " ",IF(INDEX($V$2:$AE$1001,MATCH(ROWS($O$2:O691),$O$2:$O$1001,0),MATCH(COLUMNS($V$1006:AB1006),$V$1006:$AE$1006,0)), HYPERLINK("#",""), HYPERLINK(CONCATENATE("#Metadata!", ADDRESS(INDEX($Q$2:$Q$1001,MATCH(ROWS($O$2:O691),$O$2:$O$1001,0),0), INDEX($V$1004:$AE$1004,1,MATCH(COLUMNS($V$1006:AB1006),$V$1006:$AE$1006,0)))),"Fix")))</f>
        <v>0</v>
      </c>
      <c r="I691" s="3">
        <f>IF(OR(INDEX($P$2:$P$1001,MATCH(ROWS($O$2:O691),$O$2:$O$1001,0),1)&gt;=100000,INDEX($V$1005:$AE$1005,1,MATCH(COLUMNS($V$1006:AC1006),$V$1006:$AE$1006,0))&gt;=100000), " ",IF(INDEX($V$2:$AE$1001,MATCH(ROWS($O$2:O691),$O$2:$O$1001,0),MATCH(COLUMNS($V$1006:AC1006),$V$1006:$AE$1006,0)), HYPERLINK("#",""), HYPERLINK(CONCATENATE("#Metadata!", ADDRESS(INDEX($Q$2:$Q$1001,MATCH(ROWS($O$2:O691),$O$2:$O$1001,0),0), INDEX($V$1004:$AE$1004,1,MATCH(COLUMNS($V$1006:AC1006),$V$1006:$AE$1006,0)))),"Fix")))</f>
        <v>0</v>
      </c>
      <c r="J691" s="3">
        <f>IF(OR(INDEX($P$2:$P$1001,MATCH(ROWS($O$2:O691),$O$2:$O$1001,0),1)&gt;=100000,INDEX($V$1005:$AE$1005,1,MATCH(COLUMNS($V$1006:AD1006),$V$1006:$AE$1006,0))&gt;=100000), " ",IF(INDEX($V$2:$AE$1001,MATCH(ROWS($O$2:O691),$O$2:$O$1001,0),MATCH(COLUMNS($V$1006:AD1006),$V$1006:$AE$1006,0)), HYPERLINK("#",""), HYPERLINK(CONCATENATE("#Metadata!", ADDRESS(INDEX($Q$2:$Q$1001,MATCH(ROWS($O$2:O691),$O$2:$O$1001,0),0), INDEX($V$1004:$AE$1004,1,MATCH(COLUMNS($V$1006:AD1006),$V$1006:$AE$1006,0)))),"Fix")))</f>
        <v>0</v>
      </c>
      <c r="K691" s="3">
        <f>IF(OR(INDEX($P$2:$P$1001,MATCH(ROWS($O$2:O691),$O$2:$O$1001,0),1)&gt;=100000,INDEX($V$1005:$AE$1005,1,MATCH(COLUMNS($V$1006:AE1006),$V$1006:$AE$1006,0))&gt;=100000), " ",IF(INDEX($V$2:$AE$1001,MATCH(ROWS($O$2:O691),$O$2:$O$1001,0),MATCH(COLUMNS($V$1006:AE1006),$V$1006:$AE$1006,0)), HYPERLINK("#",""), HYPERLINK(CONCATENATE("#Metadata!", ADDRESS(INDEX($Q$2:$Q$1001,MATCH(ROWS($O$2:O691),$O$2:$O$1001,0),0), INDEX($V$1004:$AE$1004,1,MATCH(COLUMNS($V$1006:AE1006),$V$1006:$AE$1006,0)))),"Fix")))</f>
        <v>0</v>
      </c>
      <c r="O691">
        <v>0</v>
      </c>
      <c r="P691">
        <v>0</v>
      </c>
      <c r="Q691">
        <v>0</v>
      </c>
      <c r="R691">
        <f>IF(S691,TRUE,AND(V691:AE691))</f>
        <v>0</v>
      </c>
      <c r="S691">
        <f>COUNTBLANK(Metadata!B691:K691)=COLUMNS(Metadata!B691:K691)</f>
        <v>0</v>
      </c>
      <c r="T691">
        <v>0</v>
      </c>
      <c r="V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W691">
        <f>AND(IF(Metadata!C691="",FALSE,TRUE),exact(Metadata!C691,"animal secretion"))</f>
        <v>0</v>
      </c>
      <c r="X691">
        <f>AND(IF(Metadata!D691="",FALSE,TRUE),exact(Metadata!D691,"saliva"))</f>
        <v>0</v>
      </c>
      <c r="Y691">
        <f>AND(IF(Metadata!E691="",FALSE,TRUE),exact(Metadata!E691,"human-oral"))</f>
        <v>0</v>
      </c>
      <c r="Z691">
        <f>AND(IF(Metadata!F691="",FALSE,TRUE),exact(Metadata!F691,"UBERON:oral cavity"))</f>
        <v>0</v>
      </c>
      <c r="AA691">
        <f>AND(IF(Metadata!G691="",FALSE,TRUE),exact(Metadata!G691,"UBERON:saliva"))</f>
        <v>0</v>
      </c>
      <c r="AB691">
        <f>AND(IF(Metadata!H691="",FALSE,TRUE),exact(Metadata!H691,"UBERON:tongue"))</f>
        <v>0</v>
      </c>
      <c r="AC691">
        <f>AND(IF(Metadata!I691="",FALSE,TRUE),exact(Metadata!I691,"tongue"))</f>
        <v>0</v>
      </c>
      <c r="AD691">
        <f>AND(IF(Metadata!J691="",FALSE,TRUE),exact(Metadata!J691,"human oral metagenome"))</f>
        <v>0</v>
      </c>
      <c r="AE691">
        <f>AND(IF(Metadata!K691="",FALSE,TRUE),exact(Metadata!K691,"447426"))</f>
        <v>0</v>
      </c>
    </row>
    <row r="692" spans="1:31">
      <c r="A692" s="4">
        <f>IF(B692=" "," ",HYPERLINK(CONCATENATE("#metadata!",ADDRESS(INDEX($Q$2:$Q$1001,MATCH(ROWS($O$2:O692),$O$2:$O$1001,0),0),1)),INDEX($T$2:$T$1001,MATCH(ROWS($O$2:O692),$O$2:$O$1001,0),0)))</f>
        <v>0</v>
      </c>
      <c r="B692" s="3">
        <f>IF(OR(INDEX($P$2:$P$1001,MATCH(ROWS($O$2:O692),$O$2:$O$1001,0),1)&gt;=100000,INDEX($V$1005:$AE$1005,1,MATCH(COLUMNS($V$1006:V1006),$V$1006:$AE$1006,0))&gt;=100000), " ",IF(INDEX($V$2:$AE$1001,MATCH(ROWS($O$2:O692),$O$2:$O$1001,0),MATCH(COLUMNS($V$1006:V1006),$V$1006:$AE$1006,0)), HYPERLINK("#",""), HYPERLINK(CONCATENATE("#Metadata!", ADDRESS(INDEX($Q$2:$Q$1001,MATCH(ROWS($O$2:O692),$O$2:$O$1001,0),0), INDEX($V$1004:$AE$1004,1,MATCH(COLUMNS($V$1006:V1006),$V$1006:$AE$1006,0)))),"Fix")))</f>
        <v>0</v>
      </c>
      <c r="C692" s="3">
        <f>IF(OR(INDEX($P$2:$P$1001,MATCH(ROWS($O$2:O692),$O$2:$O$1001,0),1)&gt;=100000,INDEX($V$1005:$AE$1005,1,MATCH(COLUMNS($V$1006:W1006),$V$1006:$AE$1006,0))&gt;=100000), " ",IF(INDEX($V$2:$AE$1001,MATCH(ROWS($O$2:O692),$O$2:$O$1001,0),MATCH(COLUMNS($V$1006:W1006),$V$1006:$AE$1006,0)), HYPERLINK("#",""), HYPERLINK(CONCATENATE("#Metadata!", ADDRESS(INDEX($Q$2:$Q$1001,MATCH(ROWS($O$2:O692),$O$2:$O$1001,0),0), INDEX($V$1004:$AE$1004,1,MATCH(COLUMNS($V$1006:W1006),$V$1006:$AE$1006,0)))),"Fix")))</f>
        <v>0</v>
      </c>
      <c r="D692" s="3">
        <f>IF(OR(INDEX($P$2:$P$1001,MATCH(ROWS($O$2:O692),$O$2:$O$1001,0),1)&gt;=100000,INDEX($V$1005:$AE$1005,1,MATCH(COLUMNS($V$1006:X1006),$V$1006:$AE$1006,0))&gt;=100000), " ",IF(INDEX($V$2:$AE$1001,MATCH(ROWS($O$2:O692),$O$2:$O$1001,0),MATCH(COLUMNS($V$1006:X1006),$V$1006:$AE$1006,0)), HYPERLINK("#",""), HYPERLINK(CONCATENATE("#Metadata!", ADDRESS(INDEX($Q$2:$Q$1001,MATCH(ROWS($O$2:O692),$O$2:$O$1001,0),0), INDEX($V$1004:$AE$1004,1,MATCH(COLUMNS($V$1006:X1006),$V$1006:$AE$1006,0)))),"Fix")))</f>
        <v>0</v>
      </c>
      <c r="E692" s="3">
        <f>IF(OR(INDEX($P$2:$P$1001,MATCH(ROWS($O$2:O692),$O$2:$O$1001,0),1)&gt;=100000,INDEX($V$1005:$AE$1005,1,MATCH(COLUMNS($V$1006:Y1006),$V$1006:$AE$1006,0))&gt;=100000), " ",IF(INDEX($V$2:$AE$1001,MATCH(ROWS($O$2:O692),$O$2:$O$1001,0),MATCH(COLUMNS($V$1006:Y1006),$V$1006:$AE$1006,0)), HYPERLINK("#",""), HYPERLINK(CONCATENATE("#Metadata!", ADDRESS(INDEX($Q$2:$Q$1001,MATCH(ROWS($O$2:O692),$O$2:$O$1001,0),0), INDEX($V$1004:$AE$1004,1,MATCH(COLUMNS($V$1006:Y1006),$V$1006:$AE$1006,0)))),"Fix")))</f>
        <v>0</v>
      </c>
      <c r="F692" s="3">
        <f>IF(OR(INDEX($P$2:$P$1001,MATCH(ROWS($O$2:O692),$O$2:$O$1001,0),1)&gt;=100000,INDEX($V$1005:$AE$1005,1,MATCH(COLUMNS($V$1006:Z1006),$V$1006:$AE$1006,0))&gt;=100000), " ",IF(INDEX($V$2:$AE$1001,MATCH(ROWS($O$2:O692),$O$2:$O$1001,0),MATCH(COLUMNS($V$1006:Z1006),$V$1006:$AE$1006,0)), HYPERLINK("#",""), HYPERLINK(CONCATENATE("#Metadata!", ADDRESS(INDEX($Q$2:$Q$1001,MATCH(ROWS($O$2:O692),$O$2:$O$1001,0),0), INDEX($V$1004:$AE$1004,1,MATCH(COLUMNS($V$1006:Z1006),$V$1006:$AE$1006,0)))),"Fix")))</f>
        <v>0</v>
      </c>
      <c r="G692" s="3">
        <f>IF(OR(INDEX($P$2:$P$1001,MATCH(ROWS($O$2:O692),$O$2:$O$1001,0),1)&gt;=100000,INDEX($V$1005:$AE$1005,1,MATCH(COLUMNS($V$1006:AA1006),$V$1006:$AE$1006,0))&gt;=100000), " ",IF(INDEX($V$2:$AE$1001,MATCH(ROWS($O$2:O692),$O$2:$O$1001,0),MATCH(COLUMNS($V$1006:AA1006),$V$1006:$AE$1006,0)), HYPERLINK("#",""), HYPERLINK(CONCATENATE("#Metadata!", ADDRESS(INDEX($Q$2:$Q$1001,MATCH(ROWS($O$2:O692),$O$2:$O$1001,0),0), INDEX($V$1004:$AE$1004,1,MATCH(COLUMNS($V$1006:AA1006),$V$1006:$AE$1006,0)))),"Fix")))</f>
        <v>0</v>
      </c>
      <c r="H692" s="3">
        <f>IF(OR(INDEX($P$2:$P$1001,MATCH(ROWS($O$2:O692),$O$2:$O$1001,0),1)&gt;=100000,INDEX($V$1005:$AE$1005,1,MATCH(COLUMNS($V$1006:AB1006),$V$1006:$AE$1006,0))&gt;=100000), " ",IF(INDEX($V$2:$AE$1001,MATCH(ROWS($O$2:O692),$O$2:$O$1001,0),MATCH(COLUMNS($V$1006:AB1006),$V$1006:$AE$1006,0)), HYPERLINK("#",""), HYPERLINK(CONCATENATE("#Metadata!", ADDRESS(INDEX($Q$2:$Q$1001,MATCH(ROWS($O$2:O692),$O$2:$O$1001,0),0), INDEX($V$1004:$AE$1004,1,MATCH(COLUMNS($V$1006:AB1006),$V$1006:$AE$1006,0)))),"Fix")))</f>
        <v>0</v>
      </c>
      <c r="I692" s="3">
        <f>IF(OR(INDEX($P$2:$P$1001,MATCH(ROWS($O$2:O692),$O$2:$O$1001,0),1)&gt;=100000,INDEX($V$1005:$AE$1005,1,MATCH(COLUMNS($V$1006:AC1006),$V$1006:$AE$1006,0))&gt;=100000), " ",IF(INDEX($V$2:$AE$1001,MATCH(ROWS($O$2:O692),$O$2:$O$1001,0),MATCH(COLUMNS($V$1006:AC1006),$V$1006:$AE$1006,0)), HYPERLINK("#",""), HYPERLINK(CONCATENATE("#Metadata!", ADDRESS(INDEX($Q$2:$Q$1001,MATCH(ROWS($O$2:O692),$O$2:$O$1001,0),0), INDEX($V$1004:$AE$1004,1,MATCH(COLUMNS($V$1006:AC1006),$V$1006:$AE$1006,0)))),"Fix")))</f>
        <v>0</v>
      </c>
      <c r="J692" s="3">
        <f>IF(OR(INDEX($P$2:$P$1001,MATCH(ROWS($O$2:O692),$O$2:$O$1001,0),1)&gt;=100000,INDEX($V$1005:$AE$1005,1,MATCH(COLUMNS($V$1006:AD1006),$V$1006:$AE$1006,0))&gt;=100000), " ",IF(INDEX($V$2:$AE$1001,MATCH(ROWS($O$2:O692),$O$2:$O$1001,0),MATCH(COLUMNS($V$1006:AD1006),$V$1006:$AE$1006,0)), HYPERLINK("#",""), HYPERLINK(CONCATENATE("#Metadata!", ADDRESS(INDEX($Q$2:$Q$1001,MATCH(ROWS($O$2:O692),$O$2:$O$1001,0),0), INDEX($V$1004:$AE$1004,1,MATCH(COLUMNS($V$1006:AD1006),$V$1006:$AE$1006,0)))),"Fix")))</f>
        <v>0</v>
      </c>
      <c r="K692" s="3">
        <f>IF(OR(INDEX($P$2:$P$1001,MATCH(ROWS($O$2:O692),$O$2:$O$1001,0),1)&gt;=100000,INDEX($V$1005:$AE$1005,1,MATCH(COLUMNS($V$1006:AE1006),$V$1006:$AE$1006,0))&gt;=100000), " ",IF(INDEX($V$2:$AE$1001,MATCH(ROWS($O$2:O692),$O$2:$O$1001,0),MATCH(COLUMNS($V$1006:AE1006),$V$1006:$AE$1006,0)), HYPERLINK("#",""), HYPERLINK(CONCATENATE("#Metadata!", ADDRESS(INDEX($Q$2:$Q$1001,MATCH(ROWS($O$2:O692),$O$2:$O$1001,0),0), INDEX($V$1004:$AE$1004,1,MATCH(COLUMNS($V$1006:AE1006),$V$1006:$AE$1006,0)))),"Fix")))</f>
        <v>0</v>
      </c>
      <c r="O692">
        <v>0</v>
      </c>
      <c r="P692">
        <v>0</v>
      </c>
      <c r="Q692">
        <v>0</v>
      </c>
      <c r="R692">
        <f>IF(S692,TRUE,AND(V692:AE692))</f>
        <v>0</v>
      </c>
      <c r="S692">
        <f>COUNTBLANK(Metadata!B692:K692)=COLUMNS(Metadata!B692:K692)</f>
        <v>0</v>
      </c>
      <c r="T692">
        <v>0</v>
      </c>
      <c r="V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W692">
        <f>AND(IF(Metadata!C692="",FALSE,TRUE),exact(Metadata!C692,"animal secretion"))</f>
        <v>0</v>
      </c>
      <c r="X692">
        <f>AND(IF(Metadata!D692="",FALSE,TRUE),exact(Metadata!D692,"saliva"))</f>
        <v>0</v>
      </c>
      <c r="Y692">
        <f>AND(IF(Metadata!E692="",FALSE,TRUE),exact(Metadata!E692,"human-oral"))</f>
        <v>0</v>
      </c>
      <c r="Z692">
        <f>AND(IF(Metadata!F692="",FALSE,TRUE),exact(Metadata!F692,"UBERON:oral cavity"))</f>
        <v>0</v>
      </c>
      <c r="AA692">
        <f>AND(IF(Metadata!G692="",FALSE,TRUE),exact(Metadata!G692,"UBERON:saliva"))</f>
        <v>0</v>
      </c>
      <c r="AB692">
        <f>AND(IF(Metadata!H692="",FALSE,TRUE),exact(Metadata!H692,"UBERON:tongue"))</f>
        <v>0</v>
      </c>
      <c r="AC692">
        <f>AND(IF(Metadata!I692="",FALSE,TRUE),exact(Metadata!I692,"tongue"))</f>
        <v>0</v>
      </c>
      <c r="AD692">
        <f>AND(IF(Metadata!J692="",FALSE,TRUE),exact(Metadata!J692,"human oral metagenome"))</f>
        <v>0</v>
      </c>
      <c r="AE692">
        <f>AND(IF(Metadata!K692="",FALSE,TRUE),exact(Metadata!K692,"447426"))</f>
        <v>0</v>
      </c>
    </row>
    <row r="693" spans="1:31">
      <c r="A693" s="4">
        <f>IF(B693=" "," ",HYPERLINK(CONCATENATE("#metadata!",ADDRESS(INDEX($Q$2:$Q$1001,MATCH(ROWS($O$2:O693),$O$2:$O$1001,0),0),1)),INDEX($T$2:$T$1001,MATCH(ROWS($O$2:O693),$O$2:$O$1001,0),0)))</f>
        <v>0</v>
      </c>
      <c r="B693" s="3">
        <f>IF(OR(INDEX($P$2:$P$1001,MATCH(ROWS($O$2:O693),$O$2:$O$1001,0),1)&gt;=100000,INDEX($V$1005:$AE$1005,1,MATCH(COLUMNS($V$1006:V1006),$V$1006:$AE$1006,0))&gt;=100000), " ",IF(INDEX($V$2:$AE$1001,MATCH(ROWS($O$2:O693),$O$2:$O$1001,0),MATCH(COLUMNS($V$1006:V1006),$V$1006:$AE$1006,0)), HYPERLINK("#",""), HYPERLINK(CONCATENATE("#Metadata!", ADDRESS(INDEX($Q$2:$Q$1001,MATCH(ROWS($O$2:O693),$O$2:$O$1001,0),0), INDEX($V$1004:$AE$1004,1,MATCH(COLUMNS($V$1006:V1006),$V$1006:$AE$1006,0)))),"Fix")))</f>
        <v>0</v>
      </c>
      <c r="C693" s="3">
        <f>IF(OR(INDEX($P$2:$P$1001,MATCH(ROWS($O$2:O693),$O$2:$O$1001,0),1)&gt;=100000,INDEX($V$1005:$AE$1005,1,MATCH(COLUMNS($V$1006:W1006),$V$1006:$AE$1006,0))&gt;=100000), " ",IF(INDEX($V$2:$AE$1001,MATCH(ROWS($O$2:O693),$O$2:$O$1001,0),MATCH(COLUMNS($V$1006:W1006),$V$1006:$AE$1006,0)), HYPERLINK("#",""), HYPERLINK(CONCATENATE("#Metadata!", ADDRESS(INDEX($Q$2:$Q$1001,MATCH(ROWS($O$2:O693),$O$2:$O$1001,0),0), INDEX($V$1004:$AE$1004,1,MATCH(COLUMNS($V$1006:W1006),$V$1006:$AE$1006,0)))),"Fix")))</f>
        <v>0</v>
      </c>
      <c r="D693" s="3">
        <f>IF(OR(INDEX($P$2:$P$1001,MATCH(ROWS($O$2:O693),$O$2:$O$1001,0),1)&gt;=100000,INDEX($V$1005:$AE$1005,1,MATCH(COLUMNS($V$1006:X1006),$V$1006:$AE$1006,0))&gt;=100000), " ",IF(INDEX($V$2:$AE$1001,MATCH(ROWS($O$2:O693),$O$2:$O$1001,0),MATCH(COLUMNS($V$1006:X1006),$V$1006:$AE$1006,0)), HYPERLINK("#",""), HYPERLINK(CONCATENATE("#Metadata!", ADDRESS(INDEX($Q$2:$Q$1001,MATCH(ROWS($O$2:O693),$O$2:$O$1001,0),0), INDEX($V$1004:$AE$1004,1,MATCH(COLUMNS($V$1006:X1006),$V$1006:$AE$1006,0)))),"Fix")))</f>
        <v>0</v>
      </c>
      <c r="E693" s="3">
        <f>IF(OR(INDEX($P$2:$P$1001,MATCH(ROWS($O$2:O693),$O$2:$O$1001,0),1)&gt;=100000,INDEX($V$1005:$AE$1005,1,MATCH(COLUMNS($V$1006:Y1006),$V$1006:$AE$1006,0))&gt;=100000), " ",IF(INDEX($V$2:$AE$1001,MATCH(ROWS($O$2:O693),$O$2:$O$1001,0),MATCH(COLUMNS($V$1006:Y1006),$V$1006:$AE$1006,0)), HYPERLINK("#",""), HYPERLINK(CONCATENATE("#Metadata!", ADDRESS(INDEX($Q$2:$Q$1001,MATCH(ROWS($O$2:O693),$O$2:$O$1001,0),0), INDEX($V$1004:$AE$1004,1,MATCH(COLUMNS($V$1006:Y1006),$V$1006:$AE$1006,0)))),"Fix")))</f>
        <v>0</v>
      </c>
      <c r="F693" s="3">
        <f>IF(OR(INDEX($P$2:$P$1001,MATCH(ROWS($O$2:O693),$O$2:$O$1001,0),1)&gt;=100000,INDEX($V$1005:$AE$1005,1,MATCH(COLUMNS($V$1006:Z1006),$V$1006:$AE$1006,0))&gt;=100000), " ",IF(INDEX($V$2:$AE$1001,MATCH(ROWS($O$2:O693),$O$2:$O$1001,0),MATCH(COLUMNS($V$1006:Z1006),$V$1006:$AE$1006,0)), HYPERLINK("#",""), HYPERLINK(CONCATENATE("#Metadata!", ADDRESS(INDEX($Q$2:$Q$1001,MATCH(ROWS($O$2:O693),$O$2:$O$1001,0),0), INDEX($V$1004:$AE$1004,1,MATCH(COLUMNS($V$1006:Z1006),$V$1006:$AE$1006,0)))),"Fix")))</f>
        <v>0</v>
      </c>
      <c r="G693" s="3">
        <f>IF(OR(INDEX($P$2:$P$1001,MATCH(ROWS($O$2:O693),$O$2:$O$1001,0),1)&gt;=100000,INDEX($V$1005:$AE$1005,1,MATCH(COLUMNS($V$1006:AA1006),$V$1006:$AE$1006,0))&gt;=100000), " ",IF(INDEX($V$2:$AE$1001,MATCH(ROWS($O$2:O693),$O$2:$O$1001,0),MATCH(COLUMNS($V$1006:AA1006),$V$1006:$AE$1006,0)), HYPERLINK("#",""), HYPERLINK(CONCATENATE("#Metadata!", ADDRESS(INDEX($Q$2:$Q$1001,MATCH(ROWS($O$2:O693),$O$2:$O$1001,0),0), INDEX($V$1004:$AE$1004,1,MATCH(COLUMNS($V$1006:AA1006),$V$1006:$AE$1006,0)))),"Fix")))</f>
        <v>0</v>
      </c>
      <c r="H693" s="3">
        <f>IF(OR(INDEX($P$2:$P$1001,MATCH(ROWS($O$2:O693),$O$2:$O$1001,0),1)&gt;=100000,INDEX($V$1005:$AE$1005,1,MATCH(COLUMNS($V$1006:AB1006),$V$1006:$AE$1006,0))&gt;=100000), " ",IF(INDEX($V$2:$AE$1001,MATCH(ROWS($O$2:O693),$O$2:$O$1001,0),MATCH(COLUMNS($V$1006:AB1006),$V$1006:$AE$1006,0)), HYPERLINK("#",""), HYPERLINK(CONCATENATE("#Metadata!", ADDRESS(INDEX($Q$2:$Q$1001,MATCH(ROWS($O$2:O693),$O$2:$O$1001,0),0), INDEX($V$1004:$AE$1004,1,MATCH(COLUMNS($V$1006:AB1006),$V$1006:$AE$1006,0)))),"Fix")))</f>
        <v>0</v>
      </c>
      <c r="I693" s="3">
        <f>IF(OR(INDEX($P$2:$P$1001,MATCH(ROWS($O$2:O693),$O$2:$O$1001,0),1)&gt;=100000,INDEX($V$1005:$AE$1005,1,MATCH(COLUMNS($V$1006:AC1006),$V$1006:$AE$1006,0))&gt;=100000), " ",IF(INDEX($V$2:$AE$1001,MATCH(ROWS($O$2:O693),$O$2:$O$1001,0),MATCH(COLUMNS($V$1006:AC1006),$V$1006:$AE$1006,0)), HYPERLINK("#",""), HYPERLINK(CONCATENATE("#Metadata!", ADDRESS(INDEX($Q$2:$Q$1001,MATCH(ROWS($O$2:O693),$O$2:$O$1001,0),0), INDEX($V$1004:$AE$1004,1,MATCH(COLUMNS($V$1006:AC1006),$V$1006:$AE$1006,0)))),"Fix")))</f>
        <v>0</v>
      </c>
      <c r="J693" s="3">
        <f>IF(OR(INDEX($P$2:$P$1001,MATCH(ROWS($O$2:O693),$O$2:$O$1001,0),1)&gt;=100000,INDEX($V$1005:$AE$1005,1,MATCH(COLUMNS($V$1006:AD1006),$V$1006:$AE$1006,0))&gt;=100000), " ",IF(INDEX($V$2:$AE$1001,MATCH(ROWS($O$2:O693),$O$2:$O$1001,0),MATCH(COLUMNS($V$1006:AD1006),$V$1006:$AE$1006,0)), HYPERLINK("#",""), HYPERLINK(CONCATENATE("#Metadata!", ADDRESS(INDEX($Q$2:$Q$1001,MATCH(ROWS($O$2:O693),$O$2:$O$1001,0),0), INDEX($V$1004:$AE$1004,1,MATCH(COLUMNS($V$1006:AD1006),$V$1006:$AE$1006,0)))),"Fix")))</f>
        <v>0</v>
      </c>
      <c r="K693" s="3">
        <f>IF(OR(INDEX($P$2:$P$1001,MATCH(ROWS($O$2:O693),$O$2:$O$1001,0),1)&gt;=100000,INDEX($V$1005:$AE$1005,1,MATCH(COLUMNS($V$1006:AE1006),$V$1006:$AE$1006,0))&gt;=100000), " ",IF(INDEX($V$2:$AE$1001,MATCH(ROWS($O$2:O693),$O$2:$O$1001,0),MATCH(COLUMNS($V$1006:AE1006),$V$1006:$AE$1006,0)), HYPERLINK("#",""), HYPERLINK(CONCATENATE("#Metadata!", ADDRESS(INDEX($Q$2:$Q$1001,MATCH(ROWS($O$2:O693),$O$2:$O$1001,0),0), INDEX($V$1004:$AE$1004,1,MATCH(COLUMNS($V$1006:AE1006),$V$1006:$AE$1006,0)))),"Fix")))</f>
        <v>0</v>
      </c>
      <c r="O693">
        <v>0</v>
      </c>
      <c r="P693">
        <v>0</v>
      </c>
      <c r="Q693">
        <v>0</v>
      </c>
      <c r="R693">
        <f>IF(S693,TRUE,AND(V693:AE693))</f>
        <v>0</v>
      </c>
      <c r="S693">
        <f>COUNTBLANK(Metadata!B693:K693)=COLUMNS(Metadata!B693:K693)</f>
        <v>0</v>
      </c>
      <c r="T693">
        <v>0</v>
      </c>
      <c r="V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W693">
        <f>AND(IF(Metadata!C693="",FALSE,TRUE),exact(Metadata!C693,"animal secretion"))</f>
        <v>0</v>
      </c>
      <c r="X693">
        <f>AND(IF(Metadata!D693="",FALSE,TRUE),exact(Metadata!D693,"saliva"))</f>
        <v>0</v>
      </c>
      <c r="Y693">
        <f>AND(IF(Metadata!E693="",FALSE,TRUE),exact(Metadata!E693,"human-oral"))</f>
        <v>0</v>
      </c>
      <c r="Z693">
        <f>AND(IF(Metadata!F693="",FALSE,TRUE),exact(Metadata!F693,"UBERON:oral cavity"))</f>
        <v>0</v>
      </c>
      <c r="AA693">
        <f>AND(IF(Metadata!G693="",FALSE,TRUE),exact(Metadata!G693,"UBERON:saliva"))</f>
        <v>0</v>
      </c>
      <c r="AB693">
        <f>AND(IF(Metadata!H693="",FALSE,TRUE),exact(Metadata!H693,"UBERON:tongue"))</f>
        <v>0</v>
      </c>
      <c r="AC693">
        <f>AND(IF(Metadata!I693="",FALSE,TRUE),exact(Metadata!I693,"tongue"))</f>
        <v>0</v>
      </c>
      <c r="AD693">
        <f>AND(IF(Metadata!J693="",FALSE,TRUE),exact(Metadata!J693,"human oral metagenome"))</f>
        <v>0</v>
      </c>
      <c r="AE693">
        <f>AND(IF(Metadata!K693="",FALSE,TRUE),exact(Metadata!K693,"447426"))</f>
        <v>0</v>
      </c>
    </row>
    <row r="694" spans="1:31">
      <c r="A694" s="4">
        <f>IF(B694=" "," ",HYPERLINK(CONCATENATE("#metadata!",ADDRESS(INDEX($Q$2:$Q$1001,MATCH(ROWS($O$2:O694),$O$2:$O$1001,0),0),1)),INDEX($T$2:$T$1001,MATCH(ROWS($O$2:O694),$O$2:$O$1001,0),0)))</f>
        <v>0</v>
      </c>
      <c r="B694" s="3">
        <f>IF(OR(INDEX($P$2:$P$1001,MATCH(ROWS($O$2:O694),$O$2:$O$1001,0),1)&gt;=100000,INDEX($V$1005:$AE$1005,1,MATCH(COLUMNS($V$1006:V1006),$V$1006:$AE$1006,0))&gt;=100000), " ",IF(INDEX($V$2:$AE$1001,MATCH(ROWS($O$2:O694),$O$2:$O$1001,0),MATCH(COLUMNS($V$1006:V1006),$V$1006:$AE$1006,0)), HYPERLINK("#",""), HYPERLINK(CONCATENATE("#Metadata!", ADDRESS(INDEX($Q$2:$Q$1001,MATCH(ROWS($O$2:O694),$O$2:$O$1001,0),0), INDEX($V$1004:$AE$1004,1,MATCH(COLUMNS($V$1006:V1006),$V$1006:$AE$1006,0)))),"Fix")))</f>
        <v>0</v>
      </c>
      <c r="C694" s="3">
        <f>IF(OR(INDEX($P$2:$P$1001,MATCH(ROWS($O$2:O694),$O$2:$O$1001,0),1)&gt;=100000,INDEX($V$1005:$AE$1005,1,MATCH(COLUMNS($V$1006:W1006),$V$1006:$AE$1006,0))&gt;=100000), " ",IF(INDEX($V$2:$AE$1001,MATCH(ROWS($O$2:O694),$O$2:$O$1001,0),MATCH(COLUMNS($V$1006:W1006),$V$1006:$AE$1006,0)), HYPERLINK("#",""), HYPERLINK(CONCATENATE("#Metadata!", ADDRESS(INDEX($Q$2:$Q$1001,MATCH(ROWS($O$2:O694),$O$2:$O$1001,0),0), INDEX($V$1004:$AE$1004,1,MATCH(COLUMNS($V$1006:W1006),$V$1006:$AE$1006,0)))),"Fix")))</f>
        <v>0</v>
      </c>
      <c r="D694" s="3">
        <f>IF(OR(INDEX($P$2:$P$1001,MATCH(ROWS($O$2:O694),$O$2:$O$1001,0),1)&gt;=100000,INDEX($V$1005:$AE$1005,1,MATCH(COLUMNS($V$1006:X1006),$V$1006:$AE$1006,0))&gt;=100000), " ",IF(INDEX($V$2:$AE$1001,MATCH(ROWS($O$2:O694),$O$2:$O$1001,0),MATCH(COLUMNS($V$1006:X1006),$V$1006:$AE$1006,0)), HYPERLINK("#",""), HYPERLINK(CONCATENATE("#Metadata!", ADDRESS(INDEX($Q$2:$Q$1001,MATCH(ROWS($O$2:O694),$O$2:$O$1001,0),0), INDEX($V$1004:$AE$1004,1,MATCH(COLUMNS($V$1006:X1006),$V$1006:$AE$1006,0)))),"Fix")))</f>
        <v>0</v>
      </c>
      <c r="E694" s="3">
        <f>IF(OR(INDEX($P$2:$P$1001,MATCH(ROWS($O$2:O694),$O$2:$O$1001,0),1)&gt;=100000,INDEX($V$1005:$AE$1005,1,MATCH(COLUMNS($V$1006:Y1006),$V$1006:$AE$1006,0))&gt;=100000), " ",IF(INDEX($V$2:$AE$1001,MATCH(ROWS($O$2:O694),$O$2:$O$1001,0),MATCH(COLUMNS($V$1006:Y1006),$V$1006:$AE$1006,0)), HYPERLINK("#",""), HYPERLINK(CONCATENATE("#Metadata!", ADDRESS(INDEX($Q$2:$Q$1001,MATCH(ROWS($O$2:O694),$O$2:$O$1001,0),0), INDEX($V$1004:$AE$1004,1,MATCH(COLUMNS($V$1006:Y1006),$V$1006:$AE$1006,0)))),"Fix")))</f>
        <v>0</v>
      </c>
      <c r="F694" s="3">
        <f>IF(OR(INDEX($P$2:$P$1001,MATCH(ROWS($O$2:O694),$O$2:$O$1001,0),1)&gt;=100000,INDEX($V$1005:$AE$1005,1,MATCH(COLUMNS($V$1006:Z1006),$V$1006:$AE$1006,0))&gt;=100000), " ",IF(INDEX($V$2:$AE$1001,MATCH(ROWS($O$2:O694),$O$2:$O$1001,0),MATCH(COLUMNS($V$1006:Z1006),$V$1006:$AE$1006,0)), HYPERLINK("#",""), HYPERLINK(CONCATENATE("#Metadata!", ADDRESS(INDEX($Q$2:$Q$1001,MATCH(ROWS($O$2:O694),$O$2:$O$1001,0),0), INDEX($V$1004:$AE$1004,1,MATCH(COLUMNS($V$1006:Z1006),$V$1006:$AE$1006,0)))),"Fix")))</f>
        <v>0</v>
      </c>
      <c r="G694" s="3">
        <f>IF(OR(INDEX($P$2:$P$1001,MATCH(ROWS($O$2:O694),$O$2:$O$1001,0),1)&gt;=100000,INDEX($V$1005:$AE$1005,1,MATCH(COLUMNS($V$1006:AA1006),$V$1006:$AE$1006,0))&gt;=100000), " ",IF(INDEX($V$2:$AE$1001,MATCH(ROWS($O$2:O694),$O$2:$O$1001,0),MATCH(COLUMNS($V$1006:AA1006),$V$1006:$AE$1006,0)), HYPERLINK("#",""), HYPERLINK(CONCATENATE("#Metadata!", ADDRESS(INDEX($Q$2:$Q$1001,MATCH(ROWS($O$2:O694),$O$2:$O$1001,0),0), INDEX($V$1004:$AE$1004,1,MATCH(COLUMNS($V$1006:AA1006),$V$1006:$AE$1006,0)))),"Fix")))</f>
        <v>0</v>
      </c>
      <c r="H694" s="3">
        <f>IF(OR(INDEX($P$2:$P$1001,MATCH(ROWS($O$2:O694),$O$2:$O$1001,0),1)&gt;=100000,INDEX($V$1005:$AE$1005,1,MATCH(COLUMNS($V$1006:AB1006),$V$1006:$AE$1006,0))&gt;=100000), " ",IF(INDEX($V$2:$AE$1001,MATCH(ROWS($O$2:O694),$O$2:$O$1001,0),MATCH(COLUMNS($V$1006:AB1006),$V$1006:$AE$1006,0)), HYPERLINK("#",""), HYPERLINK(CONCATENATE("#Metadata!", ADDRESS(INDEX($Q$2:$Q$1001,MATCH(ROWS($O$2:O694),$O$2:$O$1001,0),0), INDEX($V$1004:$AE$1004,1,MATCH(COLUMNS($V$1006:AB1006),$V$1006:$AE$1006,0)))),"Fix")))</f>
        <v>0</v>
      </c>
      <c r="I694" s="3">
        <f>IF(OR(INDEX($P$2:$P$1001,MATCH(ROWS($O$2:O694),$O$2:$O$1001,0),1)&gt;=100000,INDEX($V$1005:$AE$1005,1,MATCH(COLUMNS($V$1006:AC1006),$V$1006:$AE$1006,0))&gt;=100000), " ",IF(INDEX($V$2:$AE$1001,MATCH(ROWS($O$2:O694),$O$2:$O$1001,0),MATCH(COLUMNS($V$1006:AC1006),$V$1006:$AE$1006,0)), HYPERLINK("#",""), HYPERLINK(CONCATENATE("#Metadata!", ADDRESS(INDEX($Q$2:$Q$1001,MATCH(ROWS($O$2:O694),$O$2:$O$1001,0),0), INDEX($V$1004:$AE$1004,1,MATCH(COLUMNS($V$1006:AC1006),$V$1006:$AE$1006,0)))),"Fix")))</f>
        <v>0</v>
      </c>
      <c r="J694" s="3">
        <f>IF(OR(INDEX($P$2:$P$1001,MATCH(ROWS($O$2:O694),$O$2:$O$1001,0),1)&gt;=100000,INDEX($V$1005:$AE$1005,1,MATCH(COLUMNS($V$1006:AD1006),$V$1006:$AE$1006,0))&gt;=100000), " ",IF(INDEX($V$2:$AE$1001,MATCH(ROWS($O$2:O694),$O$2:$O$1001,0),MATCH(COLUMNS($V$1006:AD1006),$V$1006:$AE$1006,0)), HYPERLINK("#",""), HYPERLINK(CONCATENATE("#Metadata!", ADDRESS(INDEX($Q$2:$Q$1001,MATCH(ROWS($O$2:O694),$O$2:$O$1001,0),0), INDEX($V$1004:$AE$1004,1,MATCH(COLUMNS($V$1006:AD1006),$V$1006:$AE$1006,0)))),"Fix")))</f>
        <v>0</v>
      </c>
      <c r="K694" s="3">
        <f>IF(OR(INDEX($P$2:$P$1001,MATCH(ROWS($O$2:O694),$O$2:$O$1001,0),1)&gt;=100000,INDEX($V$1005:$AE$1005,1,MATCH(COLUMNS($V$1006:AE1006),$V$1006:$AE$1006,0))&gt;=100000), " ",IF(INDEX($V$2:$AE$1001,MATCH(ROWS($O$2:O694),$O$2:$O$1001,0),MATCH(COLUMNS($V$1006:AE1006),$V$1006:$AE$1006,0)), HYPERLINK("#",""), HYPERLINK(CONCATENATE("#Metadata!", ADDRESS(INDEX($Q$2:$Q$1001,MATCH(ROWS($O$2:O694),$O$2:$O$1001,0),0), INDEX($V$1004:$AE$1004,1,MATCH(COLUMNS($V$1006:AE1006),$V$1006:$AE$1006,0)))),"Fix")))</f>
        <v>0</v>
      </c>
      <c r="O694">
        <v>0</v>
      </c>
      <c r="P694">
        <v>0</v>
      </c>
      <c r="Q694">
        <v>0</v>
      </c>
      <c r="R694">
        <f>IF(S694,TRUE,AND(V694:AE694))</f>
        <v>0</v>
      </c>
      <c r="S694">
        <f>COUNTBLANK(Metadata!B694:K694)=COLUMNS(Metadata!B694:K694)</f>
        <v>0</v>
      </c>
      <c r="T694">
        <v>0</v>
      </c>
      <c r="V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W694">
        <f>AND(IF(Metadata!C694="",FALSE,TRUE),exact(Metadata!C694,"animal secretion"))</f>
        <v>0</v>
      </c>
      <c r="X694">
        <f>AND(IF(Metadata!D694="",FALSE,TRUE),exact(Metadata!D694,"saliva"))</f>
        <v>0</v>
      </c>
      <c r="Y694">
        <f>AND(IF(Metadata!E694="",FALSE,TRUE),exact(Metadata!E694,"human-oral"))</f>
        <v>0</v>
      </c>
      <c r="Z694">
        <f>AND(IF(Metadata!F694="",FALSE,TRUE),exact(Metadata!F694,"UBERON:oral cavity"))</f>
        <v>0</v>
      </c>
      <c r="AA694">
        <f>AND(IF(Metadata!G694="",FALSE,TRUE),exact(Metadata!G694,"UBERON:saliva"))</f>
        <v>0</v>
      </c>
      <c r="AB694">
        <f>AND(IF(Metadata!H694="",FALSE,TRUE),exact(Metadata!H694,"UBERON:tongue"))</f>
        <v>0</v>
      </c>
      <c r="AC694">
        <f>AND(IF(Metadata!I694="",FALSE,TRUE),exact(Metadata!I694,"tongue"))</f>
        <v>0</v>
      </c>
      <c r="AD694">
        <f>AND(IF(Metadata!J694="",FALSE,TRUE),exact(Metadata!J694,"human oral metagenome"))</f>
        <v>0</v>
      </c>
      <c r="AE694">
        <f>AND(IF(Metadata!K694="",FALSE,TRUE),exact(Metadata!K694,"447426"))</f>
        <v>0</v>
      </c>
    </row>
    <row r="695" spans="1:31">
      <c r="A695" s="4">
        <f>IF(B695=" "," ",HYPERLINK(CONCATENATE("#metadata!",ADDRESS(INDEX($Q$2:$Q$1001,MATCH(ROWS($O$2:O695),$O$2:$O$1001,0),0),1)),INDEX($T$2:$T$1001,MATCH(ROWS($O$2:O695),$O$2:$O$1001,0),0)))</f>
        <v>0</v>
      </c>
      <c r="B695" s="3">
        <f>IF(OR(INDEX($P$2:$P$1001,MATCH(ROWS($O$2:O695),$O$2:$O$1001,0),1)&gt;=100000,INDEX($V$1005:$AE$1005,1,MATCH(COLUMNS($V$1006:V1006),$V$1006:$AE$1006,0))&gt;=100000), " ",IF(INDEX($V$2:$AE$1001,MATCH(ROWS($O$2:O695),$O$2:$O$1001,0),MATCH(COLUMNS($V$1006:V1006),$V$1006:$AE$1006,0)), HYPERLINK("#",""), HYPERLINK(CONCATENATE("#Metadata!", ADDRESS(INDEX($Q$2:$Q$1001,MATCH(ROWS($O$2:O695),$O$2:$O$1001,0),0), INDEX($V$1004:$AE$1004,1,MATCH(COLUMNS($V$1006:V1006),$V$1006:$AE$1006,0)))),"Fix")))</f>
        <v>0</v>
      </c>
      <c r="C695" s="3">
        <f>IF(OR(INDEX($P$2:$P$1001,MATCH(ROWS($O$2:O695),$O$2:$O$1001,0),1)&gt;=100000,INDEX($V$1005:$AE$1005,1,MATCH(COLUMNS($V$1006:W1006),$V$1006:$AE$1006,0))&gt;=100000), " ",IF(INDEX($V$2:$AE$1001,MATCH(ROWS($O$2:O695),$O$2:$O$1001,0),MATCH(COLUMNS($V$1006:W1006),$V$1006:$AE$1006,0)), HYPERLINK("#",""), HYPERLINK(CONCATENATE("#Metadata!", ADDRESS(INDEX($Q$2:$Q$1001,MATCH(ROWS($O$2:O695),$O$2:$O$1001,0),0), INDEX($V$1004:$AE$1004,1,MATCH(COLUMNS($V$1006:W1006),$V$1006:$AE$1006,0)))),"Fix")))</f>
        <v>0</v>
      </c>
      <c r="D695" s="3">
        <f>IF(OR(INDEX($P$2:$P$1001,MATCH(ROWS($O$2:O695),$O$2:$O$1001,0),1)&gt;=100000,INDEX($V$1005:$AE$1005,1,MATCH(COLUMNS($V$1006:X1006),$V$1006:$AE$1006,0))&gt;=100000), " ",IF(INDEX($V$2:$AE$1001,MATCH(ROWS($O$2:O695),$O$2:$O$1001,0),MATCH(COLUMNS($V$1006:X1006),$V$1006:$AE$1006,0)), HYPERLINK("#",""), HYPERLINK(CONCATENATE("#Metadata!", ADDRESS(INDEX($Q$2:$Q$1001,MATCH(ROWS($O$2:O695),$O$2:$O$1001,0),0), INDEX($V$1004:$AE$1004,1,MATCH(COLUMNS($V$1006:X1006),$V$1006:$AE$1006,0)))),"Fix")))</f>
        <v>0</v>
      </c>
      <c r="E695" s="3">
        <f>IF(OR(INDEX($P$2:$P$1001,MATCH(ROWS($O$2:O695),$O$2:$O$1001,0),1)&gt;=100000,INDEX($V$1005:$AE$1005,1,MATCH(COLUMNS($V$1006:Y1006),$V$1006:$AE$1006,0))&gt;=100000), " ",IF(INDEX($V$2:$AE$1001,MATCH(ROWS($O$2:O695),$O$2:$O$1001,0),MATCH(COLUMNS($V$1006:Y1006),$V$1006:$AE$1006,0)), HYPERLINK("#",""), HYPERLINK(CONCATENATE("#Metadata!", ADDRESS(INDEX($Q$2:$Q$1001,MATCH(ROWS($O$2:O695),$O$2:$O$1001,0),0), INDEX($V$1004:$AE$1004,1,MATCH(COLUMNS($V$1006:Y1006),$V$1006:$AE$1006,0)))),"Fix")))</f>
        <v>0</v>
      </c>
      <c r="F695" s="3">
        <f>IF(OR(INDEX($P$2:$P$1001,MATCH(ROWS($O$2:O695),$O$2:$O$1001,0),1)&gt;=100000,INDEX($V$1005:$AE$1005,1,MATCH(COLUMNS($V$1006:Z1006),$V$1006:$AE$1006,0))&gt;=100000), " ",IF(INDEX($V$2:$AE$1001,MATCH(ROWS($O$2:O695),$O$2:$O$1001,0),MATCH(COLUMNS($V$1006:Z1006),$V$1006:$AE$1006,0)), HYPERLINK("#",""), HYPERLINK(CONCATENATE("#Metadata!", ADDRESS(INDEX($Q$2:$Q$1001,MATCH(ROWS($O$2:O695),$O$2:$O$1001,0),0), INDEX($V$1004:$AE$1004,1,MATCH(COLUMNS($V$1006:Z1006),$V$1006:$AE$1006,0)))),"Fix")))</f>
        <v>0</v>
      </c>
      <c r="G695" s="3">
        <f>IF(OR(INDEX($P$2:$P$1001,MATCH(ROWS($O$2:O695),$O$2:$O$1001,0),1)&gt;=100000,INDEX($V$1005:$AE$1005,1,MATCH(COLUMNS($V$1006:AA1006),$V$1006:$AE$1006,0))&gt;=100000), " ",IF(INDEX($V$2:$AE$1001,MATCH(ROWS($O$2:O695),$O$2:$O$1001,0),MATCH(COLUMNS($V$1006:AA1006),$V$1006:$AE$1006,0)), HYPERLINK("#",""), HYPERLINK(CONCATENATE("#Metadata!", ADDRESS(INDEX($Q$2:$Q$1001,MATCH(ROWS($O$2:O695),$O$2:$O$1001,0),0), INDEX($V$1004:$AE$1004,1,MATCH(COLUMNS($V$1006:AA1006),$V$1006:$AE$1006,0)))),"Fix")))</f>
        <v>0</v>
      </c>
      <c r="H695" s="3">
        <f>IF(OR(INDEX($P$2:$P$1001,MATCH(ROWS($O$2:O695),$O$2:$O$1001,0),1)&gt;=100000,INDEX($V$1005:$AE$1005,1,MATCH(COLUMNS($V$1006:AB1006),$V$1006:$AE$1006,0))&gt;=100000), " ",IF(INDEX($V$2:$AE$1001,MATCH(ROWS($O$2:O695),$O$2:$O$1001,0),MATCH(COLUMNS($V$1006:AB1006),$V$1006:$AE$1006,0)), HYPERLINK("#",""), HYPERLINK(CONCATENATE("#Metadata!", ADDRESS(INDEX($Q$2:$Q$1001,MATCH(ROWS($O$2:O695),$O$2:$O$1001,0),0), INDEX($V$1004:$AE$1004,1,MATCH(COLUMNS($V$1006:AB1006),$V$1006:$AE$1006,0)))),"Fix")))</f>
        <v>0</v>
      </c>
      <c r="I695" s="3">
        <f>IF(OR(INDEX($P$2:$P$1001,MATCH(ROWS($O$2:O695),$O$2:$O$1001,0),1)&gt;=100000,INDEX($V$1005:$AE$1005,1,MATCH(COLUMNS($V$1006:AC1006),$V$1006:$AE$1006,0))&gt;=100000), " ",IF(INDEX($V$2:$AE$1001,MATCH(ROWS($O$2:O695),$O$2:$O$1001,0),MATCH(COLUMNS($V$1006:AC1006),$V$1006:$AE$1006,0)), HYPERLINK("#",""), HYPERLINK(CONCATENATE("#Metadata!", ADDRESS(INDEX($Q$2:$Q$1001,MATCH(ROWS($O$2:O695),$O$2:$O$1001,0),0), INDEX($V$1004:$AE$1004,1,MATCH(COLUMNS($V$1006:AC1006),$V$1006:$AE$1006,0)))),"Fix")))</f>
        <v>0</v>
      </c>
      <c r="J695" s="3">
        <f>IF(OR(INDEX($P$2:$P$1001,MATCH(ROWS($O$2:O695),$O$2:$O$1001,0),1)&gt;=100000,INDEX($V$1005:$AE$1005,1,MATCH(COLUMNS($V$1006:AD1006),$V$1006:$AE$1006,0))&gt;=100000), " ",IF(INDEX($V$2:$AE$1001,MATCH(ROWS($O$2:O695),$O$2:$O$1001,0),MATCH(COLUMNS($V$1006:AD1006),$V$1006:$AE$1006,0)), HYPERLINK("#",""), HYPERLINK(CONCATENATE("#Metadata!", ADDRESS(INDEX($Q$2:$Q$1001,MATCH(ROWS($O$2:O695),$O$2:$O$1001,0),0), INDEX($V$1004:$AE$1004,1,MATCH(COLUMNS($V$1006:AD1006),$V$1006:$AE$1006,0)))),"Fix")))</f>
        <v>0</v>
      </c>
      <c r="K695" s="3">
        <f>IF(OR(INDEX($P$2:$P$1001,MATCH(ROWS($O$2:O695),$O$2:$O$1001,0),1)&gt;=100000,INDEX($V$1005:$AE$1005,1,MATCH(COLUMNS($V$1006:AE1006),$V$1006:$AE$1006,0))&gt;=100000), " ",IF(INDEX($V$2:$AE$1001,MATCH(ROWS($O$2:O695),$O$2:$O$1001,0),MATCH(COLUMNS($V$1006:AE1006),$V$1006:$AE$1006,0)), HYPERLINK("#",""), HYPERLINK(CONCATENATE("#Metadata!", ADDRESS(INDEX($Q$2:$Q$1001,MATCH(ROWS($O$2:O695),$O$2:$O$1001,0),0), INDEX($V$1004:$AE$1004,1,MATCH(COLUMNS($V$1006:AE1006),$V$1006:$AE$1006,0)))),"Fix")))</f>
        <v>0</v>
      </c>
      <c r="O695">
        <v>0</v>
      </c>
      <c r="P695">
        <v>0</v>
      </c>
      <c r="Q695">
        <v>0</v>
      </c>
      <c r="R695">
        <f>IF(S695,TRUE,AND(V695:AE695))</f>
        <v>0</v>
      </c>
      <c r="S695">
        <f>COUNTBLANK(Metadata!B695:K695)=COLUMNS(Metadata!B695:K695)</f>
        <v>0</v>
      </c>
      <c r="T695">
        <v>0</v>
      </c>
      <c r="V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W695">
        <f>AND(IF(Metadata!C695="",FALSE,TRUE),exact(Metadata!C695,"animal secretion"))</f>
        <v>0</v>
      </c>
      <c r="X695">
        <f>AND(IF(Metadata!D695="",FALSE,TRUE),exact(Metadata!D695,"saliva"))</f>
        <v>0</v>
      </c>
      <c r="Y695">
        <f>AND(IF(Metadata!E695="",FALSE,TRUE),exact(Metadata!E695,"human-oral"))</f>
        <v>0</v>
      </c>
      <c r="Z695">
        <f>AND(IF(Metadata!F695="",FALSE,TRUE),exact(Metadata!F695,"UBERON:oral cavity"))</f>
        <v>0</v>
      </c>
      <c r="AA695">
        <f>AND(IF(Metadata!G695="",FALSE,TRUE),exact(Metadata!G695,"UBERON:saliva"))</f>
        <v>0</v>
      </c>
      <c r="AB695">
        <f>AND(IF(Metadata!H695="",FALSE,TRUE),exact(Metadata!H695,"UBERON:tongue"))</f>
        <v>0</v>
      </c>
      <c r="AC695">
        <f>AND(IF(Metadata!I695="",FALSE,TRUE),exact(Metadata!I695,"tongue"))</f>
        <v>0</v>
      </c>
      <c r="AD695">
        <f>AND(IF(Metadata!J695="",FALSE,TRUE),exact(Metadata!J695,"human oral metagenome"))</f>
        <v>0</v>
      </c>
      <c r="AE695">
        <f>AND(IF(Metadata!K695="",FALSE,TRUE),exact(Metadata!K695,"447426"))</f>
        <v>0</v>
      </c>
    </row>
    <row r="696" spans="1:31">
      <c r="A696" s="4">
        <f>IF(B696=" "," ",HYPERLINK(CONCATENATE("#metadata!",ADDRESS(INDEX($Q$2:$Q$1001,MATCH(ROWS($O$2:O696),$O$2:$O$1001,0),0),1)),INDEX($T$2:$T$1001,MATCH(ROWS($O$2:O696),$O$2:$O$1001,0),0)))</f>
        <v>0</v>
      </c>
      <c r="B696" s="3">
        <f>IF(OR(INDEX($P$2:$P$1001,MATCH(ROWS($O$2:O696),$O$2:$O$1001,0),1)&gt;=100000,INDEX($V$1005:$AE$1005,1,MATCH(COLUMNS($V$1006:V1006),$V$1006:$AE$1006,0))&gt;=100000), " ",IF(INDEX($V$2:$AE$1001,MATCH(ROWS($O$2:O696),$O$2:$O$1001,0),MATCH(COLUMNS($V$1006:V1006),$V$1006:$AE$1006,0)), HYPERLINK("#",""), HYPERLINK(CONCATENATE("#Metadata!", ADDRESS(INDEX($Q$2:$Q$1001,MATCH(ROWS($O$2:O696),$O$2:$O$1001,0),0), INDEX($V$1004:$AE$1004,1,MATCH(COLUMNS($V$1006:V1006),$V$1006:$AE$1006,0)))),"Fix")))</f>
        <v>0</v>
      </c>
      <c r="C696" s="3">
        <f>IF(OR(INDEX($P$2:$P$1001,MATCH(ROWS($O$2:O696),$O$2:$O$1001,0),1)&gt;=100000,INDEX($V$1005:$AE$1005,1,MATCH(COLUMNS($V$1006:W1006),$V$1006:$AE$1006,0))&gt;=100000), " ",IF(INDEX($V$2:$AE$1001,MATCH(ROWS($O$2:O696),$O$2:$O$1001,0),MATCH(COLUMNS($V$1006:W1006),$V$1006:$AE$1006,0)), HYPERLINK("#",""), HYPERLINK(CONCATENATE("#Metadata!", ADDRESS(INDEX($Q$2:$Q$1001,MATCH(ROWS($O$2:O696),$O$2:$O$1001,0),0), INDEX($V$1004:$AE$1004,1,MATCH(COLUMNS($V$1006:W1006),$V$1006:$AE$1006,0)))),"Fix")))</f>
        <v>0</v>
      </c>
      <c r="D696" s="3">
        <f>IF(OR(INDEX($P$2:$P$1001,MATCH(ROWS($O$2:O696),$O$2:$O$1001,0),1)&gt;=100000,INDEX($V$1005:$AE$1005,1,MATCH(COLUMNS($V$1006:X1006),$V$1006:$AE$1006,0))&gt;=100000), " ",IF(INDEX($V$2:$AE$1001,MATCH(ROWS($O$2:O696),$O$2:$O$1001,0),MATCH(COLUMNS($V$1006:X1006),$V$1006:$AE$1006,0)), HYPERLINK("#",""), HYPERLINK(CONCATENATE("#Metadata!", ADDRESS(INDEX($Q$2:$Q$1001,MATCH(ROWS($O$2:O696),$O$2:$O$1001,0),0), INDEX($V$1004:$AE$1004,1,MATCH(COLUMNS($V$1006:X1006),$V$1006:$AE$1006,0)))),"Fix")))</f>
        <v>0</v>
      </c>
      <c r="E696" s="3">
        <f>IF(OR(INDEX($P$2:$P$1001,MATCH(ROWS($O$2:O696),$O$2:$O$1001,0),1)&gt;=100000,INDEX($V$1005:$AE$1005,1,MATCH(COLUMNS($V$1006:Y1006),$V$1006:$AE$1006,0))&gt;=100000), " ",IF(INDEX($V$2:$AE$1001,MATCH(ROWS($O$2:O696),$O$2:$O$1001,0),MATCH(COLUMNS($V$1006:Y1006),$V$1006:$AE$1006,0)), HYPERLINK("#",""), HYPERLINK(CONCATENATE("#Metadata!", ADDRESS(INDEX($Q$2:$Q$1001,MATCH(ROWS($O$2:O696),$O$2:$O$1001,0),0), INDEX($V$1004:$AE$1004,1,MATCH(COLUMNS($V$1006:Y1006),$V$1006:$AE$1006,0)))),"Fix")))</f>
        <v>0</v>
      </c>
      <c r="F696" s="3">
        <f>IF(OR(INDEX($P$2:$P$1001,MATCH(ROWS($O$2:O696),$O$2:$O$1001,0),1)&gt;=100000,INDEX($V$1005:$AE$1005,1,MATCH(COLUMNS($V$1006:Z1006),$V$1006:$AE$1006,0))&gt;=100000), " ",IF(INDEX($V$2:$AE$1001,MATCH(ROWS($O$2:O696),$O$2:$O$1001,0),MATCH(COLUMNS($V$1006:Z1006),$V$1006:$AE$1006,0)), HYPERLINK("#",""), HYPERLINK(CONCATENATE("#Metadata!", ADDRESS(INDEX($Q$2:$Q$1001,MATCH(ROWS($O$2:O696),$O$2:$O$1001,0),0), INDEX($V$1004:$AE$1004,1,MATCH(COLUMNS($V$1006:Z1006),$V$1006:$AE$1006,0)))),"Fix")))</f>
        <v>0</v>
      </c>
      <c r="G696" s="3">
        <f>IF(OR(INDEX($P$2:$P$1001,MATCH(ROWS($O$2:O696),$O$2:$O$1001,0),1)&gt;=100000,INDEX($V$1005:$AE$1005,1,MATCH(COLUMNS($V$1006:AA1006),$V$1006:$AE$1006,0))&gt;=100000), " ",IF(INDEX($V$2:$AE$1001,MATCH(ROWS($O$2:O696),$O$2:$O$1001,0),MATCH(COLUMNS($V$1006:AA1006),$V$1006:$AE$1006,0)), HYPERLINK("#",""), HYPERLINK(CONCATENATE("#Metadata!", ADDRESS(INDEX($Q$2:$Q$1001,MATCH(ROWS($O$2:O696),$O$2:$O$1001,0),0), INDEX($V$1004:$AE$1004,1,MATCH(COLUMNS($V$1006:AA1006),$V$1006:$AE$1006,0)))),"Fix")))</f>
        <v>0</v>
      </c>
      <c r="H696" s="3">
        <f>IF(OR(INDEX($P$2:$P$1001,MATCH(ROWS($O$2:O696),$O$2:$O$1001,0),1)&gt;=100000,INDEX($V$1005:$AE$1005,1,MATCH(COLUMNS($V$1006:AB1006),$V$1006:$AE$1006,0))&gt;=100000), " ",IF(INDEX($V$2:$AE$1001,MATCH(ROWS($O$2:O696),$O$2:$O$1001,0),MATCH(COLUMNS($V$1006:AB1006),$V$1006:$AE$1006,0)), HYPERLINK("#",""), HYPERLINK(CONCATENATE("#Metadata!", ADDRESS(INDEX($Q$2:$Q$1001,MATCH(ROWS($O$2:O696),$O$2:$O$1001,0),0), INDEX($V$1004:$AE$1004,1,MATCH(COLUMNS($V$1006:AB1006),$V$1006:$AE$1006,0)))),"Fix")))</f>
        <v>0</v>
      </c>
      <c r="I696" s="3">
        <f>IF(OR(INDEX($P$2:$P$1001,MATCH(ROWS($O$2:O696),$O$2:$O$1001,0),1)&gt;=100000,INDEX($V$1005:$AE$1005,1,MATCH(COLUMNS($V$1006:AC1006),$V$1006:$AE$1006,0))&gt;=100000), " ",IF(INDEX($V$2:$AE$1001,MATCH(ROWS($O$2:O696),$O$2:$O$1001,0),MATCH(COLUMNS($V$1006:AC1006),$V$1006:$AE$1006,0)), HYPERLINK("#",""), HYPERLINK(CONCATENATE("#Metadata!", ADDRESS(INDEX($Q$2:$Q$1001,MATCH(ROWS($O$2:O696),$O$2:$O$1001,0),0), INDEX($V$1004:$AE$1004,1,MATCH(COLUMNS($V$1006:AC1006),$V$1006:$AE$1006,0)))),"Fix")))</f>
        <v>0</v>
      </c>
      <c r="J696" s="3">
        <f>IF(OR(INDEX($P$2:$P$1001,MATCH(ROWS($O$2:O696),$O$2:$O$1001,0),1)&gt;=100000,INDEX($V$1005:$AE$1005,1,MATCH(COLUMNS($V$1006:AD1006),$V$1006:$AE$1006,0))&gt;=100000), " ",IF(INDEX($V$2:$AE$1001,MATCH(ROWS($O$2:O696),$O$2:$O$1001,0),MATCH(COLUMNS($V$1006:AD1006),$V$1006:$AE$1006,0)), HYPERLINK("#",""), HYPERLINK(CONCATENATE("#Metadata!", ADDRESS(INDEX($Q$2:$Q$1001,MATCH(ROWS($O$2:O696),$O$2:$O$1001,0),0), INDEX($V$1004:$AE$1004,1,MATCH(COLUMNS($V$1006:AD1006),$V$1006:$AE$1006,0)))),"Fix")))</f>
        <v>0</v>
      </c>
      <c r="K696" s="3">
        <f>IF(OR(INDEX($P$2:$P$1001,MATCH(ROWS($O$2:O696),$O$2:$O$1001,0),1)&gt;=100000,INDEX($V$1005:$AE$1005,1,MATCH(COLUMNS($V$1006:AE1006),$V$1006:$AE$1006,0))&gt;=100000), " ",IF(INDEX($V$2:$AE$1001,MATCH(ROWS($O$2:O696),$O$2:$O$1001,0),MATCH(COLUMNS($V$1006:AE1006),$V$1006:$AE$1006,0)), HYPERLINK("#",""), HYPERLINK(CONCATENATE("#Metadata!", ADDRESS(INDEX($Q$2:$Q$1001,MATCH(ROWS($O$2:O696),$O$2:$O$1001,0),0), INDEX($V$1004:$AE$1004,1,MATCH(COLUMNS($V$1006:AE1006),$V$1006:$AE$1006,0)))),"Fix")))</f>
        <v>0</v>
      </c>
      <c r="O696">
        <v>0</v>
      </c>
      <c r="P696">
        <v>0</v>
      </c>
      <c r="Q696">
        <v>0</v>
      </c>
      <c r="R696">
        <f>IF(S696,TRUE,AND(V696:AE696))</f>
        <v>0</v>
      </c>
      <c r="S696">
        <f>COUNTBLANK(Metadata!B696:K696)=COLUMNS(Metadata!B696:K696)</f>
        <v>0</v>
      </c>
      <c r="T696">
        <v>0</v>
      </c>
      <c r="V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W696">
        <f>AND(IF(Metadata!C696="",FALSE,TRUE),exact(Metadata!C696,"animal secretion"))</f>
        <v>0</v>
      </c>
      <c r="X696">
        <f>AND(IF(Metadata!D696="",FALSE,TRUE),exact(Metadata!D696,"saliva"))</f>
        <v>0</v>
      </c>
      <c r="Y696">
        <f>AND(IF(Metadata!E696="",FALSE,TRUE),exact(Metadata!E696,"human-oral"))</f>
        <v>0</v>
      </c>
      <c r="Z696">
        <f>AND(IF(Metadata!F696="",FALSE,TRUE),exact(Metadata!F696,"UBERON:oral cavity"))</f>
        <v>0</v>
      </c>
      <c r="AA696">
        <f>AND(IF(Metadata!G696="",FALSE,TRUE),exact(Metadata!G696,"UBERON:saliva"))</f>
        <v>0</v>
      </c>
      <c r="AB696">
        <f>AND(IF(Metadata!H696="",FALSE,TRUE),exact(Metadata!H696,"UBERON:tongue"))</f>
        <v>0</v>
      </c>
      <c r="AC696">
        <f>AND(IF(Metadata!I696="",FALSE,TRUE),exact(Metadata!I696,"tongue"))</f>
        <v>0</v>
      </c>
      <c r="AD696">
        <f>AND(IF(Metadata!J696="",FALSE,TRUE),exact(Metadata!J696,"human oral metagenome"))</f>
        <v>0</v>
      </c>
      <c r="AE696">
        <f>AND(IF(Metadata!K696="",FALSE,TRUE),exact(Metadata!K696,"447426"))</f>
        <v>0</v>
      </c>
    </row>
    <row r="697" spans="1:31">
      <c r="A697" s="4">
        <f>IF(B697=" "," ",HYPERLINK(CONCATENATE("#metadata!",ADDRESS(INDEX($Q$2:$Q$1001,MATCH(ROWS($O$2:O697),$O$2:$O$1001,0),0),1)),INDEX($T$2:$T$1001,MATCH(ROWS($O$2:O697),$O$2:$O$1001,0),0)))</f>
        <v>0</v>
      </c>
      <c r="B697" s="3">
        <f>IF(OR(INDEX($P$2:$P$1001,MATCH(ROWS($O$2:O697),$O$2:$O$1001,0),1)&gt;=100000,INDEX($V$1005:$AE$1005,1,MATCH(COLUMNS($V$1006:V1006),$V$1006:$AE$1006,0))&gt;=100000), " ",IF(INDEX($V$2:$AE$1001,MATCH(ROWS($O$2:O697),$O$2:$O$1001,0),MATCH(COLUMNS($V$1006:V1006),$V$1006:$AE$1006,0)), HYPERLINK("#",""), HYPERLINK(CONCATENATE("#Metadata!", ADDRESS(INDEX($Q$2:$Q$1001,MATCH(ROWS($O$2:O697),$O$2:$O$1001,0),0), INDEX($V$1004:$AE$1004,1,MATCH(COLUMNS($V$1006:V1006),$V$1006:$AE$1006,0)))),"Fix")))</f>
        <v>0</v>
      </c>
      <c r="C697" s="3">
        <f>IF(OR(INDEX($P$2:$P$1001,MATCH(ROWS($O$2:O697),$O$2:$O$1001,0),1)&gt;=100000,INDEX($V$1005:$AE$1005,1,MATCH(COLUMNS($V$1006:W1006),$V$1006:$AE$1006,0))&gt;=100000), " ",IF(INDEX($V$2:$AE$1001,MATCH(ROWS($O$2:O697),$O$2:$O$1001,0),MATCH(COLUMNS($V$1006:W1006),$V$1006:$AE$1006,0)), HYPERLINK("#",""), HYPERLINK(CONCATENATE("#Metadata!", ADDRESS(INDEX($Q$2:$Q$1001,MATCH(ROWS($O$2:O697),$O$2:$O$1001,0),0), INDEX($V$1004:$AE$1004,1,MATCH(COLUMNS($V$1006:W1006),$V$1006:$AE$1006,0)))),"Fix")))</f>
        <v>0</v>
      </c>
      <c r="D697" s="3">
        <f>IF(OR(INDEX($P$2:$P$1001,MATCH(ROWS($O$2:O697),$O$2:$O$1001,0),1)&gt;=100000,INDEX($V$1005:$AE$1005,1,MATCH(COLUMNS($V$1006:X1006),$V$1006:$AE$1006,0))&gt;=100000), " ",IF(INDEX($V$2:$AE$1001,MATCH(ROWS($O$2:O697),$O$2:$O$1001,0),MATCH(COLUMNS($V$1006:X1006),$V$1006:$AE$1006,0)), HYPERLINK("#",""), HYPERLINK(CONCATENATE("#Metadata!", ADDRESS(INDEX($Q$2:$Q$1001,MATCH(ROWS($O$2:O697),$O$2:$O$1001,0),0), INDEX($V$1004:$AE$1004,1,MATCH(COLUMNS($V$1006:X1006),$V$1006:$AE$1006,0)))),"Fix")))</f>
        <v>0</v>
      </c>
      <c r="E697" s="3">
        <f>IF(OR(INDEX($P$2:$P$1001,MATCH(ROWS($O$2:O697),$O$2:$O$1001,0),1)&gt;=100000,INDEX($V$1005:$AE$1005,1,MATCH(COLUMNS($V$1006:Y1006),$V$1006:$AE$1006,0))&gt;=100000), " ",IF(INDEX($V$2:$AE$1001,MATCH(ROWS($O$2:O697),$O$2:$O$1001,0),MATCH(COLUMNS($V$1006:Y1006),$V$1006:$AE$1006,0)), HYPERLINK("#",""), HYPERLINK(CONCATENATE("#Metadata!", ADDRESS(INDEX($Q$2:$Q$1001,MATCH(ROWS($O$2:O697),$O$2:$O$1001,0),0), INDEX($V$1004:$AE$1004,1,MATCH(COLUMNS($V$1006:Y1006),$V$1006:$AE$1006,0)))),"Fix")))</f>
        <v>0</v>
      </c>
      <c r="F697" s="3">
        <f>IF(OR(INDEX($P$2:$P$1001,MATCH(ROWS($O$2:O697),$O$2:$O$1001,0),1)&gt;=100000,INDEX($V$1005:$AE$1005,1,MATCH(COLUMNS($V$1006:Z1006),$V$1006:$AE$1006,0))&gt;=100000), " ",IF(INDEX($V$2:$AE$1001,MATCH(ROWS($O$2:O697),$O$2:$O$1001,0),MATCH(COLUMNS($V$1006:Z1006),$V$1006:$AE$1006,0)), HYPERLINK("#",""), HYPERLINK(CONCATENATE("#Metadata!", ADDRESS(INDEX($Q$2:$Q$1001,MATCH(ROWS($O$2:O697),$O$2:$O$1001,0),0), INDEX($V$1004:$AE$1004,1,MATCH(COLUMNS($V$1006:Z1006),$V$1006:$AE$1006,0)))),"Fix")))</f>
        <v>0</v>
      </c>
      <c r="G697" s="3">
        <f>IF(OR(INDEX($P$2:$P$1001,MATCH(ROWS($O$2:O697),$O$2:$O$1001,0),1)&gt;=100000,INDEX($V$1005:$AE$1005,1,MATCH(COLUMNS($V$1006:AA1006),$V$1006:$AE$1006,0))&gt;=100000), " ",IF(INDEX($V$2:$AE$1001,MATCH(ROWS($O$2:O697),$O$2:$O$1001,0),MATCH(COLUMNS($V$1006:AA1006),$V$1006:$AE$1006,0)), HYPERLINK("#",""), HYPERLINK(CONCATENATE("#Metadata!", ADDRESS(INDEX($Q$2:$Q$1001,MATCH(ROWS($O$2:O697),$O$2:$O$1001,0),0), INDEX($V$1004:$AE$1004,1,MATCH(COLUMNS($V$1006:AA1006),$V$1006:$AE$1006,0)))),"Fix")))</f>
        <v>0</v>
      </c>
      <c r="H697" s="3">
        <f>IF(OR(INDEX($P$2:$P$1001,MATCH(ROWS($O$2:O697),$O$2:$O$1001,0),1)&gt;=100000,INDEX($V$1005:$AE$1005,1,MATCH(COLUMNS($V$1006:AB1006),$V$1006:$AE$1006,0))&gt;=100000), " ",IF(INDEX($V$2:$AE$1001,MATCH(ROWS($O$2:O697),$O$2:$O$1001,0),MATCH(COLUMNS($V$1006:AB1006),$V$1006:$AE$1006,0)), HYPERLINK("#",""), HYPERLINK(CONCATENATE("#Metadata!", ADDRESS(INDEX($Q$2:$Q$1001,MATCH(ROWS($O$2:O697),$O$2:$O$1001,0),0), INDEX($V$1004:$AE$1004,1,MATCH(COLUMNS($V$1006:AB1006),$V$1006:$AE$1006,0)))),"Fix")))</f>
        <v>0</v>
      </c>
      <c r="I697" s="3">
        <f>IF(OR(INDEX($P$2:$P$1001,MATCH(ROWS($O$2:O697),$O$2:$O$1001,0),1)&gt;=100000,INDEX($V$1005:$AE$1005,1,MATCH(COLUMNS($V$1006:AC1006),$V$1006:$AE$1006,0))&gt;=100000), " ",IF(INDEX($V$2:$AE$1001,MATCH(ROWS($O$2:O697),$O$2:$O$1001,0),MATCH(COLUMNS($V$1006:AC1006),$V$1006:$AE$1006,0)), HYPERLINK("#",""), HYPERLINK(CONCATENATE("#Metadata!", ADDRESS(INDEX($Q$2:$Q$1001,MATCH(ROWS($O$2:O697),$O$2:$O$1001,0),0), INDEX($V$1004:$AE$1004,1,MATCH(COLUMNS($V$1006:AC1006),$V$1006:$AE$1006,0)))),"Fix")))</f>
        <v>0</v>
      </c>
      <c r="J697" s="3">
        <f>IF(OR(INDEX($P$2:$P$1001,MATCH(ROWS($O$2:O697),$O$2:$O$1001,0),1)&gt;=100000,INDEX($V$1005:$AE$1005,1,MATCH(COLUMNS($V$1006:AD1006),$V$1006:$AE$1006,0))&gt;=100000), " ",IF(INDEX($V$2:$AE$1001,MATCH(ROWS($O$2:O697),$O$2:$O$1001,0),MATCH(COLUMNS($V$1006:AD1006),$V$1006:$AE$1006,0)), HYPERLINK("#",""), HYPERLINK(CONCATENATE("#Metadata!", ADDRESS(INDEX($Q$2:$Q$1001,MATCH(ROWS($O$2:O697),$O$2:$O$1001,0),0), INDEX($V$1004:$AE$1004,1,MATCH(COLUMNS($V$1006:AD1006),$V$1006:$AE$1006,0)))),"Fix")))</f>
        <v>0</v>
      </c>
      <c r="K697" s="3">
        <f>IF(OR(INDEX($P$2:$P$1001,MATCH(ROWS($O$2:O697),$O$2:$O$1001,0),1)&gt;=100000,INDEX($V$1005:$AE$1005,1,MATCH(COLUMNS($V$1006:AE1006),$V$1006:$AE$1006,0))&gt;=100000), " ",IF(INDEX($V$2:$AE$1001,MATCH(ROWS($O$2:O697),$O$2:$O$1001,0),MATCH(COLUMNS($V$1006:AE1006),$V$1006:$AE$1006,0)), HYPERLINK("#",""), HYPERLINK(CONCATENATE("#Metadata!", ADDRESS(INDEX($Q$2:$Q$1001,MATCH(ROWS($O$2:O697),$O$2:$O$1001,0),0), INDEX($V$1004:$AE$1004,1,MATCH(COLUMNS($V$1006:AE1006),$V$1006:$AE$1006,0)))),"Fix")))</f>
        <v>0</v>
      </c>
      <c r="O697">
        <v>0</v>
      </c>
      <c r="P697">
        <v>0</v>
      </c>
      <c r="Q697">
        <v>0</v>
      </c>
      <c r="R697">
        <f>IF(S697,TRUE,AND(V697:AE697))</f>
        <v>0</v>
      </c>
      <c r="S697">
        <f>COUNTBLANK(Metadata!B697:K697)=COLUMNS(Metadata!B697:K697)</f>
        <v>0</v>
      </c>
      <c r="T697">
        <v>0</v>
      </c>
      <c r="V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W697">
        <f>AND(IF(Metadata!C697="",FALSE,TRUE),exact(Metadata!C697,"animal secretion"))</f>
        <v>0</v>
      </c>
      <c r="X697">
        <f>AND(IF(Metadata!D697="",FALSE,TRUE),exact(Metadata!D697,"saliva"))</f>
        <v>0</v>
      </c>
      <c r="Y697">
        <f>AND(IF(Metadata!E697="",FALSE,TRUE),exact(Metadata!E697,"human-oral"))</f>
        <v>0</v>
      </c>
      <c r="Z697">
        <f>AND(IF(Metadata!F697="",FALSE,TRUE),exact(Metadata!F697,"UBERON:oral cavity"))</f>
        <v>0</v>
      </c>
      <c r="AA697">
        <f>AND(IF(Metadata!G697="",FALSE,TRUE),exact(Metadata!G697,"UBERON:saliva"))</f>
        <v>0</v>
      </c>
      <c r="AB697">
        <f>AND(IF(Metadata!H697="",FALSE,TRUE),exact(Metadata!H697,"UBERON:tongue"))</f>
        <v>0</v>
      </c>
      <c r="AC697">
        <f>AND(IF(Metadata!I697="",FALSE,TRUE),exact(Metadata!I697,"tongue"))</f>
        <v>0</v>
      </c>
      <c r="AD697">
        <f>AND(IF(Metadata!J697="",FALSE,TRUE),exact(Metadata!J697,"human oral metagenome"))</f>
        <v>0</v>
      </c>
      <c r="AE697">
        <f>AND(IF(Metadata!K697="",FALSE,TRUE),exact(Metadata!K697,"447426"))</f>
        <v>0</v>
      </c>
    </row>
    <row r="698" spans="1:31">
      <c r="A698" s="4">
        <f>IF(B698=" "," ",HYPERLINK(CONCATENATE("#metadata!",ADDRESS(INDEX($Q$2:$Q$1001,MATCH(ROWS($O$2:O698),$O$2:$O$1001,0),0),1)),INDEX($T$2:$T$1001,MATCH(ROWS($O$2:O698),$O$2:$O$1001,0),0)))</f>
        <v>0</v>
      </c>
      <c r="B698" s="3">
        <f>IF(OR(INDEX($P$2:$P$1001,MATCH(ROWS($O$2:O698),$O$2:$O$1001,0),1)&gt;=100000,INDEX($V$1005:$AE$1005,1,MATCH(COLUMNS($V$1006:V1006),$V$1006:$AE$1006,0))&gt;=100000), " ",IF(INDEX($V$2:$AE$1001,MATCH(ROWS($O$2:O698),$O$2:$O$1001,0),MATCH(COLUMNS($V$1006:V1006),$V$1006:$AE$1006,0)), HYPERLINK("#",""), HYPERLINK(CONCATENATE("#Metadata!", ADDRESS(INDEX($Q$2:$Q$1001,MATCH(ROWS($O$2:O698),$O$2:$O$1001,0),0), INDEX($V$1004:$AE$1004,1,MATCH(COLUMNS($V$1006:V1006),$V$1006:$AE$1006,0)))),"Fix")))</f>
        <v>0</v>
      </c>
      <c r="C698" s="3">
        <f>IF(OR(INDEX($P$2:$P$1001,MATCH(ROWS($O$2:O698),$O$2:$O$1001,0),1)&gt;=100000,INDEX($V$1005:$AE$1005,1,MATCH(COLUMNS($V$1006:W1006),$V$1006:$AE$1006,0))&gt;=100000), " ",IF(INDEX($V$2:$AE$1001,MATCH(ROWS($O$2:O698),$O$2:$O$1001,0),MATCH(COLUMNS($V$1006:W1006),$V$1006:$AE$1006,0)), HYPERLINK("#",""), HYPERLINK(CONCATENATE("#Metadata!", ADDRESS(INDEX($Q$2:$Q$1001,MATCH(ROWS($O$2:O698),$O$2:$O$1001,0),0), INDEX($V$1004:$AE$1004,1,MATCH(COLUMNS($V$1006:W1006),$V$1006:$AE$1006,0)))),"Fix")))</f>
        <v>0</v>
      </c>
      <c r="D698" s="3">
        <f>IF(OR(INDEX($P$2:$P$1001,MATCH(ROWS($O$2:O698),$O$2:$O$1001,0),1)&gt;=100000,INDEX($V$1005:$AE$1005,1,MATCH(COLUMNS($V$1006:X1006),$V$1006:$AE$1006,0))&gt;=100000), " ",IF(INDEX($V$2:$AE$1001,MATCH(ROWS($O$2:O698),$O$2:$O$1001,0),MATCH(COLUMNS($V$1006:X1006),$V$1006:$AE$1006,0)), HYPERLINK("#",""), HYPERLINK(CONCATENATE("#Metadata!", ADDRESS(INDEX($Q$2:$Q$1001,MATCH(ROWS($O$2:O698),$O$2:$O$1001,0),0), INDEX($V$1004:$AE$1004,1,MATCH(COLUMNS($V$1006:X1006),$V$1006:$AE$1006,0)))),"Fix")))</f>
        <v>0</v>
      </c>
      <c r="E698" s="3">
        <f>IF(OR(INDEX($P$2:$P$1001,MATCH(ROWS($O$2:O698),$O$2:$O$1001,0),1)&gt;=100000,INDEX($V$1005:$AE$1005,1,MATCH(COLUMNS($V$1006:Y1006),$V$1006:$AE$1006,0))&gt;=100000), " ",IF(INDEX($V$2:$AE$1001,MATCH(ROWS($O$2:O698),$O$2:$O$1001,0),MATCH(COLUMNS($V$1006:Y1006),$V$1006:$AE$1006,0)), HYPERLINK("#",""), HYPERLINK(CONCATENATE("#Metadata!", ADDRESS(INDEX($Q$2:$Q$1001,MATCH(ROWS($O$2:O698),$O$2:$O$1001,0),0), INDEX($V$1004:$AE$1004,1,MATCH(COLUMNS($V$1006:Y1006),$V$1006:$AE$1006,0)))),"Fix")))</f>
        <v>0</v>
      </c>
      <c r="F698" s="3">
        <f>IF(OR(INDEX($P$2:$P$1001,MATCH(ROWS($O$2:O698),$O$2:$O$1001,0),1)&gt;=100000,INDEX($V$1005:$AE$1005,1,MATCH(COLUMNS($V$1006:Z1006),$V$1006:$AE$1006,0))&gt;=100000), " ",IF(INDEX($V$2:$AE$1001,MATCH(ROWS($O$2:O698),$O$2:$O$1001,0),MATCH(COLUMNS($V$1006:Z1006),$V$1006:$AE$1006,0)), HYPERLINK("#",""), HYPERLINK(CONCATENATE("#Metadata!", ADDRESS(INDEX($Q$2:$Q$1001,MATCH(ROWS($O$2:O698),$O$2:$O$1001,0),0), INDEX($V$1004:$AE$1004,1,MATCH(COLUMNS($V$1006:Z1006),$V$1006:$AE$1006,0)))),"Fix")))</f>
        <v>0</v>
      </c>
      <c r="G698" s="3">
        <f>IF(OR(INDEX($P$2:$P$1001,MATCH(ROWS($O$2:O698),$O$2:$O$1001,0),1)&gt;=100000,INDEX($V$1005:$AE$1005,1,MATCH(COLUMNS($V$1006:AA1006),$V$1006:$AE$1006,0))&gt;=100000), " ",IF(INDEX($V$2:$AE$1001,MATCH(ROWS($O$2:O698),$O$2:$O$1001,0),MATCH(COLUMNS($V$1006:AA1006),$V$1006:$AE$1006,0)), HYPERLINK("#",""), HYPERLINK(CONCATENATE("#Metadata!", ADDRESS(INDEX($Q$2:$Q$1001,MATCH(ROWS($O$2:O698),$O$2:$O$1001,0),0), INDEX($V$1004:$AE$1004,1,MATCH(COLUMNS($V$1006:AA1006),$V$1006:$AE$1006,0)))),"Fix")))</f>
        <v>0</v>
      </c>
      <c r="H698" s="3">
        <f>IF(OR(INDEX($P$2:$P$1001,MATCH(ROWS($O$2:O698),$O$2:$O$1001,0),1)&gt;=100000,INDEX($V$1005:$AE$1005,1,MATCH(COLUMNS($V$1006:AB1006),$V$1006:$AE$1006,0))&gt;=100000), " ",IF(INDEX($V$2:$AE$1001,MATCH(ROWS($O$2:O698),$O$2:$O$1001,0),MATCH(COLUMNS($V$1006:AB1006),$V$1006:$AE$1006,0)), HYPERLINK("#",""), HYPERLINK(CONCATENATE("#Metadata!", ADDRESS(INDEX($Q$2:$Q$1001,MATCH(ROWS($O$2:O698),$O$2:$O$1001,0),0), INDEX($V$1004:$AE$1004,1,MATCH(COLUMNS($V$1006:AB1006),$V$1006:$AE$1006,0)))),"Fix")))</f>
        <v>0</v>
      </c>
      <c r="I698" s="3">
        <f>IF(OR(INDEX($P$2:$P$1001,MATCH(ROWS($O$2:O698),$O$2:$O$1001,0),1)&gt;=100000,INDEX($V$1005:$AE$1005,1,MATCH(COLUMNS($V$1006:AC1006),$V$1006:$AE$1006,0))&gt;=100000), " ",IF(INDEX($V$2:$AE$1001,MATCH(ROWS($O$2:O698),$O$2:$O$1001,0),MATCH(COLUMNS($V$1006:AC1006),$V$1006:$AE$1006,0)), HYPERLINK("#",""), HYPERLINK(CONCATENATE("#Metadata!", ADDRESS(INDEX($Q$2:$Q$1001,MATCH(ROWS($O$2:O698),$O$2:$O$1001,0),0), INDEX($V$1004:$AE$1004,1,MATCH(COLUMNS($V$1006:AC1006),$V$1006:$AE$1006,0)))),"Fix")))</f>
        <v>0</v>
      </c>
      <c r="J698" s="3">
        <f>IF(OR(INDEX($P$2:$P$1001,MATCH(ROWS($O$2:O698),$O$2:$O$1001,0),1)&gt;=100000,INDEX($V$1005:$AE$1005,1,MATCH(COLUMNS($V$1006:AD1006),$V$1006:$AE$1006,0))&gt;=100000), " ",IF(INDEX($V$2:$AE$1001,MATCH(ROWS($O$2:O698),$O$2:$O$1001,0),MATCH(COLUMNS($V$1006:AD1006),$V$1006:$AE$1006,0)), HYPERLINK("#",""), HYPERLINK(CONCATENATE("#Metadata!", ADDRESS(INDEX($Q$2:$Q$1001,MATCH(ROWS($O$2:O698),$O$2:$O$1001,0),0), INDEX($V$1004:$AE$1004,1,MATCH(COLUMNS($V$1006:AD1006),$V$1006:$AE$1006,0)))),"Fix")))</f>
        <v>0</v>
      </c>
      <c r="K698" s="3">
        <f>IF(OR(INDEX($P$2:$P$1001,MATCH(ROWS($O$2:O698),$O$2:$O$1001,0),1)&gt;=100000,INDEX($V$1005:$AE$1005,1,MATCH(COLUMNS($V$1006:AE1006),$V$1006:$AE$1006,0))&gt;=100000), " ",IF(INDEX($V$2:$AE$1001,MATCH(ROWS($O$2:O698),$O$2:$O$1001,0),MATCH(COLUMNS($V$1006:AE1006),$V$1006:$AE$1006,0)), HYPERLINK("#",""), HYPERLINK(CONCATENATE("#Metadata!", ADDRESS(INDEX($Q$2:$Q$1001,MATCH(ROWS($O$2:O698),$O$2:$O$1001,0),0), INDEX($V$1004:$AE$1004,1,MATCH(COLUMNS($V$1006:AE1006),$V$1006:$AE$1006,0)))),"Fix")))</f>
        <v>0</v>
      </c>
      <c r="O698">
        <v>0</v>
      </c>
      <c r="P698">
        <v>0</v>
      </c>
      <c r="Q698">
        <v>0</v>
      </c>
      <c r="R698">
        <f>IF(S698,TRUE,AND(V698:AE698))</f>
        <v>0</v>
      </c>
      <c r="S698">
        <f>COUNTBLANK(Metadata!B698:K698)=COLUMNS(Metadata!B698:K698)</f>
        <v>0</v>
      </c>
      <c r="T698">
        <v>0</v>
      </c>
      <c r="V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W698">
        <f>AND(IF(Metadata!C698="",FALSE,TRUE),exact(Metadata!C698,"animal secretion"))</f>
        <v>0</v>
      </c>
      <c r="X698">
        <f>AND(IF(Metadata!D698="",FALSE,TRUE),exact(Metadata!D698,"saliva"))</f>
        <v>0</v>
      </c>
      <c r="Y698">
        <f>AND(IF(Metadata!E698="",FALSE,TRUE),exact(Metadata!E698,"human-oral"))</f>
        <v>0</v>
      </c>
      <c r="Z698">
        <f>AND(IF(Metadata!F698="",FALSE,TRUE),exact(Metadata!F698,"UBERON:oral cavity"))</f>
        <v>0</v>
      </c>
      <c r="AA698">
        <f>AND(IF(Metadata!G698="",FALSE,TRUE),exact(Metadata!G698,"UBERON:saliva"))</f>
        <v>0</v>
      </c>
      <c r="AB698">
        <f>AND(IF(Metadata!H698="",FALSE,TRUE),exact(Metadata!H698,"UBERON:tongue"))</f>
        <v>0</v>
      </c>
      <c r="AC698">
        <f>AND(IF(Metadata!I698="",FALSE,TRUE),exact(Metadata!I698,"tongue"))</f>
        <v>0</v>
      </c>
      <c r="AD698">
        <f>AND(IF(Metadata!J698="",FALSE,TRUE),exact(Metadata!J698,"human oral metagenome"))</f>
        <v>0</v>
      </c>
      <c r="AE698">
        <f>AND(IF(Metadata!K698="",FALSE,TRUE),exact(Metadata!K698,"447426"))</f>
        <v>0</v>
      </c>
    </row>
    <row r="699" spans="1:31">
      <c r="A699" s="4">
        <f>IF(B699=" "," ",HYPERLINK(CONCATENATE("#metadata!",ADDRESS(INDEX($Q$2:$Q$1001,MATCH(ROWS($O$2:O699),$O$2:$O$1001,0),0),1)),INDEX($T$2:$T$1001,MATCH(ROWS($O$2:O699),$O$2:$O$1001,0),0)))</f>
        <v>0</v>
      </c>
      <c r="B699" s="3">
        <f>IF(OR(INDEX($P$2:$P$1001,MATCH(ROWS($O$2:O699),$O$2:$O$1001,0),1)&gt;=100000,INDEX($V$1005:$AE$1005,1,MATCH(COLUMNS($V$1006:V1006),$V$1006:$AE$1006,0))&gt;=100000), " ",IF(INDEX($V$2:$AE$1001,MATCH(ROWS($O$2:O699),$O$2:$O$1001,0),MATCH(COLUMNS($V$1006:V1006),$V$1006:$AE$1006,0)), HYPERLINK("#",""), HYPERLINK(CONCATENATE("#Metadata!", ADDRESS(INDEX($Q$2:$Q$1001,MATCH(ROWS($O$2:O699),$O$2:$O$1001,0),0), INDEX($V$1004:$AE$1004,1,MATCH(COLUMNS($V$1006:V1006),$V$1006:$AE$1006,0)))),"Fix")))</f>
        <v>0</v>
      </c>
      <c r="C699" s="3">
        <f>IF(OR(INDEX($P$2:$P$1001,MATCH(ROWS($O$2:O699),$O$2:$O$1001,0),1)&gt;=100000,INDEX($V$1005:$AE$1005,1,MATCH(COLUMNS($V$1006:W1006),$V$1006:$AE$1006,0))&gt;=100000), " ",IF(INDEX($V$2:$AE$1001,MATCH(ROWS($O$2:O699),$O$2:$O$1001,0),MATCH(COLUMNS($V$1006:W1006),$V$1006:$AE$1006,0)), HYPERLINK("#",""), HYPERLINK(CONCATENATE("#Metadata!", ADDRESS(INDEX($Q$2:$Q$1001,MATCH(ROWS($O$2:O699),$O$2:$O$1001,0),0), INDEX($V$1004:$AE$1004,1,MATCH(COLUMNS($V$1006:W1006),$V$1006:$AE$1006,0)))),"Fix")))</f>
        <v>0</v>
      </c>
      <c r="D699" s="3">
        <f>IF(OR(INDEX($P$2:$P$1001,MATCH(ROWS($O$2:O699),$O$2:$O$1001,0),1)&gt;=100000,INDEX($V$1005:$AE$1005,1,MATCH(COLUMNS($V$1006:X1006),$V$1006:$AE$1006,0))&gt;=100000), " ",IF(INDEX($V$2:$AE$1001,MATCH(ROWS($O$2:O699),$O$2:$O$1001,0),MATCH(COLUMNS($V$1006:X1006),$V$1006:$AE$1006,0)), HYPERLINK("#",""), HYPERLINK(CONCATENATE("#Metadata!", ADDRESS(INDEX($Q$2:$Q$1001,MATCH(ROWS($O$2:O699),$O$2:$O$1001,0),0), INDEX($V$1004:$AE$1004,1,MATCH(COLUMNS($V$1006:X1006),$V$1006:$AE$1006,0)))),"Fix")))</f>
        <v>0</v>
      </c>
      <c r="E699" s="3">
        <f>IF(OR(INDEX($P$2:$P$1001,MATCH(ROWS($O$2:O699),$O$2:$O$1001,0),1)&gt;=100000,INDEX($V$1005:$AE$1005,1,MATCH(COLUMNS($V$1006:Y1006),$V$1006:$AE$1006,0))&gt;=100000), " ",IF(INDEX($V$2:$AE$1001,MATCH(ROWS($O$2:O699),$O$2:$O$1001,0),MATCH(COLUMNS($V$1006:Y1006),$V$1006:$AE$1006,0)), HYPERLINK("#",""), HYPERLINK(CONCATENATE("#Metadata!", ADDRESS(INDEX($Q$2:$Q$1001,MATCH(ROWS($O$2:O699),$O$2:$O$1001,0),0), INDEX($V$1004:$AE$1004,1,MATCH(COLUMNS($V$1006:Y1006),$V$1006:$AE$1006,0)))),"Fix")))</f>
        <v>0</v>
      </c>
      <c r="F699" s="3">
        <f>IF(OR(INDEX($P$2:$P$1001,MATCH(ROWS($O$2:O699),$O$2:$O$1001,0),1)&gt;=100000,INDEX($V$1005:$AE$1005,1,MATCH(COLUMNS($V$1006:Z1006),$V$1006:$AE$1006,0))&gt;=100000), " ",IF(INDEX($V$2:$AE$1001,MATCH(ROWS($O$2:O699),$O$2:$O$1001,0),MATCH(COLUMNS($V$1006:Z1006),$V$1006:$AE$1006,0)), HYPERLINK("#",""), HYPERLINK(CONCATENATE("#Metadata!", ADDRESS(INDEX($Q$2:$Q$1001,MATCH(ROWS($O$2:O699),$O$2:$O$1001,0),0), INDEX($V$1004:$AE$1004,1,MATCH(COLUMNS($V$1006:Z1006),$V$1006:$AE$1006,0)))),"Fix")))</f>
        <v>0</v>
      </c>
      <c r="G699" s="3">
        <f>IF(OR(INDEX($P$2:$P$1001,MATCH(ROWS($O$2:O699),$O$2:$O$1001,0),1)&gt;=100000,INDEX($V$1005:$AE$1005,1,MATCH(COLUMNS($V$1006:AA1006),$V$1006:$AE$1006,0))&gt;=100000), " ",IF(INDEX($V$2:$AE$1001,MATCH(ROWS($O$2:O699),$O$2:$O$1001,0),MATCH(COLUMNS($V$1006:AA1006),$V$1006:$AE$1006,0)), HYPERLINK("#",""), HYPERLINK(CONCATENATE("#Metadata!", ADDRESS(INDEX($Q$2:$Q$1001,MATCH(ROWS($O$2:O699),$O$2:$O$1001,0),0), INDEX($V$1004:$AE$1004,1,MATCH(COLUMNS($V$1006:AA1006),$V$1006:$AE$1006,0)))),"Fix")))</f>
        <v>0</v>
      </c>
      <c r="H699" s="3">
        <f>IF(OR(INDEX($P$2:$P$1001,MATCH(ROWS($O$2:O699),$O$2:$O$1001,0),1)&gt;=100000,INDEX($V$1005:$AE$1005,1,MATCH(COLUMNS($V$1006:AB1006),$V$1006:$AE$1006,0))&gt;=100000), " ",IF(INDEX($V$2:$AE$1001,MATCH(ROWS($O$2:O699),$O$2:$O$1001,0),MATCH(COLUMNS($V$1006:AB1006),$V$1006:$AE$1006,0)), HYPERLINK("#",""), HYPERLINK(CONCATENATE("#Metadata!", ADDRESS(INDEX($Q$2:$Q$1001,MATCH(ROWS($O$2:O699),$O$2:$O$1001,0),0), INDEX($V$1004:$AE$1004,1,MATCH(COLUMNS($V$1006:AB1006),$V$1006:$AE$1006,0)))),"Fix")))</f>
        <v>0</v>
      </c>
      <c r="I699" s="3">
        <f>IF(OR(INDEX($P$2:$P$1001,MATCH(ROWS($O$2:O699),$O$2:$O$1001,0),1)&gt;=100000,INDEX($V$1005:$AE$1005,1,MATCH(COLUMNS($V$1006:AC1006),$V$1006:$AE$1006,0))&gt;=100000), " ",IF(INDEX($V$2:$AE$1001,MATCH(ROWS($O$2:O699),$O$2:$O$1001,0),MATCH(COLUMNS($V$1006:AC1006),$V$1006:$AE$1006,0)), HYPERLINK("#",""), HYPERLINK(CONCATENATE("#Metadata!", ADDRESS(INDEX($Q$2:$Q$1001,MATCH(ROWS($O$2:O699),$O$2:$O$1001,0),0), INDEX($V$1004:$AE$1004,1,MATCH(COLUMNS($V$1006:AC1006),$V$1006:$AE$1006,0)))),"Fix")))</f>
        <v>0</v>
      </c>
      <c r="J699" s="3">
        <f>IF(OR(INDEX($P$2:$P$1001,MATCH(ROWS($O$2:O699),$O$2:$O$1001,0),1)&gt;=100000,INDEX($V$1005:$AE$1005,1,MATCH(COLUMNS($V$1006:AD1006),$V$1006:$AE$1006,0))&gt;=100000), " ",IF(INDEX($V$2:$AE$1001,MATCH(ROWS($O$2:O699),$O$2:$O$1001,0),MATCH(COLUMNS($V$1006:AD1006),$V$1006:$AE$1006,0)), HYPERLINK("#",""), HYPERLINK(CONCATENATE("#Metadata!", ADDRESS(INDEX($Q$2:$Q$1001,MATCH(ROWS($O$2:O699),$O$2:$O$1001,0),0), INDEX($V$1004:$AE$1004,1,MATCH(COLUMNS($V$1006:AD1006),$V$1006:$AE$1006,0)))),"Fix")))</f>
        <v>0</v>
      </c>
      <c r="K699" s="3">
        <f>IF(OR(INDEX($P$2:$P$1001,MATCH(ROWS($O$2:O699),$O$2:$O$1001,0),1)&gt;=100000,INDEX($V$1005:$AE$1005,1,MATCH(COLUMNS($V$1006:AE1006),$V$1006:$AE$1006,0))&gt;=100000), " ",IF(INDEX($V$2:$AE$1001,MATCH(ROWS($O$2:O699),$O$2:$O$1001,0),MATCH(COLUMNS($V$1006:AE1006),$V$1006:$AE$1006,0)), HYPERLINK("#",""), HYPERLINK(CONCATENATE("#Metadata!", ADDRESS(INDEX($Q$2:$Q$1001,MATCH(ROWS($O$2:O699),$O$2:$O$1001,0),0), INDEX($V$1004:$AE$1004,1,MATCH(COLUMNS($V$1006:AE1006),$V$1006:$AE$1006,0)))),"Fix")))</f>
        <v>0</v>
      </c>
      <c r="O699">
        <v>0</v>
      </c>
      <c r="P699">
        <v>0</v>
      </c>
      <c r="Q699">
        <v>0</v>
      </c>
      <c r="R699">
        <f>IF(S699,TRUE,AND(V699:AE699))</f>
        <v>0</v>
      </c>
      <c r="S699">
        <f>COUNTBLANK(Metadata!B699:K699)=COLUMNS(Metadata!B699:K699)</f>
        <v>0</v>
      </c>
      <c r="T699">
        <v>0</v>
      </c>
      <c r="V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W699">
        <f>AND(IF(Metadata!C699="",FALSE,TRUE),exact(Metadata!C699,"animal secretion"))</f>
        <v>0</v>
      </c>
      <c r="X699">
        <f>AND(IF(Metadata!D699="",FALSE,TRUE),exact(Metadata!D699,"saliva"))</f>
        <v>0</v>
      </c>
      <c r="Y699">
        <f>AND(IF(Metadata!E699="",FALSE,TRUE),exact(Metadata!E699,"human-oral"))</f>
        <v>0</v>
      </c>
      <c r="Z699">
        <f>AND(IF(Metadata!F699="",FALSE,TRUE),exact(Metadata!F699,"UBERON:oral cavity"))</f>
        <v>0</v>
      </c>
      <c r="AA699">
        <f>AND(IF(Metadata!G699="",FALSE,TRUE),exact(Metadata!G699,"UBERON:saliva"))</f>
        <v>0</v>
      </c>
      <c r="AB699">
        <f>AND(IF(Metadata!H699="",FALSE,TRUE),exact(Metadata!H699,"UBERON:tongue"))</f>
        <v>0</v>
      </c>
      <c r="AC699">
        <f>AND(IF(Metadata!I699="",FALSE,TRUE),exact(Metadata!I699,"tongue"))</f>
        <v>0</v>
      </c>
      <c r="AD699">
        <f>AND(IF(Metadata!J699="",FALSE,TRUE),exact(Metadata!J699,"human oral metagenome"))</f>
        <v>0</v>
      </c>
      <c r="AE699">
        <f>AND(IF(Metadata!K699="",FALSE,TRUE),exact(Metadata!K699,"447426"))</f>
        <v>0</v>
      </c>
    </row>
    <row r="700" spans="1:31">
      <c r="A700" s="4">
        <f>IF(B700=" "," ",HYPERLINK(CONCATENATE("#metadata!",ADDRESS(INDEX($Q$2:$Q$1001,MATCH(ROWS($O$2:O700),$O$2:$O$1001,0),0),1)),INDEX($T$2:$T$1001,MATCH(ROWS($O$2:O700),$O$2:$O$1001,0),0)))</f>
        <v>0</v>
      </c>
      <c r="B700" s="3">
        <f>IF(OR(INDEX($P$2:$P$1001,MATCH(ROWS($O$2:O700),$O$2:$O$1001,0),1)&gt;=100000,INDEX($V$1005:$AE$1005,1,MATCH(COLUMNS($V$1006:V1006),$V$1006:$AE$1006,0))&gt;=100000), " ",IF(INDEX($V$2:$AE$1001,MATCH(ROWS($O$2:O700),$O$2:$O$1001,0),MATCH(COLUMNS($V$1006:V1006),$V$1006:$AE$1006,0)), HYPERLINK("#",""), HYPERLINK(CONCATENATE("#Metadata!", ADDRESS(INDEX($Q$2:$Q$1001,MATCH(ROWS($O$2:O700),$O$2:$O$1001,0),0), INDEX($V$1004:$AE$1004,1,MATCH(COLUMNS($V$1006:V1006),$V$1006:$AE$1006,0)))),"Fix")))</f>
        <v>0</v>
      </c>
      <c r="C700" s="3">
        <f>IF(OR(INDEX($P$2:$P$1001,MATCH(ROWS($O$2:O700),$O$2:$O$1001,0),1)&gt;=100000,INDEX($V$1005:$AE$1005,1,MATCH(COLUMNS($V$1006:W1006),$V$1006:$AE$1006,0))&gt;=100000), " ",IF(INDEX($V$2:$AE$1001,MATCH(ROWS($O$2:O700),$O$2:$O$1001,0),MATCH(COLUMNS($V$1006:W1006),$V$1006:$AE$1006,0)), HYPERLINK("#",""), HYPERLINK(CONCATENATE("#Metadata!", ADDRESS(INDEX($Q$2:$Q$1001,MATCH(ROWS($O$2:O700),$O$2:$O$1001,0),0), INDEX($V$1004:$AE$1004,1,MATCH(COLUMNS($V$1006:W1006),$V$1006:$AE$1006,0)))),"Fix")))</f>
        <v>0</v>
      </c>
      <c r="D700" s="3">
        <f>IF(OR(INDEX($P$2:$P$1001,MATCH(ROWS($O$2:O700),$O$2:$O$1001,0),1)&gt;=100000,INDEX($V$1005:$AE$1005,1,MATCH(COLUMNS($V$1006:X1006),$V$1006:$AE$1006,0))&gt;=100000), " ",IF(INDEX($V$2:$AE$1001,MATCH(ROWS($O$2:O700),$O$2:$O$1001,0),MATCH(COLUMNS($V$1006:X1006),$V$1006:$AE$1006,0)), HYPERLINK("#",""), HYPERLINK(CONCATENATE("#Metadata!", ADDRESS(INDEX($Q$2:$Q$1001,MATCH(ROWS($O$2:O700),$O$2:$O$1001,0),0), INDEX($V$1004:$AE$1004,1,MATCH(COLUMNS($V$1006:X1006),$V$1006:$AE$1006,0)))),"Fix")))</f>
        <v>0</v>
      </c>
      <c r="E700" s="3">
        <f>IF(OR(INDEX($P$2:$P$1001,MATCH(ROWS($O$2:O700),$O$2:$O$1001,0),1)&gt;=100000,INDEX($V$1005:$AE$1005,1,MATCH(COLUMNS($V$1006:Y1006),$V$1006:$AE$1006,0))&gt;=100000), " ",IF(INDEX($V$2:$AE$1001,MATCH(ROWS($O$2:O700),$O$2:$O$1001,0),MATCH(COLUMNS($V$1006:Y1006),$V$1006:$AE$1006,0)), HYPERLINK("#",""), HYPERLINK(CONCATENATE("#Metadata!", ADDRESS(INDEX($Q$2:$Q$1001,MATCH(ROWS($O$2:O700),$O$2:$O$1001,0),0), INDEX($V$1004:$AE$1004,1,MATCH(COLUMNS($V$1006:Y1006),$V$1006:$AE$1006,0)))),"Fix")))</f>
        <v>0</v>
      </c>
      <c r="F700" s="3">
        <f>IF(OR(INDEX($P$2:$P$1001,MATCH(ROWS($O$2:O700),$O$2:$O$1001,0),1)&gt;=100000,INDEX($V$1005:$AE$1005,1,MATCH(COLUMNS($V$1006:Z1006),$V$1006:$AE$1006,0))&gt;=100000), " ",IF(INDEX($V$2:$AE$1001,MATCH(ROWS($O$2:O700),$O$2:$O$1001,0),MATCH(COLUMNS($V$1006:Z1006),$V$1006:$AE$1006,0)), HYPERLINK("#",""), HYPERLINK(CONCATENATE("#Metadata!", ADDRESS(INDEX($Q$2:$Q$1001,MATCH(ROWS($O$2:O700),$O$2:$O$1001,0),0), INDEX($V$1004:$AE$1004,1,MATCH(COLUMNS($V$1006:Z1006),$V$1006:$AE$1006,0)))),"Fix")))</f>
        <v>0</v>
      </c>
      <c r="G700" s="3">
        <f>IF(OR(INDEX($P$2:$P$1001,MATCH(ROWS($O$2:O700),$O$2:$O$1001,0),1)&gt;=100000,INDEX($V$1005:$AE$1005,1,MATCH(COLUMNS($V$1006:AA1006),$V$1006:$AE$1006,0))&gt;=100000), " ",IF(INDEX($V$2:$AE$1001,MATCH(ROWS($O$2:O700),$O$2:$O$1001,0),MATCH(COLUMNS($V$1006:AA1006),$V$1006:$AE$1006,0)), HYPERLINK("#",""), HYPERLINK(CONCATENATE("#Metadata!", ADDRESS(INDEX($Q$2:$Q$1001,MATCH(ROWS($O$2:O700),$O$2:$O$1001,0),0), INDEX($V$1004:$AE$1004,1,MATCH(COLUMNS($V$1006:AA1006),$V$1006:$AE$1006,0)))),"Fix")))</f>
        <v>0</v>
      </c>
      <c r="H700" s="3">
        <f>IF(OR(INDEX($P$2:$P$1001,MATCH(ROWS($O$2:O700),$O$2:$O$1001,0),1)&gt;=100000,INDEX($V$1005:$AE$1005,1,MATCH(COLUMNS($V$1006:AB1006),$V$1006:$AE$1006,0))&gt;=100000), " ",IF(INDEX($V$2:$AE$1001,MATCH(ROWS($O$2:O700),$O$2:$O$1001,0),MATCH(COLUMNS($V$1006:AB1006),$V$1006:$AE$1006,0)), HYPERLINK("#",""), HYPERLINK(CONCATENATE("#Metadata!", ADDRESS(INDEX($Q$2:$Q$1001,MATCH(ROWS($O$2:O700),$O$2:$O$1001,0),0), INDEX($V$1004:$AE$1004,1,MATCH(COLUMNS($V$1006:AB1006),$V$1006:$AE$1006,0)))),"Fix")))</f>
        <v>0</v>
      </c>
      <c r="I700" s="3">
        <f>IF(OR(INDEX($P$2:$P$1001,MATCH(ROWS($O$2:O700),$O$2:$O$1001,0),1)&gt;=100000,INDEX($V$1005:$AE$1005,1,MATCH(COLUMNS($V$1006:AC1006),$V$1006:$AE$1006,0))&gt;=100000), " ",IF(INDEX($V$2:$AE$1001,MATCH(ROWS($O$2:O700),$O$2:$O$1001,0),MATCH(COLUMNS($V$1006:AC1006),$V$1006:$AE$1006,0)), HYPERLINK("#",""), HYPERLINK(CONCATENATE("#Metadata!", ADDRESS(INDEX($Q$2:$Q$1001,MATCH(ROWS($O$2:O700),$O$2:$O$1001,0),0), INDEX($V$1004:$AE$1004,1,MATCH(COLUMNS($V$1006:AC1006),$V$1006:$AE$1006,0)))),"Fix")))</f>
        <v>0</v>
      </c>
      <c r="J700" s="3">
        <f>IF(OR(INDEX($P$2:$P$1001,MATCH(ROWS($O$2:O700),$O$2:$O$1001,0),1)&gt;=100000,INDEX($V$1005:$AE$1005,1,MATCH(COLUMNS($V$1006:AD1006),$V$1006:$AE$1006,0))&gt;=100000), " ",IF(INDEX($V$2:$AE$1001,MATCH(ROWS($O$2:O700),$O$2:$O$1001,0),MATCH(COLUMNS($V$1006:AD1006),$V$1006:$AE$1006,0)), HYPERLINK("#",""), HYPERLINK(CONCATENATE("#Metadata!", ADDRESS(INDEX($Q$2:$Q$1001,MATCH(ROWS($O$2:O700),$O$2:$O$1001,0),0), INDEX($V$1004:$AE$1004,1,MATCH(COLUMNS($V$1006:AD1006),$V$1006:$AE$1006,0)))),"Fix")))</f>
        <v>0</v>
      </c>
      <c r="K700" s="3">
        <f>IF(OR(INDEX($P$2:$P$1001,MATCH(ROWS($O$2:O700),$O$2:$O$1001,0),1)&gt;=100000,INDEX($V$1005:$AE$1005,1,MATCH(COLUMNS($V$1006:AE1006),$V$1006:$AE$1006,0))&gt;=100000), " ",IF(INDEX($V$2:$AE$1001,MATCH(ROWS($O$2:O700),$O$2:$O$1001,0),MATCH(COLUMNS($V$1006:AE1006),$V$1006:$AE$1006,0)), HYPERLINK("#",""), HYPERLINK(CONCATENATE("#Metadata!", ADDRESS(INDEX($Q$2:$Q$1001,MATCH(ROWS($O$2:O700),$O$2:$O$1001,0),0), INDEX($V$1004:$AE$1004,1,MATCH(COLUMNS($V$1006:AE1006),$V$1006:$AE$1006,0)))),"Fix")))</f>
        <v>0</v>
      </c>
      <c r="O700">
        <v>0</v>
      </c>
      <c r="P700">
        <v>0</v>
      </c>
      <c r="Q700">
        <v>0</v>
      </c>
      <c r="R700">
        <f>IF(S700,TRUE,AND(V700:AE700))</f>
        <v>0</v>
      </c>
      <c r="S700">
        <f>COUNTBLANK(Metadata!B700:K700)=COLUMNS(Metadata!B700:K700)</f>
        <v>0</v>
      </c>
      <c r="T700">
        <v>0</v>
      </c>
      <c r="V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W700">
        <f>AND(IF(Metadata!C700="",FALSE,TRUE),exact(Metadata!C700,"animal secretion"))</f>
        <v>0</v>
      </c>
      <c r="X700">
        <f>AND(IF(Metadata!D700="",FALSE,TRUE),exact(Metadata!D700,"saliva"))</f>
        <v>0</v>
      </c>
      <c r="Y700">
        <f>AND(IF(Metadata!E700="",FALSE,TRUE),exact(Metadata!E700,"human-oral"))</f>
        <v>0</v>
      </c>
      <c r="Z700">
        <f>AND(IF(Metadata!F700="",FALSE,TRUE),exact(Metadata!F700,"UBERON:oral cavity"))</f>
        <v>0</v>
      </c>
      <c r="AA700">
        <f>AND(IF(Metadata!G700="",FALSE,TRUE),exact(Metadata!G700,"UBERON:saliva"))</f>
        <v>0</v>
      </c>
      <c r="AB700">
        <f>AND(IF(Metadata!H700="",FALSE,TRUE),exact(Metadata!H700,"UBERON:tongue"))</f>
        <v>0</v>
      </c>
      <c r="AC700">
        <f>AND(IF(Metadata!I700="",FALSE,TRUE),exact(Metadata!I700,"tongue"))</f>
        <v>0</v>
      </c>
      <c r="AD700">
        <f>AND(IF(Metadata!J700="",FALSE,TRUE),exact(Metadata!J700,"human oral metagenome"))</f>
        <v>0</v>
      </c>
      <c r="AE700">
        <f>AND(IF(Metadata!K700="",FALSE,TRUE),exact(Metadata!K700,"447426"))</f>
        <v>0</v>
      </c>
    </row>
    <row r="701" spans="1:31">
      <c r="A701" s="4">
        <f>IF(B701=" "," ",HYPERLINK(CONCATENATE("#metadata!",ADDRESS(INDEX($Q$2:$Q$1001,MATCH(ROWS($O$2:O701),$O$2:$O$1001,0),0),1)),INDEX($T$2:$T$1001,MATCH(ROWS($O$2:O701),$O$2:$O$1001,0),0)))</f>
        <v>0</v>
      </c>
      <c r="B701" s="3">
        <f>IF(OR(INDEX($P$2:$P$1001,MATCH(ROWS($O$2:O701),$O$2:$O$1001,0),1)&gt;=100000,INDEX($V$1005:$AE$1005,1,MATCH(COLUMNS($V$1006:V1006),$V$1006:$AE$1006,0))&gt;=100000), " ",IF(INDEX($V$2:$AE$1001,MATCH(ROWS($O$2:O701),$O$2:$O$1001,0),MATCH(COLUMNS($V$1006:V1006),$V$1006:$AE$1006,0)), HYPERLINK("#",""), HYPERLINK(CONCATENATE("#Metadata!", ADDRESS(INDEX($Q$2:$Q$1001,MATCH(ROWS($O$2:O701),$O$2:$O$1001,0),0), INDEX($V$1004:$AE$1004,1,MATCH(COLUMNS($V$1006:V1006),$V$1006:$AE$1006,0)))),"Fix")))</f>
        <v>0</v>
      </c>
      <c r="C701" s="3">
        <f>IF(OR(INDEX($P$2:$P$1001,MATCH(ROWS($O$2:O701),$O$2:$O$1001,0),1)&gt;=100000,INDEX($V$1005:$AE$1005,1,MATCH(COLUMNS($V$1006:W1006),$V$1006:$AE$1006,0))&gt;=100000), " ",IF(INDEX($V$2:$AE$1001,MATCH(ROWS($O$2:O701),$O$2:$O$1001,0),MATCH(COLUMNS($V$1006:W1006),$V$1006:$AE$1006,0)), HYPERLINK("#",""), HYPERLINK(CONCATENATE("#Metadata!", ADDRESS(INDEX($Q$2:$Q$1001,MATCH(ROWS($O$2:O701),$O$2:$O$1001,0),0), INDEX($V$1004:$AE$1004,1,MATCH(COLUMNS($V$1006:W1006),$V$1006:$AE$1006,0)))),"Fix")))</f>
        <v>0</v>
      </c>
      <c r="D701" s="3">
        <f>IF(OR(INDEX($P$2:$P$1001,MATCH(ROWS($O$2:O701),$O$2:$O$1001,0),1)&gt;=100000,INDEX($V$1005:$AE$1005,1,MATCH(COLUMNS($V$1006:X1006),$V$1006:$AE$1006,0))&gt;=100000), " ",IF(INDEX($V$2:$AE$1001,MATCH(ROWS($O$2:O701),$O$2:$O$1001,0),MATCH(COLUMNS($V$1006:X1006),$V$1006:$AE$1006,0)), HYPERLINK("#",""), HYPERLINK(CONCATENATE("#Metadata!", ADDRESS(INDEX($Q$2:$Q$1001,MATCH(ROWS($O$2:O701),$O$2:$O$1001,0),0), INDEX($V$1004:$AE$1004,1,MATCH(COLUMNS($V$1006:X1006),$V$1006:$AE$1006,0)))),"Fix")))</f>
        <v>0</v>
      </c>
      <c r="E701" s="3">
        <f>IF(OR(INDEX($P$2:$P$1001,MATCH(ROWS($O$2:O701),$O$2:$O$1001,0),1)&gt;=100000,INDEX($V$1005:$AE$1005,1,MATCH(COLUMNS($V$1006:Y1006),$V$1006:$AE$1006,0))&gt;=100000), " ",IF(INDEX($V$2:$AE$1001,MATCH(ROWS($O$2:O701),$O$2:$O$1001,0),MATCH(COLUMNS($V$1006:Y1006),$V$1006:$AE$1006,0)), HYPERLINK("#",""), HYPERLINK(CONCATENATE("#Metadata!", ADDRESS(INDEX($Q$2:$Q$1001,MATCH(ROWS($O$2:O701),$O$2:$O$1001,0),0), INDEX($V$1004:$AE$1004,1,MATCH(COLUMNS($V$1006:Y1006),$V$1006:$AE$1006,0)))),"Fix")))</f>
        <v>0</v>
      </c>
      <c r="F701" s="3">
        <f>IF(OR(INDEX($P$2:$P$1001,MATCH(ROWS($O$2:O701),$O$2:$O$1001,0),1)&gt;=100000,INDEX($V$1005:$AE$1005,1,MATCH(COLUMNS($V$1006:Z1006),$V$1006:$AE$1006,0))&gt;=100000), " ",IF(INDEX($V$2:$AE$1001,MATCH(ROWS($O$2:O701),$O$2:$O$1001,0),MATCH(COLUMNS($V$1006:Z1006),$V$1006:$AE$1006,0)), HYPERLINK("#",""), HYPERLINK(CONCATENATE("#Metadata!", ADDRESS(INDEX($Q$2:$Q$1001,MATCH(ROWS($O$2:O701),$O$2:$O$1001,0),0), INDEX($V$1004:$AE$1004,1,MATCH(COLUMNS($V$1006:Z1006),$V$1006:$AE$1006,0)))),"Fix")))</f>
        <v>0</v>
      </c>
      <c r="G701" s="3">
        <f>IF(OR(INDEX($P$2:$P$1001,MATCH(ROWS($O$2:O701),$O$2:$O$1001,0),1)&gt;=100000,INDEX($V$1005:$AE$1005,1,MATCH(COLUMNS($V$1006:AA1006),$V$1006:$AE$1006,0))&gt;=100000), " ",IF(INDEX($V$2:$AE$1001,MATCH(ROWS($O$2:O701),$O$2:$O$1001,0),MATCH(COLUMNS($V$1006:AA1006),$V$1006:$AE$1006,0)), HYPERLINK("#",""), HYPERLINK(CONCATENATE("#Metadata!", ADDRESS(INDEX($Q$2:$Q$1001,MATCH(ROWS($O$2:O701),$O$2:$O$1001,0),0), INDEX($V$1004:$AE$1004,1,MATCH(COLUMNS($V$1006:AA1006),$V$1006:$AE$1006,0)))),"Fix")))</f>
        <v>0</v>
      </c>
      <c r="H701" s="3">
        <f>IF(OR(INDEX($P$2:$P$1001,MATCH(ROWS($O$2:O701),$O$2:$O$1001,0),1)&gt;=100000,INDEX($V$1005:$AE$1005,1,MATCH(COLUMNS($V$1006:AB1006),$V$1006:$AE$1006,0))&gt;=100000), " ",IF(INDEX($V$2:$AE$1001,MATCH(ROWS($O$2:O701),$O$2:$O$1001,0),MATCH(COLUMNS($V$1006:AB1006),$V$1006:$AE$1006,0)), HYPERLINK("#",""), HYPERLINK(CONCATENATE("#Metadata!", ADDRESS(INDEX($Q$2:$Q$1001,MATCH(ROWS($O$2:O701),$O$2:$O$1001,0),0), INDEX($V$1004:$AE$1004,1,MATCH(COLUMNS($V$1006:AB1006),$V$1006:$AE$1006,0)))),"Fix")))</f>
        <v>0</v>
      </c>
      <c r="I701" s="3">
        <f>IF(OR(INDEX($P$2:$P$1001,MATCH(ROWS($O$2:O701),$O$2:$O$1001,0),1)&gt;=100000,INDEX($V$1005:$AE$1005,1,MATCH(COLUMNS($V$1006:AC1006),$V$1006:$AE$1006,0))&gt;=100000), " ",IF(INDEX($V$2:$AE$1001,MATCH(ROWS($O$2:O701),$O$2:$O$1001,0),MATCH(COLUMNS($V$1006:AC1006),$V$1006:$AE$1006,0)), HYPERLINK("#",""), HYPERLINK(CONCATENATE("#Metadata!", ADDRESS(INDEX($Q$2:$Q$1001,MATCH(ROWS($O$2:O701),$O$2:$O$1001,0),0), INDEX($V$1004:$AE$1004,1,MATCH(COLUMNS($V$1006:AC1006),$V$1006:$AE$1006,0)))),"Fix")))</f>
        <v>0</v>
      </c>
      <c r="J701" s="3">
        <f>IF(OR(INDEX($P$2:$P$1001,MATCH(ROWS($O$2:O701),$O$2:$O$1001,0),1)&gt;=100000,INDEX($V$1005:$AE$1005,1,MATCH(COLUMNS($V$1006:AD1006),$V$1006:$AE$1006,0))&gt;=100000), " ",IF(INDEX($V$2:$AE$1001,MATCH(ROWS($O$2:O701),$O$2:$O$1001,0),MATCH(COLUMNS($V$1006:AD1006),$V$1006:$AE$1006,0)), HYPERLINK("#",""), HYPERLINK(CONCATENATE("#Metadata!", ADDRESS(INDEX($Q$2:$Q$1001,MATCH(ROWS($O$2:O701),$O$2:$O$1001,0),0), INDEX($V$1004:$AE$1004,1,MATCH(COLUMNS($V$1006:AD1006),$V$1006:$AE$1006,0)))),"Fix")))</f>
        <v>0</v>
      </c>
      <c r="K701" s="3">
        <f>IF(OR(INDEX($P$2:$P$1001,MATCH(ROWS($O$2:O701),$O$2:$O$1001,0),1)&gt;=100000,INDEX($V$1005:$AE$1005,1,MATCH(COLUMNS($V$1006:AE1006),$V$1006:$AE$1006,0))&gt;=100000), " ",IF(INDEX($V$2:$AE$1001,MATCH(ROWS($O$2:O701),$O$2:$O$1001,0),MATCH(COLUMNS($V$1006:AE1006),$V$1006:$AE$1006,0)), HYPERLINK("#",""), HYPERLINK(CONCATENATE("#Metadata!", ADDRESS(INDEX($Q$2:$Q$1001,MATCH(ROWS($O$2:O701),$O$2:$O$1001,0),0), INDEX($V$1004:$AE$1004,1,MATCH(COLUMNS($V$1006:AE1006),$V$1006:$AE$1006,0)))),"Fix")))</f>
        <v>0</v>
      </c>
      <c r="O701">
        <v>0</v>
      </c>
      <c r="P701">
        <v>0</v>
      </c>
      <c r="Q701">
        <v>0</v>
      </c>
      <c r="R701">
        <f>IF(S701,TRUE,AND(V701:AE701))</f>
        <v>0</v>
      </c>
      <c r="S701">
        <f>COUNTBLANK(Metadata!B701:K701)=COLUMNS(Metadata!B701:K701)</f>
        <v>0</v>
      </c>
      <c r="T701">
        <v>0</v>
      </c>
      <c r="V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W701">
        <f>AND(IF(Metadata!C701="",FALSE,TRUE),exact(Metadata!C701,"animal secretion"))</f>
        <v>0</v>
      </c>
      <c r="X701">
        <f>AND(IF(Metadata!D701="",FALSE,TRUE),exact(Metadata!D701,"saliva"))</f>
        <v>0</v>
      </c>
      <c r="Y701">
        <f>AND(IF(Metadata!E701="",FALSE,TRUE),exact(Metadata!E701,"human-oral"))</f>
        <v>0</v>
      </c>
      <c r="Z701">
        <f>AND(IF(Metadata!F701="",FALSE,TRUE),exact(Metadata!F701,"UBERON:oral cavity"))</f>
        <v>0</v>
      </c>
      <c r="AA701">
        <f>AND(IF(Metadata!G701="",FALSE,TRUE),exact(Metadata!G701,"UBERON:saliva"))</f>
        <v>0</v>
      </c>
      <c r="AB701">
        <f>AND(IF(Metadata!H701="",FALSE,TRUE),exact(Metadata!H701,"UBERON:tongue"))</f>
        <v>0</v>
      </c>
      <c r="AC701">
        <f>AND(IF(Metadata!I701="",FALSE,TRUE),exact(Metadata!I701,"tongue"))</f>
        <v>0</v>
      </c>
      <c r="AD701">
        <f>AND(IF(Metadata!J701="",FALSE,TRUE),exact(Metadata!J701,"human oral metagenome"))</f>
        <v>0</v>
      </c>
      <c r="AE701">
        <f>AND(IF(Metadata!K701="",FALSE,TRUE),exact(Metadata!K701,"447426"))</f>
        <v>0</v>
      </c>
    </row>
    <row r="702" spans="1:31">
      <c r="A702" s="4">
        <f>IF(B702=" "," ",HYPERLINK(CONCATENATE("#metadata!",ADDRESS(INDEX($Q$2:$Q$1001,MATCH(ROWS($O$2:O702),$O$2:$O$1001,0),0),1)),INDEX($T$2:$T$1001,MATCH(ROWS($O$2:O702),$O$2:$O$1001,0),0)))</f>
        <v>0</v>
      </c>
      <c r="B702" s="3">
        <f>IF(OR(INDEX($P$2:$P$1001,MATCH(ROWS($O$2:O702),$O$2:$O$1001,0),1)&gt;=100000,INDEX($V$1005:$AE$1005,1,MATCH(COLUMNS($V$1006:V1006),$V$1006:$AE$1006,0))&gt;=100000), " ",IF(INDEX($V$2:$AE$1001,MATCH(ROWS($O$2:O702),$O$2:$O$1001,0),MATCH(COLUMNS($V$1006:V1006),$V$1006:$AE$1006,0)), HYPERLINK("#",""), HYPERLINK(CONCATENATE("#Metadata!", ADDRESS(INDEX($Q$2:$Q$1001,MATCH(ROWS($O$2:O702),$O$2:$O$1001,0),0), INDEX($V$1004:$AE$1004,1,MATCH(COLUMNS($V$1006:V1006),$V$1006:$AE$1006,0)))),"Fix")))</f>
        <v>0</v>
      </c>
      <c r="C702" s="3">
        <f>IF(OR(INDEX($P$2:$P$1001,MATCH(ROWS($O$2:O702),$O$2:$O$1001,0),1)&gt;=100000,INDEX($V$1005:$AE$1005,1,MATCH(COLUMNS($V$1006:W1006),$V$1006:$AE$1006,0))&gt;=100000), " ",IF(INDEX($V$2:$AE$1001,MATCH(ROWS($O$2:O702),$O$2:$O$1001,0),MATCH(COLUMNS($V$1006:W1006),$V$1006:$AE$1006,0)), HYPERLINK("#",""), HYPERLINK(CONCATENATE("#Metadata!", ADDRESS(INDEX($Q$2:$Q$1001,MATCH(ROWS($O$2:O702),$O$2:$O$1001,0),0), INDEX($V$1004:$AE$1004,1,MATCH(COLUMNS($V$1006:W1006),$V$1006:$AE$1006,0)))),"Fix")))</f>
        <v>0</v>
      </c>
      <c r="D702" s="3">
        <f>IF(OR(INDEX($P$2:$P$1001,MATCH(ROWS($O$2:O702),$O$2:$O$1001,0),1)&gt;=100000,INDEX($V$1005:$AE$1005,1,MATCH(COLUMNS($V$1006:X1006),$V$1006:$AE$1006,0))&gt;=100000), " ",IF(INDEX($V$2:$AE$1001,MATCH(ROWS($O$2:O702),$O$2:$O$1001,0),MATCH(COLUMNS($V$1006:X1006),$V$1006:$AE$1006,0)), HYPERLINK("#",""), HYPERLINK(CONCATENATE("#Metadata!", ADDRESS(INDEX($Q$2:$Q$1001,MATCH(ROWS($O$2:O702),$O$2:$O$1001,0),0), INDEX($V$1004:$AE$1004,1,MATCH(COLUMNS($V$1006:X1006),$V$1006:$AE$1006,0)))),"Fix")))</f>
        <v>0</v>
      </c>
      <c r="E702" s="3">
        <f>IF(OR(INDEX($P$2:$P$1001,MATCH(ROWS($O$2:O702),$O$2:$O$1001,0),1)&gt;=100000,INDEX($V$1005:$AE$1005,1,MATCH(COLUMNS($V$1006:Y1006),$V$1006:$AE$1006,0))&gt;=100000), " ",IF(INDEX($V$2:$AE$1001,MATCH(ROWS($O$2:O702),$O$2:$O$1001,0),MATCH(COLUMNS($V$1006:Y1006),$V$1006:$AE$1006,0)), HYPERLINK("#",""), HYPERLINK(CONCATENATE("#Metadata!", ADDRESS(INDEX($Q$2:$Q$1001,MATCH(ROWS($O$2:O702),$O$2:$O$1001,0),0), INDEX($V$1004:$AE$1004,1,MATCH(COLUMNS($V$1006:Y1006),$V$1006:$AE$1006,0)))),"Fix")))</f>
        <v>0</v>
      </c>
      <c r="F702" s="3">
        <f>IF(OR(INDEX($P$2:$P$1001,MATCH(ROWS($O$2:O702),$O$2:$O$1001,0),1)&gt;=100000,INDEX($V$1005:$AE$1005,1,MATCH(COLUMNS($V$1006:Z1006),$V$1006:$AE$1006,0))&gt;=100000), " ",IF(INDEX($V$2:$AE$1001,MATCH(ROWS($O$2:O702),$O$2:$O$1001,0),MATCH(COLUMNS($V$1006:Z1006),$V$1006:$AE$1006,0)), HYPERLINK("#",""), HYPERLINK(CONCATENATE("#Metadata!", ADDRESS(INDEX($Q$2:$Q$1001,MATCH(ROWS($O$2:O702),$O$2:$O$1001,0),0), INDEX($V$1004:$AE$1004,1,MATCH(COLUMNS($V$1006:Z1006),$V$1006:$AE$1006,0)))),"Fix")))</f>
        <v>0</v>
      </c>
      <c r="G702" s="3">
        <f>IF(OR(INDEX($P$2:$P$1001,MATCH(ROWS($O$2:O702),$O$2:$O$1001,0),1)&gt;=100000,INDEX($V$1005:$AE$1005,1,MATCH(COLUMNS($V$1006:AA1006),$V$1006:$AE$1006,0))&gt;=100000), " ",IF(INDEX($V$2:$AE$1001,MATCH(ROWS($O$2:O702),$O$2:$O$1001,0),MATCH(COLUMNS($V$1006:AA1006),$V$1006:$AE$1006,0)), HYPERLINK("#",""), HYPERLINK(CONCATENATE("#Metadata!", ADDRESS(INDEX($Q$2:$Q$1001,MATCH(ROWS($O$2:O702),$O$2:$O$1001,0),0), INDEX($V$1004:$AE$1004,1,MATCH(COLUMNS($V$1006:AA1006),$V$1006:$AE$1006,0)))),"Fix")))</f>
        <v>0</v>
      </c>
      <c r="H702" s="3">
        <f>IF(OR(INDEX($P$2:$P$1001,MATCH(ROWS($O$2:O702),$O$2:$O$1001,0),1)&gt;=100000,INDEX($V$1005:$AE$1005,1,MATCH(COLUMNS($V$1006:AB1006),$V$1006:$AE$1006,0))&gt;=100000), " ",IF(INDEX($V$2:$AE$1001,MATCH(ROWS($O$2:O702),$O$2:$O$1001,0),MATCH(COLUMNS($V$1006:AB1006),$V$1006:$AE$1006,0)), HYPERLINK("#",""), HYPERLINK(CONCATENATE("#Metadata!", ADDRESS(INDEX($Q$2:$Q$1001,MATCH(ROWS($O$2:O702),$O$2:$O$1001,0),0), INDEX($V$1004:$AE$1004,1,MATCH(COLUMNS($V$1006:AB1006),$V$1006:$AE$1006,0)))),"Fix")))</f>
        <v>0</v>
      </c>
      <c r="I702" s="3">
        <f>IF(OR(INDEX($P$2:$P$1001,MATCH(ROWS($O$2:O702),$O$2:$O$1001,0),1)&gt;=100000,INDEX($V$1005:$AE$1005,1,MATCH(COLUMNS($V$1006:AC1006),$V$1006:$AE$1006,0))&gt;=100000), " ",IF(INDEX($V$2:$AE$1001,MATCH(ROWS($O$2:O702),$O$2:$O$1001,0),MATCH(COLUMNS($V$1006:AC1006),$V$1006:$AE$1006,0)), HYPERLINK("#",""), HYPERLINK(CONCATENATE("#Metadata!", ADDRESS(INDEX($Q$2:$Q$1001,MATCH(ROWS($O$2:O702),$O$2:$O$1001,0),0), INDEX($V$1004:$AE$1004,1,MATCH(COLUMNS($V$1006:AC1006),$V$1006:$AE$1006,0)))),"Fix")))</f>
        <v>0</v>
      </c>
      <c r="J702" s="3">
        <f>IF(OR(INDEX($P$2:$P$1001,MATCH(ROWS($O$2:O702),$O$2:$O$1001,0),1)&gt;=100000,INDEX($V$1005:$AE$1005,1,MATCH(COLUMNS($V$1006:AD1006),$V$1006:$AE$1006,0))&gt;=100000), " ",IF(INDEX($V$2:$AE$1001,MATCH(ROWS($O$2:O702),$O$2:$O$1001,0),MATCH(COLUMNS($V$1006:AD1006),$V$1006:$AE$1006,0)), HYPERLINK("#",""), HYPERLINK(CONCATENATE("#Metadata!", ADDRESS(INDEX($Q$2:$Q$1001,MATCH(ROWS($O$2:O702),$O$2:$O$1001,0),0), INDEX($V$1004:$AE$1004,1,MATCH(COLUMNS($V$1006:AD1006),$V$1006:$AE$1006,0)))),"Fix")))</f>
        <v>0</v>
      </c>
      <c r="K702" s="3">
        <f>IF(OR(INDEX($P$2:$P$1001,MATCH(ROWS($O$2:O702),$O$2:$O$1001,0),1)&gt;=100000,INDEX($V$1005:$AE$1005,1,MATCH(COLUMNS($V$1006:AE1006),$V$1006:$AE$1006,0))&gt;=100000), " ",IF(INDEX($V$2:$AE$1001,MATCH(ROWS($O$2:O702),$O$2:$O$1001,0),MATCH(COLUMNS($V$1006:AE1006),$V$1006:$AE$1006,0)), HYPERLINK("#",""), HYPERLINK(CONCATENATE("#Metadata!", ADDRESS(INDEX($Q$2:$Q$1001,MATCH(ROWS($O$2:O702),$O$2:$O$1001,0),0), INDEX($V$1004:$AE$1004,1,MATCH(COLUMNS($V$1006:AE1006),$V$1006:$AE$1006,0)))),"Fix")))</f>
        <v>0</v>
      </c>
      <c r="O702">
        <v>0</v>
      </c>
      <c r="P702">
        <v>0</v>
      </c>
      <c r="Q702">
        <v>0</v>
      </c>
      <c r="R702">
        <f>IF(S702,TRUE,AND(V702:AE702))</f>
        <v>0</v>
      </c>
      <c r="S702">
        <f>COUNTBLANK(Metadata!B702:K702)=COLUMNS(Metadata!B702:K702)</f>
        <v>0</v>
      </c>
      <c r="T702">
        <v>0</v>
      </c>
      <c r="V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W702">
        <f>AND(IF(Metadata!C702="",FALSE,TRUE),exact(Metadata!C702,"animal secretion"))</f>
        <v>0</v>
      </c>
      <c r="X702">
        <f>AND(IF(Metadata!D702="",FALSE,TRUE),exact(Metadata!D702,"saliva"))</f>
        <v>0</v>
      </c>
      <c r="Y702">
        <f>AND(IF(Metadata!E702="",FALSE,TRUE),exact(Metadata!E702,"human-oral"))</f>
        <v>0</v>
      </c>
      <c r="Z702">
        <f>AND(IF(Metadata!F702="",FALSE,TRUE),exact(Metadata!F702,"UBERON:oral cavity"))</f>
        <v>0</v>
      </c>
      <c r="AA702">
        <f>AND(IF(Metadata!G702="",FALSE,TRUE),exact(Metadata!G702,"UBERON:saliva"))</f>
        <v>0</v>
      </c>
      <c r="AB702">
        <f>AND(IF(Metadata!H702="",FALSE,TRUE),exact(Metadata!H702,"UBERON:tongue"))</f>
        <v>0</v>
      </c>
      <c r="AC702">
        <f>AND(IF(Metadata!I702="",FALSE,TRUE),exact(Metadata!I702,"tongue"))</f>
        <v>0</v>
      </c>
      <c r="AD702">
        <f>AND(IF(Metadata!J702="",FALSE,TRUE),exact(Metadata!J702,"human oral metagenome"))</f>
        <v>0</v>
      </c>
      <c r="AE702">
        <f>AND(IF(Metadata!K702="",FALSE,TRUE),exact(Metadata!K702,"447426"))</f>
        <v>0</v>
      </c>
    </row>
    <row r="703" spans="1:31">
      <c r="A703" s="4">
        <f>IF(B703=" "," ",HYPERLINK(CONCATENATE("#metadata!",ADDRESS(INDEX($Q$2:$Q$1001,MATCH(ROWS($O$2:O703),$O$2:$O$1001,0),0),1)),INDEX($T$2:$T$1001,MATCH(ROWS($O$2:O703),$O$2:$O$1001,0),0)))</f>
        <v>0</v>
      </c>
      <c r="B703" s="3">
        <f>IF(OR(INDEX($P$2:$P$1001,MATCH(ROWS($O$2:O703),$O$2:$O$1001,0),1)&gt;=100000,INDEX($V$1005:$AE$1005,1,MATCH(COLUMNS($V$1006:V1006),$V$1006:$AE$1006,0))&gt;=100000), " ",IF(INDEX($V$2:$AE$1001,MATCH(ROWS($O$2:O703),$O$2:$O$1001,0),MATCH(COLUMNS($V$1006:V1006),$V$1006:$AE$1006,0)), HYPERLINK("#",""), HYPERLINK(CONCATENATE("#Metadata!", ADDRESS(INDEX($Q$2:$Q$1001,MATCH(ROWS($O$2:O703),$O$2:$O$1001,0),0), INDEX($V$1004:$AE$1004,1,MATCH(COLUMNS($V$1006:V1006),$V$1006:$AE$1006,0)))),"Fix")))</f>
        <v>0</v>
      </c>
      <c r="C703" s="3">
        <f>IF(OR(INDEX($P$2:$P$1001,MATCH(ROWS($O$2:O703),$O$2:$O$1001,0),1)&gt;=100000,INDEX($V$1005:$AE$1005,1,MATCH(COLUMNS($V$1006:W1006),$V$1006:$AE$1006,0))&gt;=100000), " ",IF(INDEX($V$2:$AE$1001,MATCH(ROWS($O$2:O703),$O$2:$O$1001,0),MATCH(COLUMNS($V$1006:W1006),$V$1006:$AE$1006,0)), HYPERLINK("#",""), HYPERLINK(CONCATENATE("#Metadata!", ADDRESS(INDEX($Q$2:$Q$1001,MATCH(ROWS($O$2:O703),$O$2:$O$1001,0),0), INDEX($V$1004:$AE$1004,1,MATCH(COLUMNS($V$1006:W1006),$V$1006:$AE$1006,0)))),"Fix")))</f>
        <v>0</v>
      </c>
      <c r="D703" s="3">
        <f>IF(OR(INDEX($P$2:$P$1001,MATCH(ROWS($O$2:O703),$O$2:$O$1001,0),1)&gt;=100000,INDEX($V$1005:$AE$1005,1,MATCH(COLUMNS($V$1006:X1006),$V$1006:$AE$1006,0))&gt;=100000), " ",IF(INDEX($V$2:$AE$1001,MATCH(ROWS($O$2:O703),$O$2:$O$1001,0),MATCH(COLUMNS($V$1006:X1006),$V$1006:$AE$1006,0)), HYPERLINK("#",""), HYPERLINK(CONCATENATE("#Metadata!", ADDRESS(INDEX($Q$2:$Q$1001,MATCH(ROWS($O$2:O703),$O$2:$O$1001,0),0), INDEX($V$1004:$AE$1004,1,MATCH(COLUMNS($V$1006:X1006),$V$1006:$AE$1006,0)))),"Fix")))</f>
        <v>0</v>
      </c>
      <c r="E703" s="3">
        <f>IF(OR(INDEX($P$2:$P$1001,MATCH(ROWS($O$2:O703),$O$2:$O$1001,0),1)&gt;=100000,INDEX($V$1005:$AE$1005,1,MATCH(COLUMNS($V$1006:Y1006),$V$1006:$AE$1006,0))&gt;=100000), " ",IF(INDEX($V$2:$AE$1001,MATCH(ROWS($O$2:O703),$O$2:$O$1001,0),MATCH(COLUMNS($V$1006:Y1006),$V$1006:$AE$1006,0)), HYPERLINK("#",""), HYPERLINK(CONCATENATE("#Metadata!", ADDRESS(INDEX($Q$2:$Q$1001,MATCH(ROWS($O$2:O703),$O$2:$O$1001,0),0), INDEX($V$1004:$AE$1004,1,MATCH(COLUMNS($V$1006:Y1006),$V$1006:$AE$1006,0)))),"Fix")))</f>
        <v>0</v>
      </c>
      <c r="F703" s="3">
        <f>IF(OR(INDEX($P$2:$P$1001,MATCH(ROWS($O$2:O703),$O$2:$O$1001,0),1)&gt;=100000,INDEX($V$1005:$AE$1005,1,MATCH(COLUMNS($V$1006:Z1006),$V$1006:$AE$1006,0))&gt;=100000), " ",IF(INDEX($V$2:$AE$1001,MATCH(ROWS($O$2:O703),$O$2:$O$1001,0),MATCH(COLUMNS($V$1006:Z1006),$V$1006:$AE$1006,0)), HYPERLINK("#",""), HYPERLINK(CONCATENATE("#Metadata!", ADDRESS(INDEX($Q$2:$Q$1001,MATCH(ROWS($O$2:O703),$O$2:$O$1001,0),0), INDEX($V$1004:$AE$1004,1,MATCH(COLUMNS($V$1006:Z1006),$V$1006:$AE$1006,0)))),"Fix")))</f>
        <v>0</v>
      </c>
      <c r="G703" s="3">
        <f>IF(OR(INDEX($P$2:$P$1001,MATCH(ROWS($O$2:O703),$O$2:$O$1001,0),1)&gt;=100000,INDEX($V$1005:$AE$1005,1,MATCH(COLUMNS($V$1006:AA1006),$V$1006:$AE$1006,0))&gt;=100000), " ",IF(INDEX($V$2:$AE$1001,MATCH(ROWS($O$2:O703),$O$2:$O$1001,0),MATCH(COLUMNS($V$1006:AA1006),$V$1006:$AE$1006,0)), HYPERLINK("#",""), HYPERLINK(CONCATENATE("#Metadata!", ADDRESS(INDEX($Q$2:$Q$1001,MATCH(ROWS($O$2:O703),$O$2:$O$1001,0),0), INDEX($V$1004:$AE$1004,1,MATCH(COLUMNS($V$1006:AA1006),$V$1006:$AE$1006,0)))),"Fix")))</f>
        <v>0</v>
      </c>
      <c r="H703" s="3">
        <f>IF(OR(INDEX($P$2:$P$1001,MATCH(ROWS($O$2:O703),$O$2:$O$1001,0),1)&gt;=100000,INDEX($V$1005:$AE$1005,1,MATCH(COLUMNS($V$1006:AB1006),$V$1006:$AE$1006,0))&gt;=100000), " ",IF(INDEX($V$2:$AE$1001,MATCH(ROWS($O$2:O703),$O$2:$O$1001,0),MATCH(COLUMNS($V$1006:AB1006),$V$1006:$AE$1006,0)), HYPERLINK("#",""), HYPERLINK(CONCATENATE("#Metadata!", ADDRESS(INDEX($Q$2:$Q$1001,MATCH(ROWS($O$2:O703),$O$2:$O$1001,0),0), INDEX($V$1004:$AE$1004,1,MATCH(COLUMNS($V$1006:AB1006),$V$1006:$AE$1006,0)))),"Fix")))</f>
        <v>0</v>
      </c>
      <c r="I703" s="3">
        <f>IF(OR(INDEX($P$2:$P$1001,MATCH(ROWS($O$2:O703),$O$2:$O$1001,0),1)&gt;=100000,INDEX($V$1005:$AE$1005,1,MATCH(COLUMNS($V$1006:AC1006),$V$1006:$AE$1006,0))&gt;=100000), " ",IF(INDEX($V$2:$AE$1001,MATCH(ROWS($O$2:O703),$O$2:$O$1001,0),MATCH(COLUMNS($V$1006:AC1006),$V$1006:$AE$1006,0)), HYPERLINK("#",""), HYPERLINK(CONCATENATE("#Metadata!", ADDRESS(INDEX($Q$2:$Q$1001,MATCH(ROWS($O$2:O703),$O$2:$O$1001,0),0), INDEX($V$1004:$AE$1004,1,MATCH(COLUMNS($V$1006:AC1006),$V$1006:$AE$1006,0)))),"Fix")))</f>
        <v>0</v>
      </c>
      <c r="J703" s="3">
        <f>IF(OR(INDEX($P$2:$P$1001,MATCH(ROWS($O$2:O703),$O$2:$O$1001,0),1)&gt;=100000,INDEX($V$1005:$AE$1005,1,MATCH(COLUMNS($V$1006:AD1006),$V$1006:$AE$1006,0))&gt;=100000), " ",IF(INDEX($V$2:$AE$1001,MATCH(ROWS($O$2:O703),$O$2:$O$1001,0),MATCH(COLUMNS($V$1006:AD1006),$V$1006:$AE$1006,0)), HYPERLINK("#",""), HYPERLINK(CONCATENATE("#Metadata!", ADDRESS(INDEX($Q$2:$Q$1001,MATCH(ROWS($O$2:O703),$O$2:$O$1001,0),0), INDEX($V$1004:$AE$1004,1,MATCH(COLUMNS($V$1006:AD1006),$V$1006:$AE$1006,0)))),"Fix")))</f>
        <v>0</v>
      </c>
      <c r="K703" s="3">
        <f>IF(OR(INDEX($P$2:$P$1001,MATCH(ROWS($O$2:O703),$O$2:$O$1001,0),1)&gt;=100000,INDEX($V$1005:$AE$1005,1,MATCH(COLUMNS($V$1006:AE1006),$V$1006:$AE$1006,0))&gt;=100000), " ",IF(INDEX($V$2:$AE$1001,MATCH(ROWS($O$2:O703),$O$2:$O$1001,0),MATCH(COLUMNS($V$1006:AE1006),$V$1006:$AE$1006,0)), HYPERLINK("#",""), HYPERLINK(CONCATENATE("#Metadata!", ADDRESS(INDEX($Q$2:$Q$1001,MATCH(ROWS($O$2:O703),$O$2:$O$1001,0),0), INDEX($V$1004:$AE$1004,1,MATCH(COLUMNS($V$1006:AE1006),$V$1006:$AE$1006,0)))),"Fix")))</f>
        <v>0</v>
      </c>
      <c r="O703">
        <v>0</v>
      </c>
      <c r="P703">
        <v>0</v>
      </c>
      <c r="Q703">
        <v>0</v>
      </c>
      <c r="R703">
        <f>IF(S703,TRUE,AND(V703:AE703))</f>
        <v>0</v>
      </c>
      <c r="S703">
        <f>COUNTBLANK(Metadata!B703:K703)=COLUMNS(Metadata!B703:K703)</f>
        <v>0</v>
      </c>
      <c r="T703">
        <v>0</v>
      </c>
      <c r="V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W703">
        <f>AND(IF(Metadata!C703="",FALSE,TRUE),exact(Metadata!C703,"animal secretion"))</f>
        <v>0</v>
      </c>
      <c r="X703">
        <f>AND(IF(Metadata!D703="",FALSE,TRUE),exact(Metadata!D703,"saliva"))</f>
        <v>0</v>
      </c>
      <c r="Y703">
        <f>AND(IF(Metadata!E703="",FALSE,TRUE),exact(Metadata!E703,"human-oral"))</f>
        <v>0</v>
      </c>
      <c r="Z703">
        <f>AND(IF(Metadata!F703="",FALSE,TRUE),exact(Metadata!F703,"UBERON:oral cavity"))</f>
        <v>0</v>
      </c>
      <c r="AA703">
        <f>AND(IF(Metadata!G703="",FALSE,TRUE),exact(Metadata!G703,"UBERON:saliva"))</f>
        <v>0</v>
      </c>
      <c r="AB703">
        <f>AND(IF(Metadata!H703="",FALSE,TRUE),exact(Metadata!H703,"UBERON:tongue"))</f>
        <v>0</v>
      </c>
      <c r="AC703">
        <f>AND(IF(Metadata!I703="",FALSE,TRUE),exact(Metadata!I703,"tongue"))</f>
        <v>0</v>
      </c>
      <c r="AD703">
        <f>AND(IF(Metadata!J703="",FALSE,TRUE),exact(Metadata!J703,"human oral metagenome"))</f>
        <v>0</v>
      </c>
      <c r="AE703">
        <f>AND(IF(Metadata!K703="",FALSE,TRUE),exact(Metadata!K703,"447426"))</f>
        <v>0</v>
      </c>
    </row>
    <row r="704" spans="1:31">
      <c r="A704" s="4">
        <f>IF(B704=" "," ",HYPERLINK(CONCATENATE("#metadata!",ADDRESS(INDEX($Q$2:$Q$1001,MATCH(ROWS($O$2:O704),$O$2:$O$1001,0),0),1)),INDEX($T$2:$T$1001,MATCH(ROWS($O$2:O704),$O$2:$O$1001,0),0)))</f>
        <v>0</v>
      </c>
      <c r="B704" s="3">
        <f>IF(OR(INDEX($P$2:$P$1001,MATCH(ROWS($O$2:O704),$O$2:$O$1001,0),1)&gt;=100000,INDEX($V$1005:$AE$1005,1,MATCH(COLUMNS($V$1006:V1006),$V$1006:$AE$1006,0))&gt;=100000), " ",IF(INDEX($V$2:$AE$1001,MATCH(ROWS($O$2:O704),$O$2:$O$1001,0),MATCH(COLUMNS($V$1006:V1006),$V$1006:$AE$1006,0)), HYPERLINK("#",""), HYPERLINK(CONCATENATE("#Metadata!", ADDRESS(INDEX($Q$2:$Q$1001,MATCH(ROWS($O$2:O704),$O$2:$O$1001,0),0), INDEX($V$1004:$AE$1004,1,MATCH(COLUMNS($V$1006:V1006),$V$1006:$AE$1006,0)))),"Fix")))</f>
        <v>0</v>
      </c>
      <c r="C704" s="3">
        <f>IF(OR(INDEX($P$2:$P$1001,MATCH(ROWS($O$2:O704),$O$2:$O$1001,0),1)&gt;=100000,INDEX($V$1005:$AE$1005,1,MATCH(COLUMNS($V$1006:W1006),$V$1006:$AE$1006,0))&gt;=100000), " ",IF(INDEX($V$2:$AE$1001,MATCH(ROWS($O$2:O704),$O$2:$O$1001,0),MATCH(COLUMNS($V$1006:W1006),$V$1006:$AE$1006,0)), HYPERLINK("#",""), HYPERLINK(CONCATENATE("#Metadata!", ADDRESS(INDEX($Q$2:$Q$1001,MATCH(ROWS($O$2:O704),$O$2:$O$1001,0),0), INDEX($V$1004:$AE$1004,1,MATCH(COLUMNS($V$1006:W1006),$V$1006:$AE$1006,0)))),"Fix")))</f>
        <v>0</v>
      </c>
      <c r="D704" s="3">
        <f>IF(OR(INDEX($P$2:$P$1001,MATCH(ROWS($O$2:O704),$O$2:$O$1001,0),1)&gt;=100000,INDEX($V$1005:$AE$1005,1,MATCH(COLUMNS($V$1006:X1006),$V$1006:$AE$1006,0))&gt;=100000), " ",IF(INDEX($V$2:$AE$1001,MATCH(ROWS($O$2:O704),$O$2:$O$1001,0),MATCH(COLUMNS($V$1006:X1006),$V$1006:$AE$1006,0)), HYPERLINK("#",""), HYPERLINK(CONCATENATE("#Metadata!", ADDRESS(INDEX($Q$2:$Q$1001,MATCH(ROWS($O$2:O704),$O$2:$O$1001,0),0), INDEX($V$1004:$AE$1004,1,MATCH(COLUMNS($V$1006:X1006),$V$1006:$AE$1006,0)))),"Fix")))</f>
        <v>0</v>
      </c>
      <c r="E704" s="3">
        <f>IF(OR(INDEX($P$2:$P$1001,MATCH(ROWS($O$2:O704),$O$2:$O$1001,0),1)&gt;=100000,INDEX($V$1005:$AE$1005,1,MATCH(COLUMNS($V$1006:Y1006),$V$1006:$AE$1006,0))&gt;=100000), " ",IF(INDEX($V$2:$AE$1001,MATCH(ROWS($O$2:O704),$O$2:$O$1001,0),MATCH(COLUMNS($V$1006:Y1006),$V$1006:$AE$1006,0)), HYPERLINK("#",""), HYPERLINK(CONCATENATE("#Metadata!", ADDRESS(INDEX($Q$2:$Q$1001,MATCH(ROWS($O$2:O704),$O$2:$O$1001,0),0), INDEX($V$1004:$AE$1004,1,MATCH(COLUMNS($V$1006:Y1006),$V$1006:$AE$1006,0)))),"Fix")))</f>
        <v>0</v>
      </c>
      <c r="F704" s="3">
        <f>IF(OR(INDEX($P$2:$P$1001,MATCH(ROWS($O$2:O704),$O$2:$O$1001,0),1)&gt;=100000,INDEX($V$1005:$AE$1005,1,MATCH(COLUMNS($V$1006:Z1006),$V$1006:$AE$1006,0))&gt;=100000), " ",IF(INDEX($V$2:$AE$1001,MATCH(ROWS($O$2:O704),$O$2:$O$1001,0),MATCH(COLUMNS($V$1006:Z1006),$V$1006:$AE$1006,0)), HYPERLINK("#",""), HYPERLINK(CONCATENATE("#Metadata!", ADDRESS(INDEX($Q$2:$Q$1001,MATCH(ROWS($O$2:O704),$O$2:$O$1001,0),0), INDEX($V$1004:$AE$1004,1,MATCH(COLUMNS($V$1006:Z1006),$V$1006:$AE$1006,0)))),"Fix")))</f>
        <v>0</v>
      </c>
      <c r="G704" s="3">
        <f>IF(OR(INDEX($P$2:$P$1001,MATCH(ROWS($O$2:O704),$O$2:$O$1001,0),1)&gt;=100000,INDEX($V$1005:$AE$1005,1,MATCH(COLUMNS($V$1006:AA1006),$V$1006:$AE$1006,0))&gt;=100000), " ",IF(INDEX($V$2:$AE$1001,MATCH(ROWS($O$2:O704),$O$2:$O$1001,0),MATCH(COLUMNS($V$1006:AA1006),$V$1006:$AE$1006,0)), HYPERLINK("#",""), HYPERLINK(CONCATENATE("#Metadata!", ADDRESS(INDEX($Q$2:$Q$1001,MATCH(ROWS($O$2:O704),$O$2:$O$1001,0),0), INDEX($V$1004:$AE$1004,1,MATCH(COLUMNS($V$1006:AA1006),$V$1006:$AE$1006,0)))),"Fix")))</f>
        <v>0</v>
      </c>
      <c r="H704" s="3">
        <f>IF(OR(INDEX($P$2:$P$1001,MATCH(ROWS($O$2:O704),$O$2:$O$1001,0),1)&gt;=100000,INDEX($V$1005:$AE$1005,1,MATCH(COLUMNS($V$1006:AB1006),$V$1006:$AE$1006,0))&gt;=100000), " ",IF(INDEX($V$2:$AE$1001,MATCH(ROWS($O$2:O704),$O$2:$O$1001,0),MATCH(COLUMNS($V$1006:AB1006),$V$1006:$AE$1006,0)), HYPERLINK("#",""), HYPERLINK(CONCATENATE("#Metadata!", ADDRESS(INDEX($Q$2:$Q$1001,MATCH(ROWS($O$2:O704),$O$2:$O$1001,0),0), INDEX($V$1004:$AE$1004,1,MATCH(COLUMNS($V$1006:AB1006),$V$1006:$AE$1006,0)))),"Fix")))</f>
        <v>0</v>
      </c>
      <c r="I704" s="3">
        <f>IF(OR(INDEX($P$2:$P$1001,MATCH(ROWS($O$2:O704),$O$2:$O$1001,0),1)&gt;=100000,INDEX($V$1005:$AE$1005,1,MATCH(COLUMNS($V$1006:AC1006),$V$1006:$AE$1006,0))&gt;=100000), " ",IF(INDEX($V$2:$AE$1001,MATCH(ROWS($O$2:O704),$O$2:$O$1001,0),MATCH(COLUMNS($V$1006:AC1006),$V$1006:$AE$1006,0)), HYPERLINK("#",""), HYPERLINK(CONCATENATE("#Metadata!", ADDRESS(INDEX($Q$2:$Q$1001,MATCH(ROWS($O$2:O704),$O$2:$O$1001,0),0), INDEX($V$1004:$AE$1004,1,MATCH(COLUMNS($V$1006:AC1006),$V$1006:$AE$1006,0)))),"Fix")))</f>
        <v>0</v>
      </c>
      <c r="J704" s="3">
        <f>IF(OR(INDEX($P$2:$P$1001,MATCH(ROWS($O$2:O704),$O$2:$O$1001,0),1)&gt;=100000,INDEX($V$1005:$AE$1005,1,MATCH(COLUMNS($V$1006:AD1006),$V$1006:$AE$1006,0))&gt;=100000), " ",IF(INDEX($V$2:$AE$1001,MATCH(ROWS($O$2:O704),$O$2:$O$1001,0),MATCH(COLUMNS($V$1006:AD1006),$V$1006:$AE$1006,0)), HYPERLINK("#",""), HYPERLINK(CONCATENATE("#Metadata!", ADDRESS(INDEX($Q$2:$Q$1001,MATCH(ROWS($O$2:O704),$O$2:$O$1001,0),0), INDEX($V$1004:$AE$1004,1,MATCH(COLUMNS($V$1006:AD1006),$V$1006:$AE$1006,0)))),"Fix")))</f>
        <v>0</v>
      </c>
      <c r="K704" s="3">
        <f>IF(OR(INDEX($P$2:$P$1001,MATCH(ROWS($O$2:O704),$O$2:$O$1001,0),1)&gt;=100000,INDEX($V$1005:$AE$1005,1,MATCH(COLUMNS($V$1006:AE1006),$V$1006:$AE$1006,0))&gt;=100000), " ",IF(INDEX($V$2:$AE$1001,MATCH(ROWS($O$2:O704),$O$2:$O$1001,0),MATCH(COLUMNS($V$1006:AE1006),$V$1006:$AE$1006,0)), HYPERLINK("#",""), HYPERLINK(CONCATENATE("#Metadata!", ADDRESS(INDEX($Q$2:$Q$1001,MATCH(ROWS($O$2:O704),$O$2:$O$1001,0),0), INDEX($V$1004:$AE$1004,1,MATCH(COLUMNS($V$1006:AE1006),$V$1006:$AE$1006,0)))),"Fix")))</f>
        <v>0</v>
      </c>
      <c r="O704">
        <v>0</v>
      </c>
      <c r="P704">
        <v>0</v>
      </c>
      <c r="Q704">
        <v>0</v>
      </c>
      <c r="R704">
        <f>IF(S704,TRUE,AND(V704:AE704))</f>
        <v>0</v>
      </c>
      <c r="S704">
        <f>COUNTBLANK(Metadata!B704:K704)=COLUMNS(Metadata!B704:K704)</f>
        <v>0</v>
      </c>
      <c r="T704">
        <v>0</v>
      </c>
      <c r="V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W704">
        <f>AND(IF(Metadata!C704="",FALSE,TRUE),exact(Metadata!C704,"animal secretion"))</f>
        <v>0</v>
      </c>
      <c r="X704">
        <f>AND(IF(Metadata!D704="",FALSE,TRUE),exact(Metadata!D704,"saliva"))</f>
        <v>0</v>
      </c>
      <c r="Y704">
        <f>AND(IF(Metadata!E704="",FALSE,TRUE),exact(Metadata!E704,"human-oral"))</f>
        <v>0</v>
      </c>
      <c r="Z704">
        <f>AND(IF(Metadata!F704="",FALSE,TRUE),exact(Metadata!F704,"UBERON:oral cavity"))</f>
        <v>0</v>
      </c>
      <c r="AA704">
        <f>AND(IF(Metadata!G704="",FALSE,TRUE),exact(Metadata!G704,"UBERON:saliva"))</f>
        <v>0</v>
      </c>
      <c r="AB704">
        <f>AND(IF(Metadata!H704="",FALSE,TRUE),exact(Metadata!H704,"UBERON:tongue"))</f>
        <v>0</v>
      </c>
      <c r="AC704">
        <f>AND(IF(Metadata!I704="",FALSE,TRUE),exact(Metadata!I704,"tongue"))</f>
        <v>0</v>
      </c>
      <c r="AD704">
        <f>AND(IF(Metadata!J704="",FALSE,TRUE),exact(Metadata!J704,"human oral metagenome"))</f>
        <v>0</v>
      </c>
      <c r="AE704">
        <f>AND(IF(Metadata!K704="",FALSE,TRUE),exact(Metadata!K704,"447426"))</f>
        <v>0</v>
      </c>
    </row>
    <row r="705" spans="1:31">
      <c r="A705" s="4">
        <f>IF(B705=" "," ",HYPERLINK(CONCATENATE("#metadata!",ADDRESS(INDEX($Q$2:$Q$1001,MATCH(ROWS($O$2:O705),$O$2:$O$1001,0),0),1)),INDEX($T$2:$T$1001,MATCH(ROWS($O$2:O705),$O$2:$O$1001,0),0)))</f>
        <v>0</v>
      </c>
      <c r="B705" s="3">
        <f>IF(OR(INDEX($P$2:$P$1001,MATCH(ROWS($O$2:O705),$O$2:$O$1001,0),1)&gt;=100000,INDEX($V$1005:$AE$1005,1,MATCH(COLUMNS($V$1006:V1006),$V$1006:$AE$1006,0))&gt;=100000), " ",IF(INDEX($V$2:$AE$1001,MATCH(ROWS($O$2:O705),$O$2:$O$1001,0),MATCH(COLUMNS($V$1006:V1006),$V$1006:$AE$1006,0)), HYPERLINK("#",""), HYPERLINK(CONCATENATE("#Metadata!", ADDRESS(INDEX($Q$2:$Q$1001,MATCH(ROWS($O$2:O705),$O$2:$O$1001,0),0), INDEX($V$1004:$AE$1004,1,MATCH(COLUMNS($V$1006:V1006),$V$1006:$AE$1006,0)))),"Fix")))</f>
        <v>0</v>
      </c>
      <c r="C705" s="3">
        <f>IF(OR(INDEX($P$2:$P$1001,MATCH(ROWS($O$2:O705),$O$2:$O$1001,0),1)&gt;=100000,INDEX($V$1005:$AE$1005,1,MATCH(COLUMNS($V$1006:W1006),$V$1006:$AE$1006,0))&gt;=100000), " ",IF(INDEX($V$2:$AE$1001,MATCH(ROWS($O$2:O705),$O$2:$O$1001,0),MATCH(COLUMNS($V$1006:W1006),$V$1006:$AE$1006,0)), HYPERLINK("#",""), HYPERLINK(CONCATENATE("#Metadata!", ADDRESS(INDEX($Q$2:$Q$1001,MATCH(ROWS($O$2:O705),$O$2:$O$1001,0),0), INDEX($V$1004:$AE$1004,1,MATCH(COLUMNS($V$1006:W1006),$V$1006:$AE$1006,0)))),"Fix")))</f>
        <v>0</v>
      </c>
      <c r="D705" s="3">
        <f>IF(OR(INDEX($P$2:$P$1001,MATCH(ROWS($O$2:O705),$O$2:$O$1001,0),1)&gt;=100000,INDEX($V$1005:$AE$1005,1,MATCH(COLUMNS($V$1006:X1006),$V$1006:$AE$1006,0))&gt;=100000), " ",IF(INDEX($V$2:$AE$1001,MATCH(ROWS($O$2:O705),$O$2:$O$1001,0),MATCH(COLUMNS($V$1006:X1006),$V$1006:$AE$1006,0)), HYPERLINK("#",""), HYPERLINK(CONCATENATE("#Metadata!", ADDRESS(INDEX($Q$2:$Q$1001,MATCH(ROWS($O$2:O705),$O$2:$O$1001,0),0), INDEX($V$1004:$AE$1004,1,MATCH(COLUMNS($V$1006:X1006),$V$1006:$AE$1006,0)))),"Fix")))</f>
        <v>0</v>
      </c>
      <c r="E705" s="3">
        <f>IF(OR(INDEX($P$2:$P$1001,MATCH(ROWS($O$2:O705),$O$2:$O$1001,0),1)&gt;=100000,INDEX($V$1005:$AE$1005,1,MATCH(COLUMNS($V$1006:Y1006),$V$1006:$AE$1006,0))&gt;=100000), " ",IF(INDEX($V$2:$AE$1001,MATCH(ROWS($O$2:O705),$O$2:$O$1001,0),MATCH(COLUMNS($V$1006:Y1006),$V$1006:$AE$1006,0)), HYPERLINK("#",""), HYPERLINK(CONCATENATE("#Metadata!", ADDRESS(INDEX($Q$2:$Q$1001,MATCH(ROWS($O$2:O705),$O$2:$O$1001,0),0), INDEX($V$1004:$AE$1004,1,MATCH(COLUMNS($V$1006:Y1006),$V$1006:$AE$1006,0)))),"Fix")))</f>
        <v>0</v>
      </c>
      <c r="F705" s="3">
        <f>IF(OR(INDEX($P$2:$P$1001,MATCH(ROWS($O$2:O705),$O$2:$O$1001,0),1)&gt;=100000,INDEX($V$1005:$AE$1005,1,MATCH(COLUMNS($V$1006:Z1006),$V$1006:$AE$1006,0))&gt;=100000), " ",IF(INDEX($V$2:$AE$1001,MATCH(ROWS($O$2:O705),$O$2:$O$1001,0),MATCH(COLUMNS($V$1006:Z1006),$V$1006:$AE$1006,0)), HYPERLINK("#",""), HYPERLINK(CONCATENATE("#Metadata!", ADDRESS(INDEX($Q$2:$Q$1001,MATCH(ROWS($O$2:O705),$O$2:$O$1001,0),0), INDEX($V$1004:$AE$1004,1,MATCH(COLUMNS($V$1006:Z1006),$V$1006:$AE$1006,0)))),"Fix")))</f>
        <v>0</v>
      </c>
      <c r="G705" s="3">
        <f>IF(OR(INDEX($P$2:$P$1001,MATCH(ROWS($O$2:O705),$O$2:$O$1001,0),1)&gt;=100000,INDEX($V$1005:$AE$1005,1,MATCH(COLUMNS($V$1006:AA1006),$V$1006:$AE$1006,0))&gt;=100000), " ",IF(INDEX($V$2:$AE$1001,MATCH(ROWS($O$2:O705),$O$2:$O$1001,0),MATCH(COLUMNS($V$1006:AA1006),$V$1006:$AE$1006,0)), HYPERLINK("#",""), HYPERLINK(CONCATENATE("#Metadata!", ADDRESS(INDEX($Q$2:$Q$1001,MATCH(ROWS($O$2:O705),$O$2:$O$1001,0),0), INDEX($V$1004:$AE$1004,1,MATCH(COLUMNS($V$1006:AA1006),$V$1006:$AE$1006,0)))),"Fix")))</f>
        <v>0</v>
      </c>
      <c r="H705" s="3">
        <f>IF(OR(INDEX($P$2:$P$1001,MATCH(ROWS($O$2:O705),$O$2:$O$1001,0),1)&gt;=100000,INDEX($V$1005:$AE$1005,1,MATCH(COLUMNS($V$1006:AB1006),$V$1006:$AE$1006,0))&gt;=100000), " ",IF(INDEX($V$2:$AE$1001,MATCH(ROWS($O$2:O705),$O$2:$O$1001,0),MATCH(COLUMNS($V$1006:AB1006),$V$1006:$AE$1006,0)), HYPERLINK("#",""), HYPERLINK(CONCATENATE("#Metadata!", ADDRESS(INDEX($Q$2:$Q$1001,MATCH(ROWS($O$2:O705),$O$2:$O$1001,0),0), INDEX($V$1004:$AE$1004,1,MATCH(COLUMNS($V$1006:AB1006),$V$1006:$AE$1006,0)))),"Fix")))</f>
        <v>0</v>
      </c>
      <c r="I705" s="3">
        <f>IF(OR(INDEX($P$2:$P$1001,MATCH(ROWS($O$2:O705),$O$2:$O$1001,0),1)&gt;=100000,INDEX($V$1005:$AE$1005,1,MATCH(COLUMNS($V$1006:AC1006),$V$1006:$AE$1006,0))&gt;=100000), " ",IF(INDEX($V$2:$AE$1001,MATCH(ROWS($O$2:O705),$O$2:$O$1001,0),MATCH(COLUMNS($V$1006:AC1006),$V$1006:$AE$1006,0)), HYPERLINK("#",""), HYPERLINK(CONCATENATE("#Metadata!", ADDRESS(INDEX($Q$2:$Q$1001,MATCH(ROWS($O$2:O705),$O$2:$O$1001,0),0), INDEX($V$1004:$AE$1004,1,MATCH(COLUMNS($V$1006:AC1006),$V$1006:$AE$1006,0)))),"Fix")))</f>
        <v>0</v>
      </c>
      <c r="J705" s="3">
        <f>IF(OR(INDEX($P$2:$P$1001,MATCH(ROWS($O$2:O705),$O$2:$O$1001,0),1)&gt;=100000,INDEX($V$1005:$AE$1005,1,MATCH(COLUMNS($V$1006:AD1006),$V$1006:$AE$1006,0))&gt;=100000), " ",IF(INDEX($V$2:$AE$1001,MATCH(ROWS($O$2:O705),$O$2:$O$1001,0),MATCH(COLUMNS($V$1006:AD1006),$V$1006:$AE$1006,0)), HYPERLINK("#",""), HYPERLINK(CONCATENATE("#Metadata!", ADDRESS(INDEX($Q$2:$Q$1001,MATCH(ROWS($O$2:O705),$O$2:$O$1001,0),0), INDEX($V$1004:$AE$1004,1,MATCH(COLUMNS($V$1006:AD1006),$V$1006:$AE$1006,0)))),"Fix")))</f>
        <v>0</v>
      </c>
      <c r="K705" s="3">
        <f>IF(OR(INDEX($P$2:$P$1001,MATCH(ROWS($O$2:O705),$O$2:$O$1001,0),1)&gt;=100000,INDEX($V$1005:$AE$1005,1,MATCH(COLUMNS($V$1006:AE1006),$V$1006:$AE$1006,0))&gt;=100000), " ",IF(INDEX($V$2:$AE$1001,MATCH(ROWS($O$2:O705),$O$2:$O$1001,0),MATCH(COLUMNS($V$1006:AE1006),$V$1006:$AE$1006,0)), HYPERLINK("#",""), HYPERLINK(CONCATENATE("#Metadata!", ADDRESS(INDEX($Q$2:$Q$1001,MATCH(ROWS($O$2:O705),$O$2:$O$1001,0),0), INDEX($V$1004:$AE$1004,1,MATCH(COLUMNS($V$1006:AE1006),$V$1006:$AE$1006,0)))),"Fix")))</f>
        <v>0</v>
      </c>
      <c r="O705">
        <v>0</v>
      </c>
      <c r="P705">
        <v>0</v>
      </c>
      <c r="Q705">
        <v>0</v>
      </c>
      <c r="R705">
        <f>IF(S705,TRUE,AND(V705:AE705))</f>
        <v>0</v>
      </c>
      <c r="S705">
        <f>COUNTBLANK(Metadata!B705:K705)=COLUMNS(Metadata!B705:K705)</f>
        <v>0</v>
      </c>
      <c r="T705">
        <v>0</v>
      </c>
      <c r="V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W705">
        <f>AND(IF(Metadata!C705="",FALSE,TRUE),exact(Metadata!C705,"animal secretion"))</f>
        <v>0</v>
      </c>
      <c r="X705">
        <f>AND(IF(Metadata!D705="",FALSE,TRUE),exact(Metadata!D705,"saliva"))</f>
        <v>0</v>
      </c>
      <c r="Y705">
        <f>AND(IF(Metadata!E705="",FALSE,TRUE),exact(Metadata!E705,"human-oral"))</f>
        <v>0</v>
      </c>
      <c r="Z705">
        <f>AND(IF(Metadata!F705="",FALSE,TRUE),exact(Metadata!F705,"UBERON:oral cavity"))</f>
        <v>0</v>
      </c>
      <c r="AA705">
        <f>AND(IF(Metadata!G705="",FALSE,TRUE),exact(Metadata!G705,"UBERON:saliva"))</f>
        <v>0</v>
      </c>
      <c r="AB705">
        <f>AND(IF(Metadata!H705="",FALSE,TRUE),exact(Metadata!H705,"UBERON:tongue"))</f>
        <v>0</v>
      </c>
      <c r="AC705">
        <f>AND(IF(Metadata!I705="",FALSE,TRUE),exact(Metadata!I705,"tongue"))</f>
        <v>0</v>
      </c>
      <c r="AD705">
        <f>AND(IF(Metadata!J705="",FALSE,TRUE),exact(Metadata!J705,"human oral metagenome"))</f>
        <v>0</v>
      </c>
      <c r="AE705">
        <f>AND(IF(Metadata!K705="",FALSE,TRUE),exact(Metadata!K705,"447426"))</f>
        <v>0</v>
      </c>
    </row>
    <row r="706" spans="1:31">
      <c r="A706" s="4">
        <f>IF(B706=" "," ",HYPERLINK(CONCATENATE("#metadata!",ADDRESS(INDEX($Q$2:$Q$1001,MATCH(ROWS($O$2:O706),$O$2:$O$1001,0),0),1)),INDEX($T$2:$T$1001,MATCH(ROWS($O$2:O706),$O$2:$O$1001,0),0)))</f>
        <v>0</v>
      </c>
      <c r="B706" s="3">
        <f>IF(OR(INDEX($P$2:$P$1001,MATCH(ROWS($O$2:O706),$O$2:$O$1001,0),1)&gt;=100000,INDEX($V$1005:$AE$1005,1,MATCH(COLUMNS($V$1006:V1006),$V$1006:$AE$1006,0))&gt;=100000), " ",IF(INDEX($V$2:$AE$1001,MATCH(ROWS($O$2:O706),$O$2:$O$1001,0),MATCH(COLUMNS($V$1006:V1006),$V$1006:$AE$1006,0)), HYPERLINK("#",""), HYPERLINK(CONCATENATE("#Metadata!", ADDRESS(INDEX($Q$2:$Q$1001,MATCH(ROWS($O$2:O706),$O$2:$O$1001,0),0), INDEX($V$1004:$AE$1004,1,MATCH(COLUMNS($V$1006:V1006),$V$1006:$AE$1006,0)))),"Fix")))</f>
        <v>0</v>
      </c>
      <c r="C706" s="3">
        <f>IF(OR(INDEX($P$2:$P$1001,MATCH(ROWS($O$2:O706),$O$2:$O$1001,0),1)&gt;=100000,INDEX($V$1005:$AE$1005,1,MATCH(COLUMNS($V$1006:W1006),$V$1006:$AE$1006,0))&gt;=100000), " ",IF(INDEX($V$2:$AE$1001,MATCH(ROWS($O$2:O706),$O$2:$O$1001,0),MATCH(COLUMNS($V$1006:W1006),$V$1006:$AE$1006,0)), HYPERLINK("#",""), HYPERLINK(CONCATENATE("#Metadata!", ADDRESS(INDEX($Q$2:$Q$1001,MATCH(ROWS($O$2:O706),$O$2:$O$1001,0),0), INDEX($V$1004:$AE$1004,1,MATCH(COLUMNS($V$1006:W1006),$V$1006:$AE$1006,0)))),"Fix")))</f>
        <v>0</v>
      </c>
      <c r="D706" s="3">
        <f>IF(OR(INDEX($P$2:$P$1001,MATCH(ROWS($O$2:O706),$O$2:$O$1001,0),1)&gt;=100000,INDEX($V$1005:$AE$1005,1,MATCH(COLUMNS($V$1006:X1006),$V$1006:$AE$1006,0))&gt;=100000), " ",IF(INDEX($V$2:$AE$1001,MATCH(ROWS($O$2:O706),$O$2:$O$1001,0),MATCH(COLUMNS($V$1006:X1006),$V$1006:$AE$1006,0)), HYPERLINK("#",""), HYPERLINK(CONCATENATE("#Metadata!", ADDRESS(INDEX($Q$2:$Q$1001,MATCH(ROWS($O$2:O706),$O$2:$O$1001,0),0), INDEX($V$1004:$AE$1004,1,MATCH(COLUMNS($V$1006:X1006),$V$1006:$AE$1006,0)))),"Fix")))</f>
        <v>0</v>
      </c>
      <c r="E706" s="3">
        <f>IF(OR(INDEX($P$2:$P$1001,MATCH(ROWS($O$2:O706),$O$2:$O$1001,0),1)&gt;=100000,INDEX($V$1005:$AE$1005,1,MATCH(COLUMNS($V$1006:Y1006),$V$1006:$AE$1006,0))&gt;=100000), " ",IF(INDEX($V$2:$AE$1001,MATCH(ROWS($O$2:O706),$O$2:$O$1001,0),MATCH(COLUMNS($V$1006:Y1006),$V$1006:$AE$1006,0)), HYPERLINK("#",""), HYPERLINK(CONCATENATE("#Metadata!", ADDRESS(INDEX($Q$2:$Q$1001,MATCH(ROWS($O$2:O706),$O$2:$O$1001,0),0), INDEX($V$1004:$AE$1004,1,MATCH(COLUMNS($V$1006:Y1006),$V$1006:$AE$1006,0)))),"Fix")))</f>
        <v>0</v>
      </c>
      <c r="F706" s="3">
        <f>IF(OR(INDEX($P$2:$P$1001,MATCH(ROWS($O$2:O706),$O$2:$O$1001,0),1)&gt;=100000,INDEX($V$1005:$AE$1005,1,MATCH(COLUMNS($V$1006:Z1006),$V$1006:$AE$1006,0))&gt;=100000), " ",IF(INDEX($V$2:$AE$1001,MATCH(ROWS($O$2:O706),$O$2:$O$1001,0),MATCH(COLUMNS($V$1006:Z1006),$V$1006:$AE$1006,0)), HYPERLINK("#",""), HYPERLINK(CONCATENATE("#Metadata!", ADDRESS(INDEX($Q$2:$Q$1001,MATCH(ROWS($O$2:O706),$O$2:$O$1001,0),0), INDEX($V$1004:$AE$1004,1,MATCH(COLUMNS($V$1006:Z1006),$V$1006:$AE$1006,0)))),"Fix")))</f>
        <v>0</v>
      </c>
      <c r="G706" s="3">
        <f>IF(OR(INDEX($P$2:$P$1001,MATCH(ROWS($O$2:O706),$O$2:$O$1001,0),1)&gt;=100000,INDEX($V$1005:$AE$1005,1,MATCH(COLUMNS($V$1006:AA1006),$V$1006:$AE$1006,0))&gt;=100000), " ",IF(INDEX($V$2:$AE$1001,MATCH(ROWS($O$2:O706),$O$2:$O$1001,0),MATCH(COLUMNS($V$1006:AA1006),$V$1006:$AE$1006,0)), HYPERLINK("#",""), HYPERLINK(CONCATENATE("#Metadata!", ADDRESS(INDEX($Q$2:$Q$1001,MATCH(ROWS($O$2:O706),$O$2:$O$1001,0),0), INDEX($V$1004:$AE$1004,1,MATCH(COLUMNS($V$1006:AA1006),$V$1006:$AE$1006,0)))),"Fix")))</f>
        <v>0</v>
      </c>
      <c r="H706" s="3">
        <f>IF(OR(INDEX($P$2:$P$1001,MATCH(ROWS($O$2:O706),$O$2:$O$1001,0),1)&gt;=100000,INDEX($V$1005:$AE$1005,1,MATCH(COLUMNS($V$1006:AB1006),$V$1006:$AE$1006,0))&gt;=100000), " ",IF(INDEX($V$2:$AE$1001,MATCH(ROWS($O$2:O706),$O$2:$O$1001,0),MATCH(COLUMNS($V$1006:AB1006),$V$1006:$AE$1006,0)), HYPERLINK("#",""), HYPERLINK(CONCATENATE("#Metadata!", ADDRESS(INDEX($Q$2:$Q$1001,MATCH(ROWS($O$2:O706),$O$2:$O$1001,0),0), INDEX($V$1004:$AE$1004,1,MATCH(COLUMNS($V$1006:AB1006),$V$1006:$AE$1006,0)))),"Fix")))</f>
        <v>0</v>
      </c>
      <c r="I706" s="3">
        <f>IF(OR(INDEX($P$2:$P$1001,MATCH(ROWS($O$2:O706),$O$2:$O$1001,0),1)&gt;=100000,INDEX($V$1005:$AE$1005,1,MATCH(COLUMNS($V$1006:AC1006),$V$1006:$AE$1006,0))&gt;=100000), " ",IF(INDEX($V$2:$AE$1001,MATCH(ROWS($O$2:O706),$O$2:$O$1001,0),MATCH(COLUMNS($V$1006:AC1006),$V$1006:$AE$1006,0)), HYPERLINK("#",""), HYPERLINK(CONCATENATE("#Metadata!", ADDRESS(INDEX($Q$2:$Q$1001,MATCH(ROWS($O$2:O706),$O$2:$O$1001,0),0), INDEX($V$1004:$AE$1004,1,MATCH(COLUMNS($V$1006:AC1006),$V$1006:$AE$1006,0)))),"Fix")))</f>
        <v>0</v>
      </c>
      <c r="J706" s="3">
        <f>IF(OR(INDEX($P$2:$P$1001,MATCH(ROWS($O$2:O706),$O$2:$O$1001,0),1)&gt;=100000,INDEX($V$1005:$AE$1005,1,MATCH(COLUMNS($V$1006:AD1006),$V$1006:$AE$1006,0))&gt;=100000), " ",IF(INDEX($V$2:$AE$1001,MATCH(ROWS($O$2:O706),$O$2:$O$1001,0),MATCH(COLUMNS($V$1006:AD1006),$V$1006:$AE$1006,0)), HYPERLINK("#",""), HYPERLINK(CONCATENATE("#Metadata!", ADDRESS(INDEX($Q$2:$Q$1001,MATCH(ROWS($O$2:O706),$O$2:$O$1001,0),0), INDEX($V$1004:$AE$1004,1,MATCH(COLUMNS($V$1006:AD1006),$V$1006:$AE$1006,0)))),"Fix")))</f>
        <v>0</v>
      </c>
      <c r="K706" s="3">
        <f>IF(OR(INDEX($P$2:$P$1001,MATCH(ROWS($O$2:O706),$O$2:$O$1001,0),1)&gt;=100000,INDEX($V$1005:$AE$1005,1,MATCH(COLUMNS($V$1006:AE1006),$V$1006:$AE$1006,0))&gt;=100000), " ",IF(INDEX($V$2:$AE$1001,MATCH(ROWS($O$2:O706),$O$2:$O$1001,0),MATCH(COLUMNS($V$1006:AE1006),$V$1006:$AE$1006,0)), HYPERLINK("#",""), HYPERLINK(CONCATENATE("#Metadata!", ADDRESS(INDEX($Q$2:$Q$1001,MATCH(ROWS($O$2:O706),$O$2:$O$1001,0),0), INDEX($V$1004:$AE$1004,1,MATCH(COLUMNS($V$1006:AE1006),$V$1006:$AE$1006,0)))),"Fix")))</f>
        <v>0</v>
      </c>
      <c r="O706">
        <v>0</v>
      </c>
      <c r="P706">
        <v>0</v>
      </c>
      <c r="Q706">
        <v>0</v>
      </c>
      <c r="R706">
        <f>IF(S706,TRUE,AND(V706:AE706))</f>
        <v>0</v>
      </c>
      <c r="S706">
        <f>COUNTBLANK(Metadata!B706:K706)=COLUMNS(Metadata!B706:K706)</f>
        <v>0</v>
      </c>
      <c r="T706">
        <v>0</v>
      </c>
      <c r="V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W706">
        <f>AND(IF(Metadata!C706="",FALSE,TRUE),exact(Metadata!C706,"animal secretion"))</f>
        <v>0</v>
      </c>
      <c r="X706">
        <f>AND(IF(Metadata!D706="",FALSE,TRUE),exact(Metadata!D706,"saliva"))</f>
        <v>0</v>
      </c>
      <c r="Y706">
        <f>AND(IF(Metadata!E706="",FALSE,TRUE),exact(Metadata!E706,"human-oral"))</f>
        <v>0</v>
      </c>
      <c r="Z706">
        <f>AND(IF(Metadata!F706="",FALSE,TRUE),exact(Metadata!F706,"UBERON:oral cavity"))</f>
        <v>0</v>
      </c>
      <c r="AA706">
        <f>AND(IF(Metadata!G706="",FALSE,TRUE),exact(Metadata!G706,"UBERON:saliva"))</f>
        <v>0</v>
      </c>
      <c r="AB706">
        <f>AND(IF(Metadata!H706="",FALSE,TRUE),exact(Metadata!H706,"UBERON:tongue"))</f>
        <v>0</v>
      </c>
      <c r="AC706">
        <f>AND(IF(Metadata!I706="",FALSE,TRUE),exact(Metadata!I706,"tongue"))</f>
        <v>0</v>
      </c>
      <c r="AD706">
        <f>AND(IF(Metadata!J706="",FALSE,TRUE),exact(Metadata!J706,"human oral metagenome"))</f>
        <v>0</v>
      </c>
      <c r="AE706">
        <f>AND(IF(Metadata!K706="",FALSE,TRUE),exact(Metadata!K706,"447426"))</f>
        <v>0</v>
      </c>
    </row>
    <row r="707" spans="1:31">
      <c r="A707" s="4">
        <f>IF(B707=" "," ",HYPERLINK(CONCATENATE("#metadata!",ADDRESS(INDEX($Q$2:$Q$1001,MATCH(ROWS($O$2:O707),$O$2:$O$1001,0),0),1)),INDEX($T$2:$T$1001,MATCH(ROWS($O$2:O707),$O$2:$O$1001,0),0)))</f>
        <v>0</v>
      </c>
      <c r="B707" s="3">
        <f>IF(OR(INDEX($P$2:$P$1001,MATCH(ROWS($O$2:O707),$O$2:$O$1001,0),1)&gt;=100000,INDEX($V$1005:$AE$1005,1,MATCH(COLUMNS($V$1006:V1006),$V$1006:$AE$1006,0))&gt;=100000), " ",IF(INDEX($V$2:$AE$1001,MATCH(ROWS($O$2:O707),$O$2:$O$1001,0),MATCH(COLUMNS($V$1006:V1006),$V$1006:$AE$1006,0)), HYPERLINK("#",""), HYPERLINK(CONCATENATE("#Metadata!", ADDRESS(INDEX($Q$2:$Q$1001,MATCH(ROWS($O$2:O707),$O$2:$O$1001,0),0), INDEX($V$1004:$AE$1004,1,MATCH(COLUMNS($V$1006:V1006),$V$1006:$AE$1006,0)))),"Fix")))</f>
        <v>0</v>
      </c>
      <c r="C707" s="3">
        <f>IF(OR(INDEX($P$2:$P$1001,MATCH(ROWS($O$2:O707),$O$2:$O$1001,0),1)&gt;=100000,INDEX($V$1005:$AE$1005,1,MATCH(COLUMNS($V$1006:W1006),$V$1006:$AE$1006,0))&gt;=100000), " ",IF(INDEX($V$2:$AE$1001,MATCH(ROWS($O$2:O707),$O$2:$O$1001,0),MATCH(COLUMNS($V$1006:W1006),$V$1006:$AE$1006,0)), HYPERLINK("#",""), HYPERLINK(CONCATENATE("#Metadata!", ADDRESS(INDEX($Q$2:$Q$1001,MATCH(ROWS($O$2:O707),$O$2:$O$1001,0),0), INDEX($V$1004:$AE$1004,1,MATCH(COLUMNS($V$1006:W1006),$V$1006:$AE$1006,0)))),"Fix")))</f>
        <v>0</v>
      </c>
      <c r="D707" s="3">
        <f>IF(OR(INDEX($P$2:$P$1001,MATCH(ROWS($O$2:O707),$O$2:$O$1001,0),1)&gt;=100000,INDEX($V$1005:$AE$1005,1,MATCH(COLUMNS($V$1006:X1006),$V$1006:$AE$1006,0))&gt;=100000), " ",IF(INDEX($V$2:$AE$1001,MATCH(ROWS($O$2:O707),$O$2:$O$1001,0),MATCH(COLUMNS($V$1006:X1006),$V$1006:$AE$1006,0)), HYPERLINK("#",""), HYPERLINK(CONCATENATE("#Metadata!", ADDRESS(INDEX($Q$2:$Q$1001,MATCH(ROWS($O$2:O707),$O$2:$O$1001,0),0), INDEX($V$1004:$AE$1004,1,MATCH(COLUMNS($V$1006:X1006),$V$1006:$AE$1006,0)))),"Fix")))</f>
        <v>0</v>
      </c>
      <c r="E707" s="3">
        <f>IF(OR(INDEX($P$2:$P$1001,MATCH(ROWS($O$2:O707),$O$2:$O$1001,0),1)&gt;=100000,INDEX($V$1005:$AE$1005,1,MATCH(COLUMNS($V$1006:Y1006),$V$1006:$AE$1006,0))&gt;=100000), " ",IF(INDEX($V$2:$AE$1001,MATCH(ROWS($O$2:O707),$O$2:$O$1001,0),MATCH(COLUMNS($V$1006:Y1006),$V$1006:$AE$1006,0)), HYPERLINK("#",""), HYPERLINK(CONCATENATE("#Metadata!", ADDRESS(INDEX($Q$2:$Q$1001,MATCH(ROWS($O$2:O707),$O$2:$O$1001,0),0), INDEX($V$1004:$AE$1004,1,MATCH(COLUMNS($V$1006:Y1006),$V$1006:$AE$1006,0)))),"Fix")))</f>
        <v>0</v>
      </c>
      <c r="F707" s="3">
        <f>IF(OR(INDEX($P$2:$P$1001,MATCH(ROWS($O$2:O707),$O$2:$O$1001,0),1)&gt;=100000,INDEX($V$1005:$AE$1005,1,MATCH(COLUMNS($V$1006:Z1006),$V$1006:$AE$1006,0))&gt;=100000), " ",IF(INDEX($V$2:$AE$1001,MATCH(ROWS($O$2:O707),$O$2:$O$1001,0),MATCH(COLUMNS($V$1006:Z1006),$V$1006:$AE$1006,0)), HYPERLINK("#",""), HYPERLINK(CONCATENATE("#Metadata!", ADDRESS(INDEX($Q$2:$Q$1001,MATCH(ROWS($O$2:O707),$O$2:$O$1001,0),0), INDEX($V$1004:$AE$1004,1,MATCH(COLUMNS($V$1006:Z1006),$V$1006:$AE$1006,0)))),"Fix")))</f>
        <v>0</v>
      </c>
      <c r="G707" s="3">
        <f>IF(OR(INDEX($P$2:$P$1001,MATCH(ROWS($O$2:O707),$O$2:$O$1001,0),1)&gt;=100000,INDEX($V$1005:$AE$1005,1,MATCH(COLUMNS($V$1006:AA1006),$V$1006:$AE$1006,0))&gt;=100000), " ",IF(INDEX($V$2:$AE$1001,MATCH(ROWS($O$2:O707),$O$2:$O$1001,0),MATCH(COLUMNS($V$1006:AA1006),$V$1006:$AE$1006,0)), HYPERLINK("#",""), HYPERLINK(CONCATENATE("#Metadata!", ADDRESS(INDEX($Q$2:$Q$1001,MATCH(ROWS($O$2:O707),$O$2:$O$1001,0),0), INDEX($V$1004:$AE$1004,1,MATCH(COLUMNS($V$1006:AA1006),$V$1006:$AE$1006,0)))),"Fix")))</f>
        <v>0</v>
      </c>
      <c r="H707" s="3">
        <f>IF(OR(INDEX($P$2:$P$1001,MATCH(ROWS($O$2:O707),$O$2:$O$1001,0),1)&gt;=100000,INDEX($V$1005:$AE$1005,1,MATCH(COLUMNS($V$1006:AB1006),$V$1006:$AE$1006,0))&gt;=100000), " ",IF(INDEX($V$2:$AE$1001,MATCH(ROWS($O$2:O707),$O$2:$O$1001,0),MATCH(COLUMNS($V$1006:AB1006),$V$1006:$AE$1006,0)), HYPERLINK("#",""), HYPERLINK(CONCATENATE("#Metadata!", ADDRESS(INDEX($Q$2:$Q$1001,MATCH(ROWS($O$2:O707),$O$2:$O$1001,0),0), INDEX($V$1004:$AE$1004,1,MATCH(COLUMNS($V$1006:AB1006),$V$1006:$AE$1006,0)))),"Fix")))</f>
        <v>0</v>
      </c>
      <c r="I707" s="3">
        <f>IF(OR(INDEX($P$2:$P$1001,MATCH(ROWS($O$2:O707),$O$2:$O$1001,0),1)&gt;=100000,INDEX($V$1005:$AE$1005,1,MATCH(COLUMNS($V$1006:AC1006),$V$1006:$AE$1006,0))&gt;=100000), " ",IF(INDEX($V$2:$AE$1001,MATCH(ROWS($O$2:O707),$O$2:$O$1001,0),MATCH(COLUMNS($V$1006:AC1006),$V$1006:$AE$1006,0)), HYPERLINK("#",""), HYPERLINK(CONCATENATE("#Metadata!", ADDRESS(INDEX($Q$2:$Q$1001,MATCH(ROWS($O$2:O707),$O$2:$O$1001,0),0), INDEX($V$1004:$AE$1004,1,MATCH(COLUMNS($V$1006:AC1006),$V$1006:$AE$1006,0)))),"Fix")))</f>
        <v>0</v>
      </c>
      <c r="J707" s="3">
        <f>IF(OR(INDEX($P$2:$P$1001,MATCH(ROWS($O$2:O707),$O$2:$O$1001,0),1)&gt;=100000,INDEX($V$1005:$AE$1005,1,MATCH(COLUMNS($V$1006:AD1006),$V$1006:$AE$1006,0))&gt;=100000), " ",IF(INDEX($V$2:$AE$1001,MATCH(ROWS($O$2:O707),$O$2:$O$1001,0),MATCH(COLUMNS($V$1006:AD1006),$V$1006:$AE$1006,0)), HYPERLINK("#",""), HYPERLINK(CONCATENATE("#Metadata!", ADDRESS(INDEX($Q$2:$Q$1001,MATCH(ROWS($O$2:O707),$O$2:$O$1001,0),0), INDEX($V$1004:$AE$1004,1,MATCH(COLUMNS($V$1006:AD1006),$V$1006:$AE$1006,0)))),"Fix")))</f>
        <v>0</v>
      </c>
      <c r="K707" s="3">
        <f>IF(OR(INDEX($P$2:$P$1001,MATCH(ROWS($O$2:O707),$O$2:$O$1001,0),1)&gt;=100000,INDEX($V$1005:$AE$1005,1,MATCH(COLUMNS($V$1006:AE1006),$V$1006:$AE$1006,0))&gt;=100000), " ",IF(INDEX($V$2:$AE$1001,MATCH(ROWS($O$2:O707),$O$2:$O$1001,0),MATCH(COLUMNS($V$1006:AE1006),$V$1006:$AE$1006,0)), HYPERLINK("#",""), HYPERLINK(CONCATENATE("#Metadata!", ADDRESS(INDEX($Q$2:$Q$1001,MATCH(ROWS($O$2:O707),$O$2:$O$1001,0),0), INDEX($V$1004:$AE$1004,1,MATCH(COLUMNS($V$1006:AE1006),$V$1006:$AE$1006,0)))),"Fix")))</f>
        <v>0</v>
      </c>
      <c r="O707">
        <v>0</v>
      </c>
      <c r="P707">
        <v>0</v>
      </c>
      <c r="Q707">
        <v>0</v>
      </c>
      <c r="R707">
        <f>IF(S707,TRUE,AND(V707:AE707))</f>
        <v>0</v>
      </c>
      <c r="S707">
        <f>COUNTBLANK(Metadata!B707:K707)=COLUMNS(Metadata!B707:K707)</f>
        <v>0</v>
      </c>
      <c r="T707">
        <v>0</v>
      </c>
      <c r="V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W707">
        <f>AND(IF(Metadata!C707="",FALSE,TRUE),exact(Metadata!C707,"animal secretion"))</f>
        <v>0</v>
      </c>
      <c r="X707">
        <f>AND(IF(Metadata!D707="",FALSE,TRUE),exact(Metadata!D707,"saliva"))</f>
        <v>0</v>
      </c>
      <c r="Y707">
        <f>AND(IF(Metadata!E707="",FALSE,TRUE),exact(Metadata!E707,"human-oral"))</f>
        <v>0</v>
      </c>
      <c r="Z707">
        <f>AND(IF(Metadata!F707="",FALSE,TRUE),exact(Metadata!F707,"UBERON:oral cavity"))</f>
        <v>0</v>
      </c>
      <c r="AA707">
        <f>AND(IF(Metadata!G707="",FALSE,TRUE),exact(Metadata!G707,"UBERON:saliva"))</f>
        <v>0</v>
      </c>
      <c r="AB707">
        <f>AND(IF(Metadata!H707="",FALSE,TRUE),exact(Metadata!H707,"UBERON:tongue"))</f>
        <v>0</v>
      </c>
      <c r="AC707">
        <f>AND(IF(Metadata!I707="",FALSE,TRUE),exact(Metadata!I707,"tongue"))</f>
        <v>0</v>
      </c>
      <c r="AD707">
        <f>AND(IF(Metadata!J707="",FALSE,TRUE),exact(Metadata!J707,"human oral metagenome"))</f>
        <v>0</v>
      </c>
      <c r="AE707">
        <f>AND(IF(Metadata!K707="",FALSE,TRUE),exact(Metadata!K707,"447426"))</f>
        <v>0</v>
      </c>
    </row>
    <row r="708" spans="1:31">
      <c r="A708" s="4">
        <f>IF(B708=" "," ",HYPERLINK(CONCATENATE("#metadata!",ADDRESS(INDEX($Q$2:$Q$1001,MATCH(ROWS($O$2:O708),$O$2:$O$1001,0),0),1)),INDEX($T$2:$T$1001,MATCH(ROWS($O$2:O708),$O$2:$O$1001,0),0)))</f>
        <v>0</v>
      </c>
      <c r="B708" s="3">
        <f>IF(OR(INDEX($P$2:$P$1001,MATCH(ROWS($O$2:O708),$O$2:$O$1001,0),1)&gt;=100000,INDEX($V$1005:$AE$1005,1,MATCH(COLUMNS($V$1006:V1006),$V$1006:$AE$1006,0))&gt;=100000), " ",IF(INDEX($V$2:$AE$1001,MATCH(ROWS($O$2:O708),$O$2:$O$1001,0),MATCH(COLUMNS($V$1006:V1006),$V$1006:$AE$1006,0)), HYPERLINK("#",""), HYPERLINK(CONCATENATE("#Metadata!", ADDRESS(INDEX($Q$2:$Q$1001,MATCH(ROWS($O$2:O708),$O$2:$O$1001,0),0), INDEX($V$1004:$AE$1004,1,MATCH(COLUMNS($V$1006:V1006),$V$1006:$AE$1006,0)))),"Fix")))</f>
        <v>0</v>
      </c>
      <c r="C708" s="3">
        <f>IF(OR(INDEX($P$2:$P$1001,MATCH(ROWS($O$2:O708),$O$2:$O$1001,0),1)&gt;=100000,INDEX($V$1005:$AE$1005,1,MATCH(COLUMNS($V$1006:W1006),$V$1006:$AE$1006,0))&gt;=100000), " ",IF(INDEX($V$2:$AE$1001,MATCH(ROWS($O$2:O708),$O$2:$O$1001,0),MATCH(COLUMNS($V$1006:W1006),$V$1006:$AE$1006,0)), HYPERLINK("#",""), HYPERLINK(CONCATENATE("#Metadata!", ADDRESS(INDEX($Q$2:$Q$1001,MATCH(ROWS($O$2:O708),$O$2:$O$1001,0),0), INDEX($V$1004:$AE$1004,1,MATCH(COLUMNS($V$1006:W1006),$V$1006:$AE$1006,0)))),"Fix")))</f>
        <v>0</v>
      </c>
      <c r="D708" s="3">
        <f>IF(OR(INDEX($P$2:$P$1001,MATCH(ROWS($O$2:O708),$O$2:$O$1001,0),1)&gt;=100000,INDEX($V$1005:$AE$1005,1,MATCH(COLUMNS($V$1006:X1006),$V$1006:$AE$1006,0))&gt;=100000), " ",IF(INDEX($V$2:$AE$1001,MATCH(ROWS($O$2:O708),$O$2:$O$1001,0),MATCH(COLUMNS($V$1006:X1006),$V$1006:$AE$1006,0)), HYPERLINK("#",""), HYPERLINK(CONCATENATE("#Metadata!", ADDRESS(INDEX($Q$2:$Q$1001,MATCH(ROWS($O$2:O708),$O$2:$O$1001,0),0), INDEX($V$1004:$AE$1004,1,MATCH(COLUMNS($V$1006:X1006),$V$1006:$AE$1006,0)))),"Fix")))</f>
        <v>0</v>
      </c>
      <c r="E708" s="3">
        <f>IF(OR(INDEX($P$2:$P$1001,MATCH(ROWS($O$2:O708),$O$2:$O$1001,0),1)&gt;=100000,INDEX($V$1005:$AE$1005,1,MATCH(COLUMNS($V$1006:Y1006),$V$1006:$AE$1006,0))&gt;=100000), " ",IF(INDEX($V$2:$AE$1001,MATCH(ROWS($O$2:O708),$O$2:$O$1001,0),MATCH(COLUMNS($V$1006:Y1006),$V$1006:$AE$1006,0)), HYPERLINK("#",""), HYPERLINK(CONCATENATE("#Metadata!", ADDRESS(INDEX($Q$2:$Q$1001,MATCH(ROWS($O$2:O708),$O$2:$O$1001,0),0), INDEX($V$1004:$AE$1004,1,MATCH(COLUMNS($V$1006:Y1006),$V$1006:$AE$1006,0)))),"Fix")))</f>
        <v>0</v>
      </c>
      <c r="F708" s="3">
        <f>IF(OR(INDEX($P$2:$P$1001,MATCH(ROWS($O$2:O708),$O$2:$O$1001,0),1)&gt;=100000,INDEX($V$1005:$AE$1005,1,MATCH(COLUMNS($V$1006:Z1006),$V$1006:$AE$1006,0))&gt;=100000), " ",IF(INDEX($V$2:$AE$1001,MATCH(ROWS($O$2:O708),$O$2:$O$1001,0),MATCH(COLUMNS($V$1006:Z1006),$V$1006:$AE$1006,0)), HYPERLINK("#",""), HYPERLINK(CONCATENATE("#Metadata!", ADDRESS(INDEX($Q$2:$Q$1001,MATCH(ROWS($O$2:O708),$O$2:$O$1001,0),0), INDEX($V$1004:$AE$1004,1,MATCH(COLUMNS($V$1006:Z1006),$V$1006:$AE$1006,0)))),"Fix")))</f>
        <v>0</v>
      </c>
      <c r="G708" s="3">
        <f>IF(OR(INDEX($P$2:$P$1001,MATCH(ROWS($O$2:O708),$O$2:$O$1001,0),1)&gt;=100000,INDEX($V$1005:$AE$1005,1,MATCH(COLUMNS($V$1006:AA1006),$V$1006:$AE$1006,0))&gt;=100000), " ",IF(INDEX($V$2:$AE$1001,MATCH(ROWS($O$2:O708),$O$2:$O$1001,0),MATCH(COLUMNS($V$1006:AA1006),$V$1006:$AE$1006,0)), HYPERLINK("#",""), HYPERLINK(CONCATENATE("#Metadata!", ADDRESS(INDEX($Q$2:$Q$1001,MATCH(ROWS($O$2:O708),$O$2:$O$1001,0),0), INDEX($V$1004:$AE$1004,1,MATCH(COLUMNS($V$1006:AA1006),$V$1006:$AE$1006,0)))),"Fix")))</f>
        <v>0</v>
      </c>
      <c r="H708" s="3">
        <f>IF(OR(INDEX($P$2:$P$1001,MATCH(ROWS($O$2:O708),$O$2:$O$1001,0),1)&gt;=100000,INDEX($V$1005:$AE$1005,1,MATCH(COLUMNS($V$1006:AB1006),$V$1006:$AE$1006,0))&gt;=100000), " ",IF(INDEX($V$2:$AE$1001,MATCH(ROWS($O$2:O708),$O$2:$O$1001,0),MATCH(COLUMNS($V$1006:AB1006),$V$1006:$AE$1006,0)), HYPERLINK("#",""), HYPERLINK(CONCATENATE("#Metadata!", ADDRESS(INDEX($Q$2:$Q$1001,MATCH(ROWS($O$2:O708),$O$2:$O$1001,0),0), INDEX($V$1004:$AE$1004,1,MATCH(COLUMNS($V$1006:AB1006),$V$1006:$AE$1006,0)))),"Fix")))</f>
        <v>0</v>
      </c>
      <c r="I708" s="3">
        <f>IF(OR(INDEX($P$2:$P$1001,MATCH(ROWS($O$2:O708),$O$2:$O$1001,0),1)&gt;=100000,INDEX($V$1005:$AE$1005,1,MATCH(COLUMNS($V$1006:AC1006),$V$1006:$AE$1006,0))&gt;=100000), " ",IF(INDEX($V$2:$AE$1001,MATCH(ROWS($O$2:O708),$O$2:$O$1001,0),MATCH(COLUMNS($V$1006:AC1006),$V$1006:$AE$1006,0)), HYPERLINK("#",""), HYPERLINK(CONCATENATE("#Metadata!", ADDRESS(INDEX($Q$2:$Q$1001,MATCH(ROWS($O$2:O708),$O$2:$O$1001,0),0), INDEX($V$1004:$AE$1004,1,MATCH(COLUMNS($V$1006:AC1006),$V$1006:$AE$1006,0)))),"Fix")))</f>
        <v>0</v>
      </c>
      <c r="J708" s="3">
        <f>IF(OR(INDEX($P$2:$P$1001,MATCH(ROWS($O$2:O708),$O$2:$O$1001,0),1)&gt;=100000,INDEX($V$1005:$AE$1005,1,MATCH(COLUMNS($V$1006:AD1006),$V$1006:$AE$1006,0))&gt;=100000), " ",IF(INDEX($V$2:$AE$1001,MATCH(ROWS($O$2:O708),$O$2:$O$1001,0),MATCH(COLUMNS($V$1006:AD1006),$V$1006:$AE$1006,0)), HYPERLINK("#",""), HYPERLINK(CONCATENATE("#Metadata!", ADDRESS(INDEX($Q$2:$Q$1001,MATCH(ROWS($O$2:O708),$O$2:$O$1001,0),0), INDEX($V$1004:$AE$1004,1,MATCH(COLUMNS($V$1006:AD1006),$V$1006:$AE$1006,0)))),"Fix")))</f>
        <v>0</v>
      </c>
      <c r="K708" s="3">
        <f>IF(OR(INDEX($P$2:$P$1001,MATCH(ROWS($O$2:O708),$O$2:$O$1001,0),1)&gt;=100000,INDEX($V$1005:$AE$1005,1,MATCH(COLUMNS($V$1006:AE1006),$V$1006:$AE$1006,0))&gt;=100000), " ",IF(INDEX($V$2:$AE$1001,MATCH(ROWS($O$2:O708),$O$2:$O$1001,0),MATCH(COLUMNS($V$1006:AE1006),$V$1006:$AE$1006,0)), HYPERLINK("#",""), HYPERLINK(CONCATENATE("#Metadata!", ADDRESS(INDEX($Q$2:$Q$1001,MATCH(ROWS($O$2:O708),$O$2:$O$1001,0),0), INDEX($V$1004:$AE$1004,1,MATCH(COLUMNS($V$1006:AE1006),$V$1006:$AE$1006,0)))),"Fix")))</f>
        <v>0</v>
      </c>
      <c r="O708">
        <v>0</v>
      </c>
      <c r="P708">
        <v>0</v>
      </c>
      <c r="Q708">
        <v>0</v>
      </c>
      <c r="R708">
        <f>IF(S708,TRUE,AND(V708:AE708))</f>
        <v>0</v>
      </c>
      <c r="S708">
        <f>COUNTBLANK(Metadata!B708:K708)=COLUMNS(Metadata!B708:K708)</f>
        <v>0</v>
      </c>
      <c r="T708">
        <v>0</v>
      </c>
      <c r="V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W708">
        <f>AND(IF(Metadata!C708="",FALSE,TRUE),exact(Metadata!C708,"animal secretion"))</f>
        <v>0</v>
      </c>
      <c r="X708">
        <f>AND(IF(Metadata!D708="",FALSE,TRUE),exact(Metadata!D708,"saliva"))</f>
        <v>0</v>
      </c>
      <c r="Y708">
        <f>AND(IF(Metadata!E708="",FALSE,TRUE),exact(Metadata!E708,"human-oral"))</f>
        <v>0</v>
      </c>
      <c r="Z708">
        <f>AND(IF(Metadata!F708="",FALSE,TRUE),exact(Metadata!F708,"UBERON:oral cavity"))</f>
        <v>0</v>
      </c>
      <c r="AA708">
        <f>AND(IF(Metadata!G708="",FALSE,TRUE),exact(Metadata!G708,"UBERON:saliva"))</f>
        <v>0</v>
      </c>
      <c r="AB708">
        <f>AND(IF(Metadata!H708="",FALSE,TRUE),exact(Metadata!H708,"UBERON:tongue"))</f>
        <v>0</v>
      </c>
      <c r="AC708">
        <f>AND(IF(Metadata!I708="",FALSE,TRUE),exact(Metadata!I708,"tongue"))</f>
        <v>0</v>
      </c>
      <c r="AD708">
        <f>AND(IF(Metadata!J708="",FALSE,TRUE),exact(Metadata!J708,"human oral metagenome"))</f>
        <v>0</v>
      </c>
      <c r="AE708">
        <f>AND(IF(Metadata!K708="",FALSE,TRUE),exact(Metadata!K708,"447426"))</f>
        <v>0</v>
      </c>
    </row>
    <row r="709" spans="1:31">
      <c r="A709" s="4">
        <f>IF(B709=" "," ",HYPERLINK(CONCATENATE("#metadata!",ADDRESS(INDEX($Q$2:$Q$1001,MATCH(ROWS($O$2:O709),$O$2:$O$1001,0),0),1)),INDEX($T$2:$T$1001,MATCH(ROWS($O$2:O709),$O$2:$O$1001,0),0)))</f>
        <v>0</v>
      </c>
      <c r="B709" s="3">
        <f>IF(OR(INDEX($P$2:$P$1001,MATCH(ROWS($O$2:O709),$O$2:$O$1001,0),1)&gt;=100000,INDEX($V$1005:$AE$1005,1,MATCH(COLUMNS($V$1006:V1006),$V$1006:$AE$1006,0))&gt;=100000), " ",IF(INDEX($V$2:$AE$1001,MATCH(ROWS($O$2:O709),$O$2:$O$1001,0),MATCH(COLUMNS($V$1006:V1006),$V$1006:$AE$1006,0)), HYPERLINK("#",""), HYPERLINK(CONCATENATE("#Metadata!", ADDRESS(INDEX($Q$2:$Q$1001,MATCH(ROWS($O$2:O709),$O$2:$O$1001,0),0), INDEX($V$1004:$AE$1004,1,MATCH(COLUMNS($V$1006:V1006),$V$1006:$AE$1006,0)))),"Fix")))</f>
        <v>0</v>
      </c>
      <c r="C709" s="3">
        <f>IF(OR(INDEX($P$2:$P$1001,MATCH(ROWS($O$2:O709),$O$2:$O$1001,0),1)&gt;=100000,INDEX($V$1005:$AE$1005,1,MATCH(COLUMNS($V$1006:W1006),$V$1006:$AE$1006,0))&gt;=100000), " ",IF(INDEX($V$2:$AE$1001,MATCH(ROWS($O$2:O709),$O$2:$O$1001,0),MATCH(COLUMNS($V$1006:W1006),$V$1006:$AE$1006,0)), HYPERLINK("#",""), HYPERLINK(CONCATENATE("#Metadata!", ADDRESS(INDEX($Q$2:$Q$1001,MATCH(ROWS($O$2:O709),$O$2:$O$1001,0),0), INDEX($V$1004:$AE$1004,1,MATCH(COLUMNS($V$1006:W1006),$V$1006:$AE$1006,0)))),"Fix")))</f>
        <v>0</v>
      </c>
      <c r="D709" s="3">
        <f>IF(OR(INDEX($P$2:$P$1001,MATCH(ROWS($O$2:O709),$O$2:$O$1001,0),1)&gt;=100000,INDEX($V$1005:$AE$1005,1,MATCH(COLUMNS($V$1006:X1006),$V$1006:$AE$1006,0))&gt;=100000), " ",IF(INDEX($V$2:$AE$1001,MATCH(ROWS($O$2:O709),$O$2:$O$1001,0),MATCH(COLUMNS($V$1006:X1006),$V$1006:$AE$1006,0)), HYPERLINK("#",""), HYPERLINK(CONCATENATE("#Metadata!", ADDRESS(INDEX($Q$2:$Q$1001,MATCH(ROWS($O$2:O709),$O$2:$O$1001,0),0), INDEX($V$1004:$AE$1004,1,MATCH(COLUMNS($V$1006:X1006),$V$1006:$AE$1006,0)))),"Fix")))</f>
        <v>0</v>
      </c>
      <c r="E709" s="3">
        <f>IF(OR(INDEX($P$2:$P$1001,MATCH(ROWS($O$2:O709),$O$2:$O$1001,0),1)&gt;=100000,INDEX($V$1005:$AE$1005,1,MATCH(COLUMNS($V$1006:Y1006),$V$1006:$AE$1006,0))&gt;=100000), " ",IF(INDEX($V$2:$AE$1001,MATCH(ROWS($O$2:O709),$O$2:$O$1001,0),MATCH(COLUMNS($V$1006:Y1006),$V$1006:$AE$1006,0)), HYPERLINK("#",""), HYPERLINK(CONCATENATE("#Metadata!", ADDRESS(INDEX($Q$2:$Q$1001,MATCH(ROWS($O$2:O709),$O$2:$O$1001,0),0), INDEX($V$1004:$AE$1004,1,MATCH(COLUMNS($V$1006:Y1006),$V$1006:$AE$1006,0)))),"Fix")))</f>
        <v>0</v>
      </c>
      <c r="F709" s="3">
        <f>IF(OR(INDEX($P$2:$P$1001,MATCH(ROWS($O$2:O709),$O$2:$O$1001,0),1)&gt;=100000,INDEX($V$1005:$AE$1005,1,MATCH(COLUMNS($V$1006:Z1006),$V$1006:$AE$1006,0))&gt;=100000), " ",IF(INDEX($V$2:$AE$1001,MATCH(ROWS($O$2:O709),$O$2:$O$1001,0),MATCH(COLUMNS($V$1006:Z1006),$V$1006:$AE$1006,0)), HYPERLINK("#",""), HYPERLINK(CONCATENATE("#Metadata!", ADDRESS(INDEX($Q$2:$Q$1001,MATCH(ROWS($O$2:O709),$O$2:$O$1001,0),0), INDEX($V$1004:$AE$1004,1,MATCH(COLUMNS($V$1006:Z1006),$V$1006:$AE$1006,0)))),"Fix")))</f>
        <v>0</v>
      </c>
      <c r="G709" s="3">
        <f>IF(OR(INDEX($P$2:$P$1001,MATCH(ROWS($O$2:O709),$O$2:$O$1001,0),1)&gt;=100000,INDEX($V$1005:$AE$1005,1,MATCH(COLUMNS($V$1006:AA1006),$V$1006:$AE$1006,0))&gt;=100000), " ",IF(INDEX($V$2:$AE$1001,MATCH(ROWS($O$2:O709),$O$2:$O$1001,0),MATCH(COLUMNS($V$1006:AA1006),$V$1006:$AE$1006,0)), HYPERLINK("#",""), HYPERLINK(CONCATENATE("#Metadata!", ADDRESS(INDEX($Q$2:$Q$1001,MATCH(ROWS($O$2:O709),$O$2:$O$1001,0),0), INDEX($V$1004:$AE$1004,1,MATCH(COLUMNS($V$1006:AA1006),$V$1006:$AE$1006,0)))),"Fix")))</f>
        <v>0</v>
      </c>
      <c r="H709" s="3">
        <f>IF(OR(INDEX($P$2:$P$1001,MATCH(ROWS($O$2:O709),$O$2:$O$1001,0),1)&gt;=100000,INDEX($V$1005:$AE$1005,1,MATCH(COLUMNS($V$1006:AB1006),$V$1006:$AE$1006,0))&gt;=100000), " ",IF(INDEX($V$2:$AE$1001,MATCH(ROWS($O$2:O709),$O$2:$O$1001,0),MATCH(COLUMNS($V$1006:AB1006),$V$1006:$AE$1006,0)), HYPERLINK("#",""), HYPERLINK(CONCATENATE("#Metadata!", ADDRESS(INDEX($Q$2:$Q$1001,MATCH(ROWS($O$2:O709),$O$2:$O$1001,0),0), INDEX($V$1004:$AE$1004,1,MATCH(COLUMNS($V$1006:AB1006),$V$1006:$AE$1006,0)))),"Fix")))</f>
        <v>0</v>
      </c>
      <c r="I709" s="3">
        <f>IF(OR(INDEX($P$2:$P$1001,MATCH(ROWS($O$2:O709),$O$2:$O$1001,0),1)&gt;=100000,INDEX($V$1005:$AE$1005,1,MATCH(COLUMNS($V$1006:AC1006),$V$1006:$AE$1006,0))&gt;=100000), " ",IF(INDEX($V$2:$AE$1001,MATCH(ROWS($O$2:O709),$O$2:$O$1001,0),MATCH(COLUMNS($V$1006:AC1006),$V$1006:$AE$1006,0)), HYPERLINK("#",""), HYPERLINK(CONCATENATE("#Metadata!", ADDRESS(INDEX($Q$2:$Q$1001,MATCH(ROWS($O$2:O709),$O$2:$O$1001,0),0), INDEX($V$1004:$AE$1004,1,MATCH(COLUMNS($V$1006:AC1006),$V$1006:$AE$1006,0)))),"Fix")))</f>
        <v>0</v>
      </c>
      <c r="J709" s="3">
        <f>IF(OR(INDEX($P$2:$P$1001,MATCH(ROWS($O$2:O709),$O$2:$O$1001,0),1)&gt;=100000,INDEX($V$1005:$AE$1005,1,MATCH(COLUMNS($V$1006:AD1006),$V$1006:$AE$1006,0))&gt;=100000), " ",IF(INDEX($V$2:$AE$1001,MATCH(ROWS($O$2:O709),$O$2:$O$1001,0),MATCH(COLUMNS($V$1006:AD1006),$V$1006:$AE$1006,0)), HYPERLINK("#",""), HYPERLINK(CONCATENATE("#Metadata!", ADDRESS(INDEX($Q$2:$Q$1001,MATCH(ROWS($O$2:O709),$O$2:$O$1001,0),0), INDEX($V$1004:$AE$1004,1,MATCH(COLUMNS($V$1006:AD1006),$V$1006:$AE$1006,0)))),"Fix")))</f>
        <v>0</v>
      </c>
      <c r="K709" s="3">
        <f>IF(OR(INDEX($P$2:$P$1001,MATCH(ROWS($O$2:O709),$O$2:$O$1001,0),1)&gt;=100000,INDEX($V$1005:$AE$1005,1,MATCH(COLUMNS($V$1006:AE1006),$V$1006:$AE$1006,0))&gt;=100000), " ",IF(INDEX($V$2:$AE$1001,MATCH(ROWS($O$2:O709),$O$2:$O$1001,0),MATCH(COLUMNS($V$1006:AE1006),$V$1006:$AE$1006,0)), HYPERLINK("#",""), HYPERLINK(CONCATENATE("#Metadata!", ADDRESS(INDEX($Q$2:$Q$1001,MATCH(ROWS($O$2:O709),$O$2:$O$1001,0),0), INDEX($V$1004:$AE$1004,1,MATCH(COLUMNS($V$1006:AE1006),$V$1006:$AE$1006,0)))),"Fix")))</f>
        <v>0</v>
      </c>
      <c r="O709">
        <v>0</v>
      </c>
      <c r="P709">
        <v>0</v>
      </c>
      <c r="Q709">
        <v>0</v>
      </c>
      <c r="R709">
        <f>IF(S709,TRUE,AND(V709:AE709))</f>
        <v>0</v>
      </c>
      <c r="S709">
        <f>COUNTBLANK(Metadata!B709:K709)=COLUMNS(Metadata!B709:K709)</f>
        <v>0</v>
      </c>
      <c r="T709">
        <v>0</v>
      </c>
      <c r="V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W709">
        <f>AND(IF(Metadata!C709="",FALSE,TRUE),exact(Metadata!C709,"animal secretion"))</f>
        <v>0</v>
      </c>
      <c r="X709">
        <f>AND(IF(Metadata!D709="",FALSE,TRUE),exact(Metadata!D709,"saliva"))</f>
        <v>0</v>
      </c>
      <c r="Y709">
        <f>AND(IF(Metadata!E709="",FALSE,TRUE),exact(Metadata!E709,"human-oral"))</f>
        <v>0</v>
      </c>
      <c r="Z709">
        <f>AND(IF(Metadata!F709="",FALSE,TRUE),exact(Metadata!F709,"UBERON:oral cavity"))</f>
        <v>0</v>
      </c>
      <c r="AA709">
        <f>AND(IF(Metadata!G709="",FALSE,TRUE),exact(Metadata!G709,"UBERON:saliva"))</f>
        <v>0</v>
      </c>
      <c r="AB709">
        <f>AND(IF(Metadata!H709="",FALSE,TRUE),exact(Metadata!H709,"UBERON:tongue"))</f>
        <v>0</v>
      </c>
      <c r="AC709">
        <f>AND(IF(Metadata!I709="",FALSE,TRUE),exact(Metadata!I709,"tongue"))</f>
        <v>0</v>
      </c>
      <c r="AD709">
        <f>AND(IF(Metadata!J709="",FALSE,TRUE),exact(Metadata!J709,"human oral metagenome"))</f>
        <v>0</v>
      </c>
      <c r="AE709">
        <f>AND(IF(Metadata!K709="",FALSE,TRUE),exact(Metadata!K709,"447426"))</f>
        <v>0</v>
      </c>
    </row>
    <row r="710" spans="1:31">
      <c r="A710" s="4">
        <f>IF(B710=" "," ",HYPERLINK(CONCATENATE("#metadata!",ADDRESS(INDEX($Q$2:$Q$1001,MATCH(ROWS($O$2:O710),$O$2:$O$1001,0),0),1)),INDEX($T$2:$T$1001,MATCH(ROWS($O$2:O710),$O$2:$O$1001,0),0)))</f>
        <v>0</v>
      </c>
      <c r="B710" s="3">
        <f>IF(OR(INDEX($P$2:$P$1001,MATCH(ROWS($O$2:O710),$O$2:$O$1001,0),1)&gt;=100000,INDEX($V$1005:$AE$1005,1,MATCH(COLUMNS($V$1006:V1006),$V$1006:$AE$1006,0))&gt;=100000), " ",IF(INDEX($V$2:$AE$1001,MATCH(ROWS($O$2:O710),$O$2:$O$1001,0),MATCH(COLUMNS($V$1006:V1006),$V$1006:$AE$1006,0)), HYPERLINK("#",""), HYPERLINK(CONCATENATE("#Metadata!", ADDRESS(INDEX($Q$2:$Q$1001,MATCH(ROWS($O$2:O710),$O$2:$O$1001,0),0), INDEX($V$1004:$AE$1004,1,MATCH(COLUMNS($V$1006:V1006),$V$1006:$AE$1006,0)))),"Fix")))</f>
        <v>0</v>
      </c>
      <c r="C710" s="3">
        <f>IF(OR(INDEX($P$2:$P$1001,MATCH(ROWS($O$2:O710),$O$2:$O$1001,0),1)&gt;=100000,INDEX($V$1005:$AE$1005,1,MATCH(COLUMNS($V$1006:W1006),$V$1006:$AE$1006,0))&gt;=100000), " ",IF(INDEX($V$2:$AE$1001,MATCH(ROWS($O$2:O710),$O$2:$O$1001,0),MATCH(COLUMNS($V$1006:W1006),$V$1006:$AE$1006,0)), HYPERLINK("#",""), HYPERLINK(CONCATENATE("#Metadata!", ADDRESS(INDEX($Q$2:$Q$1001,MATCH(ROWS($O$2:O710),$O$2:$O$1001,0),0), INDEX($V$1004:$AE$1004,1,MATCH(COLUMNS($V$1006:W1006),$V$1006:$AE$1006,0)))),"Fix")))</f>
        <v>0</v>
      </c>
      <c r="D710" s="3">
        <f>IF(OR(INDEX($P$2:$P$1001,MATCH(ROWS($O$2:O710),$O$2:$O$1001,0),1)&gt;=100000,INDEX($V$1005:$AE$1005,1,MATCH(COLUMNS($V$1006:X1006),$V$1006:$AE$1006,0))&gt;=100000), " ",IF(INDEX($V$2:$AE$1001,MATCH(ROWS($O$2:O710),$O$2:$O$1001,0),MATCH(COLUMNS($V$1006:X1006),$V$1006:$AE$1006,0)), HYPERLINK("#",""), HYPERLINK(CONCATENATE("#Metadata!", ADDRESS(INDEX($Q$2:$Q$1001,MATCH(ROWS($O$2:O710),$O$2:$O$1001,0),0), INDEX($V$1004:$AE$1004,1,MATCH(COLUMNS($V$1006:X1006),$V$1006:$AE$1006,0)))),"Fix")))</f>
        <v>0</v>
      </c>
      <c r="E710" s="3">
        <f>IF(OR(INDEX($P$2:$P$1001,MATCH(ROWS($O$2:O710),$O$2:$O$1001,0),1)&gt;=100000,INDEX($V$1005:$AE$1005,1,MATCH(COLUMNS($V$1006:Y1006),$V$1006:$AE$1006,0))&gt;=100000), " ",IF(INDEX($V$2:$AE$1001,MATCH(ROWS($O$2:O710),$O$2:$O$1001,0),MATCH(COLUMNS($V$1006:Y1006),$V$1006:$AE$1006,0)), HYPERLINK("#",""), HYPERLINK(CONCATENATE("#Metadata!", ADDRESS(INDEX($Q$2:$Q$1001,MATCH(ROWS($O$2:O710),$O$2:$O$1001,0),0), INDEX($V$1004:$AE$1004,1,MATCH(COLUMNS($V$1006:Y1006),$V$1006:$AE$1006,0)))),"Fix")))</f>
        <v>0</v>
      </c>
      <c r="F710" s="3">
        <f>IF(OR(INDEX($P$2:$P$1001,MATCH(ROWS($O$2:O710),$O$2:$O$1001,0),1)&gt;=100000,INDEX($V$1005:$AE$1005,1,MATCH(COLUMNS($V$1006:Z1006),$V$1006:$AE$1006,0))&gt;=100000), " ",IF(INDEX($V$2:$AE$1001,MATCH(ROWS($O$2:O710),$O$2:$O$1001,0),MATCH(COLUMNS($V$1006:Z1006),$V$1006:$AE$1006,0)), HYPERLINK("#",""), HYPERLINK(CONCATENATE("#Metadata!", ADDRESS(INDEX($Q$2:$Q$1001,MATCH(ROWS($O$2:O710),$O$2:$O$1001,0),0), INDEX($V$1004:$AE$1004,1,MATCH(COLUMNS($V$1006:Z1006),$V$1006:$AE$1006,0)))),"Fix")))</f>
        <v>0</v>
      </c>
      <c r="G710" s="3">
        <f>IF(OR(INDEX($P$2:$P$1001,MATCH(ROWS($O$2:O710),$O$2:$O$1001,0),1)&gt;=100000,INDEX($V$1005:$AE$1005,1,MATCH(COLUMNS($V$1006:AA1006),$V$1006:$AE$1006,0))&gt;=100000), " ",IF(INDEX($V$2:$AE$1001,MATCH(ROWS($O$2:O710),$O$2:$O$1001,0),MATCH(COLUMNS($V$1006:AA1006),$V$1006:$AE$1006,0)), HYPERLINK("#",""), HYPERLINK(CONCATENATE("#Metadata!", ADDRESS(INDEX($Q$2:$Q$1001,MATCH(ROWS($O$2:O710),$O$2:$O$1001,0),0), INDEX($V$1004:$AE$1004,1,MATCH(COLUMNS($V$1006:AA1006),$V$1006:$AE$1006,0)))),"Fix")))</f>
        <v>0</v>
      </c>
      <c r="H710" s="3">
        <f>IF(OR(INDEX($P$2:$P$1001,MATCH(ROWS($O$2:O710),$O$2:$O$1001,0),1)&gt;=100000,INDEX($V$1005:$AE$1005,1,MATCH(COLUMNS($V$1006:AB1006),$V$1006:$AE$1006,0))&gt;=100000), " ",IF(INDEX($V$2:$AE$1001,MATCH(ROWS($O$2:O710),$O$2:$O$1001,0),MATCH(COLUMNS($V$1006:AB1006),$V$1006:$AE$1006,0)), HYPERLINK("#",""), HYPERLINK(CONCATENATE("#Metadata!", ADDRESS(INDEX($Q$2:$Q$1001,MATCH(ROWS($O$2:O710),$O$2:$O$1001,0),0), INDEX($V$1004:$AE$1004,1,MATCH(COLUMNS($V$1006:AB1006),$V$1006:$AE$1006,0)))),"Fix")))</f>
        <v>0</v>
      </c>
      <c r="I710" s="3">
        <f>IF(OR(INDEX($P$2:$P$1001,MATCH(ROWS($O$2:O710),$O$2:$O$1001,0),1)&gt;=100000,INDEX($V$1005:$AE$1005,1,MATCH(COLUMNS($V$1006:AC1006),$V$1006:$AE$1006,0))&gt;=100000), " ",IF(INDEX($V$2:$AE$1001,MATCH(ROWS($O$2:O710),$O$2:$O$1001,0),MATCH(COLUMNS($V$1006:AC1006),$V$1006:$AE$1006,0)), HYPERLINK("#",""), HYPERLINK(CONCATENATE("#Metadata!", ADDRESS(INDEX($Q$2:$Q$1001,MATCH(ROWS($O$2:O710),$O$2:$O$1001,0),0), INDEX($V$1004:$AE$1004,1,MATCH(COLUMNS($V$1006:AC1006),$V$1006:$AE$1006,0)))),"Fix")))</f>
        <v>0</v>
      </c>
      <c r="J710" s="3">
        <f>IF(OR(INDEX($P$2:$P$1001,MATCH(ROWS($O$2:O710),$O$2:$O$1001,0),1)&gt;=100000,INDEX($V$1005:$AE$1005,1,MATCH(COLUMNS($V$1006:AD1006),$V$1006:$AE$1006,0))&gt;=100000), " ",IF(INDEX($V$2:$AE$1001,MATCH(ROWS($O$2:O710),$O$2:$O$1001,0),MATCH(COLUMNS($V$1006:AD1006),$V$1006:$AE$1006,0)), HYPERLINK("#",""), HYPERLINK(CONCATENATE("#Metadata!", ADDRESS(INDEX($Q$2:$Q$1001,MATCH(ROWS($O$2:O710),$O$2:$O$1001,0),0), INDEX($V$1004:$AE$1004,1,MATCH(COLUMNS($V$1006:AD1006),$V$1006:$AE$1006,0)))),"Fix")))</f>
        <v>0</v>
      </c>
      <c r="K710" s="3">
        <f>IF(OR(INDEX($P$2:$P$1001,MATCH(ROWS($O$2:O710),$O$2:$O$1001,0),1)&gt;=100000,INDEX($V$1005:$AE$1005,1,MATCH(COLUMNS($V$1006:AE1006),$V$1006:$AE$1006,0))&gt;=100000), " ",IF(INDEX($V$2:$AE$1001,MATCH(ROWS($O$2:O710),$O$2:$O$1001,0),MATCH(COLUMNS($V$1006:AE1006),$V$1006:$AE$1006,0)), HYPERLINK("#",""), HYPERLINK(CONCATENATE("#Metadata!", ADDRESS(INDEX($Q$2:$Q$1001,MATCH(ROWS($O$2:O710),$O$2:$O$1001,0),0), INDEX($V$1004:$AE$1004,1,MATCH(COLUMNS($V$1006:AE1006),$V$1006:$AE$1006,0)))),"Fix")))</f>
        <v>0</v>
      </c>
      <c r="O710">
        <v>0</v>
      </c>
      <c r="P710">
        <v>0</v>
      </c>
      <c r="Q710">
        <v>0</v>
      </c>
      <c r="R710">
        <f>IF(S710,TRUE,AND(V710:AE710))</f>
        <v>0</v>
      </c>
      <c r="S710">
        <f>COUNTBLANK(Metadata!B710:K710)=COLUMNS(Metadata!B710:K710)</f>
        <v>0</v>
      </c>
      <c r="T710">
        <v>0</v>
      </c>
      <c r="V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W710">
        <f>AND(IF(Metadata!C710="",FALSE,TRUE),exact(Metadata!C710,"animal secretion"))</f>
        <v>0</v>
      </c>
      <c r="X710">
        <f>AND(IF(Metadata!D710="",FALSE,TRUE),exact(Metadata!D710,"saliva"))</f>
        <v>0</v>
      </c>
      <c r="Y710">
        <f>AND(IF(Metadata!E710="",FALSE,TRUE),exact(Metadata!E710,"human-oral"))</f>
        <v>0</v>
      </c>
      <c r="Z710">
        <f>AND(IF(Metadata!F710="",FALSE,TRUE),exact(Metadata!F710,"UBERON:oral cavity"))</f>
        <v>0</v>
      </c>
      <c r="AA710">
        <f>AND(IF(Metadata!G710="",FALSE,TRUE),exact(Metadata!G710,"UBERON:saliva"))</f>
        <v>0</v>
      </c>
      <c r="AB710">
        <f>AND(IF(Metadata!H710="",FALSE,TRUE),exact(Metadata!H710,"UBERON:tongue"))</f>
        <v>0</v>
      </c>
      <c r="AC710">
        <f>AND(IF(Metadata!I710="",FALSE,TRUE),exact(Metadata!I710,"tongue"))</f>
        <v>0</v>
      </c>
      <c r="AD710">
        <f>AND(IF(Metadata!J710="",FALSE,TRUE),exact(Metadata!J710,"human oral metagenome"))</f>
        <v>0</v>
      </c>
      <c r="AE710">
        <f>AND(IF(Metadata!K710="",FALSE,TRUE),exact(Metadata!K710,"447426"))</f>
        <v>0</v>
      </c>
    </row>
    <row r="711" spans="1:31">
      <c r="A711" s="4">
        <f>IF(B711=" "," ",HYPERLINK(CONCATENATE("#metadata!",ADDRESS(INDEX($Q$2:$Q$1001,MATCH(ROWS($O$2:O711),$O$2:$O$1001,0),0),1)),INDEX($T$2:$T$1001,MATCH(ROWS($O$2:O711),$O$2:$O$1001,0),0)))</f>
        <v>0</v>
      </c>
      <c r="B711" s="3">
        <f>IF(OR(INDEX($P$2:$P$1001,MATCH(ROWS($O$2:O711),$O$2:$O$1001,0),1)&gt;=100000,INDEX($V$1005:$AE$1005,1,MATCH(COLUMNS($V$1006:V1006),$V$1006:$AE$1006,0))&gt;=100000), " ",IF(INDEX($V$2:$AE$1001,MATCH(ROWS($O$2:O711),$O$2:$O$1001,0),MATCH(COLUMNS($V$1006:V1006),$V$1006:$AE$1006,0)), HYPERLINK("#",""), HYPERLINK(CONCATENATE("#Metadata!", ADDRESS(INDEX($Q$2:$Q$1001,MATCH(ROWS($O$2:O711),$O$2:$O$1001,0),0), INDEX($V$1004:$AE$1004,1,MATCH(COLUMNS($V$1006:V1006),$V$1006:$AE$1006,0)))),"Fix")))</f>
        <v>0</v>
      </c>
      <c r="C711" s="3">
        <f>IF(OR(INDEX($P$2:$P$1001,MATCH(ROWS($O$2:O711),$O$2:$O$1001,0),1)&gt;=100000,INDEX($V$1005:$AE$1005,1,MATCH(COLUMNS($V$1006:W1006),$V$1006:$AE$1006,0))&gt;=100000), " ",IF(INDEX($V$2:$AE$1001,MATCH(ROWS($O$2:O711),$O$2:$O$1001,0),MATCH(COLUMNS($V$1006:W1006),$V$1006:$AE$1006,0)), HYPERLINK("#",""), HYPERLINK(CONCATENATE("#Metadata!", ADDRESS(INDEX($Q$2:$Q$1001,MATCH(ROWS($O$2:O711),$O$2:$O$1001,0),0), INDEX($V$1004:$AE$1004,1,MATCH(COLUMNS($V$1006:W1006),$V$1006:$AE$1006,0)))),"Fix")))</f>
        <v>0</v>
      </c>
      <c r="D711" s="3">
        <f>IF(OR(INDEX($P$2:$P$1001,MATCH(ROWS($O$2:O711),$O$2:$O$1001,0),1)&gt;=100000,INDEX($V$1005:$AE$1005,1,MATCH(COLUMNS($V$1006:X1006),$V$1006:$AE$1006,0))&gt;=100000), " ",IF(INDEX($V$2:$AE$1001,MATCH(ROWS($O$2:O711),$O$2:$O$1001,0),MATCH(COLUMNS($V$1006:X1006),$V$1006:$AE$1006,0)), HYPERLINK("#",""), HYPERLINK(CONCATENATE("#Metadata!", ADDRESS(INDEX($Q$2:$Q$1001,MATCH(ROWS($O$2:O711),$O$2:$O$1001,0),0), INDEX($V$1004:$AE$1004,1,MATCH(COLUMNS($V$1006:X1006),$V$1006:$AE$1006,0)))),"Fix")))</f>
        <v>0</v>
      </c>
      <c r="E711" s="3">
        <f>IF(OR(INDEX($P$2:$P$1001,MATCH(ROWS($O$2:O711),$O$2:$O$1001,0),1)&gt;=100000,INDEX($V$1005:$AE$1005,1,MATCH(COLUMNS($V$1006:Y1006),$V$1006:$AE$1006,0))&gt;=100000), " ",IF(INDEX($V$2:$AE$1001,MATCH(ROWS($O$2:O711),$O$2:$O$1001,0),MATCH(COLUMNS($V$1006:Y1006),$V$1006:$AE$1006,0)), HYPERLINK("#",""), HYPERLINK(CONCATENATE("#Metadata!", ADDRESS(INDEX($Q$2:$Q$1001,MATCH(ROWS($O$2:O711),$O$2:$O$1001,0),0), INDEX($V$1004:$AE$1004,1,MATCH(COLUMNS($V$1006:Y1006),$V$1006:$AE$1006,0)))),"Fix")))</f>
        <v>0</v>
      </c>
      <c r="F711" s="3">
        <f>IF(OR(INDEX($P$2:$P$1001,MATCH(ROWS($O$2:O711),$O$2:$O$1001,0),1)&gt;=100000,INDEX($V$1005:$AE$1005,1,MATCH(COLUMNS($V$1006:Z1006),$V$1006:$AE$1006,0))&gt;=100000), " ",IF(INDEX($V$2:$AE$1001,MATCH(ROWS($O$2:O711),$O$2:$O$1001,0),MATCH(COLUMNS($V$1006:Z1006),$V$1006:$AE$1006,0)), HYPERLINK("#",""), HYPERLINK(CONCATENATE("#Metadata!", ADDRESS(INDEX($Q$2:$Q$1001,MATCH(ROWS($O$2:O711),$O$2:$O$1001,0),0), INDEX($V$1004:$AE$1004,1,MATCH(COLUMNS($V$1006:Z1006),$V$1006:$AE$1006,0)))),"Fix")))</f>
        <v>0</v>
      </c>
      <c r="G711" s="3">
        <f>IF(OR(INDEX($P$2:$P$1001,MATCH(ROWS($O$2:O711),$O$2:$O$1001,0),1)&gt;=100000,INDEX($V$1005:$AE$1005,1,MATCH(COLUMNS($V$1006:AA1006),$V$1006:$AE$1006,0))&gt;=100000), " ",IF(INDEX($V$2:$AE$1001,MATCH(ROWS($O$2:O711),$O$2:$O$1001,0),MATCH(COLUMNS($V$1006:AA1006),$V$1006:$AE$1006,0)), HYPERLINK("#",""), HYPERLINK(CONCATENATE("#Metadata!", ADDRESS(INDEX($Q$2:$Q$1001,MATCH(ROWS($O$2:O711),$O$2:$O$1001,0),0), INDEX($V$1004:$AE$1004,1,MATCH(COLUMNS($V$1006:AA1006),$V$1006:$AE$1006,0)))),"Fix")))</f>
        <v>0</v>
      </c>
      <c r="H711" s="3">
        <f>IF(OR(INDEX($P$2:$P$1001,MATCH(ROWS($O$2:O711),$O$2:$O$1001,0),1)&gt;=100000,INDEX($V$1005:$AE$1005,1,MATCH(COLUMNS($V$1006:AB1006),$V$1006:$AE$1006,0))&gt;=100000), " ",IF(INDEX($V$2:$AE$1001,MATCH(ROWS($O$2:O711),$O$2:$O$1001,0),MATCH(COLUMNS($V$1006:AB1006),$V$1006:$AE$1006,0)), HYPERLINK("#",""), HYPERLINK(CONCATENATE("#Metadata!", ADDRESS(INDEX($Q$2:$Q$1001,MATCH(ROWS($O$2:O711),$O$2:$O$1001,0),0), INDEX($V$1004:$AE$1004,1,MATCH(COLUMNS($V$1006:AB1006),$V$1006:$AE$1006,0)))),"Fix")))</f>
        <v>0</v>
      </c>
      <c r="I711" s="3">
        <f>IF(OR(INDEX($P$2:$P$1001,MATCH(ROWS($O$2:O711),$O$2:$O$1001,0),1)&gt;=100000,INDEX($V$1005:$AE$1005,1,MATCH(COLUMNS($V$1006:AC1006),$V$1006:$AE$1006,0))&gt;=100000), " ",IF(INDEX($V$2:$AE$1001,MATCH(ROWS($O$2:O711),$O$2:$O$1001,0),MATCH(COLUMNS($V$1006:AC1006),$V$1006:$AE$1006,0)), HYPERLINK("#",""), HYPERLINK(CONCATENATE("#Metadata!", ADDRESS(INDEX($Q$2:$Q$1001,MATCH(ROWS($O$2:O711),$O$2:$O$1001,0),0), INDEX($V$1004:$AE$1004,1,MATCH(COLUMNS($V$1006:AC1006),$V$1006:$AE$1006,0)))),"Fix")))</f>
        <v>0</v>
      </c>
      <c r="J711" s="3">
        <f>IF(OR(INDEX($P$2:$P$1001,MATCH(ROWS($O$2:O711),$O$2:$O$1001,0),1)&gt;=100000,INDEX($V$1005:$AE$1005,1,MATCH(COLUMNS($V$1006:AD1006),$V$1006:$AE$1006,0))&gt;=100000), " ",IF(INDEX($V$2:$AE$1001,MATCH(ROWS($O$2:O711),$O$2:$O$1001,0),MATCH(COLUMNS($V$1006:AD1006),$V$1006:$AE$1006,0)), HYPERLINK("#",""), HYPERLINK(CONCATENATE("#Metadata!", ADDRESS(INDEX($Q$2:$Q$1001,MATCH(ROWS($O$2:O711),$O$2:$O$1001,0),0), INDEX($V$1004:$AE$1004,1,MATCH(COLUMNS($V$1006:AD1006),$V$1006:$AE$1006,0)))),"Fix")))</f>
        <v>0</v>
      </c>
      <c r="K711" s="3">
        <f>IF(OR(INDEX($P$2:$P$1001,MATCH(ROWS($O$2:O711),$O$2:$O$1001,0),1)&gt;=100000,INDEX($V$1005:$AE$1005,1,MATCH(COLUMNS($V$1006:AE1006),$V$1006:$AE$1006,0))&gt;=100000), " ",IF(INDEX($V$2:$AE$1001,MATCH(ROWS($O$2:O711),$O$2:$O$1001,0),MATCH(COLUMNS($V$1006:AE1006),$V$1006:$AE$1006,0)), HYPERLINK("#",""), HYPERLINK(CONCATENATE("#Metadata!", ADDRESS(INDEX($Q$2:$Q$1001,MATCH(ROWS($O$2:O711),$O$2:$O$1001,0),0), INDEX($V$1004:$AE$1004,1,MATCH(COLUMNS($V$1006:AE1006),$V$1006:$AE$1006,0)))),"Fix")))</f>
        <v>0</v>
      </c>
      <c r="O711">
        <v>0</v>
      </c>
      <c r="P711">
        <v>0</v>
      </c>
      <c r="Q711">
        <v>0</v>
      </c>
      <c r="R711">
        <f>IF(S711,TRUE,AND(V711:AE711))</f>
        <v>0</v>
      </c>
      <c r="S711">
        <f>COUNTBLANK(Metadata!B711:K711)=COLUMNS(Metadata!B711:K711)</f>
        <v>0</v>
      </c>
      <c r="T711">
        <v>0</v>
      </c>
      <c r="V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W711">
        <f>AND(IF(Metadata!C711="",FALSE,TRUE),exact(Metadata!C711,"animal secretion"))</f>
        <v>0</v>
      </c>
      <c r="X711">
        <f>AND(IF(Metadata!D711="",FALSE,TRUE),exact(Metadata!D711,"saliva"))</f>
        <v>0</v>
      </c>
      <c r="Y711">
        <f>AND(IF(Metadata!E711="",FALSE,TRUE),exact(Metadata!E711,"human-oral"))</f>
        <v>0</v>
      </c>
      <c r="Z711">
        <f>AND(IF(Metadata!F711="",FALSE,TRUE),exact(Metadata!F711,"UBERON:oral cavity"))</f>
        <v>0</v>
      </c>
      <c r="AA711">
        <f>AND(IF(Metadata!G711="",FALSE,TRUE),exact(Metadata!G711,"UBERON:saliva"))</f>
        <v>0</v>
      </c>
      <c r="AB711">
        <f>AND(IF(Metadata!H711="",FALSE,TRUE),exact(Metadata!H711,"UBERON:tongue"))</f>
        <v>0</v>
      </c>
      <c r="AC711">
        <f>AND(IF(Metadata!I711="",FALSE,TRUE),exact(Metadata!I711,"tongue"))</f>
        <v>0</v>
      </c>
      <c r="AD711">
        <f>AND(IF(Metadata!J711="",FALSE,TRUE),exact(Metadata!J711,"human oral metagenome"))</f>
        <v>0</v>
      </c>
      <c r="AE711">
        <f>AND(IF(Metadata!K711="",FALSE,TRUE),exact(Metadata!K711,"447426"))</f>
        <v>0</v>
      </c>
    </row>
    <row r="712" spans="1:31">
      <c r="A712" s="4">
        <f>IF(B712=" "," ",HYPERLINK(CONCATENATE("#metadata!",ADDRESS(INDEX($Q$2:$Q$1001,MATCH(ROWS($O$2:O712),$O$2:$O$1001,0),0),1)),INDEX($T$2:$T$1001,MATCH(ROWS($O$2:O712),$O$2:$O$1001,0),0)))</f>
        <v>0</v>
      </c>
      <c r="B712" s="3">
        <f>IF(OR(INDEX($P$2:$P$1001,MATCH(ROWS($O$2:O712),$O$2:$O$1001,0),1)&gt;=100000,INDEX($V$1005:$AE$1005,1,MATCH(COLUMNS($V$1006:V1006),$V$1006:$AE$1006,0))&gt;=100000), " ",IF(INDEX($V$2:$AE$1001,MATCH(ROWS($O$2:O712),$O$2:$O$1001,0),MATCH(COLUMNS($V$1006:V1006),$V$1006:$AE$1006,0)), HYPERLINK("#",""), HYPERLINK(CONCATENATE("#Metadata!", ADDRESS(INDEX($Q$2:$Q$1001,MATCH(ROWS($O$2:O712),$O$2:$O$1001,0),0), INDEX($V$1004:$AE$1004,1,MATCH(COLUMNS($V$1006:V1006),$V$1006:$AE$1006,0)))),"Fix")))</f>
        <v>0</v>
      </c>
      <c r="C712" s="3">
        <f>IF(OR(INDEX($P$2:$P$1001,MATCH(ROWS($O$2:O712),$O$2:$O$1001,0),1)&gt;=100000,INDEX($V$1005:$AE$1005,1,MATCH(COLUMNS($V$1006:W1006),$V$1006:$AE$1006,0))&gt;=100000), " ",IF(INDEX($V$2:$AE$1001,MATCH(ROWS($O$2:O712),$O$2:$O$1001,0),MATCH(COLUMNS($V$1006:W1006),$V$1006:$AE$1006,0)), HYPERLINK("#",""), HYPERLINK(CONCATENATE("#Metadata!", ADDRESS(INDEX($Q$2:$Q$1001,MATCH(ROWS($O$2:O712),$O$2:$O$1001,0),0), INDEX($V$1004:$AE$1004,1,MATCH(COLUMNS($V$1006:W1006),$V$1006:$AE$1006,0)))),"Fix")))</f>
        <v>0</v>
      </c>
      <c r="D712" s="3">
        <f>IF(OR(INDEX($P$2:$P$1001,MATCH(ROWS($O$2:O712),$O$2:$O$1001,0),1)&gt;=100000,INDEX($V$1005:$AE$1005,1,MATCH(COLUMNS($V$1006:X1006),$V$1006:$AE$1006,0))&gt;=100000), " ",IF(INDEX($V$2:$AE$1001,MATCH(ROWS($O$2:O712),$O$2:$O$1001,0),MATCH(COLUMNS($V$1006:X1006),$V$1006:$AE$1006,0)), HYPERLINK("#",""), HYPERLINK(CONCATENATE("#Metadata!", ADDRESS(INDEX($Q$2:$Q$1001,MATCH(ROWS($O$2:O712),$O$2:$O$1001,0),0), INDEX($V$1004:$AE$1004,1,MATCH(COLUMNS($V$1006:X1006),$V$1006:$AE$1006,0)))),"Fix")))</f>
        <v>0</v>
      </c>
      <c r="E712" s="3">
        <f>IF(OR(INDEX($P$2:$P$1001,MATCH(ROWS($O$2:O712),$O$2:$O$1001,0),1)&gt;=100000,INDEX($V$1005:$AE$1005,1,MATCH(COLUMNS($V$1006:Y1006),$V$1006:$AE$1006,0))&gt;=100000), " ",IF(INDEX($V$2:$AE$1001,MATCH(ROWS($O$2:O712),$O$2:$O$1001,0),MATCH(COLUMNS($V$1006:Y1006),$V$1006:$AE$1006,0)), HYPERLINK("#",""), HYPERLINK(CONCATENATE("#Metadata!", ADDRESS(INDEX($Q$2:$Q$1001,MATCH(ROWS($O$2:O712),$O$2:$O$1001,0),0), INDEX($V$1004:$AE$1004,1,MATCH(COLUMNS($V$1006:Y1006),$V$1006:$AE$1006,0)))),"Fix")))</f>
        <v>0</v>
      </c>
      <c r="F712" s="3">
        <f>IF(OR(INDEX($P$2:$P$1001,MATCH(ROWS($O$2:O712),$O$2:$O$1001,0),1)&gt;=100000,INDEX($V$1005:$AE$1005,1,MATCH(COLUMNS($V$1006:Z1006),$V$1006:$AE$1006,0))&gt;=100000), " ",IF(INDEX($V$2:$AE$1001,MATCH(ROWS($O$2:O712),$O$2:$O$1001,0),MATCH(COLUMNS($V$1006:Z1006),$V$1006:$AE$1006,0)), HYPERLINK("#",""), HYPERLINK(CONCATENATE("#Metadata!", ADDRESS(INDEX($Q$2:$Q$1001,MATCH(ROWS($O$2:O712),$O$2:$O$1001,0),0), INDEX($V$1004:$AE$1004,1,MATCH(COLUMNS($V$1006:Z1006),$V$1006:$AE$1006,0)))),"Fix")))</f>
        <v>0</v>
      </c>
      <c r="G712" s="3">
        <f>IF(OR(INDEX($P$2:$P$1001,MATCH(ROWS($O$2:O712),$O$2:$O$1001,0),1)&gt;=100000,INDEX($V$1005:$AE$1005,1,MATCH(COLUMNS($V$1006:AA1006),$V$1006:$AE$1006,0))&gt;=100000), " ",IF(INDEX($V$2:$AE$1001,MATCH(ROWS($O$2:O712),$O$2:$O$1001,0),MATCH(COLUMNS($V$1006:AA1006),$V$1006:$AE$1006,0)), HYPERLINK("#",""), HYPERLINK(CONCATENATE("#Metadata!", ADDRESS(INDEX($Q$2:$Q$1001,MATCH(ROWS($O$2:O712),$O$2:$O$1001,0),0), INDEX($V$1004:$AE$1004,1,MATCH(COLUMNS($V$1006:AA1006),$V$1006:$AE$1006,0)))),"Fix")))</f>
        <v>0</v>
      </c>
      <c r="H712" s="3">
        <f>IF(OR(INDEX($P$2:$P$1001,MATCH(ROWS($O$2:O712),$O$2:$O$1001,0),1)&gt;=100000,INDEX($V$1005:$AE$1005,1,MATCH(COLUMNS($V$1006:AB1006),$V$1006:$AE$1006,0))&gt;=100000), " ",IF(INDEX($V$2:$AE$1001,MATCH(ROWS($O$2:O712),$O$2:$O$1001,0),MATCH(COLUMNS($V$1006:AB1006),$V$1006:$AE$1006,0)), HYPERLINK("#",""), HYPERLINK(CONCATENATE("#Metadata!", ADDRESS(INDEX($Q$2:$Q$1001,MATCH(ROWS($O$2:O712),$O$2:$O$1001,0),0), INDEX($V$1004:$AE$1004,1,MATCH(COLUMNS($V$1006:AB1006),$V$1006:$AE$1006,0)))),"Fix")))</f>
        <v>0</v>
      </c>
      <c r="I712" s="3">
        <f>IF(OR(INDEX($P$2:$P$1001,MATCH(ROWS($O$2:O712),$O$2:$O$1001,0),1)&gt;=100000,INDEX($V$1005:$AE$1005,1,MATCH(COLUMNS($V$1006:AC1006),$V$1006:$AE$1006,0))&gt;=100000), " ",IF(INDEX($V$2:$AE$1001,MATCH(ROWS($O$2:O712),$O$2:$O$1001,0),MATCH(COLUMNS($V$1006:AC1006),$V$1006:$AE$1006,0)), HYPERLINK("#",""), HYPERLINK(CONCATENATE("#Metadata!", ADDRESS(INDEX($Q$2:$Q$1001,MATCH(ROWS($O$2:O712),$O$2:$O$1001,0),0), INDEX($V$1004:$AE$1004,1,MATCH(COLUMNS($V$1006:AC1006),$V$1006:$AE$1006,0)))),"Fix")))</f>
        <v>0</v>
      </c>
      <c r="J712" s="3">
        <f>IF(OR(INDEX($P$2:$P$1001,MATCH(ROWS($O$2:O712),$O$2:$O$1001,0),1)&gt;=100000,INDEX($V$1005:$AE$1005,1,MATCH(COLUMNS($V$1006:AD1006),$V$1006:$AE$1006,0))&gt;=100000), " ",IF(INDEX($V$2:$AE$1001,MATCH(ROWS($O$2:O712),$O$2:$O$1001,0),MATCH(COLUMNS($V$1006:AD1006),$V$1006:$AE$1006,0)), HYPERLINK("#",""), HYPERLINK(CONCATENATE("#Metadata!", ADDRESS(INDEX($Q$2:$Q$1001,MATCH(ROWS($O$2:O712),$O$2:$O$1001,0),0), INDEX($V$1004:$AE$1004,1,MATCH(COLUMNS($V$1006:AD1006),$V$1006:$AE$1006,0)))),"Fix")))</f>
        <v>0</v>
      </c>
      <c r="K712" s="3">
        <f>IF(OR(INDEX($P$2:$P$1001,MATCH(ROWS($O$2:O712),$O$2:$O$1001,0),1)&gt;=100000,INDEX($V$1005:$AE$1005,1,MATCH(COLUMNS($V$1006:AE1006),$V$1006:$AE$1006,0))&gt;=100000), " ",IF(INDEX($V$2:$AE$1001,MATCH(ROWS($O$2:O712),$O$2:$O$1001,0),MATCH(COLUMNS($V$1006:AE1006),$V$1006:$AE$1006,0)), HYPERLINK("#",""), HYPERLINK(CONCATENATE("#Metadata!", ADDRESS(INDEX($Q$2:$Q$1001,MATCH(ROWS($O$2:O712),$O$2:$O$1001,0),0), INDEX($V$1004:$AE$1004,1,MATCH(COLUMNS($V$1006:AE1006),$V$1006:$AE$1006,0)))),"Fix")))</f>
        <v>0</v>
      </c>
      <c r="O712">
        <v>0</v>
      </c>
      <c r="P712">
        <v>0</v>
      </c>
      <c r="Q712">
        <v>0</v>
      </c>
      <c r="R712">
        <f>IF(S712,TRUE,AND(V712:AE712))</f>
        <v>0</v>
      </c>
      <c r="S712">
        <f>COUNTBLANK(Metadata!B712:K712)=COLUMNS(Metadata!B712:K712)</f>
        <v>0</v>
      </c>
      <c r="T712">
        <v>0</v>
      </c>
      <c r="V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W712">
        <f>AND(IF(Metadata!C712="",FALSE,TRUE),exact(Metadata!C712,"animal secretion"))</f>
        <v>0</v>
      </c>
      <c r="X712">
        <f>AND(IF(Metadata!D712="",FALSE,TRUE),exact(Metadata!D712,"saliva"))</f>
        <v>0</v>
      </c>
      <c r="Y712">
        <f>AND(IF(Metadata!E712="",FALSE,TRUE),exact(Metadata!E712,"human-oral"))</f>
        <v>0</v>
      </c>
      <c r="Z712">
        <f>AND(IF(Metadata!F712="",FALSE,TRUE),exact(Metadata!F712,"UBERON:oral cavity"))</f>
        <v>0</v>
      </c>
      <c r="AA712">
        <f>AND(IF(Metadata!G712="",FALSE,TRUE),exact(Metadata!G712,"UBERON:saliva"))</f>
        <v>0</v>
      </c>
      <c r="AB712">
        <f>AND(IF(Metadata!H712="",FALSE,TRUE),exact(Metadata!H712,"UBERON:tongue"))</f>
        <v>0</v>
      </c>
      <c r="AC712">
        <f>AND(IF(Metadata!I712="",FALSE,TRUE),exact(Metadata!I712,"tongue"))</f>
        <v>0</v>
      </c>
      <c r="AD712">
        <f>AND(IF(Metadata!J712="",FALSE,TRUE),exact(Metadata!J712,"human oral metagenome"))</f>
        <v>0</v>
      </c>
      <c r="AE712">
        <f>AND(IF(Metadata!K712="",FALSE,TRUE),exact(Metadata!K712,"447426"))</f>
        <v>0</v>
      </c>
    </row>
    <row r="713" spans="1:31">
      <c r="A713" s="4">
        <f>IF(B713=" "," ",HYPERLINK(CONCATENATE("#metadata!",ADDRESS(INDEX($Q$2:$Q$1001,MATCH(ROWS($O$2:O713),$O$2:$O$1001,0),0),1)),INDEX($T$2:$T$1001,MATCH(ROWS($O$2:O713),$O$2:$O$1001,0),0)))</f>
        <v>0</v>
      </c>
      <c r="B713" s="3">
        <f>IF(OR(INDEX($P$2:$P$1001,MATCH(ROWS($O$2:O713),$O$2:$O$1001,0),1)&gt;=100000,INDEX($V$1005:$AE$1005,1,MATCH(COLUMNS($V$1006:V1006),$V$1006:$AE$1006,0))&gt;=100000), " ",IF(INDEX($V$2:$AE$1001,MATCH(ROWS($O$2:O713),$O$2:$O$1001,0),MATCH(COLUMNS($V$1006:V1006),$V$1006:$AE$1006,0)), HYPERLINK("#",""), HYPERLINK(CONCATENATE("#Metadata!", ADDRESS(INDEX($Q$2:$Q$1001,MATCH(ROWS($O$2:O713),$O$2:$O$1001,0),0), INDEX($V$1004:$AE$1004,1,MATCH(COLUMNS($V$1006:V1006),$V$1006:$AE$1006,0)))),"Fix")))</f>
        <v>0</v>
      </c>
      <c r="C713" s="3">
        <f>IF(OR(INDEX($P$2:$P$1001,MATCH(ROWS($O$2:O713),$O$2:$O$1001,0),1)&gt;=100000,INDEX($V$1005:$AE$1005,1,MATCH(COLUMNS($V$1006:W1006),$V$1006:$AE$1006,0))&gt;=100000), " ",IF(INDEX($V$2:$AE$1001,MATCH(ROWS($O$2:O713),$O$2:$O$1001,0),MATCH(COLUMNS($V$1006:W1006),$V$1006:$AE$1006,0)), HYPERLINK("#",""), HYPERLINK(CONCATENATE("#Metadata!", ADDRESS(INDEX($Q$2:$Q$1001,MATCH(ROWS($O$2:O713),$O$2:$O$1001,0),0), INDEX($V$1004:$AE$1004,1,MATCH(COLUMNS($V$1006:W1006),$V$1006:$AE$1006,0)))),"Fix")))</f>
        <v>0</v>
      </c>
      <c r="D713" s="3">
        <f>IF(OR(INDEX($P$2:$P$1001,MATCH(ROWS($O$2:O713),$O$2:$O$1001,0),1)&gt;=100000,INDEX($V$1005:$AE$1005,1,MATCH(COLUMNS($V$1006:X1006),$V$1006:$AE$1006,0))&gt;=100000), " ",IF(INDEX($V$2:$AE$1001,MATCH(ROWS($O$2:O713),$O$2:$O$1001,0),MATCH(COLUMNS($V$1006:X1006),$V$1006:$AE$1006,0)), HYPERLINK("#",""), HYPERLINK(CONCATENATE("#Metadata!", ADDRESS(INDEX($Q$2:$Q$1001,MATCH(ROWS($O$2:O713),$O$2:$O$1001,0),0), INDEX($V$1004:$AE$1004,1,MATCH(COLUMNS($V$1006:X1006),$V$1006:$AE$1006,0)))),"Fix")))</f>
        <v>0</v>
      </c>
      <c r="E713" s="3">
        <f>IF(OR(INDEX($P$2:$P$1001,MATCH(ROWS($O$2:O713),$O$2:$O$1001,0),1)&gt;=100000,INDEX($V$1005:$AE$1005,1,MATCH(COLUMNS($V$1006:Y1006),$V$1006:$AE$1006,0))&gt;=100000), " ",IF(INDEX($V$2:$AE$1001,MATCH(ROWS($O$2:O713),$O$2:$O$1001,0),MATCH(COLUMNS($V$1006:Y1006),$V$1006:$AE$1006,0)), HYPERLINK("#",""), HYPERLINK(CONCATENATE("#Metadata!", ADDRESS(INDEX($Q$2:$Q$1001,MATCH(ROWS($O$2:O713),$O$2:$O$1001,0),0), INDEX($V$1004:$AE$1004,1,MATCH(COLUMNS($V$1006:Y1006),$V$1006:$AE$1006,0)))),"Fix")))</f>
        <v>0</v>
      </c>
      <c r="F713" s="3">
        <f>IF(OR(INDEX($P$2:$P$1001,MATCH(ROWS($O$2:O713),$O$2:$O$1001,0),1)&gt;=100000,INDEX($V$1005:$AE$1005,1,MATCH(COLUMNS($V$1006:Z1006),$V$1006:$AE$1006,0))&gt;=100000), " ",IF(INDEX($V$2:$AE$1001,MATCH(ROWS($O$2:O713),$O$2:$O$1001,0),MATCH(COLUMNS($V$1006:Z1006),$V$1006:$AE$1006,0)), HYPERLINK("#",""), HYPERLINK(CONCATENATE("#Metadata!", ADDRESS(INDEX($Q$2:$Q$1001,MATCH(ROWS($O$2:O713),$O$2:$O$1001,0),0), INDEX($V$1004:$AE$1004,1,MATCH(COLUMNS($V$1006:Z1006),$V$1006:$AE$1006,0)))),"Fix")))</f>
        <v>0</v>
      </c>
      <c r="G713" s="3">
        <f>IF(OR(INDEX($P$2:$P$1001,MATCH(ROWS($O$2:O713),$O$2:$O$1001,0),1)&gt;=100000,INDEX($V$1005:$AE$1005,1,MATCH(COLUMNS($V$1006:AA1006),$V$1006:$AE$1006,0))&gt;=100000), " ",IF(INDEX($V$2:$AE$1001,MATCH(ROWS($O$2:O713),$O$2:$O$1001,0),MATCH(COLUMNS($V$1006:AA1006),$V$1006:$AE$1006,0)), HYPERLINK("#",""), HYPERLINK(CONCATENATE("#Metadata!", ADDRESS(INDEX($Q$2:$Q$1001,MATCH(ROWS($O$2:O713),$O$2:$O$1001,0),0), INDEX($V$1004:$AE$1004,1,MATCH(COLUMNS($V$1006:AA1006),$V$1006:$AE$1006,0)))),"Fix")))</f>
        <v>0</v>
      </c>
      <c r="H713" s="3">
        <f>IF(OR(INDEX($P$2:$P$1001,MATCH(ROWS($O$2:O713),$O$2:$O$1001,0),1)&gt;=100000,INDEX($V$1005:$AE$1005,1,MATCH(COLUMNS($V$1006:AB1006),$V$1006:$AE$1006,0))&gt;=100000), " ",IF(INDEX($V$2:$AE$1001,MATCH(ROWS($O$2:O713),$O$2:$O$1001,0),MATCH(COLUMNS($V$1006:AB1006),$V$1006:$AE$1006,0)), HYPERLINK("#",""), HYPERLINK(CONCATENATE("#Metadata!", ADDRESS(INDEX($Q$2:$Q$1001,MATCH(ROWS($O$2:O713),$O$2:$O$1001,0),0), INDEX($V$1004:$AE$1004,1,MATCH(COLUMNS($V$1006:AB1006),$V$1006:$AE$1006,0)))),"Fix")))</f>
        <v>0</v>
      </c>
      <c r="I713" s="3">
        <f>IF(OR(INDEX($P$2:$P$1001,MATCH(ROWS($O$2:O713),$O$2:$O$1001,0),1)&gt;=100000,INDEX($V$1005:$AE$1005,1,MATCH(COLUMNS($V$1006:AC1006),$V$1006:$AE$1006,0))&gt;=100000), " ",IF(INDEX($V$2:$AE$1001,MATCH(ROWS($O$2:O713),$O$2:$O$1001,0),MATCH(COLUMNS($V$1006:AC1006),$V$1006:$AE$1006,0)), HYPERLINK("#",""), HYPERLINK(CONCATENATE("#Metadata!", ADDRESS(INDEX($Q$2:$Q$1001,MATCH(ROWS($O$2:O713),$O$2:$O$1001,0),0), INDEX($V$1004:$AE$1004,1,MATCH(COLUMNS($V$1006:AC1006),$V$1006:$AE$1006,0)))),"Fix")))</f>
        <v>0</v>
      </c>
      <c r="J713" s="3">
        <f>IF(OR(INDEX($P$2:$P$1001,MATCH(ROWS($O$2:O713),$O$2:$O$1001,0),1)&gt;=100000,INDEX($V$1005:$AE$1005,1,MATCH(COLUMNS($V$1006:AD1006),$V$1006:$AE$1006,0))&gt;=100000), " ",IF(INDEX($V$2:$AE$1001,MATCH(ROWS($O$2:O713),$O$2:$O$1001,0),MATCH(COLUMNS($V$1006:AD1006),$V$1006:$AE$1006,0)), HYPERLINK("#",""), HYPERLINK(CONCATENATE("#Metadata!", ADDRESS(INDEX($Q$2:$Q$1001,MATCH(ROWS($O$2:O713),$O$2:$O$1001,0),0), INDEX($V$1004:$AE$1004,1,MATCH(COLUMNS($V$1006:AD1006),$V$1006:$AE$1006,0)))),"Fix")))</f>
        <v>0</v>
      </c>
      <c r="K713" s="3">
        <f>IF(OR(INDEX($P$2:$P$1001,MATCH(ROWS($O$2:O713),$O$2:$O$1001,0),1)&gt;=100000,INDEX($V$1005:$AE$1005,1,MATCH(COLUMNS($V$1006:AE1006),$V$1006:$AE$1006,0))&gt;=100000), " ",IF(INDEX($V$2:$AE$1001,MATCH(ROWS($O$2:O713),$O$2:$O$1001,0),MATCH(COLUMNS($V$1006:AE1006),$V$1006:$AE$1006,0)), HYPERLINK("#",""), HYPERLINK(CONCATENATE("#Metadata!", ADDRESS(INDEX($Q$2:$Q$1001,MATCH(ROWS($O$2:O713),$O$2:$O$1001,0),0), INDEX($V$1004:$AE$1004,1,MATCH(COLUMNS($V$1006:AE1006),$V$1006:$AE$1006,0)))),"Fix")))</f>
        <v>0</v>
      </c>
      <c r="O713">
        <v>0</v>
      </c>
      <c r="P713">
        <v>0</v>
      </c>
      <c r="Q713">
        <v>0</v>
      </c>
      <c r="R713">
        <f>IF(S713,TRUE,AND(V713:AE713))</f>
        <v>0</v>
      </c>
      <c r="S713">
        <f>COUNTBLANK(Metadata!B713:K713)=COLUMNS(Metadata!B713:K713)</f>
        <v>0</v>
      </c>
      <c r="T713">
        <v>0</v>
      </c>
      <c r="V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W713">
        <f>AND(IF(Metadata!C713="",FALSE,TRUE),exact(Metadata!C713,"animal secretion"))</f>
        <v>0</v>
      </c>
      <c r="X713">
        <f>AND(IF(Metadata!D713="",FALSE,TRUE),exact(Metadata!D713,"saliva"))</f>
        <v>0</v>
      </c>
      <c r="Y713">
        <f>AND(IF(Metadata!E713="",FALSE,TRUE),exact(Metadata!E713,"human-oral"))</f>
        <v>0</v>
      </c>
      <c r="Z713">
        <f>AND(IF(Metadata!F713="",FALSE,TRUE),exact(Metadata!F713,"UBERON:oral cavity"))</f>
        <v>0</v>
      </c>
      <c r="AA713">
        <f>AND(IF(Metadata!G713="",FALSE,TRUE),exact(Metadata!G713,"UBERON:saliva"))</f>
        <v>0</v>
      </c>
      <c r="AB713">
        <f>AND(IF(Metadata!H713="",FALSE,TRUE),exact(Metadata!H713,"UBERON:tongue"))</f>
        <v>0</v>
      </c>
      <c r="AC713">
        <f>AND(IF(Metadata!I713="",FALSE,TRUE),exact(Metadata!I713,"tongue"))</f>
        <v>0</v>
      </c>
      <c r="AD713">
        <f>AND(IF(Metadata!J713="",FALSE,TRUE),exact(Metadata!J713,"human oral metagenome"))</f>
        <v>0</v>
      </c>
      <c r="AE713">
        <f>AND(IF(Metadata!K713="",FALSE,TRUE),exact(Metadata!K713,"447426"))</f>
        <v>0</v>
      </c>
    </row>
    <row r="714" spans="1:31">
      <c r="A714" s="4">
        <f>IF(B714=" "," ",HYPERLINK(CONCATENATE("#metadata!",ADDRESS(INDEX($Q$2:$Q$1001,MATCH(ROWS($O$2:O714),$O$2:$O$1001,0),0),1)),INDEX($T$2:$T$1001,MATCH(ROWS($O$2:O714),$O$2:$O$1001,0),0)))</f>
        <v>0</v>
      </c>
      <c r="B714" s="3">
        <f>IF(OR(INDEX($P$2:$P$1001,MATCH(ROWS($O$2:O714),$O$2:$O$1001,0),1)&gt;=100000,INDEX($V$1005:$AE$1005,1,MATCH(COLUMNS($V$1006:V1006),$V$1006:$AE$1006,0))&gt;=100000), " ",IF(INDEX($V$2:$AE$1001,MATCH(ROWS($O$2:O714),$O$2:$O$1001,0),MATCH(COLUMNS($V$1006:V1006),$V$1006:$AE$1006,0)), HYPERLINK("#",""), HYPERLINK(CONCATENATE("#Metadata!", ADDRESS(INDEX($Q$2:$Q$1001,MATCH(ROWS($O$2:O714),$O$2:$O$1001,0),0), INDEX($V$1004:$AE$1004,1,MATCH(COLUMNS($V$1006:V1006),$V$1006:$AE$1006,0)))),"Fix")))</f>
        <v>0</v>
      </c>
      <c r="C714" s="3">
        <f>IF(OR(INDEX($P$2:$P$1001,MATCH(ROWS($O$2:O714),$O$2:$O$1001,0),1)&gt;=100000,INDEX($V$1005:$AE$1005,1,MATCH(COLUMNS($V$1006:W1006),$V$1006:$AE$1006,0))&gt;=100000), " ",IF(INDEX($V$2:$AE$1001,MATCH(ROWS($O$2:O714),$O$2:$O$1001,0),MATCH(COLUMNS($V$1006:W1006),$V$1006:$AE$1006,0)), HYPERLINK("#",""), HYPERLINK(CONCATENATE("#Metadata!", ADDRESS(INDEX($Q$2:$Q$1001,MATCH(ROWS($O$2:O714),$O$2:$O$1001,0),0), INDEX($V$1004:$AE$1004,1,MATCH(COLUMNS($V$1006:W1006),$V$1006:$AE$1006,0)))),"Fix")))</f>
        <v>0</v>
      </c>
      <c r="D714" s="3">
        <f>IF(OR(INDEX($P$2:$P$1001,MATCH(ROWS($O$2:O714),$O$2:$O$1001,0),1)&gt;=100000,INDEX($V$1005:$AE$1005,1,MATCH(COLUMNS($V$1006:X1006),$V$1006:$AE$1006,0))&gt;=100000), " ",IF(INDEX($V$2:$AE$1001,MATCH(ROWS($O$2:O714),$O$2:$O$1001,0),MATCH(COLUMNS($V$1006:X1006),$V$1006:$AE$1006,0)), HYPERLINK("#",""), HYPERLINK(CONCATENATE("#Metadata!", ADDRESS(INDEX($Q$2:$Q$1001,MATCH(ROWS($O$2:O714),$O$2:$O$1001,0),0), INDEX($V$1004:$AE$1004,1,MATCH(COLUMNS($V$1006:X1006),$V$1006:$AE$1006,0)))),"Fix")))</f>
        <v>0</v>
      </c>
      <c r="E714" s="3">
        <f>IF(OR(INDEX($P$2:$P$1001,MATCH(ROWS($O$2:O714),$O$2:$O$1001,0),1)&gt;=100000,INDEX($V$1005:$AE$1005,1,MATCH(COLUMNS($V$1006:Y1006),$V$1006:$AE$1006,0))&gt;=100000), " ",IF(INDEX($V$2:$AE$1001,MATCH(ROWS($O$2:O714),$O$2:$O$1001,0),MATCH(COLUMNS($V$1006:Y1006),$V$1006:$AE$1006,0)), HYPERLINK("#",""), HYPERLINK(CONCATENATE("#Metadata!", ADDRESS(INDEX($Q$2:$Q$1001,MATCH(ROWS($O$2:O714),$O$2:$O$1001,0),0), INDEX($V$1004:$AE$1004,1,MATCH(COLUMNS($V$1006:Y1006),$V$1006:$AE$1006,0)))),"Fix")))</f>
        <v>0</v>
      </c>
      <c r="F714" s="3">
        <f>IF(OR(INDEX($P$2:$P$1001,MATCH(ROWS($O$2:O714),$O$2:$O$1001,0),1)&gt;=100000,INDEX($V$1005:$AE$1005,1,MATCH(COLUMNS($V$1006:Z1006),$V$1006:$AE$1006,0))&gt;=100000), " ",IF(INDEX($V$2:$AE$1001,MATCH(ROWS($O$2:O714),$O$2:$O$1001,0),MATCH(COLUMNS($V$1006:Z1006),$V$1006:$AE$1006,0)), HYPERLINK("#",""), HYPERLINK(CONCATENATE("#Metadata!", ADDRESS(INDEX($Q$2:$Q$1001,MATCH(ROWS($O$2:O714),$O$2:$O$1001,0),0), INDEX($V$1004:$AE$1004,1,MATCH(COLUMNS($V$1006:Z1006),$V$1006:$AE$1006,0)))),"Fix")))</f>
        <v>0</v>
      </c>
      <c r="G714" s="3">
        <f>IF(OR(INDEX($P$2:$P$1001,MATCH(ROWS($O$2:O714),$O$2:$O$1001,0),1)&gt;=100000,INDEX($V$1005:$AE$1005,1,MATCH(COLUMNS($V$1006:AA1006),$V$1006:$AE$1006,0))&gt;=100000), " ",IF(INDEX($V$2:$AE$1001,MATCH(ROWS($O$2:O714),$O$2:$O$1001,0),MATCH(COLUMNS($V$1006:AA1006),$V$1006:$AE$1006,0)), HYPERLINK("#",""), HYPERLINK(CONCATENATE("#Metadata!", ADDRESS(INDEX($Q$2:$Q$1001,MATCH(ROWS($O$2:O714),$O$2:$O$1001,0),0), INDEX($V$1004:$AE$1004,1,MATCH(COLUMNS($V$1006:AA1006),$V$1006:$AE$1006,0)))),"Fix")))</f>
        <v>0</v>
      </c>
      <c r="H714" s="3">
        <f>IF(OR(INDEX($P$2:$P$1001,MATCH(ROWS($O$2:O714),$O$2:$O$1001,0),1)&gt;=100000,INDEX($V$1005:$AE$1005,1,MATCH(COLUMNS($V$1006:AB1006),$V$1006:$AE$1006,0))&gt;=100000), " ",IF(INDEX($V$2:$AE$1001,MATCH(ROWS($O$2:O714),$O$2:$O$1001,0),MATCH(COLUMNS($V$1006:AB1006),$V$1006:$AE$1006,0)), HYPERLINK("#",""), HYPERLINK(CONCATENATE("#Metadata!", ADDRESS(INDEX($Q$2:$Q$1001,MATCH(ROWS($O$2:O714),$O$2:$O$1001,0),0), INDEX($V$1004:$AE$1004,1,MATCH(COLUMNS($V$1006:AB1006),$V$1006:$AE$1006,0)))),"Fix")))</f>
        <v>0</v>
      </c>
      <c r="I714" s="3">
        <f>IF(OR(INDEX($P$2:$P$1001,MATCH(ROWS($O$2:O714),$O$2:$O$1001,0),1)&gt;=100000,INDEX($V$1005:$AE$1005,1,MATCH(COLUMNS($V$1006:AC1006),$V$1006:$AE$1006,0))&gt;=100000), " ",IF(INDEX($V$2:$AE$1001,MATCH(ROWS($O$2:O714),$O$2:$O$1001,0),MATCH(COLUMNS($V$1006:AC1006),$V$1006:$AE$1006,0)), HYPERLINK("#",""), HYPERLINK(CONCATENATE("#Metadata!", ADDRESS(INDEX($Q$2:$Q$1001,MATCH(ROWS($O$2:O714),$O$2:$O$1001,0),0), INDEX($V$1004:$AE$1004,1,MATCH(COLUMNS($V$1006:AC1006),$V$1006:$AE$1006,0)))),"Fix")))</f>
        <v>0</v>
      </c>
      <c r="J714" s="3">
        <f>IF(OR(INDEX($P$2:$P$1001,MATCH(ROWS($O$2:O714),$O$2:$O$1001,0),1)&gt;=100000,INDEX($V$1005:$AE$1005,1,MATCH(COLUMNS($V$1006:AD1006),$V$1006:$AE$1006,0))&gt;=100000), " ",IF(INDEX($V$2:$AE$1001,MATCH(ROWS($O$2:O714),$O$2:$O$1001,0),MATCH(COLUMNS($V$1006:AD1006),$V$1006:$AE$1006,0)), HYPERLINK("#",""), HYPERLINK(CONCATENATE("#Metadata!", ADDRESS(INDEX($Q$2:$Q$1001,MATCH(ROWS($O$2:O714),$O$2:$O$1001,0),0), INDEX($V$1004:$AE$1004,1,MATCH(COLUMNS($V$1006:AD1006),$V$1006:$AE$1006,0)))),"Fix")))</f>
        <v>0</v>
      </c>
      <c r="K714" s="3">
        <f>IF(OR(INDEX($P$2:$P$1001,MATCH(ROWS($O$2:O714),$O$2:$O$1001,0),1)&gt;=100000,INDEX($V$1005:$AE$1005,1,MATCH(COLUMNS($V$1006:AE1006),$V$1006:$AE$1006,0))&gt;=100000), " ",IF(INDEX($V$2:$AE$1001,MATCH(ROWS($O$2:O714),$O$2:$O$1001,0),MATCH(COLUMNS($V$1006:AE1006),$V$1006:$AE$1006,0)), HYPERLINK("#",""), HYPERLINK(CONCATENATE("#Metadata!", ADDRESS(INDEX($Q$2:$Q$1001,MATCH(ROWS($O$2:O714),$O$2:$O$1001,0),0), INDEX($V$1004:$AE$1004,1,MATCH(COLUMNS($V$1006:AE1006),$V$1006:$AE$1006,0)))),"Fix")))</f>
        <v>0</v>
      </c>
      <c r="O714">
        <v>0</v>
      </c>
      <c r="P714">
        <v>0</v>
      </c>
      <c r="Q714">
        <v>0</v>
      </c>
      <c r="R714">
        <f>IF(S714,TRUE,AND(V714:AE714))</f>
        <v>0</v>
      </c>
      <c r="S714">
        <f>COUNTBLANK(Metadata!B714:K714)=COLUMNS(Metadata!B714:K714)</f>
        <v>0</v>
      </c>
      <c r="T714">
        <v>0</v>
      </c>
      <c r="V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W714">
        <f>AND(IF(Metadata!C714="",FALSE,TRUE),exact(Metadata!C714,"animal secretion"))</f>
        <v>0</v>
      </c>
      <c r="X714">
        <f>AND(IF(Metadata!D714="",FALSE,TRUE),exact(Metadata!D714,"saliva"))</f>
        <v>0</v>
      </c>
      <c r="Y714">
        <f>AND(IF(Metadata!E714="",FALSE,TRUE),exact(Metadata!E714,"human-oral"))</f>
        <v>0</v>
      </c>
      <c r="Z714">
        <f>AND(IF(Metadata!F714="",FALSE,TRUE),exact(Metadata!F714,"UBERON:oral cavity"))</f>
        <v>0</v>
      </c>
      <c r="AA714">
        <f>AND(IF(Metadata!G714="",FALSE,TRUE),exact(Metadata!G714,"UBERON:saliva"))</f>
        <v>0</v>
      </c>
      <c r="AB714">
        <f>AND(IF(Metadata!H714="",FALSE,TRUE),exact(Metadata!H714,"UBERON:tongue"))</f>
        <v>0</v>
      </c>
      <c r="AC714">
        <f>AND(IF(Metadata!I714="",FALSE,TRUE),exact(Metadata!I714,"tongue"))</f>
        <v>0</v>
      </c>
      <c r="AD714">
        <f>AND(IF(Metadata!J714="",FALSE,TRUE),exact(Metadata!J714,"human oral metagenome"))</f>
        <v>0</v>
      </c>
      <c r="AE714">
        <f>AND(IF(Metadata!K714="",FALSE,TRUE),exact(Metadata!K714,"447426"))</f>
        <v>0</v>
      </c>
    </row>
    <row r="715" spans="1:31">
      <c r="A715" s="4">
        <f>IF(B715=" "," ",HYPERLINK(CONCATENATE("#metadata!",ADDRESS(INDEX($Q$2:$Q$1001,MATCH(ROWS($O$2:O715),$O$2:$O$1001,0),0),1)),INDEX($T$2:$T$1001,MATCH(ROWS($O$2:O715),$O$2:$O$1001,0),0)))</f>
        <v>0</v>
      </c>
      <c r="B715" s="3">
        <f>IF(OR(INDEX($P$2:$P$1001,MATCH(ROWS($O$2:O715),$O$2:$O$1001,0),1)&gt;=100000,INDEX($V$1005:$AE$1005,1,MATCH(COLUMNS($V$1006:V1006),$V$1006:$AE$1006,0))&gt;=100000), " ",IF(INDEX($V$2:$AE$1001,MATCH(ROWS($O$2:O715),$O$2:$O$1001,0),MATCH(COLUMNS($V$1006:V1006),$V$1006:$AE$1006,0)), HYPERLINK("#",""), HYPERLINK(CONCATENATE("#Metadata!", ADDRESS(INDEX($Q$2:$Q$1001,MATCH(ROWS($O$2:O715),$O$2:$O$1001,0),0), INDEX($V$1004:$AE$1004,1,MATCH(COLUMNS($V$1006:V1006),$V$1006:$AE$1006,0)))),"Fix")))</f>
        <v>0</v>
      </c>
      <c r="C715" s="3">
        <f>IF(OR(INDEX($P$2:$P$1001,MATCH(ROWS($O$2:O715),$O$2:$O$1001,0),1)&gt;=100000,INDEX($V$1005:$AE$1005,1,MATCH(COLUMNS($V$1006:W1006),$V$1006:$AE$1006,0))&gt;=100000), " ",IF(INDEX($V$2:$AE$1001,MATCH(ROWS($O$2:O715),$O$2:$O$1001,0),MATCH(COLUMNS($V$1006:W1006),$V$1006:$AE$1006,0)), HYPERLINK("#",""), HYPERLINK(CONCATENATE("#Metadata!", ADDRESS(INDEX($Q$2:$Q$1001,MATCH(ROWS($O$2:O715),$O$2:$O$1001,0),0), INDEX($V$1004:$AE$1004,1,MATCH(COLUMNS($V$1006:W1006),$V$1006:$AE$1006,0)))),"Fix")))</f>
        <v>0</v>
      </c>
      <c r="D715" s="3">
        <f>IF(OR(INDEX($P$2:$P$1001,MATCH(ROWS($O$2:O715),$O$2:$O$1001,0),1)&gt;=100000,INDEX($V$1005:$AE$1005,1,MATCH(COLUMNS($V$1006:X1006),$V$1006:$AE$1006,0))&gt;=100000), " ",IF(INDEX($V$2:$AE$1001,MATCH(ROWS($O$2:O715),$O$2:$O$1001,0),MATCH(COLUMNS($V$1006:X1006),$V$1006:$AE$1006,0)), HYPERLINK("#",""), HYPERLINK(CONCATENATE("#Metadata!", ADDRESS(INDEX($Q$2:$Q$1001,MATCH(ROWS($O$2:O715),$O$2:$O$1001,0),0), INDEX($V$1004:$AE$1004,1,MATCH(COLUMNS($V$1006:X1006),$V$1006:$AE$1006,0)))),"Fix")))</f>
        <v>0</v>
      </c>
      <c r="E715" s="3">
        <f>IF(OR(INDEX($P$2:$P$1001,MATCH(ROWS($O$2:O715),$O$2:$O$1001,0),1)&gt;=100000,INDEX($V$1005:$AE$1005,1,MATCH(COLUMNS($V$1006:Y1006),$V$1006:$AE$1006,0))&gt;=100000), " ",IF(INDEX($V$2:$AE$1001,MATCH(ROWS($O$2:O715),$O$2:$O$1001,0),MATCH(COLUMNS($V$1006:Y1006),$V$1006:$AE$1006,0)), HYPERLINK("#",""), HYPERLINK(CONCATENATE("#Metadata!", ADDRESS(INDEX($Q$2:$Q$1001,MATCH(ROWS($O$2:O715),$O$2:$O$1001,0),0), INDEX($V$1004:$AE$1004,1,MATCH(COLUMNS($V$1006:Y1006),$V$1006:$AE$1006,0)))),"Fix")))</f>
        <v>0</v>
      </c>
      <c r="F715" s="3">
        <f>IF(OR(INDEX($P$2:$P$1001,MATCH(ROWS($O$2:O715),$O$2:$O$1001,0),1)&gt;=100000,INDEX($V$1005:$AE$1005,1,MATCH(COLUMNS($V$1006:Z1006),$V$1006:$AE$1006,0))&gt;=100000), " ",IF(INDEX($V$2:$AE$1001,MATCH(ROWS($O$2:O715),$O$2:$O$1001,0),MATCH(COLUMNS($V$1006:Z1006),$V$1006:$AE$1006,0)), HYPERLINK("#",""), HYPERLINK(CONCATENATE("#Metadata!", ADDRESS(INDEX($Q$2:$Q$1001,MATCH(ROWS($O$2:O715),$O$2:$O$1001,0),0), INDEX($V$1004:$AE$1004,1,MATCH(COLUMNS($V$1006:Z1006),$V$1006:$AE$1006,0)))),"Fix")))</f>
        <v>0</v>
      </c>
      <c r="G715" s="3">
        <f>IF(OR(INDEX($P$2:$P$1001,MATCH(ROWS($O$2:O715),$O$2:$O$1001,0),1)&gt;=100000,INDEX($V$1005:$AE$1005,1,MATCH(COLUMNS($V$1006:AA1006),$V$1006:$AE$1006,0))&gt;=100000), " ",IF(INDEX($V$2:$AE$1001,MATCH(ROWS($O$2:O715),$O$2:$O$1001,0),MATCH(COLUMNS($V$1006:AA1006),$V$1006:$AE$1006,0)), HYPERLINK("#",""), HYPERLINK(CONCATENATE("#Metadata!", ADDRESS(INDEX($Q$2:$Q$1001,MATCH(ROWS($O$2:O715),$O$2:$O$1001,0),0), INDEX($V$1004:$AE$1004,1,MATCH(COLUMNS($V$1006:AA1006),$V$1006:$AE$1006,0)))),"Fix")))</f>
        <v>0</v>
      </c>
      <c r="H715" s="3">
        <f>IF(OR(INDEX($P$2:$P$1001,MATCH(ROWS($O$2:O715),$O$2:$O$1001,0),1)&gt;=100000,INDEX($V$1005:$AE$1005,1,MATCH(COLUMNS($V$1006:AB1006),$V$1006:$AE$1006,0))&gt;=100000), " ",IF(INDEX($V$2:$AE$1001,MATCH(ROWS($O$2:O715),$O$2:$O$1001,0),MATCH(COLUMNS($V$1006:AB1006),$V$1006:$AE$1006,0)), HYPERLINK("#",""), HYPERLINK(CONCATENATE("#Metadata!", ADDRESS(INDEX($Q$2:$Q$1001,MATCH(ROWS($O$2:O715),$O$2:$O$1001,0),0), INDEX($V$1004:$AE$1004,1,MATCH(COLUMNS($V$1006:AB1006),$V$1006:$AE$1006,0)))),"Fix")))</f>
        <v>0</v>
      </c>
      <c r="I715" s="3">
        <f>IF(OR(INDEX($P$2:$P$1001,MATCH(ROWS($O$2:O715),$O$2:$O$1001,0),1)&gt;=100000,INDEX($V$1005:$AE$1005,1,MATCH(COLUMNS($V$1006:AC1006),$V$1006:$AE$1006,0))&gt;=100000), " ",IF(INDEX($V$2:$AE$1001,MATCH(ROWS($O$2:O715),$O$2:$O$1001,0),MATCH(COLUMNS($V$1006:AC1006),$V$1006:$AE$1006,0)), HYPERLINK("#",""), HYPERLINK(CONCATENATE("#Metadata!", ADDRESS(INDEX($Q$2:$Q$1001,MATCH(ROWS($O$2:O715),$O$2:$O$1001,0),0), INDEX($V$1004:$AE$1004,1,MATCH(COLUMNS($V$1006:AC1006),$V$1006:$AE$1006,0)))),"Fix")))</f>
        <v>0</v>
      </c>
      <c r="J715" s="3">
        <f>IF(OR(INDEX($P$2:$P$1001,MATCH(ROWS($O$2:O715),$O$2:$O$1001,0),1)&gt;=100000,INDEX($V$1005:$AE$1005,1,MATCH(COLUMNS($V$1006:AD1006),$V$1006:$AE$1006,0))&gt;=100000), " ",IF(INDEX($V$2:$AE$1001,MATCH(ROWS($O$2:O715),$O$2:$O$1001,0),MATCH(COLUMNS($V$1006:AD1006),$V$1006:$AE$1006,0)), HYPERLINK("#",""), HYPERLINK(CONCATENATE("#Metadata!", ADDRESS(INDEX($Q$2:$Q$1001,MATCH(ROWS($O$2:O715),$O$2:$O$1001,0),0), INDEX($V$1004:$AE$1004,1,MATCH(COLUMNS($V$1006:AD1006),$V$1006:$AE$1006,0)))),"Fix")))</f>
        <v>0</v>
      </c>
      <c r="K715" s="3">
        <f>IF(OR(INDEX($P$2:$P$1001,MATCH(ROWS($O$2:O715),$O$2:$O$1001,0),1)&gt;=100000,INDEX($V$1005:$AE$1005,1,MATCH(COLUMNS($V$1006:AE1006),$V$1006:$AE$1006,0))&gt;=100000), " ",IF(INDEX($V$2:$AE$1001,MATCH(ROWS($O$2:O715),$O$2:$O$1001,0),MATCH(COLUMNS($V$1006:AE1006),$V$1006:$AE$1006,0)), HYPERLINK("#",""), HYPERLINK(CONCATENATE("#Metadata!", ADDRESS(INDEX($Q$2:$Q$1001,MATCH(ROWS($O$2:O715),$O$2:$O$1001,0),0), INDEX($V$1004:$AE$1004,1,MATCH(COLUMNS($V$1006:AE1006),$V$1006:$AE$1006,0)))),"Fix")))</f>
        <v>0</v>
      </c>
      <c r="O715">
        <v>0</v>
      </c>
      <c r="P715">
        <v>0</v>
      </c>
      <c r="Q715">
        <v>0</v>
      </c>
      <c r="R715">
        <f>IF(S715,TRUE,AND(V715:AE715))</f>
        <v>0</v>
      </c>
      <c r="S715">
        <f>COUNTBLANK(Metadata!B715:K715)=COLUMNS(Metadata!B715:K715)</f>
        <v>0</v>
      </c>
      <c r="T715">
        <v>0</v>
      </c>
      <c r="V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W715">
        <f>AND(IF(Metadata!C715="",FALSE,TRUE),exact(Metadata!C715,"animal secretion"))</f>
        <v>0</v>
      </c>
      <c r="X715">
        <f>AND(IF(Metadata!D715="",FALSE,TRUE),exact(Metadata!D715,"saliva"))</f>
        <v>0</v>
      </c>
      <c r="Y715">
        <f>AND(IF(Metadata!E715="",FALSE,TRUE),exact(Metadata!E715,"human-oral"))</f>
        <v>0</v>
      </c>
      <c r="Z715">
        <f>AND(IF(Metadata!F715="",FALSE,TRUE),exact(Metadata!F715,"UBERON:oral cavity"))</f>
        <v>0</v>
      </c>
      <c r="AA715">
        <f>AND(IF(Metadata!G715="",FALSE,TRUE),exact(Metadata!G715,"UBERON:saliva"))</f>
        <v>0</v>
      </c>
      <c r="AB715">
        <f>AND(IF(Metadata!H715="",FALSE,TRUE),exact(Metadata!H715,"UBERON:tongue"))</f>
        <v>0</v>
      </c>
      <c r="AC715">
        <f>AND(IF(Metadata!I715="",FALSE,TRUE),exact(Metadata!I715,"tongue"))</f>
        <v>0</v>
      </c>
      <c r="AD715">
        <f>AND(IF(Metadata!J715="",FALSE,TRUE),exact(Metadata!J715,"human oral metagenome"))</f>
        <v>0</v>
      </c>
      <c r="AE715">
        <f>AND(IF(Metadata!K715="",FALSE,TRUE),exact(Metadata!K715,"447426"))</f>
        <v>0</v>
      </c>
    </row>
    <row r="716" spans="1:31">
      <c r="A716" s="4">
        <f>IF(B716=" "," ",HYPERLINK(CONCATENATE("#metadata!",ADDRESS(INDEX($Q$2:$Q$1001,MATCH(ROWS($O$2:O716),$O$2:$O$1001,0),0),1)),INDEX($T$2:$T$1001,MATCH(ROWS($O$2:O716),$O$2:$O$1001,0),0)))</f>
        <v>0</v>
      </c>
      <c r="B716" s="3">
        <f>IF(OR(INDEX($P$2:$P$1001,MATCH(ROWS($O$2:O716),$O$2:$O$1001,0),1)&gt;=100000,INDEX($V$1005:$AE$1005,1,MATCH(COLUMNS($V$1006:V1006),$V$1006:$AE$1006,0))&gt;=100000), " ",IF(INDEX($V$2:$AE$1001,MATCH(ROWS($O$2:O716),$O$2:$O$1001,0),MATCH(COLUMNS($V$1006:V1006),$V$1006:$AE$1006,0)), HYPERLINK("#",""), HYPERLINK(CONCATENATE("#Metadata!", ADDRESS(INDEX($Q$2:$Q$1001,MATCH(ROWS($O$2:O716),$O$2:$O$1001,0),0), INDEX($V$1004:$AE$1004,1,MATCH(COLUMNS($V$1006:V1006),$V$1006:$AE$1006,0)))),"Fix")))</f>
        <v>0</v>
      </c>
      <c r="C716" s="3">
        <f>IF(OR(INDEX($P$2:$P$1001,MATCH(ROWS($O$2:O716),$O$2:$O$1001,0),1)&gt;=100000,INDEX($V$1005:$AE$1005,1,MATCH(COLUMNS($V$1006:W1006),$V$1006:$AE$1006,0))&gt;=100000), " ",IF(INDEX($V$2:$AE$1001,MATCH(ROWS($O$2:O716),$O$2:$O$1001,0),MATCH(COLUMNS($V$1006:W1006),$V$1006:$AE$1006,0)), HYPERLINK("#",""), HYPERLINK(CONCATENATE("#Metadata!", ADDRESS(INDEX($Q$2:$Q$1001,MATCH(ROWS($O$2:O716),$O$2:$O$1001,0),0), INDEX($V$1004:$AE$1004,1,MATCH(COLUMNS($V$1006:W1006),$V$1006:$AE$1006,0)))),"Fix")))</f>
        <v>0</v>
      </c>
      <c r="D716" s="3">
        <f>IF(OR(INDEX($P$2:$P$1001,MATCH(ROWS($O$2:O716),$O$2:$O$1001,0),1)&gt;=100000,INDEX($V$1005:$AE$1005,1,MATCH(COLUMNS($V$1006:X1006),$V$1006:$AE$1006,0))&gt;=100000), " ",IF(INDEX($V$2:$AE$1001,MATCH(ROWS($O$2:O716),$O$2:$O$1001,0),MATCH(COLUMNS($V$1006:X1006),$V$1006:$AE$1006,0)), HYPERLINK("#",""), HYPERLINK(CONCATENATE("#Metadata!", ADDRESS(INDEX($Q$2:$Q$1001,MATCH(ROWS($O$2:O716),$O$2:$O$1001,0),0), INDEX($V$1004:$AE$1004,1,MATCH(COLUMNS($V$1006:X1006),$V$1006:$AE$1006,0)))),"Fix")))</f>
        <v>0</v>
      </c>
      <c r="E716" s="3">
        <f>IF(OR(INDEX($P$2:$P$1001,MATCH(ROWS($O$2:O716),$O$2:$O$1001,0),1)&gt;=100000,INDEX($V$1005:$AE$1005,1,MATCH(COLUMNS($V$1006:Y1006),$V$1006:$AE$1006,0))&gt;=100000), " ",IF(INDEX($V$2:$AE$1001,MATCH(ROWS($O$2:O716),$O$2:$O$1001,0),MATCH(COLUMNS($V$1006:Y1006),$V$1006:$AE$1006,0)), HYPERLINK("#",""), HYPERLINK(CONCATENATE("#Metadata!", ADDRESS(INDEX($Q$2:$Q$1001,MATCH(ROWS($O$2:O716),$O$2:$O$1001,0),0), INDEX($V$1004:$AE$1004,1,MATCH(COLUMNS($V$1006:Y1006),$V$1006:$AE$1006,0)))),"Fix")))</f>
        <v>0</v>
      </c>
      <c r="F716" s="3">
        <f>IF(OR(INDEX($P$2:$P$1001,MATCH(ROWS($O$2:O716),$O$2:$O$1001,0),1)&gt;=100000,INDEX($V$1005:$AE$1005,1,MATCH(COLUMNS($V$1006:Z1006),$V$1006:$AE$1006,0))&gt;=100000), " ",IF(INDEX($V$2:$AE$1001,MATCH(ROWS($O$2:O716),$O$2:$O$1001,0),MATCH(COLUMNS($V$1006:Z1006),$V$1006:$AE$1006,0)), HYPERLINK("#",""), HYPERLINK(CONCATENATE("#Metadata!", ADDRESS(INDEX($Q$2:$Q$1001,MATCH(ROWS($O$2:O716),$O$2:$O$1001,0),0), INDEX($V$1004:$AE$1004,1,MATCH(COLUMNS($V$1006:Z1006),$V$1006:$AE$1006,0)))),"Fix")))</f>
        <v>0</v>
      </c>
      <c r="G716" s="3">
        <f>IF(OR(INDEX($P$2:$P$1001,MATCH(ROWS($O$2:O716),$O$2:$O$1001,0),1)&gt;=100000,INDEX($V$1005:$AE$1005,1,MATCH(COLUMNS($V$1006:AA1006),$V$1006:$AE$1006,0))&gt;=100000), " ",IF(INDEX($V$2:$AE$1001,MATCH(ROWS($O$2:O716),$O$2:$O$1001,0),MATCH(COLUMNS($V$1006:AA1006),$V$1006:$AE$1006,0)), HYPERLINK("#",""), HYPERLINK(CONCATENATE("#Metadata!", ADDRESS(INDEX($Q$2:$Q$1001,MATCH(ROWS($O$2:O716),$O$2:$O$1001,0),0), INDEX($V$1004:$AE$1004,1,MATCH(COLUMNS($V$1006:AA1006),$V$1006:$AE$1006,0)))),"Fix")))</f>
        <v>0</v>
      </c>
      <c r="H716" s="3">
        <f>IF(OR(INDEX($P$2:$P$1001,MATCH(ROWS($O$2:O716),$O$2:$O$1001,0),1)&gt;=100000,INDEX($V$1005:$AE$1005,1,MATCH(COLUMNS($V$1006:AB1006),$V$1006:$AE$1006,0))&gt;=100000), " ",IF(INDEX($V$2:$AE$1001,MATCH(ROWS($O$2:O716),$O$2:$O$1001,0),MATCH(COLUMNS($V$1006:AB1006),$V$1006:$AE$1006,0)), HYPERLINK("#",""), HYPERLINK(CONCATENATE("#Metadata!", ADDRESS(INDEX($Q$2:$Q$1001,MATCH(ROWS($O$2:O716),$O$2:$O$1001,0),0), INDEX($V$1004:$AE$1004,1,MATCH(COLUMNS($V$1006:AB1006),$V$1006:$AE$1006,0)))),"Fix")))</f>
        <v>0</v>
      </c>
      <c r="I716" s="3">
        <f>IF(OR(INDEX($P$2:$P$1001,MATCH(ROWS($O$2:O716),$O$2:$O$1001,0),1)&gt;=100000,INDEX($V$1005:$AE$1005,1,MATCH(COLUMNS($V$1006:AC1006),$V$1006:$AE$1006,0))&gt;=100000), " ",IF(INDEX($V$2:$AE$1001,MATCH(ROWS($O$2:O716),$O$2:$O$1001,0),MATCH(COLUMNS($V$1006:AC1006),$V$1006:$AE$1006,0)), HYPERLINK("#",""), HYPERLINK(CONCATENATE("#Metadata!", ADDRESS(INDEX($Q$2:$Q$1001,MATCH(ROWS($O$2:O716),$O$2:$O$1001,0),0), INDEX($V$1004:$AE$1004,1,MATCH(COLUMNS($V$1006:AC1006),$V$1006:$AE$1006,0)))),"Fix")))</f>
        <v>0</v>
      </c>
      <c r="J716" s="3">
        <f>IF(OR(INDEX($P$2:$P$1001,MATCH(ROWS($O$2:O716),$O$2:$O$1001,0),1)&gt;=100000,INDEX($V$1005:$AE$1005,1,MATCH(COLUMNS($V$1006:AD1006),$V$1006:$AE$1006,0))&gt;=100000), " ",IF(INDEX($V$2:$AE$1001,MATCH(ROWS($O$2:O716),$O$2:$O$1001,0),MATCH(COLUMNS($V$1006:AD1006),$V$1006:$AE$1006,0)), HYPERLINK("#",""), HYPERLINK(CONCATENATE("#Metadata!", ADDRESS(INDEX($Q$2:$Q$1001,MATCH(ROWS($O$2:O716),$O$2:$O$1001,0),0), INDEX($V$1004:$AE$1004,1,MATCH(COLUMNS($V$1006:AD1006),$V$1006:$AE$1006,0)))),"Fix")))</f>
        <v>0</v>
      </c>
      <c r="K716" s="3">
        <f>IF(OR(INDEX($P$2:$P$1001,MATCH(ROWS($O$2:O716),$O$2:$O$1001,0),1)&gt;=100000,INDEX($V$1005:$AE$1005,1,MATCH(COLUMNS($V$1006:AE1006),$V$1006:$AE$1006,0))&gt;=100000), " ",IF(INDEX($V$2:$AE$1001,MATCH(ROWS($O$2:O716),$O$2:$O$1001,0),MATCH(COLUMNS($V$1006:AE1006),$V$1006:$AE$1006,0)), HYPERLINK("#",""), HYPERLINK(CONCATENATE("#Metadata!", ADDRESS(INDEX($Q$2:$Q$1001,MATCH(ROWS($O$2:O716),$O$2:$O$1001,0),0), INDEX($V$1004:$AE$1004,1,MATCH(COLUMNS($V$1006:AE1006),$V$1006:$AE$1006,0)))),"Fix")))</f>
        <v>0</v>
      </c>
      <c r="O716">
        <v>0</v>
      </c>
      <c r="P716">
        <v>0</v>
      </c>
      <c r="Q716">
        <v>0</v>
      </c>
      <c r="R716">
        <f>IF(S716,TRUE,AND(V716:AE716))</f>
        <v>0</v>
      </c>
      <c r="S716">
        <f>COUNTBLANK(Metadata!B716:K716)=COLUMNS(Metadata!B716:K716)</f>
        <v>0</v>
      </c>
      <c r="T716">
        <v>0</v>
      </c>
      <c r="V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W716">
        <f>AND(IF(Metadata!C716="",FALSE,TRUE),exact(Metadata!C716,"animal secretion"))</f>
        <v>0</v>
      </c>
      <c r="X716">
        <f>AND(IF(Metadata!D716="",FALSE,TRUE),exact(Metadata!D716,"saliva"))</f>
        <v>0</v>
      </c>
      <c r="Y716">
        <f>AND(IF(Metadata!E716="",FALSE,TRUE),exact(Metadata!E716,"human-oral"))</f>
        <v>0</v>
      </c>
      <c r="Z716">
        <f>AND(IF(Metadata!F716="",FALSE,TRUE),exact(Metadata!F716,"UBERON:oral cavity"))</f>
        <v>0</v>
      </c>
      <c r="AA716">
        <f>AND(IF(Metadata!G716="",FALSE,TRUE),exact(Metadata!G716,"UBERON:saliva"))</f>
        <v>0</v>
      </c>
      <c r="AB716">
        <f>AND(IF(Metadata!H716="",FALSE,TRUE),exact(Metadata!H716,"UBERON:tongue"))</f>
        <v>0</v>
      </c>
      <c r="AC716">
        <f>AND(IF(Metadata!I716="",FALSE,TRUE),exact(Metadata!I716,"tongue"))</f>
        <v>0</v>
      </c>
      <c r="AD716">
        <f>AND(IF(Metadata!J716="",FALSE,TRUE),exact(Metadata!J716,"human oral metagenome"))</f>
        <v>0</v>
      </c>
      <c r="AE716">
        <f>AND(IF(Metadata!K716="",FALSE,TRUE),exact(Metadata!K716,"447426"))</f>
        <v>0</v>
      </c>
    </row>
    <row r="717" spans="1:31">
      <c r="A717" s="4">
        <f>IF(B717=" "," ",HYPERLINK(CONCATENATE("#metadata!",ADDRESS(INDEX($Q$2:$Q$1001,MATCH(ROWS($O$2:O717),$O$2:$O$1001,0),0),1)),INDEX($T$2:$T$1001,MATCH(ROWS($O$2:O717),$O$2:$O$1001,0),0)))</f>
        <v>0</v>
      </c>
      <c r="B717" s="3">
        <f>IF(OR(INDEX($P$2:$P$1001,MATCH(ROWS($O$2:O717),$O$2:$O$1001,0),1)&gt;=100000,INDEX($V$1005:$AE$1005,1,MATCH(COLUMNS($V$1006:V1006),$V$1006:$AE$1006,0))&gt;=100000), " ",IF(INDEX($V$2:$AE$1001,MATCH(ROWS($O$2:O717),$O$2:$O$1001,0),MATCH(COLUMNS($V$1006:V1006),$V$1006:$AE$1006,0)), HYPERLINK("#",""), HYPERLINK(CONCATENATE("#Metadata!", ADDRESS(INDEX($Q$2:$Q$1001,MATCH(ROWS($O$2:O717),$O$2:$O$1001,0),0), INDEX($V$1004:$AE$1004,1,MATCH(COLUMNS($V$1006:V1006),$V$1006:$AE$1006,0)))),"Fix")))</f>
        <v>0</v>
      </c>
      <c r="C717" s="3">
        <f>IF(OR(INDEX($P$2:$P$1001,MATCH(ROWS($O$2:O717),$O$2:$O$1001,0),1)&gt;=100000,INDEX($V$1005:$AE$1005,1,MATCH(COLUMNS($V$1006:W1006),$V$1006:$AE$1006,0))&gt;=100000), " ",IF(INDEX($V$2:$AE$1001,MATCH(ROWS($O$2:O717),$O$2:$O$1001,0),MATCH(COLUMNS($V$1006:W1006),$V$1006:$AE$1006,0)), HYPERLINK("#",""), HYPERLINK(CONCATENATE("#Metadata!", ADDRESS(INDEX($Q$2:$Q$1001,MATCH(ROWS($O$2:O717),$O$2:$O$1001,0),0), INDEX($V$1004:$AE$1004,1,MATCH(COLUMNS($V$1006:W1006),$V$1006:$AE$1006,0)))),"Fix")))</f>
        <v>0</v>
      </c>
      <c r="D717" s="3">
        <f>IF(OR(INDEX($P$2:$P$1001,MATCH(ROWS($O$2:O717),$O$2:$O$1001,0),1)&gt;=100000,INDEX($V$1005:$AE$1005,1,MATCH(COLUMNS($V$1006:X1006),$V$1006:$AE$1006,0))&gt;=100000), " ",IF(INDEX($V$2:$AE$1001,MATCH(ROWS($O$2:O717),$O$2:$O$1001,0),MATCH(COLUMNS($V$1006:X1006),$V$1006:$AE$1006,0)), HYPERLINK("#",""), HYPERLINK(CONCATENATE("#Metadata!", ADDRESS(INDEX($Q$2:$Q$1001,MATCH(ROWS($O$2:O717),$O$2:$O$1001,0),0), INDEX($V$1004:$AE$1004,1,MATCH(COLUMNS($V$1006:X1006),$V$1006:$AE$1006,0)))),"Fix")))</f>
        <v>0</v>
      </c>
      <c r="E717" s="3">
        <f>IF(OR(INDEX($P$2:$P$1001,MATCH(ROWS($O$2:O717),$O$2:$O$1001,0),1)&gt;=100000,INDEX($V$1005:$AE$1005,1,MATCH(COLUMNS($V$1006:Y1006),$V$1006:$AE$1006,0))&gt;=100000), " ",IF(INDEX($V$2:$AE$1001,MATCH(ROWS($O$2:O717),$O$2:$O$1001,0),MATCH(COLUMNS($V$1006:Y1006),$V$1006:$AE$1006,0)), HYPERLINK("#",""), HYPERLINK(CONCATENATE("#Metadata!", ADDRESS(INDEX($Q$2:$Q$1001,MATCH(ROWS($O$2:O717),$O$2:$O$1001,0),0), INDEX($V$1004:$AE$1004,1,MATCH(COLUMNS($V$1006:Y1006),$V$1006:$AE$1006,0)))),"Fix")))</f>
        <v>0</v>
      </c>
      <c r="F717" s="3">
        <f>IF(OR(INDEX($P$2:$P$1001,MATCH(ROWS($O$2:O717),$O$2:$O$1001,0),1)&gt;=100000,INDEX($V$1005:$AE$1005,1,MATCH(COLUMNS($V$1006:Z1006),$V$1006:$AE$1006,0))&gt;=100000), " ",IF(INDEX($V$2:$AE$1001,MATCH(ROWS($O$2:O717),$O$2:$O$1001,0),MATCH(COLUMNS($V$1006:Z1006),$V$1006:$AE$1006,0)), HYPERLINK("#",""), HYPERLINK(CONCATENATE("#Metadata!", ADDRESS(INDEX($Q$2:$Q$1001,MATCH(ROWS($O$2:O717),$O$2:$O$1001,0),0), INDEX($V$1004:$AE$1004,1,MATCH(COLUMNS($V$1006:Z1006),$V$1006:$AE$1006,0)))),"Fix")))</f>
        <v>0</v>
      </c>
      <c r="G717" s="3">
        <f>IF(OR(INDEX($P$2:$P$1001,MATCH(ROWS($O$2:O717),$O$2:$O$1001,0),1)&gt;=100000,INDEX($V$1005:$AE$1005,1,MATCH(COLUMNS($V$1006:AA1006),$V$1006:$AE$1006,0))&gt;=100000), " ",IF(INDEX($V$2:$AE$1001,MATCH(ROWS($O$2:O717),$O$2:$O$1001,0),MATCH(COLUMNS($V$1006:AA1006),$V$1006:$AE$1006,0)), HYPERLINK("#",""), HYPERLINK(CONCATENATE("#Metadata!", ADDRESS(INDEX($Q$2:$Q$1001,MATCH(ROWS($O$2:O717),$O$2:$O$1001,0),0), INDEX($V$1004:$AE$1004,1,MATCH(COLUMNS($V$1006:AA1006),$V$1006:$AE$1006,0)))),"Fix")))</f>
        <v>0</v>
      </c>
      <c r="H717" s="3">
        <f>IF(OR(INDEX($P$2:$P$1001,MATCH(ROWS($O$2:O717),$O$2:$O$1001,0),1)&gt;=100000,INDEX($V$1005:$AE$1005,1,MATCH(COLUMNS($V$1006:AB1006),$V$1006:$AE$1006,0))&gt;=100000), " ",IF(INDEX($V$2:$AE$1001,MATCH(ROWS($O$2:O717),$O$2:$O$1001,0),MATCH(COLUMNS($V$1006:AB1006),$V$1006:$AE$1006,0)), HYPERLINK("#",""), HYPERLINK(CONCATENATE("#Metadata!", ADDRESS(INDEX($Q$2:$Q$1001,MATCH(ROWS($O$2:O717),$O$2:$O$1001,0),0), INDEX($V$1004:$AE$1004,1,MATCH(COLUMNS($V$1006:AB1006),$V$1006:$AE$1006,0)))),"Fix")))</f>
        <v>0</v>
      </c>
      <c r="I717" s="3">
        <f>IF(OR(INDEX($P$2:$P$1001,MATCH(ROWS($O$2:O717),$O$2:$O$1001,0),1)&gt;=100000,INDEX($V$1005:$AE$1005,1,MATCH(COLUMNS($V$1006:AC1006),$V$1006:$AE$1006,0))&gt;=100000), " ",IF(INDEX($V$2:$AE$1001,MATCH(ROWS($O$2:O717),$O$2:$O$1001,0),MATCH(COLUMNS($V$1006:AC1006),$V$1006:$AE$1006,0)), HYPERLINK("#",""), HYPERLINK(CONCATENATE("#Metadata!", ADDRESS(INDEX($Q$2:$Q$1001,MATCH(ROWS($O$2:O717),$O$2:$O$1001,0),0), INDEX($V$1004:$AE$1004,1,MATCH(COLUMNS($V$1006:AC1006),$V$1006:$AE$1006,0)))),"Fix")))</f>
        <v>0</v>
      </c>
      <c r="J717" s="3">
        <f>IF(OR(INDEX($P$2:$P$1001,MATCH(ROWS($O$2:O717),$O$2:$O$1001,0),1)&gt;=100000,INDEX($V$1005:$AE$1005,1,MATCH(COLUMNS($V$1006:AD1006),$V$1006:$AE$1006,0))&gt;=100000), " ",IF(INDEX($V$2:$AE$1001,MATCH(ROWS($O$2:O717),$O$2:$O$1001,0),MATCH(COLUMNS($V$1006:AD1006),$V$1006:$AE$1006,0)), HYPERLINK("#",""), HYPERLINK(CONCATENATE("#Metadata!", ADDRESS(INDEX($Q$2:$Q$1001,MATCH(ROWS($O$2:O717),$O$2:$O$1001,0),0), INDEX($V$1004:$AE$1004,1,MATCH(COLUMNS($V$1006:AD1006),$V$1006:$AE$1006,0)))),"Fix")))</f>
        <v>0</v>
      </c>
      <c r="K717" s="3">
        <f>IF(OR(INDEX($P$2:$P$1001,MATCH(ROWS($O$2:O717),$O$2:$O$1001,0),1)&gt;=100000,INDEX($V$1005:$AE$1005,1,MATCH(COLUMNS($V$1006:AE1006),$V$1006:$AE$1006,0))&gt;=100000), " ",IF(INDEX($V$2:$AE$1001,MATCH(ROWS($O$2:O717),$O$2:$O$1001,0),MATCH(COLUMNS($V$1006:AE1006),$V$1006:$AE$1006,0)), HYPERLINK("#",""), HYPERLINK(CONCATENATE("#Metadata!", ADDRESS(INDEX($Q$2:$Q$1001,MATCH(ROWS($O$2:O717),$O$2:$O$1001,0),0), INDEX($V$1004:$AE$1004,1,MATCH(COLUMNS($V$1006:AE1006),$V$1006:$AE$1006,0)))),"Fix")))</f>
        <v>0</v>
      </c>
      <c r="O717">
        <v>0</v>
      </c>
      <c r="P717">
        <v>0</v>
      </c>
      <c r="Q717">
        <v>0</v>
      </c>
      <c r="R717">
        <f>IF(S717,TRUE,AND(V717:AE717))</f>
        <v>0</v>
      </c>
      <c r="S717">
        <f>COUNTBLANK(Metadata!B717:K717)=COLUMNS(Metadata!B717:K717)</f>
        <v>0</v>
      </c>
      <c r="T717">
        <v>0</v>
      </c>
      <c r="V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W717">
        <f>AND(IF(Metadata!C717="",FALSE,TRUE),exact(Metadata!C717,"animal secretion"))</f>
        <v>0</v>
      </c>
      <c r="X717">
        <f>AND(IF(Metadata!D717="",FALSE,TRUE),exact(Metadata!D717,"saliva"))</f>
        <v>0</v>
      </c>
      <c r="Y717">
        <f>AND(IF(Metadata!E717="",FALSE,TRUE),exact(Metadata!E717,"human-oral"))</f>
        <v>0</v>
      </c>
      <c r="Z717">
        <f>AND(IF(Metadata!F717="",FALSE,TRUE),exact(Metadata!F717,"UBERON:oral cavity"))</f>
        <v>0</v>
      </c>
      <c r="AA717">
        <f>AND(IF(Metadata!G717="",FALSE,TRUE),exact(Metadata!G717,"UBERON:saliva"))</f>
        <v>0</v>
      </c>
      <c r="AB717">
        <f>AND(IF(Metadata!H717="",FALSE,TRUE),exact(Metadata!H717,"UBERON:tongue"))</f>
        <v>0</v>
      </c>
      <c r="AC717">
        <f>AND(IF(Metadata!I717="",FALSE,TRUE),exact(Metadata!I717,"tongue"))</f>
        <v>0</v>
      </c>
      <c r="AD717">
        <f>AND(IF(Metadata!J717="",FALSE,TRUE),exact(Metadata!J717,"human oral metagenome"))</f>
        <v>0</v>
      </c>
      <c r="AE717">
        <f>AND(IF(Metadata!K717="",FALSE,TRUE),exact(Metadata!K717,"447426"))</f>
        <v>0</v>
      </c>
    </row>
    <row r="718" spans="1:31">
      <c r="A718" s="4">
        <f>IF(B718=" "," ",HYPERLINK(CONCATENATE("#metadata!",ADDRESS(INDEX($Q$2:$Q$1001,MATCH(ROWS($O$2:O718),$O$2:$O$1001,0),0),1)),INDEX($T$2:$T$1001,MATCH(ROWS($O$2:O718),$O$2:$O$1001,0),0)))</f>
        <v>0</v>
      </c>
      <c r="B718" s="3">
        <f>IF(OR(INDEX($P$2:$P$1001,MATCH(ROWS($O$2:O718),$O$2:$O$1001,0),1)&gt;=100000,INDEX($V$1005:$AE$1005,1,MATCH(COLUMNS($V$1006:V1006),$V$1006:$AE$1006,0))&gt;=100000), " ",IF(INDEX($V$2:$AE$1001,MATCH(ROWS($O$2:O718),$O$2:$O$1001,0),MATCH(COLUMNS($V$1006:V1006),$V$1006:$AE$1006,0)), HYPERLINK("#",""), HYPERLINK(CONCATENATE("#Metadata!", ADDRESS(INDEX($Q$2:$Q$1001,MATCH(ROWS($O$2:O718),$O$2:$O$1001,0),0), INDEX($V$1004:$AE$1004,1,MATCH(COLUMNS($V$1006:V1006),$V$1006:$AE$1006,0)))),"Fix")))</f>
        <v>0</v>
      </c>
      <c r="C718" s="3">
        <f>IF(OR(INDEX($P$2:$P$1001,MATCH(ROWS($O$2:O718),$O$2:$O$1001,0),1)&gt;=100000,INDEX($V$1005:$AE$1005,1,MATCH(COLUMNS($V$1006:W1006),$V$1006:$AE$1006,0))&gt;=100000), " ",IF(INDEX($V$2:$AE$1001,MATCH(ROWS($O$2:O718),$O$2:$O$1001,0),MATCH(COLUMNS($V$1006:W1006),$V$1006:$AE$1006,0)), HYPERLINK("#",""), HYPERLINK(CONCATENATE("#Metadata!", ADDRESS(INDEX($Q$2:$Q$1001,MATCH(ROWS($O$2:O718),$O$2:$O$1001,0),0), INDEX($V$1004:$AE$1004,1,MATCH(COLUMNS($V$1006:W1006),$V$1006:$AE$1006,0)))),"Fix")))</f>
        <v>0</v>
      </c>
      <c r="D718" s="3">
        <f>IF(OR(INDEX($P$2:$P$1001,MATCH(ROWS($O$2:O718),$O$2:$O$1001,0),1)&gt;=100000,INDEX($V$1005:$AE$1005,1,MATCH(COLUMNS($V$1006:X1006),$V$1006:$AE$1006,0))&gt;=100000), " ",IF(INDEX($V$2:$AE$1001,MATCH(ROWS($O$2:O718),$O$2:$O$1001,0),MATCH(COLUMNS($V$1006:X1006),$V$1006:$AE$1006,0)), HYPERLINK("#",""), HYPERLINK(CONCATENATE("#Metadata!", ADDRESS(INDEX($Q$2:$Q$1001,MATCH(ROWS($O$2:O718),$O$2:$O$1001,0),0), INDEX($V$1004:$AE$1004,1,MATCH(COLUMNS($V$1006:X1006),$V$1006:$AE$1006,0)))),"Fix")))</f>
        <v>0</v>
      </c>
      <c r="E718" s="3">
        <f>IF(OR(INDEX($P$2:$P$1001,MATCH(ROWS($O$2:O718),$O$2:$O$1001,0),1)&gt;=100000,INDEX($V$1005:$AE$1005,1,MATCH(COLUMNS($V$1006:Y1006),$V$1006:$AE$1006,0))&gt;=100000), " ",IF(INDEX($V$2:$AE$1001,MATCH(ROWS($O$2:O718),$O$2:$O$1001,0),MATCH(COLUMNS($V$1006:Y1006),$V$1006:$AE$1006,0)), HYPERLINK("#",""), HYPERLINK(CONCATENATE("#Metadata!", ADDRESS(INDEX($Q$2:$Q$1001,MATCH(ROWS($O$2:O718),$O$2:$O$1001,0),0), INDEX($V$1004:$AE$1004,1,MATCH(COLUMNS($V$1006:Y1006),$V$1006:$AE$1006,0)))),"Fix")))</f>
        <v>0</v>
      </c>
      <c r="F718" s="3">
        <f>IF(OR(INDEX($P$2:$P$1001,MATCH(ROWS($O$2:O718),$O$2:$O$1001,0),1)&gt;=100000,INDEX($V$1005:$AE$1005,1,MATCH(COLUMNS($V$1006:Z1006),$V$1006:$AE$1006,0))&gt;=100000), " ",IF(INDEX($V$2:$AE$1001,MATCH(ROWS($O$2:O718),$O$2:$O$1001,0),MATCH(COLUMNS($V$1006:Z1006),$V$1006:$AE$1006,0)), HYPERLINK("#",""), HYPERLINK(CONCATENATE("#Metadata!", ADDRESS(INDEX($Q$2:$Q$1001,MATCH(ROWS($O$2:O718),$O$2:$O$1001,0),0), INDEX($V$1004:$AE$1004,1,MATCH(COLUMNS($V$1006:Z1006),$V$1006:$AE$1006,0)))),"Fix")))</f>
        <v>0</v>
      </c>
      <c r="G718" s="3">
        <f>IF(OR(INDEX($P$2:$P$1001,MATCH(ROWS($O$2:O718),$O$2:$O$1001,0),1)&gt;=100000,INDEX($V$1005:$AE$1005,1,MATCH(COLUMNS($V$1006:AA1006),$V$1006:$AE$1006,0))&gt;=100000), " ",IF(INDEX($V$2:$AE$1001,MATCH(ROWS($O$2:O718),$O$2:$O$1001,0),MATCH(COLUMNS($V$1006:AA1006),$V$1006:$AE$1006,0)), HYPERLINK("#",""), HYPERLINK(CONCATENATE("#Metadata!", ADDRESS(INDEX($Q$2:$Q$1001,MATCH(ROWS($O$2:O718),$O$2:$O$1001,0),0), INDEX($V$1004:$AE$1004,1,MATCH(COLUMNS($V$1006:AA1006),$V$1006:$AE$1006,0)))),"Fix")))</f>
        <v>0</v>
      </c>
      <c r="H718" s="3">
        <f>IF(OR(INDEX($P$2:$P$1001,MATCH(ROWS($O$2:O718),$O$2:$O$1001,0),1)&gt;=100000,INDEX($V$1005:$AE$1005,1,MATCH(COLUMNS($V$1006:AB1006),$V$1006:$AE$1006,0))&gt;=100000), " ",IF(INDEX($V$2:$AE$1001,MATCH(ROWS($O$2:O718),$O$2:$O$1001,0),MATCH(COLUMNS($V$1006:AB1006),$V$1006:$AE$1006,0)), HYPERLINK("#",""), HYPERLINK(CONCATENATE("#Metadata!", ADDRESS(INDEX($Q$2:$Q$1001,MATCH(ROWS($O$2:O718),$O$2:$O$1001,0),0), INDEX($V$1004:$AE$1004,1,MATCH(COLUMNS($V$1006:AB1006),$V$1006:$AE$1006,0)))),"Fix")))</f>
        <v>0</v>
      </c>
      <c r="I718" s="3">
        <f>IF(OR(INDEX($P$2:$P$1001,MATCH(ROWS($O$2:O718),$O$2:$O$1001,0),1)&gt;=100000,INDEX($V$1005:$AE$1005,1,MATCH(COLUMNS($V$1006:AC1006),$V$1006:$AE$1006,0))&gt;=100000), " ",IF(INDEX($V$2:$AE$1001,MATCH(ROWS($O$2:O718),$O$2:$O$1001,0),MATCH(COLUMNS($V$1006:AC1006),$V$1006:$AE$1006,0)), HYPERLINK("#",""), HYPERLINK(CONCATENATE("#Metadata!", ADDRESS(INDEX($Q$2:$Q$1001,MATCH(ROWS($O$2:O718),$O$2:$O$1001,0),0), INDEX($V$1004:$AE$1004,1,MATCH(COLUMNS($V$1006:AC1006),$V$1006:$AE$1006,0)))),"Fix")))</f>
        <v>0</v>
      </c>
      <c r="J718" s="3">
        <f>IF(OR(INDEX($P$2:$P$1001,MATCH(ROWS($O$2:O718),$O$2:$O$1001,0),1)&gt;=100000,INDEX($V$1005:$AE$1005,1,MATCH(COLUMNS($V$1006:AD1006),$V$1006:$AE$1006,0))&gt;=100000), " ",IF(INDEX($V$2:$AE$1001,MATCH(ROWS($O$2:O718),$O$2:$O$1001,0),MATCH(COLUMNS($V$1006:AD1006),$V$1006:$AE$1006,0)), HYPERLINK("#",""), HYPERLINK(CONCATENATE("#Metadata!", ADDRESS(INDEX($Q$2:$Q$1001,MATCH(ROWS($O$2:O718),$O$2:$O$1001,0),0), INDEX($V$1004:$AE$1004,1,MATCH(COLUMNS($V$1006:AD1006),$V$1006:$AE$1006,0)))),"Fix")))</f>
        <v>0</v>
      </c>
      <c r="K718" s="3">
        <f>IF(OR(INDEX($P$2:$P$1001,MATCH(ROWS($O$2:O718),$O$2:$O$1001,0),1)&gt;=100000,INDEX($V$1005:$AE$1005,1,MATCH(COLUMNS($V$1006:AE1006),$V$1006:$AE$1006,0))&gt;=100000), " ",IF(INDEX($V$2:$AE$1001,MATCH(ROWS($O$2:O718),$O$2:$O$1001,0),MATCH(COLUMNS($V$1006:AE1006),$V$1006:$AE$1006,0)), HYPERLINK("#",""), HYPERLINK(CONCATENATE("#Metadata!", ADDRESS(INDEX($Q$2:$Q$1001,MATCH(ROWS($O$2:O718),$O$2:$O$1001,0),0), INDEX($V$1004:$AE$1004,1,MATCH(COLUMNS($V$1006:AE1006),$V$1006:$AE$1006,0)))),"Fix")))</f>
        <v>0</v>
      </c>
      <c r="O718">
        <v>0</v>
      </c>
      <c r="P718">
        <v>0</v>
      </c>
      <c r="Q718">
        <v>0</v>
      </c>
      <c r="R718">
        <f>IF(S718,TRUE,AND(V718:AE718))</f>
        <v>0</v>
      </c>
      <c r="S718">
        <f>COUNTBLANK(Metadata!B718:K718)=COLUMNS(Metadata!B718:K718)</f>
        <v>0</v>
      </c>
      <c r="T718">
        <v>0</v>
      </c>
      <c r="V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W718">
        <f>AND(IF(Metadata!C718="",FALSE,TRUE),exact(Metadata!C718,"animal secretion"))</f>
        <v>0</v>
      </c>
      <c r="X718">
        <f>AND(IF(Metadata!D718="",FALSE,TRUE),exact(Metadata!D718,"saliva"))</f>
        <v>0</v>
      </c>
      <c r="Y718">
        <f>AND(IF(Metadata!E718="",FALSE,TRUE),exact(Metadata!E718,"human-oral"))</f>
        <v>0</v>
      </c>
      <c r="Z718">
        <f>AND(IF(Metadata!F718="",FALSE,TRUE),exact(Metadata!F718,"UBERON:oral cavity"))</f>
        <v>0</v>
      </c>
      <c r="AA718">
        <f>AND(IF(Metadata!G718="",FALSE,TRUE),exact(Metadata!G718,"UBERON:saliva"))</f>
        <v>0</v>
      </c>
      <c r="AB718">
        <f>AND(IF(Metadata!H718="",FALSE,TRUE),exact(Metadata!H718,"UBERON:tongue"))</f>
        <v>0</v>
      </c>
      <c r="AC718">
        <f>AND(IF(Metadata!I718="",FALSE,TRUE),exact(Metadata!I718,"tongue"))</f>
        <v>0</v>
      </c>
      <c r="AD718">
        <f>AND(IF(Metadata!J718="",FALSE,TRUE),exact(Metadata!J718,"human oral metagenome"))</f>
        <v>0</v>
      </c>
      <c r="AE718">
        <f>AND(IF(Metadata!K718="",FALSE,TRUE),exact(Metadata!K718,"447426"))</f>
        <v>0</v>
      </c>
    </row>
    <row r="719" spans="1:31">
      <c r="A719" s="4">
        <f>IF(B719=" "," ",HYPERLINK(CONCATENATE("#metadata!",ADDRESS(INDEX($Q$2:$Q$1001,MATCH(ROWS($O$2:O719),$O$2:$O$1001,0),0),1)),INDEX($T$2:$T$1001,MATCH(ROWS($O$2:O719),$O$2:$O$1001,0),0)))</f>
        <v>0</v>
      </c>
      <c r="B719" s="3">
        <f>IF(OR(INDEX($P$2:$P$1001,MATCH(ROWS($O$2:O719),$O$2:$O$1001,0),1)&gt;=100000,INDEX($V$1005:$AE$1005,1,MATCH(COLUMNS($V$1006:V1006),$V$1006:$AE$1006,0))&gt;=100000), " ",IF(INDEX($V$2:$AE$1001,MATCH(ROWS($O$2:O719),$O$2:$O$1001,0),MATCH(COLUMNS($V$1006:V1006),$V$1006:$AE$1006,0)), HYPERLINK("#",""), HYPERLINK(CONCATENATE("#Metadata!", ADDRESS(INDEX($Q$2:$Q$1001,MATCH(ROWS($O$2:O719),$O$2:$O$1001,0),0), INDEX($V$1004:$AE$1004,1,MATCH(COLUMNS($V$1006:V1006),$V$1006:$AE$1006,0)))),"Fix")))</f>
        <v>0</v>
      </c>
      <c r="C719" s="3">
        <f>IF(OR(INDEX($P$2:$P$1001,MATCH(ROWS($O$2:O719),$O$2:$O$1001,0),1)&gt;=100000,INDEX($V$1005:$AE$1005,1,MATCH(COLUMNS($V$1006:W1006),$V$1006:$AE$1006,0))&gt;=100000), " ",IF(INDEX($V$2:$AE$1001,MATCH(ROWS($O$2:O719),$O$2:$O$1001,0),MATCH(COLUMNS($V$1006:W1006),$V$1006:$AE$1006,0)), HYPERLINK("#",""), HYPERLINK(CONCATENATE("#Metadata!", ADDRESS(INDEX($Q$2:$Q$1001,MATCH(ROWS($O$2:O719),$O$2:$O$1001,0),0), INDEX($V$1004:$AE$1004,1,MATCH(COLUMNS($V$1006:W1006),$V$1006:$AE$1006,0)))),"Fix")))</f>
        <v>0</v>
      </c>
      <c r="D719" s="3">
        <f>IF(OR(INDEX($P$2:$P$1001,MATCH(ROWS($O$2:O719),$O$2:$O$1001,0),1)&gt;=100000,INDEX($V$1005:$AE$1005,1,MATCH(COLUMNS($V$1006:X1006),$V$1006:$AE$1006,0))&gt;=100000), " ",IF(INDEX($V$2:$AE$1001,MATCH(ROWS($O$2:O719),$O$2:$O$1001,0),MATCH(COLUMNS($V$1006:X1006),$V$1006:$AE$1006,0)), HYPERLINK("#",""), HYPERLINK(CONCATENATE("#Metadata!", ADDRESS(INDEX($Q$2:$Q$1001,MATCH(ROWS($O$2:O719),$O$2:$O$1001,0),0), INDEX($V$1004:$AE$1004,1,MATCH(COLUMNS($V$1006:X1006),$V$1006:$AE$1006,0)))),"Fix")))</f>
        <v>0</v>
      </c>
      <c r="E719" s="3">
        <f>IF(OR(INDEX($P$2:$P$1001,MATCH(ROWS($O$2:O719),$O$2:$O$1001,0),1)&gt;=100000,INDEX($V$1005:$AE$1005,1,MATCH(COLUMNS($V$1006:Y1006),$V$1006:$AE$1006,0))&gt;=100000), " ",IF(INDEX($V$2:$AE$1001,MATCH(ROWS($O$2:O719),$O$2:$O$1001,0),MATCH(COLUMNS($V$1006:Y1006),$V$1006:$AE$1006,0)), HYPERLINK("#",""), HYPERLINK(CONCATENATE("#Metadata!", ADDRESS(INDEX($Q$2:$Q$1001,MATCH(ROWS($O$2:O719),$O$2:$O$1001,0),0), INDEX($V$1004:$AE$1004,1,MATCH(COLUMNS($V$1006:Y1006),$V$1006:$AE$1006,0)))),"Fix")))</f>
        <v>0</v>
      </c>
      <c r="F719" s="3">
        <f>IF(OR(INDEX($P$2:$P$1001,MATCH(ROWS($O$2:O719),$O$2:$O$1001,0),1)&gt;=100000,INDEX($V$1005:$AE$1005,1,MATCH(COLUMNS($V$1006:Z1006),$V$1006:$AE$1006,0))&gt;=100000), " ",IF(INDEX($V$2:$AE$1001,MATCH(ROWS($O$2:O719),$O$2:$O$1001,0),MATCH(COLUMNS($V$1006:Z1006),$V$1006:$AE$1006,0)), HYPERLINK("#",""), HYPERLINK(CONCATENATE("#Metadata!", ADDRESS(INDEX($Q$2:$Q$1001,MATCH(ROWS($O$2:O719),$O$2:$O$1001,0),0), INDEX($V$1004:$AE$1004,1,MATCH(COLUMNS($V$1006:Z1006),$V$1006:$AE$1006,0)))),"Fix")))</f>
        <v>0</v>
      </c>
      <c r="G719" s="3">
        <f>IF(OR(INDEX($P$2:$P$1001,MATCH(ROWS($O$2:O719),$O$2:$O$1001,0),1)&gt;=100000,INDEX($V$1005:$AE$1005,1,MATCH(COLUMNS($V$1006:AA1006),$V$1006:$AE$1006,0))&gt;=100000), " ",IF(INDEX($V$2:$AE$1001,MATCH(ROWS($O$2:O719),$O$2:$O$1001,0),MATCH(COLUMNS($V$1006:AA1006),$V$1006:$AE$1006,0)), HYPERLINK("#",""), HYPERLINK(CONCATENATE("#Metadata!", ADDRESS(INDEX($Q$2:$Q$1001,MATCH(ROWS($O$2:O719),$O$2:$O$1001,0),0), INDEX($V$1004:$AE$1004,1,MATCH(COLUMNS($V$1006:AA1006),$V$1006:$AE$1006,0)))),"Fix")))</f>
        <v>0</v>
      </c>
      <c r="H719" s="3">
        <f>IF(OR(INDEX($P$2:$P$1001,MATCH(ROWS($O$2:O719),$O$2:$O$1001,0),1)&gt;=100000,INDEX($V$1005:$AE$1005,1,MATCH(COLUMNS($V$1006:AB1006),$V$1006:$AE$1006,0))&gt;=100000), " ",IF(INDEX($V$2:$AE$1001,MATCH(ROWS($O$2:O719),$O$2:$O$1001,0),MATCH(COLUMNS($V$1006:AB1006),$V$1006:$AE$1006,0)), HYPERLINK("#",""), HYPERLINK(CONCATENATE("#Metadata!", ADDRESS(INDEX($Q$2:$Q$1001,MATCH(ROWS($O$2:O719),$O$2:$O$1001,0),0), INDEX($V$1004:$AE$1004,1,MATCH(COLUMNS($V$1006:AB1006),$V$1006:$AE$1006,0)))),"Fix")))</f>
        <v>0</v>
      </c>
      <c r="I719" s="3">
        <f>IF(OR(INDEX($P$2:$P$1001,MATCH(ROWS($O$2:O719),$O$2:$O$1001,0),1)&gt;=100000,INDEX($V$1005:$AE$1005,1,MATCH(COLUMNS($V$1006:AC1006),$V$1006:$AE$1006,0))&gt;=100000), " ",IF(INDEX($V$2:$AE$1001,MATCH(ROWS($O$2:O719),$O$2:$O$1001,0),MATCH(COLUMNS($V$1006:AC1006),$V$1006:$AE$1006,0)), HYPERLINK("#",""), HYPERLINK(CONCATENATE("#Metadata!", ADDRESS(INDEX($Q$2:$Q$1001,MATCH(ROWS($O$2:O719),$O$2:$O$1001,0),0), INDEX($V$1004:$AE$1004,1,MATCH(COLUMNS($V$1006:AC1006),$V$1006:$AE$1006,0)))),"Fix")))</f>
        <v>0</v>
      </c>
      <c r="J719" s="3">
        <f>IF(OR(INDEX($P$2:$P$1001,MATCH(ROWS($O$2:O719),$O$2:$O$1001,0),1)&gt;=100000,INDEX($V$1005:$AE$1005,1,MATCH(COLUMNS($V$1006:AD1006),$V$1006:$AE$1006,0))&gt;=100000), " ",IF(INDEX($V$2:$AE$1001,MATCH(ROWS($O$2:O719),$O$2:$O$1001,0),MATCH(COLUMNS($V$1006:AD1006),$V$1006:$AE$1006,0)), HYPERLINK("#",""), HYPERLINK(CONCATENATE("#Metadata!", ADDRESS(INDEX($Q$2:$Q$1001,MATCH(ROWS($O$2:O719),$O$2:$O$1001,0),0), INDEX($V$1004:$AE$1004,1,MATCH(COLUMNS($V$1006:AD1006),$V$1006:$AE$1006,0)))),"Fix")))</f>
        <v>0</v>
      </c>
      <c r="K719" s="3">
        <f>IF(OR(INDEX($P$2:$P$1001,MATCH(ROWS($O$2:O719),$O$2:$O$1001,0),1)&gt;=100000,INDEX($V$1005:$AE$1005,1,MATCH(COLUMNS($V$1006:AE1006),$V$1006:$AE$1006,0))&gt;=100000), " ",IF(INDEX($V$2:$AE$1001,MATCH(ROWS($O$2:O719),$O$2:$O$1001,0),MATCH(COLUMNS($V$1006:AE1006),$V$1006:$AE$1006,0)), HYPERLINK("#",""), HYPERLINK(CONCATENATE("#Metadata!", ADDRESS(INDEX($Q$2:$Q$1001,MATCH(ROWS($O$2:O719),$O$2:$O$1001,0),0), INDEX($V$1004:$AE$1004,1,MATCH(COLUMNS($V$1006:AE1006),$V$1006:$AE$1006,0)))),"Fix")))</f>
        <v>0</v>
      </c>
      <c r="O719">
        <v>0</v>
      </c>
      <c r="P719">
        <v>0</v>
      </c>
      <c r="Q719">
        <v>0</v>
      </c>
      <c r="R719">
        <f>IF(S719,TRUE,AND(V719:AE719))</f>
        <v>0</v>
      </c>
      <c r="S719">
        <f>COUNTBLANK(Metadata!B719:K719)=COLUMNS(Metadata!B719:K719)</f>
        <v>0</v>
      </c>
      <c r="T719">
        <v>0</v>
      </c>
      <c r="V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W719">
        <f>AND(IF(Metadata!C719="",FALSE,TRUE),exact(Metadata!C719,"animal secretion"))</f>
        <v>0</v>
      </c>
      <c r="X719">
        <f>AND(IF(Metadata!D719="",FALSE,TRUE),exact(Metadata!D719,"saliva"))</f>
        <v>0</v>
      </c>
      <c r="Y719">
        <f>AND(IF(Metadata!E719="",FALSE,TRUE),exact(Metadata!E719,"human-oral"))</f>
        <v>0</v>
      </c>
      <c r="Z719">
        <f>AND(IF(Metadata!F719="",FALSE,TRUE),exact(Metadata!F719,"UBERON:oral cavity"))</f>
        <v>0</v>
      </c>
      <c r="AA719">
        <f>AND(IF(Metadata!G719="",FALSE,TRUE),exact(Metadata!G719,"UBERON:saliva"))</f>
        <v>0</v>
      </c>
      <c r="AB719">
        <f>AND(IF(Metadata!H719="",FALSE,TRUE),exact(Metadata!H719,"UBERON:tongue"))</f>
        <v>0</v>
      </c>
      <c r="AC719">
        <f>AND(IF(Metadata!I719="",FALSE,TRUE),exact(Metadata!I719,"tongue"))</f>
        <v>0</v>
      </c>
      <c r="AD719">
        <f>AND(IF(Metadata!J719="",FALSE,TRUE),exact(Metadata!J719,"human oral metagenome"))</f>
        <v>0</v>
      </c>
      <c r="AE719">
        <f>AND(IF(Metadata!K719="",FALSE,TRUE),exact(Metadata!K719,"447426"))</f>
        <v>0</v>
      </c>
    </row>
    <row r="720" spans="1:31">
      <c r="A720" s="4">
        <f>IF(B720=" "," ",HYPERLINK(CONCATENATE("#metadata!",ADDRESS(INDEX($Q$2:$Q$1001,MATCH(ROWS($O$2:O720),$O$2:$O$1001,0),0),1)),INDEX($T$2:$T$1001,MATCH(ROWS($O$2:O720),$O$2:$O$1001,0),0)))</f>
        <v>0</v>
      </c>
      <c r="B720" s="3">
        <f>IF(OR(INDEX($P$2:$P$1001,MATCH(ROWS($O$2:O720),$O$2:$O$1001,0),1)&gt;=100000,INDEX($V$1005:$AE$1005,1,MATCH(COLUMNS($V$1006:V1006),$V$1006:$AE$1006,0))&gt;=100000), " ",IF(INDEX($V$2:$AE$1001,MATCH(ROWS($O$2:O720),$O$2:$O$1001,0),MATCH(COLUMNS($V$1006:V1006),$V$1006:$AE$1006,0)), HYPERLINK("#",""), HYPERLINK(CONCATENATE("#Metadata!", ADDRESS(INDEX($Q$2:$Q$1001,MATCH(ROWS($O$2:O720),$O$2:$O$1001,0),0), INDEX($V$1004:$AE$1004,1,MATCH(COLUMNS($V$1006:V1006),$V$1006:$AE$1006,0)))),"Fix")))</f>
        <v>0</v>
      </c>
      <c r="C720" s="3">
        <f>IF(OR(INDEX($P$2:$P$1001,MATCH(ROWS($O$2:O720),$O$2:$O$1001,0),1)&gt;=100000,INDEX($V$1005:$AE$1005,1,MATCH(COLUMNS($V$1006:W1006),$V$1006:$AE$1006,0))&gt;=100000), " ",IF(INDEX($V$2:$AE$1001,MATCH(ROWS($O$2:O720),$O$2:$O$1001,0),MATCH(COLUMNS($V$1006:W1006),$V$1006:$AE$1006,0)), HYPERLINK("#",""), HYPERLINK(CONCATENATE("#Metadata!", ADDRESS(INDEX($Q$2:$Q$1001,MATCH(ROWS($O$2:O720),$O$2:$O$1001,0),0), INDEX($V$1004:$AE$1004,1,MATCH(COLUMNS($V$1006:W1006),$V$1006:$AE$1006,0)))),"Fix")))</f>
        <v>0</v>
      </c>
      <c r="D720" s="3">
        <f>IF(OR(INDEX($P$2:$P$1001,MATCH(ROWS($O$2:O720),$O$2:$O$1001,0),1)&gt;=100000,INDEX($V$1005:$AE$1005,1,MATCH(COLUMNS($V$1006:X1006),$V$1006:$AE$1006,0))&gt;=100000), " ",IF(INDEX($V$2:$AE$1001,MATCH(ROWS($O$2:O720),$O$2:$O$1001,0),MATCH(COLUMNS($V$1006:X1006),$V$1006:$AE$1006,0)), HYPERLINK("#",""), HYPERLINK(CONCATENATE("#Metadata!", ADDRESS(INDEX($Q$2:$Q$1001,MATCH(ROWS($O$2:O720),$O$2:$O$1001,0),0), INDEX($V$1004:$AE$1004,1,MATCH(COLUMNS($V$1006:X1006),$V$1006:$AE$1006,0)))),"Fix")))</f>
        <v>0</v>
      </c>
      <c r="E720" s="3">
        <f>IF(OR(INDEX($P$2:$P$1001,MATCH(ROWS($O$2:O720),$O$2:$O$1001,0),1)&gt;=100000,INDEX($V$1005:$AE$1005,1,MATCH(COLUMNS($V$1006:Y1006),$V$1006:$AE$1006,0))&gt;=100000), " ",IF(INDEX($V$2:$AE$1001,MATCH(ROWS($O$2:O720),$O$2:$O$1001,0),MATCH(COLUMNS($V$1006:Y1006),$V$1006:$AE$1006,0)), HYPERLINK("#",""), HYPERLINK(CONCATENATE("#Metadata!", ADDRESS(INDEX($Q$2:$Q$1001,MATCH(ROWS($O$2:O720),$O$2:$O$1001,0),0), INDEX($V$1004:$AE$1004,1,MATCH(COLUMNS($V$1006:Y1006),$V$1006:$AE$1006,0)))),"Fix")))</f>
        <v>0</v>
      </c>
      <c r="F720" s="3">
        <f>IF(OR(INDEX($P$2:$P$1001,MATCH(ROWS($O$2:O720),$O$2:$O$1001,0),1)&gt;=100000,INDEX($V$1005:$AE$1005,1,MATCH(COLUMNS($V$1006:Z1006),$V$1006:$AE$1006,0))&gt;=100000), " ",IF(INDEX($V$2:$AE$1001,MATCH(ROWS($O$2:O720),$O$2:$O$1001,0),MATCH(COLUMNS($V$1006:Z1006),$V$1006:$AE$1006,0)), HYPERLINK("#",""), HYPERLINK(CONCATENATE("#Metadata!", ADDRESS(INDEX($Q$2:$Q$1001,MATCH(ROWS($O$2:O720),$O$2:$O$1001,0),0), INDEX($V$1004:$AE$1004,1,MATCH(COLUMNS($V$1006:Z1006),$V$1006:$AE$1006,0)))),"Fix")))</f>
        <v>0</v>
      </c>
      <c r="G720" s="3">
        <f>IF(OR(INDEX($P$2:$P$1001,MATCH(ROWS($O$2:O720),$O$2:$O$1001,0),1)&gt;=100000,INDEX($V$1005:$AE$1005,1,MATCH(COLUMNS($V$1006:AA1006),$V$1006:$AE$1006,0))&gt;=100000), " ",IF(INDEX($V$2:$AE$1001,MATCH(ROWS($O$2:O720),$O$2:$O$1001,0),MATCH(COLUMNS($V$1006:AA1006),$V$1006:$AE$1006,0)), HYPERLINK("#",""), HYPERLINK(CONCATENATE("#Metadata!", ADDRESS(INDEX($Q$2:$Q$1001,MATCH(ROWS($O$2:O720),$O$2:$O$1001,0),0), INDEX($V$1004:$AE$1004,1,MATCH(COLUMNS($V$1006:AA1006),$V$1006:$AE$1006,0)))),"Fix")))</f>
        <v>0</v>
      </c>
      <c r="H720" s="3">
        <f>IF(OR(INDEX($P$2:$P$1001,MATCH(ROWS($O$2:O720),$O$2:$O$1001,0),1)&gt;=100000,INDEX($V$1005:$AE$1005,1,MATCH(COLUMNS($V$1006:AB1006),$V$1006:$AE$1006,0))&gt;=100000), " ",IF(INDEX($V$2:$AE$1001,MATCH(ROWS($O$2:O720),$O$2:$O$1001,0),MATCH(COLUMNS($V$1006:AB1006),$V$1006:$AE$1006,0)), HYPERLINK("#",""), HYPERLINK(CONCATENATE("#Metadata!", ADDRESS(INDEX($Q$2:$Q$1001,MATCH(ROWS($O$2:O720),$O$2:$O$1001,0),0), INDEX($V$1004:$AE$1004,1,MATCH(COLUMNS($V$1006:AB1006),$V$1006:$AE$1006,0)))),"Fix")))</f>
        <v>0</v>
      </c>
      <c r="I720" s="3">
        <f>IF(OR(INDEX($P$2:$P$1001,MATCH(ROWS($O$2:O720),$O$2:$O$1001,0),1)&gt;=100000,INDEX($V$1005:$AE$1005,1,MATCH(COLUMNS($V$1006:AC1006),$V$1006:$AE$1006,0))&gt;=100000), " ",IF(INDEX($V$2:$AE$1001,MATCH(ROWS($O$2:O720),$O$2:$O$1001,0),MATCH(COLUMNS($V$1006:AC1006),$V$1006:$AE$1006,0)), HYPERLINK("#",""), HYPERLINK(CONCATENATE("#Metadata!", ADDRESS(INDEX($Q$2:$Q$1001,MATCH(ROWS($O$2:O720),$O$2:$O$1001,0),0), INDEX($V$1004:$AE$1004,1,MATCH(COLUMNS($V$1006:AC1006),$V$1006:$AE$1006,0)))),"Fix")))</f>
        <v>0</v>
      </c>
      <c r="J720" s="3">
        <f>IF(OR(INDEX($P$2:$P$1001,MATCH(ROWS($O$2:O720),$O$2:$O$1001,0),1)&gt;=100000,INDEX($V$1005:$AE$1005,1,MATCH(COLUMNS($V$1006:AD1006),$V$1006:$AE$1006,0))&gt;=100000), " ",IF(INDEX($V$2:$AE$1001,MATCH(ROWS($O$2:O720),$O$2:$O$1001,0),MATCH(COLUMNS($V$1006:AD1006),$V$1006:$AE$1006,0)), HYPERLINK("#",""), HYPERLINK(CONCATENATE("#Metadata!", ADDRESS(INDEX($Q$2:$Q$1001,MATCH(ROWS($O$2:O720),$O$2:$O$1001,0),0), INDEX($V$1004:$AE$1004,1,MATCH(COLUMNS($V$1006:AD1006),$V$1006:$AE$1006,0)))),"Fix")))</f>
        <v>0</v>
      </c>
      <c r="K720" s="3">
        <f>IF(OR(INDEX($P$2:$P$1001,MATCH(ROWS($O$2:O720),$O$2:$O$1001,0),1)&gt;=100000,INDEX($V$1005:$AE$1005,1,MATCH(COLUMNS($V$1006:AE1006),$V$1006:$AE$1006,0))&gt;=100000), " ",IF(INDEX($V$2:$AE$1001,MATCH(ROWS($O$2:O720),$O$2:$O$1001,0),MATCH(COLUMNS($V$1006:AE1006),$V$1006:$AE$1006,0)), HYPERLINK("#",""), HYPERLINK(CONCATENATE("#Metadata!", ADDRESS(INDEX($Q$2:$Q$1001,MATCH(ROWS($O$2:O720),$O$2:$O$1001,0),0), INDEX($V$1004:$AE$1004,1,MATCH(COLUMNS($V$1006:AE1006),$V$1006:$AE$1006,0)))),"Fix")))</f>
        <v>0</v>
      </c>
      <c r="O720">
        <v>0</v>
      </c>
      <c r="P720">
        <v>0</v>
      </c>
      <c r="Q720">
        <v>0</v>
      </c>
      <c r="R720">
        <f>IF(S720,TRUE,AND(V720:AE720))</f>
        <v>0</v>
      </c>
      <c r="S720">
        <f>COUNTBLANK(Metadata!B720:K720)=COLUMNS(Metadata!B720:K720)</f>
        <v>0</v>
      </c>
      <c r="T720">
        <v>0</v>
      </c>
      <c r="V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W720">
        <f>AND(IF(Metadata!C720="",FALSE,TRUE),exact(Metadata!C720,"animal secretion"))</f>
        <v>0</v>
      </c>
      <c r="X720">
        <f>AND(IF(Metadata!D720="",FALSE,TRUE),exact(Metadata!D720,"saliva"))</f>
        <v>0</v>
      </c>
      <c r="Y720">
        <f>AND(IF(Metadata!E720="",FALSE,TRUE),exact(Metadata!E720,"human-oral"))</f>
        <v>0</v>
      </c>
      <c r="Z720">
        <f>AND(IF(Metadata!F720="",FALSE,TRUE),exact(Metadata!F720,"UBERON:oral cavity"))</f>
        <v>0</v>
      </c>
      <c r="AA720">
        <f>AND(IF(Metadata!G720="",FALSE,TRUE),exact(Metadata!G720,"UBERON:saliva"))</f>
        <v>0</v>
      </c>
      <c r="AB720">
        <f>AND(IF(Metadata!H720="",FALSE,TRUE),exact(Metadata!H720,"UBERON:tongue"))</f>
        <v>0</v>
      </c>
      <c r="AC720">
        <f>AND(IF(Metadata!I720="",FALSE,TRUE),exact(Metadata!I720,"tongue"))</f>
        <v>0</v>
      </c>
      <c r="AD720">
        <f>AND(IF(Metadata!J720="",FALSE,TRUE),exact(Metadata!J720,"human oral metagenome"))</f>
        <v>0</v>
      </c>
      <c r="AE720">
        <f>AND(IF(Metadata!K720="",FALSE,TRUE),exact(Metadata!K720,"447426"))</f>
        <v>0</v>
      </c>
    </row>
    <row r="721" spans="1:31">
      <c r="A721" s="4">
        <f>IF(B721=" "," ",HYPERLINK(CONCATENATE("#metadata!",ADDRESS(INDEX($Q$2:$Q$1001,MATCH(ROWS($O$2:O721),$O$2:$O$1001,0),0),1)),INDEX($T$2:$T$1001,MATCH(ROWS($O$2:O721),$O$2:$O$1001,0),0)))</f>
        <v>0</v>
      </c>
      <c r="B721" s="3">
        <f>IF(OR(INDEX($P$2:$P$1001,MATCH(ROWS($O$2:O721),$O$2:$O$1001,0),1)&gt;=100000,INDEX($V$1005:$AE$1005,1,MATCH(COLUMNS($V$1006:V1006),$V$1006:$AE$1006,0))&gt;=100000), " ",IF(INDEX($V$2:$AE$1001,MATCH(ROWS($O$2:O721),$O$2:$O$1001,0),MATCH(COLUMNS($V$1006:V1006),$V$1006:$AE$1006,0)), HYPERLINK("#",""), HYPERLINK(CONCATENATE("#Metadata!", ADDRESS(INDEX($Q$2:$Q$1001,MATCH(ROWS($O$2:O721),$O$2:$O$1001,0),0), INDEX($V$1004:$AE$1004,1,MATCH(COLUMNS($V$1006:V1006),$V$1006:$AE$1006,0)))),"Fix")))</f>
        <v>0</v>
      </c>
      <c r="C721" s="3">
        <f>IF(OR(INDEX($P$2:$P$1001,MATCH(ROWS($O$2:O721),$O$2:$O$1001,0),1)&gt;=100000,INDEX($V$1005:$AE$1005,1,MATCH(COLUMNS($V$1006:W1006),$V$1006:$AE$1006,0))&gt;=100000), " ",IF(INDEX($V$2:$AE$1001,MATCH(ROWS($O$2:O721),$O$2:$O$1001,0),MATCH(COLUMNS($V$1006:W1006),$V$1006:$AE$1006,0)), HYPERLINK("#",""), HYPERLINK(CONCATENATE("#Metadata!", ADDRESS(INDEX($Q$2:$Q$1001,MATCH(ROWS($O$2:O721),$O$2:$O$1001,0),0), INDEX($V$1004:$AE$1004,1,MATCH(COLUMNS($V$1006:W1006),$V$1006:$AE$1006,0)))),"Fix")))</f>
        <v>0</v>
      </c>
      <c r="D721" s="3">
        <f>IF(OR(INDEX($P$2:$P$1001,MATCH(ROWS($O$2:O721),$O$2:$O$1001,0),1)&gt;=100000,INDEX($V$1005:$AE$1005,1,MATCH(COLUMNS($V$1006:X1006),$V$1006:$AE$1006,0))&gt;=100000), " ",IF(INDEX($V$2:$AE$1001,MATCH(ROWS($O$2:O721),$O$2:$O$1001,0),MATCH(COLUMNS($V$1006:X1006),$V$1006:$AE$1006,0)), HYPERLINK("#",""), HYPERLINK(CONCATENATE("#Metadata!", ADDRESS(INDEX($Q$2:$Q$1001,MATCH(ROWS($O$2:O721),$O$2:$O$1001,0),0), INDEX($V$1004:$AE$1004,1,MATCH(COLUMNS($V$1006:X1006),$V$1006:$AE$1006,0)))),"Fix")))</f>
        <v>0</v>
      </c>
      <c r="E721" s="3">
        <f>IF(OR(INDEX($P$2:$P$1001,MATCH(ROWS($O$2:O721),$O$2:$O$1001,0),1)&gt;=100000,INDEX($V$1005:$AE$1005,1,MATCH(COLUMNS($V$1006:Y1006),$V$1006:$AE$1006,0))&gt;=100000), " ",IF(INDEX($V$2:$AE$1001,MATCH(ROWS($O$2:O721),$O$2:$O$1001,0),MATCH(COLUMNS($V$1006:Y1006),$V$1006:$AE$1006,0)), HYPERLINK("#",""), HYPERLINK(CONCATENATE("#Metadata!", ADDRESS(INDEX($Q$2:$Q$1001,MATCH(ROWS($O$2:O721),$O$2:$O$1001,0),0), INDEX($V$1004:$AE$1004,1,MATCH(COLUMNS($V$1006:Y1006),$V$1006:$AE$1006,0)))),"Fix")))</f>
        <v>0</v>
      </c>
      <c r="F721" s="3">
        <f>IF(OR(INDEX($P$2:$P$1001,MATCH(ROWS($O$2:O721),$O$2:$O$1001,0),1)&gt;=100000,INDEX($V$1005:$AE$1005,1,MATCH(COLUMNS($V$1006:Z1006),$V$1006:$AE$1006,0))&gt;=100000), " ",IF(INDEX($V$2:$AE$1001,MATCH(ROWS($O$2:O721),$O$2:$O$1001,0),MATCH(COLUMNS($V$1006:Z1006),$V$1006:$AE$1006,0)), HYPERLINK("#",""), HYPERLINK(CONCATENATE("#Metadata!", ADDRESS(INDEX($Q$2:$Q$1001,MATCH(ROWS($O$2:O721),$O$2:$O$1001,0),0), INDEX($V$1004:$AE$1004,1,MATCH(COLUMNS($V$1006:Z1006),$V$1006:$AE$1006,0)))),"Fix")))</f>
        <v>0</v>
      </c>
      <c r="G721" s="3">
        <f>IF(OR(INDEX($P$2:$P$1001,MATCH(ROWS($O$2:O721),$O$2:$O$1001,0),1)&gt;=100000,INDEX($V$1005:$AE$1005,1,MATCH(COLUMNS($V$1006:AA1006),$V$1006:$AE$1006,0))&gt;=100000), " ",IF(INDEX($V$2:$AE$1001,MATCH(ROWS($O$2:O721),$O$2:$O$1001,0),MATCH(COLUMNS($V$1006:AA1006),$V$1006:$AE$1006,0)), HYPERLINK("#",""), HYPERLINK(CONCATENATE("#Metadata!", ADDRESS(INDEX($Q$2:$Q$1001,MATCH(ROWS($O$2:O721),$O$2:$O$1001,0),0), INDEX($V$1004:$AE$1004,1,MATCH(COLUMNS($V$1006:AA1006),$V$1006:$AE$1006,0)))),"Fix")))</f>
        <v>0</v>
      </c>
      <c r="H721" s="3">
        <f>IF(OR(INDEX($P$2:$P$1001,MATCH(ROWS($O$2:O721),$O$2:$O$1001,0),1)&gt;=100000,INDEX($V$1005:$AE$1005,1,MATCH(COLUMNS($V$1006:AB1006),$V$1006:$AE$1006,0))&gt;=100000), " ",IF(INDEX($V$2:$AE$1001,MATCH(ROWS($O$2:O721),$O$2:$O$1001,0),MATCH(COLUMNS($V$1006:AB1006),$V$1006:$AE$1006,0)), HYPERLINK("#",""), HYPERLINK(CONCATENATE("#Metadata!", ADDRESS(INDEX($Q$2:$Q$1001,MATCH(ROWS($O$2:O721),$O$2:$O$1001,0),0), INDEX($V$1004:$AE$1004,1,MATCH(COLUMNS($V$1006:AB1006),$V$1006:$AE$1006,0)))),"Fix")))</f>
        <v>0</v>
      </c>
      <c r="I721" s="3">
        <f>IF(OR(INDEX($P$2:$P$1001,MATCH(ROWS($O$2:O721),$O$2:$O$1001,0),1)&gt;=100000,INDEX($V$1005:$AE$1005,1,MATCH(COLUMNS($V$1006:AC1006),$V$1006:$AE$1006,0))&gt;=100000), " ",IF(INDEX($V$2:$AE$1001,MATCH(ROWS($O$2:O721),$O$2:$O$1001,0),MATCH(COLUMNS($V$1006:AC1006),$V$1006:$AE$1006,0)), HYPERLINK("#",""), HYPERLINK(CONCATENATE("#Metadata!", ADDRESS(INDEX($Q$2:$Q$1001,MATCH(ROWS($O$2:O721),$O$2:$O$1001,0),0), INDEX($V$1004:$AE$1004,1,MATCH(COLUMNS($V$1006:AC1006),$V$1006:$AE$1006,0)))),"Fix")))</f>
        <v>0</v>
      </c>
      <c r="J721" s="3">
        <f>IF(OR(INDEX($P$2:$P$1001,MATCH(ROWS($O$2:O721),$O$2:$O$1001,0),1)&gt;=100000,INDEX($V$1005:$AE$1005,1,MATCH(COLUMNS($V$1006:AD1006),$V$1006:$AE$1006,0))&gt;=100000), " ",IF(INDEX($V$2:$AE$1001,MATCH(ROWS($O$2:O721),$O$2:$O$1001,0),MATCH(COLUMNS($V$1006:AD1006),$V$1006:$AE$1006,0)), HYPERLINK("#",""), HYPERLINK(CONCATENATE("#Metadata!", ADDRESS(INDEX($Q$2:$Q$1001,MATCH(ROWS($O$2:O721),$O$2:$O$1001,0),0), INDEX($V$1004:$AE$1004,1,MATCH(COLUMNS($V$1006:AD1006),$V$1006:$AE$1006,0)))),"Fix")))</f>
        <v>0</v>
      </c>
      <c r="K721" s="3">
        <f>IF(OR(INDEX($P$2:$P$1001,MATCH(ROWS($O$2:O721),$O$2:$O$1001,0),1)&gt;=100000,INDEX($V$1005:$AE$1005,1,MATCH(COLUMNS($V$1006:AE1006),$V$1006:$AE$1006,0))&gt;=100000), " ",IF(INDEX($V$2:$AE$1001,MATCH(ROWS($O$2:O721),$O$2:$O$1001,0),MATCH(COLUMNS($V$1006:AE1006),$V$1006:$AE$1006,0)), HYPERLINK("#",""), HYPERLINK(CONCATENATE("#Metadata!", ADDRESS(INDEX($Q$2:$Q$1001,MATCH(ROWS($O$2:O721),$O$2:$O$1001,0),0), INDEX($V$1004:$AE$1004,1,MATCH(COLUMNS($V$1006:AE1006),$V$1006:$AE$1006,0)))),"Fix")))</f>
        <v>0</v>
      </c>
      <c r="O721">
        <v>0</v>
      </c>
      <c r="P721">
        <v>0</v>
      </c>
      <c r="Q721">
        <v>0</v>
      </c>
      <c r="R721">
        <f>IF(S721,TRUE,AND(V721:AE721))</f>
        <v>0</v>
      </c>
      <c r="S721">
        <f>COUNTBLANK(Metadata!B721:K721)=COLUMNS(Metadata!B721:K721)</f>
        <v>0</v>
      </c>
      <c r="T721">
        <v>0</v>
      </c>
      <c r="V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W721">
        <f>AND(IF(Metadata!C721="",FALSE,TRUE),exact(Metadata!C721,"animal secretion"))</f>
        <v>0</v>
      </c>
      <c r="X721">
        <f>AND(IF(Metadata!D721="",FALSE,TRUE),exact(Metadata!D721,"saliva"))</f>
        <v>0</v>
      </c>
      <c r="Y721">
        <f>AND(IF(Metadata!E721="",FALSE,TRUE),exact(Metadata!E721,"human-oral"))</f>
        <v>0</v>
      </c>
      <c r="Z721">
        <f>AND(IF(Metadata!F721="",FALSE,TRUE),exact(Metadata!F721,"UBERON:oral cavity"))</f>
        <v>0</v>
      </c>
      <c r="AA721">
        <f>AND(IF(Metadata!G721="",FALSE,TRUE),exact(Metadata!G721,"UBERON:saliva"))</f>
        <v>0</v>
      </c>
      <c r="AB721">
        <f>AND(IF(Metadata!H721="",FALSE,TRUE),exact(Metadata!H721,"UBERON:tongue"))</f>
        <v>0</v>
      </c>
      <c r="AC721">
        <f>AND(IF(Metadata!I721="",FALSE,TRUE),exact(Metadata!I721,"tongue"))</f>
        <v>0</v>
      </c>
      <c r="AD721">
        <f>AND(IF(Metadata!J721="",FALSE,TRUE),exact(Metadata!J721,"human oral metagenome"))</f>
        <v>0</v>
      </c>
      <c r="AE721">
        <f>AND(IF(Metadata!K721="",FALSE,TRUE),exact(Metadata!K721,"447426"))</f>
        <v>0</v>
      </c>
    </row>
    <row r="722" spans="1:31">
      <c r="A722" s="4">
        <f>IF(B722=" "," ",HYPERLINK(CONCATENATE("#metadata!",ADDRESS(INDEX($Q$2:$Q$1001,MATCH(ROWS($O$2:O722),$O$2:$O$1001,0),0),1)),INDEX($T$2:$T$1001,MATCH(ROWS($O$2:O722),$O$2:$O$1001,0),0)))</f>
        <v>0</v>
      </c>
      <c r="B722" s="3">
        <f>IF(OR(INDEX($P$2:$P$1001,MATCH(ROWS($O$2:O722),$O$2:$O$1001,0),1)&gt;=100000,INDEX($V$1005:$AE$1005,1,MATCH(COLUMNS($V$1006:V1006),$V$1006:$AE$1006,0))&gt;=100000), " ",IF(INDEX($V$2:$AE$1001,MATCH(ROWS($O$2:O722),$O$2:$O$1001,0),MATCH(COLUMNS($V$1006:V1006),$V$1006:$AE$1006,0)), HYPERLINK("#",""), HYPERLINK(CONCATENATE("#Metadata!", ADDRESS(INDEX($Q$2:$Q$1001,MATCH(ROWS($O$2:O722),$O$2:$O$1001,0),0), INDEX($V$1004:$AE$1004,1,MATCH(COLUMNS($V$1006:V1006),$V$1006:$AE$1006,0)))),"Fix")))</f>
        <v>0</v>
      </c>
      <c r="C722" s="3">
        <f>IF(OR(INDEX($P$2:$P$1001,MATCH(ROWS($O$2:O722),$O$2:$O$1001,0),1)&gt;=100000,INDEX($V$1005:$AE$1005,1,MATCH(COLUMNS($V$1006:W1006),$V$1006:$AE$1006,0))&gt;=100000), " ",IF(INDEX($V$2:$AE$1001,MATCH(ROWS($O$2:O722),$O$2:$O$1001,0),MATCH(COLUMNS($V$1006:W1006),$V$1006:$AE$1006,0)), HYPERLINK("#",""), HYPERLINK(CONCATENATE("#Metadata!", ADDRESS(INDEX($Q$2:$Q$1001,MATCH(ROWS($O$2:O722),$O$2:$O$1001,0),0), INDEX($V$1004:$AE$1004,1,MATCH(COLUMNS($V$1006:W1006),$V$1006:$AE$1006,0)))),"Fix")))</f>
        <v>0</v>
      </c>
      <c r="D722" s="3">
        <f>IF(OR(INDEX($P$2:$P$1001,MATCH(ROWS($O$2:O722),$O$2:$O$1001,0),1)&gt;=100000,INDEX($V$1005:$AE$1005,1,MATCH(COLUMNS($V$1006:X1006),$V$1006:$AE$1006,0))&gt;=100000), " ",IF(INDEX($V$2:$AE$1001,MATCH(ROWS($O$2:O722),$O$2:$O$1001,0),MATCH(COLUMNS($V$1006:X1006),$V$1006:$AE$1006,0)), HYPERLINK("#",""), HYPERLINK(CONCATENATE("#Metadata!", ADDRESS(INDEX($Q$2:$Q$1001,MATCH(ROWS($O$2:O722),$O$2:$O$1001,0),0), INDEX($V$1004:$AE$1004,1,MATCH(COLUMNS($V$1006:X1006),$V$1006:$AE$1006,0)))),"Fix")))</f>
        <v>0</v>
      </c>
      <c r="E722" s="3">
        <f>IF(OR(INDEX($P$2:$P$1001,MATCH(ROWS($O$2:O722),$O$2:$O$1001,0),1)&gt;=100000,INDEX($V$1005:$AE$1005,1,MATCH(COLUMNS($V$1006:Y1006),$V$1006:$AE$1006,0))&gt;=100000), " ",IF(INDEX($V$2:$AE$1001,MATCH(ROWS($O$2:O722),$O$2:$O$1001,0),MATCH(COLUMNS($V$1006:Y1006),$V$1006:$AE$1006,0)), HYPERLINK("#",""), HYPERLINK(CONCATENATE("#Metadata!", ADDRESS(INDEX($Q$2:$Q$1001,MATCH(ROWS($O$2:O722),$O$2:$O$1001,0),0), INDEX($V$1004:$AE$1004,1,MATCH(COLUMNS($V$1006:Y1006),$V$1006:$AE$1006,0)))),"Fix")))</f>
        <v>0</v>
      </c>
      <c r="F722" s="3">
        <f>IF(OR(INDEX($P$2:$P$1001,MATCH(ROWS($O$2:O722),$O$2:$O$1001,0),1)&gt;=100000,INDEX($V$1005:$AE$1005,1,MATCH(COLUMNS($V$1006:Z1006),$V$1006:$AE$1006,0))&gt;=100000), " ",IF(INDEX($V$2:$AE$1001,MATCH(ROWS($O$2:O722),$O$2:$O$1001,0),MATCH(COLUMNS($V$1006:Z1006),$V$1006:$AE$1006,0)), HYPERLINK("#",""), HYPERLINK(CONCATENATE("#Metadata!", ADDRESS(INDEX($Q$2:$Q$1001,MATCH(ROWS($O$2:O722),$O$2:$O$1001,0),0), INDEX($V$1004:$AE$1004,1,MATCH(COLUMNS($V$1006:Z1006),$V$1006:$AE$1006,0)))),"Fix")))</f>
        <v>0</v>
      </c>
      <c r="G722" s="3">
        <f>IF(OR(INDEX($P$2:$P$1001,MATCH(ROWS($O$2:O722),$O$2:$O$1001,0),1)&gt;=100000,INDEX($V$1005:$AE$1005,1,MATCH(COLUMNS($V$1006:AA1006),$V$1006:$AE$1006,0))&gt;=100000), " ",IF(INDEX($V$2:$AE$1001,MATCH(ROWS($O$2:O722),$O$2:$O$1001,0),MATCH(COLUMNS($V$1006:AA1006),$V$1006:$AE$1006,0)), HYPERLINK("#",""), HYPERLINK(CONCATENATE("#Metadata!", ADDRESS(INDEX($Q$2:$Q$1001,MATCH(ROWS($O$2:O722),$O$2:$O$1001,0),0), INDEX($V$1004:$AE$1004,1,MATCH(COLUMNS($V$1006:AA1006),$V$1006:$AE$1006,0)))),"Fix")))</f>
        <v>0</v>
      </c>
      <c r="H722" s="3">
        <f>IF(OR(INDEX($P$2:$P$1001,MATCH(ROWS($O$2:O722),$O$2:$O$1001,0),1)&gt;=100000,INDEX($V$1005:$AE$1005,1,MATCH(COLUMNS($V$1006:AB1006),$V$1006:$AE$1006,0))&gt;=100000), " ",IF(INDEX($V$2:$AE$1001,MATCH(ROWS($O$2:O722),$O$2:$O$1001,0),MATCH(COLUMNS($V$1006:AB1006),$V$1006:$AE$1006,0)), HYPERLINK("#",""), HYPERLINK(CONCATENATE("#Metadata!", ADDRESS(INDEX($Q$2:$Q$1001,MATCH(ROWS($O$2:O722),$O$2:$O$1001,0),0), INDEX($V$1004:$AE$1004,1,MATCH(COLUMNS($V$1006:AB1006),$V$1006:$AE$1006,0)))),"Fix")))</f>
        <v>0</v>
      </c>
      <c r="I722" s="3">
        <f>IF(OR(INDEX($P$2:$P$1001,MATCH(ROWS($O$2:O722),$O$2:$O$1001,0),1)&gt;=100000,INDEX($V$1005:$AE$1005,1,MATCH(COLUMNS($V$1006:AC1006),$V$1006:$AE$1006,0))&gt;=100000), " ",IF(INDEX($V$2:$AE$1001,MATCH(ROWS($O$2:O722),$O$2:$O$1001,0),MATCH(COLUMNS($V$1006:AC1006),$V$1006:$AE$1006,0)), HYPERLINK("#",""), HYPERLINK(CONCATENATE("#Metadata!", ADDRESS(INDEX($Q$2:$Q$1001,MATCH(ROWS($O$2:O722),$O$2:$O$1001,0),0), INDEX($V$1004:$AE$1004,1,MATCH(COLUMNS($V$1006:AC1006),$V$1006:$AE$1006,0)))),"Fix")))</f>
        <v>0</v>
      </c>
      <c r="J722" s="3">
        <f>IF(OR(INDEX($P$2:$P$1001,MATCH(ROWS($O$2:O722),$O$2:$O$1001,0),1)&gt;=100000,INDEX($V$1005:$AE$1005,1,MATCH(COLUMNS($V$1006:AD1006),$V$1006:$AE$1006,0))&gt;=100000), " ",IF(INDEX($V$2:$AE$1001,MATCH(ROWS($O$2:O722),$O$2:$O$1001,0),MATCH(COLUMNS($V$1006:AD1006),$V$1006:$AE$1006,0)), HYPERLINK("#",""), HYPERLINK(CONCATENATE("#Metadata!", ADDRESS(INDEX($Q$2:$Q$1001,MATCH(ROWS($O$2:O722),$O$2:$O$1001,0),0), INDEX($V$1004:$AE$1004,1,MATCH(COLUMNS($V$1006:AD1006),$V$1006:$AE$1006,0)))),"Fix")))</f>
        <v>0</v>
      </c>
      <c r="K722" s="3">
        <f>IF(OR(INDEX($P$2:$P$1001,MATCH(ROWS($O$2:O722),$O$2:$O$1001,0),1)&gt;=100000,INDEX($V$1005:$AE$1005,1,MATCH(COLUMNS($V$1006:AE1006),$V$1006:$AE$1006,0))&gt;=100000), " ",IF(INDEX($V$2:$AE$1001,MATCH(ROWS($O$2:O722),$O$2:$O$1001,0),MATCH(COLUMNS($V$1006:AE1006),$V$1006:$AE$1006,0)), HYPERLINK("#",""), HYPERLINK(CONCATENATE("#Metadata!", ADDRESS(INDEX($Q$2:$Q$1001,MATCH(ROWS($O$2:O722),$O$2:$O$1001,0),0), INDEX($V$1004:$AE$1004,1,MATCH(COLUMNS($V$1006:AE1006),$V$1006:$AE$1006,0)))),"Fix")))</f>
        <v>0</v>
      </c>
      <c r="O722">
        <v>0</v>
      </c>
      <c r="P722">
        <v>0</v>
      </c>
      <c r="Q722">
        <v>0</v>
      </c>
      <c r="R722">
        <f>IF(S722,TRUE,AND(V722:AE722))</f>
        <v>0</v>
      </c>
      <c r="S722">
        <f>COUNTBLANK(Metadata!B722:K722)=COLUMNS(Metadata!B722:K722)</f>
        <v>0</v>
      </c>
      <c r="T722">
        <v>0</v>
      </c>
      <c r="V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W722">
        <f>AND(IF(Metadata!C722="",FALSE,TRUE),exact(Metadata!C722,"animal secretion"))</f>
        <v>0</v>
      </c>
      <c r="X722">
        <f>AND(IF(Metadata!D722="",FALSE,TRUE),exact(Metadata!D722,"saliva"))</f>
        <v>0</v>
      </c>
      <c r="Y722">
        <f>AND(IF(Metadata!E722="",FALSE,TRUE),exact(Metadata!E722,"human-oral"))</f>
        <v>0</v>
      </c>
      <c r="Z722">
        <f>AND(IF(Metadata!F722="",FALSE,TRUE),exact(Metadata!F722,"UBERON:oral cavity"))</f>
        <v>0</v>
      </c>
      <c r="AA722">
        <f>AND(IF(Metadata!G722="",FALSE,TRUE),exact(Metadata!G722,"UBERON:saliva"))</f>
        <v>0</v>
      </c>
      <c r="AB722">
        <f>AND(IF(Metadata!H722="",FALSE,TRUE),exact(Metadata!H722,"UBERON:tongue"))</f>
        <v>0</v>
      </c>
      <c r="AC722">
        <f>AND(IF(Metadata!I722="",FALSE,TRUE),exact(Metadata!I722,"tongue"))</f>
        <v>0</v>
      </c>
      <c r="AD722">
        <f>AND(IF(Metadata!J722="",FALSE,TRUE),exact(Metadata!J722,"human oral metagenome"))</f>
        <v>0</v>
      </c>
      <c r="AE722">
        <f>AND(IF(Metadata!K722="",FALSE,TRUE),exact(Metadata!K722,"447426"))</f>
        <v>0</v>
      </c>
    </row>
    <row r="723" spans="1:31">
      <c r="A723" s="4">
        <f>IF(B723=" "," ",HYPERLINK(CONCATENATE("#metadata!",ADDRESS(INDEX($Q$2:$Q$1001,MATCH(ROWS($O$2:O723),$O$2:$O$1001,0),0),1)),INDEX($T$2:$T$1001,MATCH(ROWS($O$2:O723),$O$2:$O$1001,0),0)))</f>
        <v>0</v>
      </c>
      <c r="B723" s="3">
        <f>IF(OR(INDEX($P$2:$P$1001,MATCH(ROWS($O$2:O723),$O$2:$O$1001,0),1)&gt;=100000,INDEX($V$1005:$AE$1005,1,MATCH(COLUMNS($V$1006:V1006),$V$1006:$AE$1006,0))&gt;=100000), " ",IF(INDEX($V$2:$AE$1001,MATCH(ROWS($O$2:O723),$O$2:$O$1001,0),MATCH(COLUMNS($V$1006:V1006),$V$1006:$AE$1006,0)), HYPERLINK("#",""), HYPERLINK(CONCATENATE("#Metadata!", ADDRESS(INDEX($Q$2:$Q$1001,MATCH(ROWS($O$2:O723),$O$2:$O$1001,0),0), INDEX($V$1004:$AE$1004,1,MATCH(COLUMNS($V$1006:V1006),$V$1006:$AE$1006,0)))),"Fix")))</f>
        <v>0</v>
      </c>
      <c r="C723" s="3">
        <f>IF(OR(INDEX($P$2:$P$1001,MATCH(ROWS($O$2:O723),$O$2:$O$1001,0),1)&gt;=100000,INDEX($V$1005:$AE$1005,1,MATCH(COLUMNS($V$1006:W1006),$V$1006:$AE$1006,0))&gt;=100000), " ",IF(INDEX($V$2:$AE$1001,MATCH(ROWS($O$2:O723),$O$2:$O$1001,0),MATCH(COLUMNS($V$1006:W1006),$V$1006:$AE$1006,0)), HYPERLINK("#",""), HYPERLINK(CONCATENATE("#Metadata!", ADDRESS(INDEX($Q$2:$Q$1001,MATCH(ROWS($O$2:O723),$O$2:$O$1001,0),0), INDEX($V$1004:$AE$1004,1,MATCH(COLUMNS($V$1006:W1006),$V$1006:$AE$1006,0)))),"Fix")))</f>
        <v>0</v>
      </c>
      <c r="D723" s="3">
        <f>IF(OR(INDEX($P$2:$P$1001,MATCH(ROWS($O$2:O723),$O$2:$O$1001,0),1)&gt;=100000,INDEX($V$1005:$AE$1005,1,MATCH(COLUMNS($V$1006:X1006),$V$1006:$AE$1006,0))&gt;=100000), " ",IF(INDEX($V$2:$AE$1001,MATCH(ROWS($O$2:O723),$O$2:$O$1001,0),MATCH(COLUMNS($V$1006:X1006),$V$1006:$AE$1006,0)), HYPERLINK("#",""), HYPERLINK(CONCATENATE("#Metadata!", ADDRESS(INDEX($Q$2:$Q$1001,MATCH(ROWS($O$2:O723),$O$2:$O$1001,0),0), INDEX($V$1004:$AE$1004,1,MATCH(COLUMNS($V$1006:X1006),$V$1006:$AE$1006,0)))),"Fix")))</f>
        <v>0</v>
      </c>
      <c r="E723" s="3">
        <f>IF(OR(INDEX($P$2:$P$1001,MATCH(ROWS($O$2:O723),$O$2:$O$1001,0),1)&gt;=100000,INDEX($V$1005:$AE$1005,1,MATCH(COLUMNS($V$1006:Y1006),$V$1006:$AE$1006,0))&gt;=100000), " ",IF(INDEX($V$2:$AE$1001,MATCH(ROWS($O$2:O723),$O$2:$O$1001,0),MATCH(COLUMNS($V$1006:Y1006),$V$1006:$AE$1006,0)), HYPERLINK("#",""), HYPERLINK(CONCATENATE("#Metadata!", ADDRESS(INDEX($Q$2:$Q$1001,MATCH(ROWS($O$2:O723),$O$2:$O$1001,0),0), INDEX($V$1004:$AE$1004,1,MATCH(COLUMNS($V$1006:Y1006),$V$1006:$AE$1006,0)))),"Fix")))</f>
        <v>0</v>
      </c>
      <c r="F723" s="3">
        <f>IF(OR(INDEX($P$2:$P$1001,MATCH(ROWS($O$2:O723),$O$2:$O$1001,0),1)&gt;=100000,INDEX($V$1005:$AE$1005,1,MATCH(COLUMNS($V$1006:Z1006),$V$1006:$AE$1006,0))&gt;=100000), " ",IF(INDEX($V$2:$AE$1001,MATCH(ROWS($O$2:O723),$O$2:$O$1001,0),MATCH(COLUMNS($V$1006:Z1006),$V$1006:$AE$1006,0)), HYPERLINK("#",""), HYPERLINK(CONCATENATE("#Metadata!", ADDRESS(INDEX($Q$2:$Q$1001,MATCH(ROWS($O$2:O723),$O$2:$O$1001,0),0), INDEX($V$1004:$AE$1004,1,MATCH(COLUMNS($V$1006:Z1006),$V$1006:$AE$1006,0)))),"Fix")))</f>
        <v>0</v>
      </c>
      <c r="G723" s="3">
        <f>IF(OR(INDEX($P$2:$P$1001,MATCH(ROWS($O$2:O723),$O$2:$O$1001,0),1)&gt;=100000,INDEX($V$1005:$AE$1005,1,MATCH(COLUMNS($V$1006:AA1006),$V$1006:$AE$1006,0))&gt;=100000), " ",IF(INDEX($V$2:$AE$1001,MATCH(ROWS($O$2:O723),$O$2:$O$1001,0),MATCH(COLUMNS($V$1006:AA1006),$V$1006:$AE$1006,0)), HYPERLINK("#",""), HYPERLINK(CONCATENATE("#Metadata!", ADDRESS(INDEX($Q$2:$Q$1001,MATCH(ROWS($O$2:O723),$O$2:$O$1001,0),0), INDEX($V$1004:$AE$1004,1,MATCH(COLUMNS($V$1006:AA1006),$V$1006:$AE$1006,0)))),"Fix")))</f>
        <v>0</v>
      </c>
      <c r="H723" s="3">
        <f>IF(OR(INDEX($P$2:$P$1001,MATCH(ROWS($O$2:O723),$O$2:$O$1001,0),1)&gt;=100000,INDEX($V$1005:$AE$1005,1,MATCH(COLUMNS($V$1006:AB1006),$V$1006:$AE$1006,0))&gt;=100000), " ",IF(INDEX($V$2:$AE$1001,MATCH(ROWS($O$2:O723),$O$2:$O$1001,0),MATCH(COLUMNS($V$1006:AB1006),$V$1006:$AE$1006,0)), HYPERLINK("#",""), HYPERLINK(CONCATENATE("#Metadata!", ADDRESS(INDEX($Q$2:$Q$1001,MATCH(ROWS($O$2:O723),$O$2:$O$1001,0),0), INDEX($V$1004:$AE$1004,1,MATCH(COLUMNS($V$1006:AB1006),$V$1006:$AE$1006,0)))),"Fix")))</f>
        <v>0</v>
      </c>
      <c r="I723" s="3">
        <f>IF(OR(INDEX($P$2:$P$1001,MATCH(ROWS($O$2:O723),$O$2:$O$1001,0),1)&gt;=100000,INDEX($V$1005:$AE$1005,1,MATCH(COLUMNS($V$1006:AC1006),$V$1006:$AE$1006,0))&gt;=100000), " ",IF(INDEX($V$2:$AE$1001,MATCH(ROWS($O$2:O723),$O$2:$O$1001,0),MATCH(COLUMNS($V$1006:AC1006),$V$1006:$AE$1006,0)), HYPERLINK("#",""), HYPERLINK(CONCATENATE("#Metadata!", ADDRESS(INDEX($Q$2:$Q$1001,MATCH(ROWS($O$2:O723),$O$2:$O$1001,0),0), INDEX($V$1004:$AE$1004,1,MATCH(COLUMNS($V$1006:AC1006),$V$1006:$AE$1006,0)))),"Fix")))</f>
        <v>0</v>
      </c>
      <c r="J723" s="3">
        <f>IF(OR(INDEX($P$2:$P$1001,MATCH(ROWS($O$2:O723),$O$2:$O$1001,0),1)&gt;=100000,INDEX($V$1005:$AE$1005,1,MATCH(COLUMNS($V$1006:AD1006),$V$1006:$AE$1006,0))&gt;=100000), " ",IF(INDEX($V$2:$AE$1001,MATCH(ROWS($O$2:O723),$O$2:$O$1001,0),MATCH(COLUMNS($V$1006:AD1006),$V$1006:$AE$1006,0)), HYPERLINK("#",""), HYPERLINK(CONCATENATE("#Metadata!", ADDRESS(INDEX($Q$2:$Q$1001,MATCH(ROWS($O$2:O723),$O$2:$O$1001,0),0), INDEX($V$1004:$AE$1004,1,MATCH(COLUMNS($V$1006:AD1006),$V$1006:$AE$1006,0)))),"Fix")))</f>
        <v>0</v>
      </c>
      <c r="K723" s="3">
        <f>IF(OR(INDEX($P$2:$P$1001,MATCH(ROWS($O$2:O723),$O$2:$O$1001,0),1)&gt;=100000,INDEX($V$1005:$AE$1005,1,MATCH(COLUMNS($V$1006:AE1006),$V$1006:$AE$1006,0))&gt;=100000), " ",IF(INDEX($V$2:$AE$1001,MATCH(ROWS($O$2:O723),$O$2:$O$1001,0),MATCH(COLUMNS($V$1006:AE1006),$V$1006:$AE$1006,0)), HYPERLINK("#",""), HYPERLINK(CONCATENATE("#Metadata!", ADDRESS(INDEX($Q$2:$Q$1001,MATCH(ROWS($O$2:O723),$O$2:$O$1001,0),0), INDEX($V$1004:$AE$1004,1,MATCH(COLUMNS($V$1006:AE1006),$V$1006:$AE$1006,0)))),"Fix")))</f>
        <v>0</v>
      </c>
      <c r="O723">
        <v>0</v>
      </c>
      <c r="P723">
        <v>0</v>
      </c>
      <c r="Q723">
        <v>0</v>
      </c>
      <c r="R723">
        <f>IF(S723,TRUE,AND(V723:AE723))</f>
        <v>0</v>
      </c>
      <c r="S723">
        <f>COUNTBLANK(Metadata!B723:K723)=COLUMNS(Metadata!B723:K723)</f>
        <v>0</v>
      </c>
      <c r="T723">
        <v>0</v>
      </c>
      <c r="V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W723">
        <f>AND(IF(Metadata!C723="",FALSE,TRUE),exact(Metadata!C723,"animal secretion"))</f>
        <v>0</v>
      </c>
      <c r="X723">
        <f>AND(IF(Metadata!D723="",FALSE,TRUE),exact(Metadata!D723,"saliva"))</f>
        <v>0</v>
      </c>
      <c r="Y723">
        <f>AND(IF(Metadata!E723="",FALSE,TRUE),exact(Metadata!E723,"human-oral"))</f>
        <v>0</v>
      </c>
      <c r="Z723">
        <f>AND(IF(Metadata!F723="",FALSE,TRUE),exact(Metadata!F723,"UBERON:oral cavity"))</f>
        <v>0</v>
      </c>
      <c r="AA723">
        <f>AND(IF(Metadata!G723="",FALSE,TRUE),exact(Metadata!G723,"UBERON:saliva"))</f>
        <v>0</v>
      </c>
      <c r="AB723">
        <f>AND(IF(Metadata!H723="",FALSE,TRUE),exact(Metadata!H723,"UBERON:tongue"))</f>
        <v>0</v>
      </c>
      <c r="AC723">
        <f>AND(IF(Metadata!I723="",FALSE,TRUE),exact(Metadata!I723,"tongue"))</f>
        <v>0</v>
      </c>
      <c r="AD723">
        <f>AND(IF(Metadata!J723="",FALSE,TRUE),exact(Metadata!J723,"human oral metagenome"))</f>
        <v>0</v>
      </c>
      <c r="AE723">
        <f>AND(IF(Metadata!K723="",FALSE,TRUE),exact(Metadata!K723,"447426"))</f>
        <v>0</v>
      </c>
    </row>
    <row r="724" spans="1:31">
      <c r="A724" s="4">
        <f>IF(B724=" "," ",HYPERLINK(CONCATENATE("#metadata!",ADDRESS(INDEX($Q$2:$Q$1001,MATCH(ROWS($O$2:O724),$O$2:$O$1001,0),0),1)),INDEX($T$2:$T$1001,MATCH(ROWS($O$2:O724),$O$2:$O$1001,0),0)))</f>
        <v>0</v>
      </c>
      <c r="B724" s="3">
        <f>IF(OR(INDEX($P$2:$P$1001,MATCH(ROWS($O$2:O724),$O$2:$O$1001,0),1)&gt;=100000,INDEX($V$1005:$AE$1005,1,MATCH(COLUMNS($V$1006:V1006),$V$1006:$AE$1006,0))&gt;=100000), " ",IF(INDEX($V$2:$AE$1001,MATCH(ROWS($O$2:O724),$O$2:$O$1001,0),MATCH(COLUMNS($V$1006:V1006),$V$1006:$AE$1006,0)), HYPERLINK("#",""), HYPERLINK(CONCATENATE("#Metadata!", ADDRESS(INDEX($Q$2:$Q$1001,MATCH(ROWS($O$2:O724),$O$2:$O$1001,0),0), INDEX($V$1004:$AE$1004,1,MATCH(COLUMNS($V$1006:V1006),$V$1006:$AE$1006,0)))),"Fix")))</f>
        <v>0</v>
      </c>
      <c r="C724" s="3">
        <f>IF(OR(INDEX($P$2:$P$1001,MATCH(ROWS($O$2:O724),$O$2:$O$1001,0),1)&gt;=100000,INDEX($V$1005:$AE$1005,1,MATCH(COLUMNS($V$1006:W1006),$V$1006:$AE$1006,0))&gt;=100000), " ",IF(INDEX($V$2:$AE$1001,MATCH(ROWS($O$2:O724),$O$2:$O$1001,0),MATCH(COLUMNS($V$1006:W1006),$V$1006:$AE$1006,0)), HYPERLINK("#",""), HYPERLINK(CONCATENATE("#Metadata!", ADDRESS(INDEX($Q$2:$Q$1001,MATCH(ROWS($O$2:O724),$O$2:$O$1001,0),0), INDEX($V$1004:$AE$1004,1,MATCH(COLUMNS($V$1006:W1006),$V$1006:$AE$1006,0)))),"Fix")))</f>
        <v>0</v>
      </c>
      <c r="D724" s="3">
        <f>IF(OR(INDEX($P$2:$P$1001,MATCH(ROWS($O$2:O724),$O$2:$O$1001,0),1)&gt;=100000,INDEX($V$1005:$AE$1005,1,MATCH(COLUMNS($V$1006:X1006),$V$1006:$AE$1006,0))&gt;=100000), " ",IF(INDEX($V$2:$AE$1001,MATCH(ROWS($O$2:O724),$O$2:$O$1001,0),MATCH(COLUMNS($V$1006:X1006),$V$1006:$AE$1006,0)), HYPERLINK("#",""), HYPERLINK(CONCATENATE("#Metadata!", ADDRESS(INDEX($Q$2:$Q$1001,MATCH(ROWS($O$2:O724),$O$2:$O$1001,0),0), INDEX($V$1004:$AE$1004,1,MATCH(COLUMNS($V$1006:X1006),$V$1006:$AE$1006,0)))),"Fix")))</f>
        <v>0</v>
      </c>
      <c r="E724" s="3">
        <f>IF(OR(INDEX($P$2:$P$1001,MATCH(ROWS($O$2:O724),$O$2:$O$1001,0),1)&gt;=100000,INDEX($V$1005:$AE$1005,1,MATCH(COLUMNS($V$1006:Y1006),$V$1006:$AE$1006,0))&gt;=100000), " ",IF(INDEX($V$2:$AE$1001,MATCH(ROWS($O$2:O724),$O$2:$O$1001,0),MATCH(COLUMNS($V$1006:Y1006),$V$1006:$AE$1006,0)), HYPERLINK("#",""), HYPERLINK(CONCATENATE("#Metadata!", ADDRESS(INDEX($Q$2:$Q$1001,MATCH(ROWS($O$2:O724),$O$2:$O$1001,0),0), INDEX($V$1004:$AE$1004,1,MATCH(COLUMNS($V$1006:Y1006),$V$1006:$AE$1006,0)))),"Fix")))</f>
        <v>0</v>
      </c>
      <c r="F724" s="3">
        <f>IF(OR(INDEX($P$2:$P$1001,MATCH(ROWS($O$2:O724),$O$2:$O$1001,0),1)&gt;=100000,INDEX($V$1005:$AE$1005,1,MATCH(COLUMNS($V$1006:Z1006),$V$1006:$AE$1006,0))&gt;=100000), " ",IF(INDEX($V$2:$AE$1001,MATCH(ROWS($O$2:O724),$O$2:$O$1001,0),MATCH(COLUMNS($V$1006:Z1006),$V$1006:$AE$1006,0)), HYPERLINK("#",""), HYPERLINK(CONCATENATE("#Metadata!", ADDRESS(INDEX($Q$2:$Q$1001,MATCH(ROWS($O$2:O724),$O$2:$O$1001,0),0), INDEX($V$1004:$AE$1004,1,MATCH(COLUMNS($V$1006:Z1006),$V$1006:$AE$1006,0)))),"Fix")))</f>
        <v>0</v>
      </c>
      <c r="G724" s="3">
        <f>IF(OR(INDEX($P$2:$P$1001,MATCH(ROWS($O$2:O724),$O$2:$O$1001,0),1)&gt;=100000,INDEX($V$1005:$AE$1005,1,MATCH(COLUMNS($V$1006:AA1006),$V$1006:$AE$1006,0))&gt;=100000), " ",IF(INDEX($V$2:$AE$1001,MATCH(ROWS($O$2:O724),$O$2:$O$1001,0),MATCH(COLUMNS($V$1006:AA1006),$V$1006:$AE$1006,0)), HYPERLINK("#",""), HYPERLINK(CONCATENATE("#Metadata!", ADDRESS(INDEX($Q$2:$Q$1001,MATCH(ROWS($O$2:O724),$O$2:$O$1001,0),0), INDEX($V$1004:$AE$1004,1,MATCH(COLUMNS($V$1006:AA1006),$V$1006:$AE$1006,0)))),"Fix")))</f>
        <v>0</v>
      </c>
      <c r="H724" s="3">
        <f>IF(OR(INDEX($P$2:$P$1001,MATCH(ROWS($O$2:O724),$O$2:$O$1001,0),1)&gt;=100000,INDEX($V$1005:$AE$1005,1,MATCH(COLUMNS($V$1006:AB1006),$V$1006:$AE$1006,0))&gt;=100000), " ",IF(INDEX($V$2:$AE$1001,MATCH(ROWS($O$2:O724),$O$2:$O$1001,0),MATCH(COLUMNS($V$1006:AB1006),$V$1006:$AE$1006,0)), HYPERLINK("#",""), HYPERLINK(CONCATENATE("#Metadata!", ADDRESS(INDEX($Q$2:$Q$1001,MATCH(ROWS($O$2:O724),$O$2:$O$1001,0),0), INDEX($V$1004:$AE$1004,1,MATCH(COLUMNS($V$1006:AB1006),$V$1006:$AE$1006,0)))),"Fix")))</f>
        <v>0</v>
      </c>
      <c r="I724" s="3">
        <f>IF(OR(INDEX($P$2:$P$1001,MATCH(ROWS($O$2:O724),$O$2:$O$1001,0),1)&gt;=100000,INDEX($V$1005:$AE$1005,1,MATCH(COLUMNS($V$1006:AC1006),$V$1006:$AE$1006,0))&gt;=100000), " ",IF(INDEX($V$2:$AE$1001,MATCH(ROWS($O$2:O724),$O$2:$O$1001,0),MATCH(COLUMNS($V$1006:AC1006),$V$1006:$AE$1006,0)), HYPERLINK("#",""), HYPERLINK(CONCATENATE("#Metadata!", ADDRESS(INDEX($Q$2:$Q$1001,MATCH(ROWS($O$2:O724),$O$2:$O$1001,0),0), INDEX($V$1004:$AE$1004,1,MATCH(COLUMNS($V$1006:AC1006),$V$1006:$AE$1006,0)))),"Fix")))</f>
        <v>0</v>
      </c>
      <c r="J724" s="3">
        <f>IF(OR(INDEX($P$2:$P$1001,MATCH(ROWS($O$2:O724),$O$2:$O$1001,0),1)&gt;=100000,INDEX($V$1005:$AE$1005,1,MATCH(COLUMNS($V$1006:AD1006),$V$1006:$AE$1006,0))&gt;=100000), " ",IF(INDEX($V$2:$AE$1001,MATCH(ROWS($O$2:O724),$O$2:$O$1001,0),MATCH(COLUMNS($V$1006:AD1006),$V$1006:$AE$1006,0)), HYPERLINK("#",""), HYPERLINK(CONCATENATE("#Metadata!", ADDRESS(INDEX($Q$2:$Q$1001,MATCH(ROWS($O$2:O724),$O$2:$O$1001,0),0), INDEX($V$1004:$AE$1004,1,MATCH(COLUMNS($V$1006:AD1006),$V$1006:$AE$1006,0)))),"Fix")))</f>
        <v>0</v>
      </c>
      <c r="K724" s="3">
        <f>IF(OR(INDEX($P$2:$P$1001,MATCH(ROWS($O$2:O724),$O$2:$O$1001,0),1)&gt;=100000,INDEX($V$1005:$AE$1005,1,MATCH(COLUMNS($V$1006:AE1006),$V$1006:$AE$1006,0))&gt;=100000), " ",IF(INDEX($V$2:$AE$1001,MATCH(ROWS($O$2:O724),$O$2:$O$1001,0),MATCH(COLUMNS($V$1006:AE1006),$V$1006:$AE$1006,0)), HYPERLINK("#",""), HYPERLINK(CONCATENATE("#Metadata!", ADDRESS(INDEX($Q$2:$Q$1001,MATCH(ROWS($O$2:O724),$O$2:$O$1001,0),0), INDEX($V$1004:$AE$1004,1,MATCH(COLUMNS($V$1006:AE1006),$V$1006:$AE$1006,0)))),"Fix")))</f>
        <v>0</v>
      </c>
      <c r="O724">
        <v>0</v>
      </c>
      <c r="P724">
        <v>0</v>
      </c>
      <c r="Q724">
        <v>0</v>
      </c>
      <c r="R724">
        <f>IF(S724,TRUE,AND(V724:AE724))</f>
        <v>0</v>
      </c>
      <c r="S724">
        <f>COUNTBLANK(Metadata!B724:K724)=COLUMNS(Metadata!B724:K724)</f>
        <v>0</v>
      </c>
      <c r="T724">
        <v>0</v>
      </c>
      <c r="V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W724">
        <f>AND(IF(Metadata!C724="",FALSE,TRUE),exact(Metadata!C724,"animal secretion"))</f>
        <v>0</v>
      </c>
      <c r="X724">
        <f>AND(IF(Metadata!D724="",FALSE,TRUE),exact(Metadata!D724,"saliva"))</f>
        <v>0</v>
      </c>
      <c r="Y724">
        <f>AND(IF(Metadata!E724="",FALSE,TRUE),exact(Metadata!E724,"human-oral"))</f>
        <v>0</v>
      </c>
      <c r="Z724">
        <f>AND(IF(Metadata!F724="",FALSE,TRUE),exact(Metadata!F724,"UBERON:oral cavity"))</f>
        <v>0</v>
      </c>
      <c r="AA724">
        <f>AND(IF(Metadata!G724="",FALSE,TRUE),exact(Metadata!G724,"UBERON:saliva"))</f>
        <v>0</v>
      </c>
      <c r="AB724">
        <f>AND(IF(Metadata!H724="",FALSE,TRUE),exact(Metadata!H724,"UBERON:tongue"))</f>
        <v>0</v>
      </c>
      <c r="AC724">
        <f>AND(IF(Metadata!I724="",FALSE,TRUE),exact(Metadata!I724,"tongue"))</f>
        <v>0</v>
      </c>
      <c r="AD724">
        <f>AND(IF(Metadata!J724="",FALSE,TRUE),exact(Metadata!J724,"human oral metagenome"))</f>
        <v>0</v>
      </c>
      <c r="AE724">
        <f>AND(IF(Metadata!K724="",FALSE,TRUE),exact(Metadata!K724,"447426"))</f>
        <v>0</v>
      </c>
    </row>
    <row r="725" spans="1:31">
      <c r="A725" s="4">
        <f>IF(B725=" "," ",HYPERLINK(CONCATENATE("#metadata!",ADDRESS(INDEX($Q$2:$Q$1001,MATCH(ROWS($O$2:O725),$O$2:$O$1001,0),0),1)),INDEX($T$2:$T$1001,MATCH(ROWS($O$2:O725),$O$2:$O$1001,0),0)))</f>
        <v>0</v>
      </c>
      <c r="B725" s="3">
        <f>IF(OR(INDEX($P$2:$P$1001,MATCH(ROWS($O$2:O725),$O$2:$O$1001,0),1)&gt;=100000,INDEX($V$1005:$AE$1005,1,MATCH(COLUMNS($V$1006:V1006),$V$1006:$AE$1006,0))&gt;=100000), " ",IF(INDEX($V$2:$AE$1001,MATCH(ROWS($O$2:O725),$O$2:$O$1001,0),MATCH(COLUMNS($V$1006:V1006),$V$1006:$AE$1006,0)), HYPERLINK("#",""), HYPERLINK(CONCATENATE("#Metadata!", ADDRESS(INDEX($Q$2:$Q$1001,MATCH(ROWS($O$2:O725),$O$2:$O$1001,0),0), INDEX($V$1004:$AE$1004,1,MATCH(COLUMNS($V$1006:V1006),$V$1006:$AE$1006,0)))),"Fix")))</f>
        <v>0</v>
      </c>
      <c r="C725" s="3">
        <f>IF(OR(INDEX($P$2:$P$1001,MATCH(ROWS($O$2:O725),$O$2:$O$1001,0),1)&gt;=100000,INDEX($V$1005:$AE$1005,1,MATCH(COLUMNS($V$1006:W1006),$V$1006:$AE$1006,0))&gt;=100000), " ",IF(INDEX($V$2:$AE$1001,MATCH(ROWS($O$2:O725),$O$2:$O$1001,0),MATCH(COLUMNS($V$1006:W1006),$V$1006:$AE$1006,0)), HYPERLINK("#",""), HYPERLINK(CONCATENATE("#Metadata!", ADDRESS(INDEX($Q$2:$Q$1001,MATCH(ROWS($O$2:O725),$O$2:$O$1001,0),0), INDEX($V$1004:$AE$1004,1,MATCH(COLUMNS($V$1006:W1006),$V$1006:$AE$1006,0)))),"Fix")))</f>
        <v>0</v>
      </c>
      <c r="D725" s="3">
        <f>IF(OR(INDEX($P$2:$P$1001,MATCH(ROWS($O$2:O725),$O$2:$O$1001,0),1)&gt;=100000,INDEX($V$1005:$AE$1005,1,MATCH(COLUMNS($V$1006:X1006),$V$1006:$AE$1006,0))&gt;=100000), " ",IF(INDEX($V$2:$AE$1001,MATCH(ROWS($O$2:O725),$O$2:$O$1001,0),MATCH(COLUMNS($V$1006:X1006),$V$1006:$AE$1006,0)), HYPERLINK("#",""), HYPERLINK(CONCATENATE("#Metadata!", ADDRESS(INDEX($Q$2:$Q$1001,MATCH(ROWS($O$2:O725),$O$2:$O$1001,0),0), INDEX($V$1004:$AE$1004,1,MATCH(COLUMNS($V$1006:X1006),$V$1006:$AE$1006,0)))),"Fix")))</f>
        <v>0</v>
      </c>
      <c r="E725" s="3">
        <f>IF(OR(INDEX($P$2:$P$1001,MATCH(ROWS($O$2:O725),$O$2:$O$1001,0),1)&gt;=100000,INDEX($V$1005:$AE$1005,1,MATCH(COLUMNS($V$1006:Y1006),$V$1006:$AE$1006,0))&gt;=100000), " ",IF(INDEX($V$2:$AE$1001,MATCH(ROWS($O$2:O725),$O$2:$O$1001,0),MATCH(COLUMNS($V$1006:Y1006),$V$1006:$AE$1006,0)), HYPERLINK("#",""), HYPERLINK(CONCATENATE("#Metadata!", ADDRESS(INDEX($Q$2:$Q$1001,MATCH(ROWS($O$2:O725),$O$2:$O$1001,0),0), INDEX($V$1004:$AE$1004,1,MATCH(COLUMNS($V$1006:Y1006),$V$1006:$AE$1006,0)))),"Fix")))</f>
        <v>0</v>
      </c>
      <c r="F725" s="3">
        <f>IF(OR(INDEX($P$2:$P$1001,MATCH(ROWS($O$2:O725),$O$2:$O$1001,0),1)&gt;=100000,INDEX($V$1005:$AE$1005,1,MATCH(COLUMNS($V$1006:Z1006),$V$1006:$AE$1006,0))&gt;=100000), " ",IF(INDEX($V$2:$AE$1001,MATCH(ROWS($O$2:O725),$O$2:$O$1001,0),MATCH(COLUMNS($V$1006:Z1006),$V$1006:$AE$1006,0)), HYPERLINK("#",""), HYPERLINK(CONCATENATE("#Metadata!", ADDRESS(INDEX($Q$2:$Q$1001,MATCH(ROWS($O$2:O725),$O$2:$O$1001,0),0), INDEX($V$1004:$AE$1004,1,MATCH(COLUMNS($V$1006:Z1006),$V$1006:$AE$1006,0)))),"Fix")))</f>
        <v>0</v>
      </c>
      <c r="G725" s="3">
        <f>IF(OR(INDEX($P$2:$P$1001,MATCH(ROWS($O$2:O725),$O$2:$O$1001,0),1)&gt;=100000,INDEX($V$1005:$AE$1005,1,MATCH(COLUMNS($V$1006:AA1006),$V$1006:$AE$1006,0))&gt;=100000), " ",IF(INDEX($V$2:$AE$1001,MATCH(ROWS($O$2:O725),$O$2:$O$1001,0),MATCH(COLUMNS($V$1006:AA1006),$V$1006:$AE$1006,0)), HYPERLINK("#",""), HYPERLINK(CONCATENATE("#Metadata!", ADDRESS(INDEX($Q$2:$Q$1001,MATCH(ROWS($O$2:O725),$O$2:$O$1001,0),0), INDEX($V$1004:$AE$1004,1,MATCH(COLUMNS($V$1006:AA1006),$V$1006:$AE$1006,0)))),"Fix")))</f>
        <v>0</v>
      </c>
      <c r="H725" s="3">
        <f>IF(OR(INDEX($P$2:$P$1001,MATCH(ROWS($O$2:O725),$O$2:$O$1001,0),1)&gt;=100000,INDEX($V$1005:$AE$1005,1,MATCH(COLUMNS($V$1006:AB1006),$V$1006:$AE$1006,0))&gt;=100000), " ",IF(INDEX($V$2:$AE$1001,MATCH(ROWS($O$2:O725),$O$2:$O$1001,0),MATCH(COLUMNS($V$1006:AB1006),$V$1006:$AE$1006,0)), HYPERLINK("#",""), HYPERLINK(CONCATENATE("#Metadata!", ADDRESS(INDEX($Q$2:$Q$1001,MATCH(ROWS($O$2:O725),$O$2:$O$1001,0),0), INDEX($V$1004:$AE$1004,1,MATCH(COLUMNS($V$1006:AB1006),$V$1006:$AE$1006,0)))),"Fix")))</f>
        <v>0</v>
      </c>
      <c r="I725" s="3">
        <f>IF(OR(INDEX($P$2:$P$1001,MATCH(ROWS($O$2:O725),$O$2:$O$1001,0),1)&gt;=100000,INDEX($V$1005:$AE$1005,1,MATCH(COLUMNS($V$1006:AC1006),$V$1006:$AE$1006,0))&gt;=100000), " ",IF(INDEX($V$2:$AE$1001,MATCH(ROWS($O$2:O725),$O$2:$O$1001,0),MATCH(COLUMNS($V$1006:AC1006),$V$1006:$AE$1006,0)), HYPERLINK("#",""), HYPERLINK(CONCATENATE("#Metadata!", ADDRESS(INDEX($Q$2:$Q$1001,MATCH(ROWS($O$2:O725),$O$2:$O$1001,0),0), INDEX($V$1004:$AE$1004,1,MATCH(COLUMNS($V$1006:AC1006),$V$1006:$AE$1006,0)))),"Fix")))</f>
        <v>0</v>
      </c>
      <c r="J725" s="3">
        <f>IF(OR(INDEX($P$2:$P$1001,MATCH(ROWS($O$2:O725),$O$2:$O$1001,0),1)&gt;=100000,INDEX($V$1005:$AE$1005,1,MATCH(COLUMNS($V$1006:AD1006),$V$1006:$AE$1006,0))&gt;=100000), " ",IF(INDEX($V$2:$AE$1001,MATCH(ROWS($O$2:O725),$O$2:$O$1001,0),MATCH(COLUMNS($V$1006:AD1006),$V$1006:$AE$1006,0)), HYPERLINK("#",""), HYPERLINK(CONCATENATE("#Metadata!", ADDRESS(INDEX($Q$2:$Q$1001,MATCH(ROWS($O$2:O725),$O$2:$O$1001,0),0), INDEX($V$1004:$AE$1004,1,MATCH(COLUMNS($V$1006:AD1006),$V$1006:$AE$1006,0)))),"Fix")))</f>
        <v>0</v>
      </c>
      <c r="K725" s="3">
        <f>IF(OR(INDEX($P$2:$P$1001,MATCH(ROWS($O$2:O725),$O$2:$O$1001,0),1)&gt;=100000,INDEX($V$1005:$AE$1005,1,MATCH(COLUMNS($V$1006:AE1006),$V$1006:$AE$1006,0))&gt;=100000), " ",IF(INDEX($V$2:$AE$1001,MATCH(ROWS($O$2:O725),$O$2:$O$1001,0),MATCH(COLUMNS($V$1006:AE1006),$V$1006:$AE$1006,0)), HYPERLINK("#",""), HYPERLINK(CONCATENATE("#Metadata!", ADDRESS(INDEX($Q$2:$Q$1001,MATCH(ROWS($O$2:O725),$O$2:$O$1001,0),0), INDEX($V$1004:$AE$1004,1,MATCH(COLUMNS($V$1006:AE1006),$V$1006:$AE$1006,0)))),"Fix")))</f>
        <v>0</v>
      </c>
      <c r="O725">
        <v>0</v>
      </c>
      <c r="P725">
        <v>0</v>
      </c>
      <c r="Q725">
        <v>0</v>
      </c>
      <c r="R725">
        <f>IF(S725,TRUE,AND(V725:AE725))</f>
        <v>0</v>
      </c>
      <c r="S725">
        <f>COUNTBLANK(Metadata!B725:K725)=COLUMNS(Metadata!B725:K725)</f>
        <v>0</v>
      </c>
      <c r="T725">
        <v>0</v>
      </c>
      <c r="V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W725">
        <f>AND(IF(Metadata!C725="",FALSE,TRUE),exact(Metadata!C725,"animal secretion"))</f>
        <v>0</v>
      </c>
      <c r="X725">
        <f>AND(IF(Metadata!D725="",FALSE,TRUE),exact(Metadata!D725,"saliva"))</f>
        <v>0</v>
      </c>
      <c r="Y725">
        <f>AND(IF(Metadata!E725="",FALSE,TRUE),exact(Metadata!E725,"human-oral"))</f>
        <v>0</v>
      </c>
      <c r="Z725">
        <f>AND(IF(Metadata!F725="",FALSE,TRUE),exact(Metadata!F725,"UBERON:oral cavity"))</f>
        <v>0</v>
      </c>
      <c r="AA725">
        <f>AND(IF(Metadata!G725="",FALSE,TRUE),exact(Metadata!G725,"UBERON:saliva"))</f>
        <v>0</v>
      </c>
      <c r="AB725">
        <f>AND(IF(Metadata!H725="",FALSE,TRUE),exact(Metadata!H725,"UBERON:tongue"))</f>
        <v>0</v>
      </c>
      <c r="AC725">
        <f>AND(IF(Metadata!I725="",FALSE,TRUE),exact(Metadata!I725,"tongue"))</f>
        <v>0</v>
      </c>
      <c r="AD725">
        <f>AND(IF(Metadata!J725="",FALSE,TRUE),exact(Metadata!J725,"human oral metagenome"))</f>
        <v>0</v>
      </c>
      <c r="AE725">
        <f>AND(IF(Metadata!K725="",FALSE,TRUE),exact(Metadata!K725,"447426"))</f>
        <v>0</v>
      </c>
    </row>
    <row r="726" spans="1:31">
      <c r="A726" s="4">
        <f>IF(B726=" "," ",HYPERLINK(CONCATENATE("#metadata!",ADDRESS(INDEX($Q$2:$Q$1001,MATCH(ROWS($O$2:O726),$O$2:$O$1001,0),0),1)),INDEX($T$2:$T$1001,MATCH(ROWS($O$2:O726),$O$2:$O$1001,0),0)))</f>
        <v>0</v>
      </c>
      <c r="B726" s="3">
        <f>IF(OR(INDEX($P$2:$P$1001,MATCH(ROWS($O$2:O726),$O$2:$O$1001,0),1)&gt;=100000,INDEX($V$1005:$AE$1005,1,MATCH(COLUMNS($V$1006:V1006),$V$1006:$AE$1006,0))&gt;=100000), " ",IF(INDEX($V$2:$AE$1001,MATCH(ROWS($O$2:O726),$O$2:$O$1001,0),MATCH(COLUMNS($V$1006:V1006),$V$1006:$AE$1006,0)), HYPERLINK("#",""), HYPERLINK(CONCATENATE("#Metadata!", ADDRESS(INDEX($Q$2:$Q$1001,MATCH(ROWS($O$2:O726),$O$2:$O$1001,0),0), INDEX($V$1004:$AE$1004,1,MATCH(COLUMNS($V$1006:V1006),$V$1006:$AE$1006,0)))),"Fix")))</f>
        <v>0</v>
      </c>
      <c r="C726" s="3">
        <f>IF(OR(INDEX($P$2:$P$1001,MATCH(ROWS($O$2:O726),$O$2:$O$1001,0),1)&gt;=100000,INDEX($V$1005:$AE$1005,1,MATCH(COLUMNS($V$1006:W1006),$V$1006:$AE$1006,0))&gt;=100000), " ",IF(INDEX($V$2:$AE$1001,MATCH(ROWS($O$2:O726),$O$2:$O$1001,0),MATCH(COLUMNS($V$1006:W1006),$V$1006:$AE$1006,0)), HYPERLINK("#",""), HYPERLINK(CONCATENATE("#Metadata!", ADDRESS(INDEX($Q$2:$Q$1001,MATCH(ROWS($O$2:O726),$O$2:$O$1001,0),0), INDEX($V$1004:$AE$1004,1,MATCH(COLUMNS($V$1006:W1006),$V$1006:$AE$1006,0)))),"Fix")))</f>
        <v>0</v>
      </c>
      <c r="D726" s="3">
        <f>IF(OR(INDEX($P$2:$P$1001,MATCH(ROWS($O$2:O726),$O$2:$O$1001,0),1)&gt;=100000,INDEX($V$1005:$AE$1005,1,MATCH(COLUMNS($V$1006:X1006),$V$1006:$AE$1006,0))&gt;=100000), " ",IF(INDEX($V$2:$AE$1001,MATCH(ROWS($O$2:O726),$O$2:$O$1001,0),MATCH(COLUMNS($V$1006:X1006),$V$1006:$AE$1006,0)), HYPERLINK("#",""), HYPERLINK(CONCATENATE("#Metadata!", ADDRESS(INDEX($Q$2:$Q$1001,MATCH(ROWS($O$2:O726),$O$2:$O$1001,0),0), INDEX($V$1004:$AE$1004,1,MATCH(COLUMNS($V$1006:X1006),$V$1006:$AE$1006,0)))),"Fix")))</f>
        <v>0</v>
      </c>
      <c r="E726" s="3">
        <f>IF(OR(INDEX($P$2:$P$1001,MATCH(ROWS($O$2:O726),$O$2:$O$1001,0),1)&gt;=100000,INDEX($V$1005:$AE$1005,1,MATCH(COLUMNS($V$1006:Y1006),$V$1006:$AE$1006,0))&gt;=100000), " ",IF(INDEX($V$2:$AE$1001,MATCH(ROWS($O$2:O726),$O$2:$O$1001,0),MATCH(COLUMNS($V$1006:Y1006),$V$1006:$AE$1006,0)), HYPERLINK("#",""), HYPERLINK(CONCATENATE("#Metadata!", ADDRESS(INDEX($Q$2:$Q$1001,MATCH(ROWS($O$2:O726),$O$2:$O$1001,0),0), INDEX($V$1004:$AE$1004,1,MATCH(COLUMNS($V$1006:Y1006),$V$1006:$AE$1006,0)))),"Fix")))</f>
        <v>0</v>
      </c>
      <c r="F726" s="3">
        <f>IF(OR(INDEX($P$2:$P$1001,MATCH(ROWS($O$2:O726),$O$2:$O$1001,0),1)&gt;=100000,INDEX($V$1005:$AE$1005,1,MATCH(COLUMNS($V$1006:Z1006),$V$1006:$AE$1006,0))&gt;=100000), " ",IF(INDEX($V$2:$AE$1001,MATCH(ROWS($O$2:O726),$O$2:$O$1001,0),MATCH(COLUMNS($V$1006:Z1006),$V$1006:$AE$1006,0)), HYPERLINK("#",""), HYPERLINK(CONCATENATE("#Metadata!", ADDRESS(INDEX($Q$2:$Q$1001,MATCH(ROWS($O$2:O726),$O$2:$O$1001,0),0), INDEX($V$1004:$AE$1004,1,MATCH(COLUMNS($V$1006:Z1006),$V$1006:$AE$1006,0)))),"Fix")))</f>
        <v>0</v>
      </c>
      <c r="G726" s="3">
        <f>IF(OR(INDEX($P$2:$P$1001,MATCH(ROWS($O$2:O726),$O$2:$O$1001,0),1)&gt;=100000,INDEX($V$1005:$AE$1005,1,MATCH(COLUMNS($V$1006:AA1006),$V$1006:$AE$1006,0))&gt;=100000), " ",IF(INDEX($V$2:$AE$1001,MATCH(ROWS($O$2:O726),$O$2:$O$1001,0),MATCH(COLUMNS($V$1006:AA1006),$V$1006:$AE$1006,0)), HYPERLINK("#",""), HYPERLINK(CONCATENATE("#Metadata!", ADDRESS(INDEX($Q$2:$Q$1001,MATCH(ROWS($O$2:O726),$O$2:$O$1001,0),0), INDEX($V$1004:$AE$1004,1,MATCH(COLUMNS($V$1006:AA1006),$V$1006:$AE$1006,0)))),"Fix")))</f>
        <v>0</v>
      </c>
      <c r="H726" s="3">
        <f>IF(OR(INDEX($P$2:$P$1001,MATCH(ROWS($O$2:O726),$O$2:$O$1001,0),1)&gt;=100000,INDEX($V$1005:$AE$1005,1,MATCH(COLUMNS($V$1006:AB1006),$V$1006:$AE$1006,0))&gt;=100000), " ",IF(INDEX($V$2:$AE$1001,MATCH(ROWS($O$2:O726),$O$2:$O$1001,0),MATCH(COLUMNS($V$1006:AB1006),$V$1006:$AE$1006,0)), HYPERLINK("#",""), HYPERLINK(CONCATENATE("#Metadata!", ADDRESS(INDEX($Q$2:$Q$1001,MATCH(ROWS($O$2:O726),$O$2:$O$1001,0),0), INDEX($V$1004:$AE$1004,1,MATCH(COLUMNS($V$1006:AB1006),$V$1006:$AE$1006,0)))),"Fix")))</f>
        <v>0</v>
      </c>
      <c r="I726" s="3">
        <f>IF(OR(INDEX($P$2:$P$1001,MATCH(ROWS($O$2:O726),$O$2:$O$1001,0),1)&gt;=100000,INDEX($V$1005:$AE$1005,1,MATCH(COLUMNS($V$1006:AC1006),$V$1006:$AE$1006,0))&gt;=100000), " ",IF(INDEX($V$2:$AE$1001,MATCH(ROWS($O$2:O726),$O$2:$O$1001,0),MATCH(COLUMNS($V$1006:AC1006),$V$1006:$AE$1006,0)), HYPERLINK("#",""), HYPERLINK(CONCATENATE("#Metadata!", ADDRESS(INDEX($Q$2:$Q$1001,MATCH(ROWS($O$2:O726),$O$2:$O$1001,0),0), INDEX($V$1004:$AE$1004,1,MATCH(COLUMNS($V$1006:AC1006),$V$1006:$AE$1006,0)))),"Fix")))</f>
        <v>0</v>
      </c>
      <c r="J726" s="3">
        <f>IF(OR(INDEX($P$2:$P$1001,MATCH(ROWS($O$2:O726),$O$2:$O$1001,0),1)&gt;=100000,INDEX($V$1005:$AE$1005,1,MATCH(COLUMNS($V$1006:AD1006),$V$1006:$AE$1006,0))&gt;=100000), " ",IF(INDEX($V$2:$AE$1001,MATCH(ROWS($O$2:O726),$O$2:$O$1001,0),MATCH(COLUMNS($V$1006:AD1006),$V$1006:$AE$1006,0)), HYPERLINK("#",""), HYPERLINK(CONCATENATE("#Metadata!", ADDRESS(INDEX($Q$2:$Q$1001,MATCH(ROWS($O$2:O726),$O$2:$O$1001,0),0), INDEX($V$1004:$AE$1004,1,MATCH(COLUMNS($V$1006:AD1006),$V$1006:$AE$1006,0)))),"Fix")))</f>
        <v>0</v>
      </c>
      <c r="K726" s="3">
        <f>IF(OR(INDEX($P$2:$P$1001,MATCH(ROWS($O$2:O726),$O$2:$O$1001,0),1)&gt;=100000,INDEX($V$1005:$AE$1005,1,MATCH(COLUMNS($V$1006:AE1006),$V$1006:$AE$1006,0))&gt;=100000), " ",IF(INDEX($V$2:$AE$1001,MATCH(ROWS($O$2:O726),$O$2:$O$1001,0),MATCH(COLUMNS($V$1006:AE1006),$V$1006:$AE$1006,0)), HYPERLINK("#",""), HYPERLINK(CONCATENATE("#Metadata!", ADDRESS(INDEX($Q$2:$Q$1001,MATCH(ROWS($O$2:O726),$O$2:$O$1001,0),0), INDEX($V$1004:$AE$1004,1,MATCH(COLUMNS($V$1006:AE1006),$V$1006:$AE$1006,0)))),"Fix")))</f>
        <v>0</v>
      </c>
      <c r="O726">
        <v>0</v>
      </c>
      <c r="P726">
        <v>0</v>
      </c>
      <c r="Q726">
        <v>0</v>
      </c>
      <c r="R726">
        <f>IF(S726,TRUE,AND(V726:AE726))</f>
        <v>0</v>
      </c>
      <c r="S726">
        <f>COUNTBLANK(Metadata!B726:K726)=COLUMNS(Metadata!B726:K726)</f>
        <v>0</v>
      </c>
      <c r="T726">
        <v>0</v>
      </c>
      <c r="V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W726">
        <f>AND(IF(Metadata!C726="",FALSE,TRUE),exact(Metadata!C726,"animal secretion"))</f>
        <v>0</v>
      </c>
      <c r="X726">
        <f>AND(IF(Metadata!D726="",FALSE,TRUE),exact(Metadata!D726,"saliva"))</f>
        <v>0</v>
      </c>
      <c r="Y726">
        <f>AND(IF(Metadata!E726="",FALSE,TRUE),exact(Metadata!E726,"human-oral"))</f>
        <v>0</v>
      </c>
      <c r="Z726">
        <f>AND(IF(Metadata!F726="",FALSE,TRUE),exact(Metadata!F726,"UBERON:oral cavity"))</f>
        <v>0</v>
      </c>
      <c r="AA726">
        <f>AND(IF(Metadata!G726="",FALSE,TRUE),exact(Metadata!G726,"UBERON:saliva"))</f>
        <v>0</v>
      </c>
      <c r="AB726">
        <f>AND(IF(Metadata!H726="",FALSE,TRUE),exact(Metadata!H726,"UBERON:tongue"))</f>
        <v>0</v>
      </c>
      <c r="AC726">
        <f>AND(IF(Metadata!I726="",FALSE,TRUE),exact(Metadata!I726,"tongue"))</f>
        <v>0</v>
      </c>
      <c r="AD726">
        <f>AND(IF(Metadata!J726="",FALSE,TRUE),exact(Metadata!J726,"human oral metagenome"))</f>
        <v>0</v>
      </c>
      <c r="AE726">
        <f>AND(IF(Metadata!K726="",FALSE,TRUE),exact(Metadata!K726,"447426"))</f>
        <v>0</v>
      </c>
    </row>
    <row r="727" spans="1:31">
      <c r="A727" s="4">
        <f>IF(B727=" "," ",HYPERLINK(CONCATENATE("#metadata!",ADDRESS(INDEX($Q$2:$Q$1001,MATCH(ROWS($O$2:O727),$O$2:$O$1001,0),0),1)),INDEX($T$2:$T$1001,MATCH(ROWS($O$2:O727),$O$2:$O$1001,0),0)))</f>
        <v>0</v>
      </c>
      <c r="B727" s="3">
        <f>IF(OR(INDEX($P$2:$P$1001,MATCH(ROWS($O$2:O727),$O$2:$O$1001,0),1)&gt;=100000,INDEX($V$1005:$AE$1005,1,MATCH(COLUMNS($V$1006:V1006),$V$1006:$AE$1006,0))&gt;=100000), " ",IF(INDEX($V$2:$AE$1001,MATCH(ROWS($O$2:O727),$O$2:$O$1001,0),MATCH(COLUMNS($V$1006:V1006),$V$1006:$AE$1006,0)), HYPERLINK("#",""), HYPERLINK(CONCATENATE("#Metadata!", ADDRESS(INDEX($Q$2:$Q$1001,MATCH(ROWS($O$2:O727),$O$2:$O$1001,0),0), INDEX($V$1004:$AE$1004,1,MATCH(COLUMNS($V$1006:V1006),$V$1006:$AE$1006,0)))),"Fix")))</f>
        <v>0</v>
      </c>
      <c r="C727" s="3">
        <f>IF(OR(INDEX($P$2:$P$1001,MATCH(ROWS($O$2:O727),$O$2:$O$1001,0),1)&gt;=100000,INDEX($V$1005:$AE$1005,1,MATCH(COLUMNS($V$1006:W1006),$V$1006:$AE$1006,0))&gt;=100000), " ",IF(INDEX($V$2:$AE$1001,MATCH(ROWS($O$2:O727),$O$2:$O$1001,0),MATCH(COLUMNS($V$1006:W1006),$V$1006:$AE$1006,0)), HYPERLINK("#",""), HYPERLINK(CONCATENATE("#Metadata!", ADDRESS(INDEX($Q$2:$Q$1001,MATCH(ROWS($O$2:O727),$O$2:$O$1001,0),0), INDEX($V$1004:$AE$1004,1,MATCH(COLUMNS($V$1006:W1006),$V$1006:$AE$1006,0)))),"Fix")))</f>
        <v>0</v>
      </c>
      <c r="D727" s="3">
        <f>IF(OR(INDEX($P$2:$P$1001,MATCH(ROWS($O$2:O727),$O$2:$O$1001,0),1)&gt;=100000,INDEX($V$1005:$AE$1005,1,MATCH(COLUMNS($V$1006:X1006),$V$1006:$AE$1006,0))&gt;=100000), " ",IF(INDEX($V$2:$AE$1001,MATCH(ROWS($O$2:O727),$O$2:$O$1001,0),MATCH(COLUMNS($V$1006:X1006),$V$1006:$AE$1006,0)), HYPERLINK("#",""), HYPERLINK(CONCATENATE("#Metadata!", ADDRESS(INDEX($Q$2:$Q$1001,MATCH(ROWS($O$2:O727),$O$2:$O$1001,0),0), INDEX($V$1004:$AE$1004,1,MATCH(COLUMNS($V$1006:X1006),$V$1006:$AE$1006,0)))),"Fix")))</f>
        <v>0</v>
      </c>
      <c r="E727" s="3">
        <f>IF(OR(INDEX($P$2:$P$1001,MATCH(ROWS($O$2:O727),$O$2:$O$1001,0),1)&gt;=100000,INDEX($V$1005:$AE$1005,1,MATCH(COLUMNS($V$1006:Y1006),$V$1006:$AE$1006,0))&gt;=100000), " ",IF(INDEX($V$2:$AE$1001,MATCH(ROWS($O$2:O727),$O$2:$O$1001,0),MATCH(COLUMNS($V$1006:Y1006),$V$1006:$AE$1006,0)), HYPERLINK("#",""), HYPERLINK(CONCATENATE("#Metadata!", ADDRESS(INDEX($Q$2:$Q$1001,MATCH(ROWS($O$2:O727),$O$2:$O$1001,0),0), INDEX($V$1004:$AE$1004,1,MATCH(COLUMNS($V$1006:Y1006),$V$1006:$AE$1006,0)))),"Fix")))</f>
        <v>0</v>
      </c>
      <c r="F727" s="3">
        <f>IF(OR(INDEX($P$2:$P$1001,MATCH(ROWS($O$2:O727),$O$2:$O$1001,0),1)&gt;=100000,INDEX($V$1005:$AE$1005,1,MATCH(COLUMNS($V$1006:Z1006),$V$1006:$AE$1006,0))&gt;=100000), " ",IF(INDEX($V$2:$AE$1001,MATCH(ROWS($O$2:O727),$O$2:$O$1001,0),MATCH(COLUMNS($V$1006:Z1006),$V$1006:$AE$1006,0)), HYPERLINK("#",""), HYPERLINK(CONCATENATE("#Metadata!", ADDRESS(INDEX($Q$2:$Q$1001,MATCH(ROWS($O$2:O727),$O$2:$O$1001,0),0), INDEX($V$1004:$AE$1004,1,MATCH(COLUMNS($V$1006:Z1006),$V$1006:$AE$1006,0)))),"Fix")))</f>
        <v>0</v>
      </c>
      <c r="G727" s="3">
        <f>IF(OR(INDEX($P$2:$P$1001,MATCH(ROWS($O$2:O727),$O$2:$O$1001,0),1)&gt;=100000,INDEX($V$1005:$AE$1005,1,MATCH(COLUMNS($V$1006:AA1006),$V$1006:$AE$1006,0))&gt;=100000), " ",IF(INDEX($V$2:$AE$1001,MATCH(ROWS($O$2:O727),$O$2:$O$1001,0),MATCH(COLUMNS($V$1006:AA1006),$V$1006:$AE$1006,0)), HYPERLINK("#",""), HYPERLINK(CONCATENATE("#Metadata!", ADDRESS(INDEX($Q$2:$Q$1001,MATCH(ROWS($O$2:O727),$O$2:$O$1001,0),0), INDEX($V$1004:$AE$1004,1,MATCH(COLUMNS($V$1006:AA1006),$V$1006:$AE$1006,0)))),"Fix")))</f>
        <v>0</v>
      </c>
      <c r="H727" s="3">
        <f>IF(OR(INDEX($P$2:$P$1001,MATCH(ROWS($O$2:O727),$O$2:$O$1001,0),1)&gt;=100000,INDEX($V$1005:$AE$1005,1,MATCH(COLUMNS($V$1006:AB1006),$V$1006:$AE$1006,0))&gt;=100000), " ",IF(INDEX($V$2:$AE$1001,MATCH(ROWS($O$2:O727),$O$2:$O$1001,0),MATCH(COLUMNS($V$1006:AB1006),$V$1006:$AE$1006,0)), HYPERLINK("#",""), HYPERLINK(CONCATENATE("#Metadata!", ADDRESS(INDEX($Q$2:$Q$1001,MATCH(ROWS($O$2:O727),$O$2:$O$1001,0),0), INDEX($V$1004:$AE$1004,1,MATCH(COLUMNS($V$1006:AB1006),$V$1006:$AE$1006,0)))),"Fix")))</f>
        <v>0</v>
      </c>
      <c r="I727" s="3">
        <f>IF(OR(INDEX($P$2:$P$1001,MATCH(ROWS($O$2:O727),$O$2:$O$1001,0),1)&gt;=100000,INDEX($V$1005:$AE$1005,1,MATCH(COLUMNS($V$1006:AC1006),$V$1006:$AE$1006,0))&gt;=100000), " ",IF(INDEX($V$2:$AE$1001,MATCH(ROWS($O$2:O727),$O$2:$O$1001,0),MATCH(COLUMNS($V$1006:AC1006),$V$1006:$AE$1006,0)), HYPERLINK("#",""), HYPERLINK(CONCATENATE("#Metadata!", ADDRESS(INDEX($Q$2:$Q$1001,MATCH(ROWS($O$2:O727),$O$2:$O$1001,0),0), INDEX($V$1004:$AE$1004,1,MATCH(COLUMNS($V$1006:AC1006),$V$1006:$AE$1006,0)))),"Fix")))</f>
        <v>0</v>
      </c>
      <c r="J727" s="3">
        <f>IF(OR(INDEX($P$2:$P$1001,MATCH(ROWS($O$2:O727),$O$2:$O$1001,0),1)&gt;=100000,INDEX($V$1005:$AE$1005,1,MATCH(COLUMNS($V$1006:AD1006),$V$1006:$AE$1006,0))&gt;=100000), " ",IF(INDEX($V$2:$AE$1001,MATCH(ROWS($O$2:O727),$O$2:$O$1001,0),MATCH(COLUMNS($V$1006:AD1006),$V$1006:$AE$1006,0)), HYPERLINK("#",""), HYPERLINK(CONCATENATE("#Metadata!", ADDRESS(INDEX($Q$2:$Q$1001,MATCH(ROWS($O$2:O727),$O$2:$O$1001,0),0), INDEX($V$1004:$AE$1004,1,MATCH(COLUMNS($V$1006:AD1006),$V$1006:$AE$1006,0)))),"Fix")))</f>
        <v>0</v>
      </c>
      <c r="K727" s="3">
        <f>IF(OR(INDEX($P$2:$P$1001,MATCH(ROWS($O$2:O727),$O$2:$O$1001,0),1)&gt;=100000,INDEX($V$1005:$AE$1005,1,MATCH(COLUMNS($V$1006:AE1006),$V$1006:$AE$1006,0))&gt;=100000), " ",IF(INDEX($V$2:$AE$1001,MATCH(ROWS($O$2:O727),$O$2:$O$1001,0),MATCH(COLUMNS($V$1006:AE1006),$V$1006:$AE$1006,0)), HYPERLINK("#",""), HYPERLINK(CONCATENATE("#Metadata!", ADDRESS(INDEX($Q$2:$Q$1001,MATCH(ROWS($O$2:O727),$O$2:$O$1001,0),0), INDEX($V$1004:$AE$1004,1,MATCH(COLUMNS($V$1006:AE1006),$V$1006:$AE$1006,0)))),"Fix")))</f>
        <v>0</v>
      </c>
      <c r="O727">
        <v>0</v>
      </c>
      <c r="P727">
        <v>0</v>
      </c>
      <c r="Q727">
        <v>0</v>
      </c>
      <c r="R727">
        <f>IF(S727,TRUE,AND(V727:AE727))</f>
        <v>0</v>
      </c>
      <c r="S727">
        <f>COUNTBLANK(Metadata!B727:K727)=COLUMNS(Metadata!B727:K727)</f>
        <v>0</v>
      </c>
      <c r="T727">
        <v>0</v>
      </c>
      <c r="V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W727">
        <f>AND(IF(Metadata!C727="",FALSE,TRUE),exact(Metadata!C727,"animal secretion"))</f>
        <v>0</v>
      </c>
      <c r="X727">
        <f>AND(IF(Metadata!D727="",FALSE,TRUE),exact(Metadata!D727,"saliva"))</f>
        <v>0</v>
      </c>
      <c r="Y727">
        <f>AND(IF(Metadata!E727="",FALSE,TRUE),exact(Metadata!E727,"human-oral"))</f>
        <v>0</v>
      </c>
      <c r="Z727">
        <f>AND(IF(Metadata!F727="",FALSE,TRUE),exact(Metadata!F727,"UBERON:oral cavity"))</f>
        <v>0</v>
      </c>
      <c r="AA727">
        <f>AND(IF(Metadata!G727="",FALSE,TRUE),exact(Metadata!G727,"UBERON:saliva"))</f>
        <v>0</v>
      </c>
      <c r="AB727">
        <f>AND(IF(Metadata!H727="",FALSE,TRUE),exact(Metadata!H727,"UBERON:tongue"))</f>
        <v>0</v>
      </c>
      <c r="AC727">
        <f>AND(IF(Metadata!I727="",FALSE,TRUE),exact(Metadata!I727,"tongue"))</f>
        <v>0</v>
      </c>
      <c r="AD727">
        <f>AND(IF(Metadata!J727="",FALSE,TRUE),exact(Metadata!J727,"human oral metagenome"))</f>
        <v>0</v>
      </c>
      <c r="AE727">
        <f>AND(IF(Metadata!K727="",FALSE,TRUE),exact(Metadata!K727,"447426"))</f>
        <v>0</v>
      </c>
    </row>
    <row r="728" spans="1:31">
      <c r="A728" s="4">
        <f>IF(B728=" "," ",HYPERLINK(CONCATENATE("#metadata!",ADDRESS(INDEX($Q$2:$Q$1001,MATCH(ROWS($O$2:O728),$O$2:$O$1001,0),0),1)),INDEX($T$2:$T$1001,MATCH(ROWS($O$2:O728),$O$2:$O$1001,0),0)))</f>
        <v>0</v>
      </c>
      <c r="B728" s="3">
        <f>IF(OR(INDEX($P$2:$P$1001,MATCH(ROWS($O$2:O728),$O$2:$O$1001,0),1)&gt;=100000,INDEX($V$1005:$AE$1005,1,MATCH(COLUMNS($V$1006:V1006),$V$1006:$AE$1006,0))&gt;=100000), " ",IF(INDEX($V$2:$AE$1001,MATCH(ROWS($O$2:O728),$O$2:$O$1001,0),MATCH(COLUMNS($V$1006:V1006),$V$1006:$AE$1006,0)), HYPERLINK("#",""), HYPERLINK(CONCATENATE("#Metadata!", ADDRESS(INDEX($Q$2:$Q$1001,MATCH(ROWS($O$2:O728),$O$2:$O$1001,0),0), INDEX($V$1004:$AE$1004,1,MATCH(COLUMNS($V$1006:V1006),$V$1006:$AE$1006,0)))),"Fix")))</f>
        <v>0</v>
      </c>
      <c r="C728" s="3">
        <f>IF(OR(INDEX($P$2:$P$1001,MATCH(ROWS($O$2:O728),$O$2:$O$1001,0),1)&gt;=100000,INDEX($V$1005:$AE$1005,1,MATCH(COLUMNS($V$1006:W1006),$V$1006:$AE$1006,0))&gt;=100000), " ",IF(INDEX($V$2:$AE$1001,MATCH(ROWS($O$2:O728),$O$2:$O$1001,0),MATCH(COLUMNS($V$1006:W1006),$V$1006:$AE$1006,0)), HYPERLINK("#",""), HYPERLINK(CONCATENATE("#Metadata!", ADDRESS(INDEX($Q$2:$Q$1001,MATCH(ROWS($O$2:O728),$O$2:$O$1001,0),0), INDEX($V$1004:$AE$1004,1,MATCH(COLUMNS($V$1006:W1006),$V$1006:$AE$1006,0)))),"Fix")))</f>
        <v>0</v>
      </c>
      <c r="D728" s="3">
        <f>IF(OR(INDEX($P$2:$P$1001,MATCH(ROWS($O$2:O728),$O$2:$O$1001,0),1)&gt;=100000,INDEX($V$1005:$AE$1005,1,MATCH(COLUMNS($V$1006:X1006),$V$1006:$AE$1006,0))&gt;=100000), " ",IF(INDEX($V$2:$AE$1001,MATCH(ROWS($O$2:O728),$O$2:$O$1001,0),MATCH(COLUMNS($V$1006:X1006),$V$1006:$AE$1006,0)), HYPERLINK("#",""), HYPERLINK(CONCATENATE("#Metadata!", ADDRESS(INDEX($Q$2:$Q$1001,MATCH(ROWS($O$2:O728),$O$2:$O$1001,0),0), INDEX($V$1004:$AE$1004,1,MATCH(COLUMNS($V$1006:X1006),$V$1006:$AE$1006,0)))),"Fix")))</f>
        <v>0</v>
      </c>
      <c r="E728" s="3">
        <f>IF(OR(INDEX($P$2:$P$1001,MATCH(ROWS($O$2:O728),$O$2:$O$1001,0),1)&gt;=100000,INDEX($V$1005:$AE$1005,1,MATCH(COLUMNS($V$1006:Y1006),$V$1006:$AE$1006,0))&gt;=100000), " ",IF(INDEX($V$2:$AE$1001,MATCH(ROWS($O$2:O728),$O$2:$O$1001,0),MATCH(COLUMNS($V$1006:Y1006),$V$1006:$AE$1006,0)), HYPERLINK("#",""), HYPERLINK(CONCATENATE("#Metadata!", ADDRESS(INDEX($Q$2:$Q$1001,MATCH(ROWS($O$2:O728),$O$2:$O$1001,0),0), INDEX($V$1004:$AE$1004,1,MATCH(COLUMNS($V$1006:Y1006),$V$1006:$AE$1006,0)))),"Fix")))</f>
        <v>0</v>
      </c>
      <c r="F728" s="3">
        <f>IF(OR(INDEX($P$2:$P$1001,MATCH(ROWS($O$2:O728),$O$2:$O$1001,0),1)&gt;=100000,INDEX($V$1005:$AE$1005,1,MATCH(COLUMNS($V$1006:Z1006),$V$1006:$AE$1006,0))&gt;=100000), " ",IF(INDEX($V$2:$AE$1001,MATCH(ROWS($O$2:O728),$O$2:$O$1001,0),MATCH(COLUMNS($V$1006:Z1006),$V$1006:$AE$1006,0)), HYPERLINK("#",""), HYPERLINK(CONCATENATE("#Metadata!", ADDRESS(INDEX($Q$2:$Q$1001,MATCH(ROWS($O$2:O728),$O$2:$O$1001,0),0), INDEX($V$1004:$AE$1004,1,MATCH(COLUMNS($V$1006:Z1006),$V$1006:$AE$1006,0)))),"Fix")))</f>
        <v>0</v>
      </c>
      <c r="G728" s="3">
        <f>IF(OR(INDEX($P$2:$P$1001,MATCH(ROWS($O$2:O728),$O$2:$O$1001,0),1)&gt;=100000,INDEX($V$1005:$AE$1005,1,MATCH(COLUMNS($V$1006:AA1006),$V$1006:$AE$1006,0))&gt;=100000), " ",IF(INDEX($V$2:$AE$1001,MATCH(ROWS($O$2:O728),$O$2:$O$1001,0),MATCH(COLUMNS($V$1006:AA1006),$V$1006:$AE$1006,0)), HYPERLINK("#",""), HYPERLINK(CONCATENATE("#Metadata!", ADDRESS(INDEX($Q$2:$Q$1001,MATCH(ROWS($O$2:O728),$O$2:$O$1001,0),0), INDEX($V$1004:$AE$1004,1,MATCH(COLUMNS($V$1006:AA1006),$V$1006:$AE$1006,0)))),"Fix")))</f>
        <v>0</v>
      </c>
      <c r="H728" s="3">
        <f>IF(OR(INDEX($P$2:$P$1001,MATCH(ROWS($O$2:O728),$O$2:$O$1001,0),1)&gt;=100000,INDEX($V$1005:$AE$1005,1,MATCH(COLUMNS($V$1006:AB1006),$V$1006:$AE$1006,0))&gt;=100000), " ",IF(INDEX($V$2:$AE$1001,MATCH(ROWS($O$2:O728),$O$2:$O$1001,0),MATCH(COLUMNS($V$1006:AB1006),$V$1006:$AE$1006,0)), HYPERLINK("#",""), HYPERLINK(CONCATENATE("#Metadata!", ADDRESS(INDEX($Q$2:$Q$1001,MATCH(ROWS($O$2:O728),$O$2:$O$1001,0),0), INDEX($V$1004:$AE$1004,1,MATCH(COLUMNS($V$1006:AB1006),$V$1006:$AE$1006,0)))),"Fix")))</f>
        <v>0</v>
      </c>
      <c r="I728" s="3">
        <f>IF(OR(INDEX($P$2:$P$1001,MATCH(ROWS($O$2:O728),$O$2:$O$1001,0),1)&gt;=100000,INDEX($V$1005:$AE$1005,1,MATCH(COLUMNS($V$1006:AC1006),$V$1006:$AE$1006,0))&gt;=100000), " ",IF(INDEX($V$2:$AE$1001,MATCH(ROWS($O$2:O728),$O$2:$O$1001,0),MATCH(COLUMNS($V$1006:AC1006),$V$1006:$AE$1006,0)), HYPERLINK("#",""), HYPERLINK(CONCATENATE("#Metadata!", ADDRESS(INDEX($Q$2:$Q$1001,MATCH(ROWS($O$2:O728),$O$2:$O$1001,0),0), INDEX($V$1004:$AE$1004,1,MATCH(COLUMNS($V$1006:AC1006),$V$1006:$AE$1006,0)))),"Fix")))</f>
        <v>0</v>
      </c>
      <c r="J728" s="3">
        <f>IF(OR(INDEX($P$2:$P$1001,MATCH(ROWS($O$2:O728),$O$2:$O$1001,0),1)&gt;=100000,INDEX($V$1005:$AE$1005,1,MATCH(COLUMNS($V$1006:AD1006),$V$1006:$AE$1006,0))&gt;=100000), " ",IF(INDEX($V$2:$AE$1001,MATCH(ROWS($O$2:O728),$O$2:$O$1001,0),MATCH(COLUMNS($V$1006:AD1006),$V$1006:$AE$1006,0)), HYPERLINK("#",""), HYPERLINK(CONCATENATE("#Metadata!", ADDRESS(INDEX($Q$2:$Q$1001,MATCH(ROWS($O$2:O728),$O$2:$O$1001,0),0), INDEX($V$1004:$AE$1004,1,MATCH(COLUMNS($V$1006:AD1006),$V$1006:$AE$1006,0)))),"Fix")))</f>
        <v>0</v>
      </c>
      <c r="K728" s="3">
        <f>IF(OR(INDEX($P$2:$P$1001,MATCH(ROWS($O$2:O728),$O$2:$O$1001,0),1)&gt;=100000,INDEX($V$1005:$AE$1005,1,MATCH(COLUMNS($V$1006:AE1006),$V$1006:$AE$1006,0))&gt;=100000), " ",IF(INDEX($V$2:$AE$1001,MATCH(ROWS($O$2:O728),$O$2:$O$1001,0),MATCH(COLUMNS($V$1006:AE1006),$V$1006:$AE$1006,0)), HYPERLINK("#",""), HYPERLINK(CONCATENATE("#Metadata!", ADDRESS(INDEX($Q$2:$Q$1001,MATCH(ROWS($O$2:O728),$O$2:$O$1001,0),0), INDEX($V$1004:$AE$1004,1,MATCH(COLUMNS($V$1006:AE1006),$V$1006:$AE$1006,0)))),"Fix")))</f>
        <v>0</v>
      </c>
      <c r="O728">
        <v>0</v>
      </c>
      <c r="P728">
        <v>0</v>
      </c>
      <c r="Q728">
        <v>0</v>
      </c>
      <c r="R728">
        <f>IF(S728,TRUE,AND(V728:AE728))</f>
        <v>0</v>
      </c>
      <c r="S728">
        <f>COUNTBLANK(Metadata!B728:K728)=COLUMNS(Metadata!B728:K728)</f>
        <v>0</v>
      </c>
      <c r="T728">
        <v>0</v>
      </c>
      <c r="V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W728">
        <f>AND(IF(Metadata!C728="",FALSE,TRUE),exact(Metadata!C728,"animal secretion"))</f>
        <v>0</v>
      </c>
      <c r="X728">
        <f>AND(IF(Metadata!D728="",FALSE,TRUE),exact(Metadata!D728,"saliva"))</f>
        <v>0</v>
      </c>
      <c r="Y728">
        <f>AND(IF(Metadata!E728="",FALSE,TRUE),exact(Metadata!E728,"human-oral"))</f>
        <v>0</v>
      </c>
      <c r="Z728">
        <f>AND(IF(Metadata!F728="",FALSE,TRUE),exact(Metadata!F728,"UBERON:oral cavity"))</f>
        <v>0</v>
      </c>
      <c r="AA728">
        <f>AND(IF(Metadata!G728="",FALSE,TRUE),exact(Metadata!G728,"UBERON:saliva"))</f>
        <v>0</v>
      </c>
      <c r="AB728">
        <f>AND(IF(Metadata!H728="",FALSE,TRUE),exact(Metadata!H728,"UBERON:tongue"))</f>
        <v>0</v>
      </c>
      <c r="AC728">
        <f>AND(IF(Metadata!I728="",FALSE,TRUE),exact(Metadata!I728,"tongue"))</f>
        <v>0</v>
      </c>
      <c r="AD728">
        <f>AND(IF(Metadata!J728="",FALSE,TRUE),exact(Metadata!J728,"human oral metagenome"))</f>
        <v>0</v>
      </c>
      <c r="AE728">
        <f>AND(IF(Metadata!K728="",FALSE,TRUE),exact(Metadata!K728,"447426"))</f>
        <v>0</v>
      </c>
    </row>
    <row r="729" spans="1:31">
      <c r="A729" s="4">
        <f>IF(B729=" "," ",HYPERLINK(CONCATENATE("#metadata!",ADDRESS(INDEX($Q$2:$Q$1001,MATCH(ROWS($O$2:O729),$O$2:$O$1001,0),0),1)),INDEX($T$2:$T$1001,MATCH(ROWS($O$2:O729),$O$2:$O$1001,0),0)))</f>
        <v>0</v>
      </c>
      <c r="B729" s="3">
        <f>IF(OR(INDEX($P$2:$P$1001,MATCH(ROWS($O$2:O729),$O$2:$O$1001,0),1)&gt;=100000,INDEX($V$1005:$AE$1005,1,MATCH(COLUMNS($V$1006:V1006),$V$1006:$AE$1006,0))&gt;=100000), " ",IF(INDEX($V$2:$AE$1001,MATCH(ROWS($O$2:O729),$O$2:$O$1001,0),MATCH(COLUMNS($V$1006:V1006),$V$1006:$AE$1006,0)), HYPERLINK("#",""), HYPERLINK(CONCATENATE("#Metadata!", ADDRESS(INDEX($Q$2:$Q$1001,MATCH(ROWS($O$2:O729),$O$2:$O$1001,0),0), INDEX($V$1004:$AE$1004,1,MATCH(COLUMNS($V$1006:V1006),$V$1006:$AE$1006,0)))),"Fix")))</f>
        <v>0</v>
      </c>
      <c r="C729" s="3">
        <f>IF(OR(INDEX($P$2:$P$1001,MATCH(ROWS($O$2:O729),$O$2:$O$1001,0),1)&gt;=100000,INDEX($V$1005:$AE$1005,1,MATCH(COLUMNS($V$1006:W1006),$V$1006:$AE$1006,0))&gt;=100000), " ",IF(INDEX($V$2:$AE$1001,MATCH(ROWS($O$2:O729),$O$2:$O$1001,0),MATCH(COLUMNS($V$1006:W1006),$V$1006:$AE$1006,0)), HYPERLINK("#",""), HYPERLINK(CONCATENATE("#Metadata!", ADDRESS(INDEX($Q$2:$Q$1001,MATCH(ROWS($O$2:O729),$O$2:$O$1001,0),0), INDEX($V$1004:$AE$1004,1,MATCH(COLUMNS($V$1006:W1006),$V$1006:$AE$1006,0)))),"Fix")))</f>
        <v>0</v>
      </c>
      <c r="D729" s="3">
        <f>IF(OR(INDEX($P$2:$P$1001,MATCH(ROWS($O$2:O729),$O$2:$O$1001,0),1)&gt;=100000,INDEX($V$1005:$AE$1005,1,MATCH(COLUMNS($V$1006:X1006),$V$1006:$AE$1006,0))&gt;=100000), " ",IF(INDEX($V$2:$AE$1001,MATCH(ROWS($O$2:O729),$O$2:$O$1001,0),MATCH(COLUMNS($V$1006:X1006),$V$1006:$AE$1006,0)), HYPERLINK("#",""), HYPERLINK(CONCATENATE("#Metadata!", ADDRESS(INDEX($Q$2:$Q$1001,MATCH(ROWS($O$2:O729),$O$2:$O$1001,0),0), INDEX($V$1004:$AE$1004,1,MATCH(COLUMNS($V$1006:X1006),$V$1006:$AE$1006,0)))),"Fix")))</f>
        <v>0</v>
      </c>
      <c r="E729" s="3">
        <f>IF(OR(INDEX($P$2:$P$1001,MATCH(ROWS($O$2:O729),$O$2:$O$1001,0),1)&gt;=100000,INDEX($V$1005:$AE$1005,1,MATCH(COLUMNS($V$1006:Y1006),$V$1006:$AE$1006,0))&gt;=100000), " ",IF(INDEX($V$2:$AE$1001,MATCH(ROWS($O$2:O729),$O$2:$O$1001,0),MATCH(COLUMNS($V$1006:Y1006),$V$1006:$AE$1006,0)), HYPERLINK("#",""), HYPERLINK(CONCATENATE("#Metadata!", ADDRESS(INDEX($Q$2:$Q$1001,MATCH(ROWS($O$2:O729),$O$2:$O$1001,0),0), INDEX($V$1004:$AE$1004,1,MATCH(COLUMNS($V$1006:Y1006),$V$1006:$AE$1006,0)))),"Fix")))</f>
        <v>0</v>
      </c>
      <c r="F729" s="3">
        <f>IF(OR(INDEX($P$2:$P$1001,MATCH(ROWS($O$2:O729),$O$2:$O$1001,0),1)&gt;=100000,INDEX($V$1005:$AE$1005,1,MATCH(COLUMNS($V$1006:Z1006),$V$1006:$AE$1006,0))&gt;=100000), " ",IF(INDEX($V$2:$AE$1001,MATCH(ROWS($O$2:O729),$O$2:$O$1001,0),MATCH(COLUMNS($V$1006:Z1006),$V$1006:$AE$1006,0)), HYPERLINK("#",""), HYPERLINK(CONCATENATE("#Metadata!", ADDRESS(INDEX($Q$2:$Q$1001,MATCH(ROWS($O$2:O729),$O$2:$O$1001,0),0), INDEX($V$1004:$AE$1004,1,MATCH(COLUMNS($V$1006:Z1006),$V$1006:$AE$1006,0)))),"Fix")))</f>
        <v>0</v>
      </c>
      <c r="G729" s="3">
        <f>IF(OR(INDEX($P$2:$P$1001,MATCH(ROWS($O$2:O729),$O$2:$O$1001,0),1)&gt;=100000,INDEX($V$1005:$AE$1005,1,MATCH(COLUMNS($V$1006:AA1006),$V$1006:$AE$1006,0))&gt;=100000), " ",IF(INDEX($V$2:$AE$1001,MATCH(ROWS($O$2:O729),$O$2:$O$1001,0),MATCH(COLUMNS($V$1006:AA1006),$V$1006:$AE$1006,0)), HYPERLINK("#",""), HYPERLINK(CONCATENATE("#Metadata!", ADDRESS(INDEX($Q$2:$Q$1001,MATCH(ROWS($O$2:O729),$O$2:$O$1001,0),0), INDEX($V$1004:$AE$1004,1,MATCH(COLUMNS($V$1006:AA1006),$V$1006:$AE$1006,0)))),"Fix")))</f>
        <v>0</v>
      </c>
      <c r="H729" s="3">
        <f>IF(OR(INDEX($P$2:$P$1001,MATCH(ROWS($O$2:O729),$O$2:$O$1001,0),1)&gt;=100000,INDEX($V$1005:$AE$1005,1,MATCH(COLUMNS($V$1006:AB1006),$V$1006:$AE$1006,0))&gt;=100000), " ",IF(INDEX($V$2:$AE$1001,MATCH(ROWS($O$2:O729),$O$2:$O$1001,0),MATCH(COLUMNS($V$1006:AB1006),$V$1006:$AE$1006,0)), HYPERLINK("#",""), HYPERLINK(CONCATENATE("#Metadata!", ADDRESS(INDEX($Q$2:$Q$1001,MATCH(ROWS($O$2:O729),$O$2:$O$1001,0),0), INDEX($V$1004:$AE$1004,1,MATCH(COLUMNS($V$1006:AB1006),$V$1006:$AE$1006,0)))),"Fix")))</f>
        <v>0</v>
      </c>
      <c r="I729" s="3">
        <f>IF(OR(INDEX($P$2:$P$1001,MATCH(ROWS($O$2:O729),$O$2:$O$1001,0),1)&gt;=100000,INDEX($V$1005:$AE$1005,1,MATCH(COLUMNS($V$1006:AC1006),$V$1006:$AE$1006,0))&gt;=100000), " ",IF(INDEX($V$2:$AE$1001,MATCH(ROWS($O$2:O729),$O$2:$O$1001,0),MATCH(COLUMNS($V$1006:AC1006),$V$1006:$AE$1006,0)), HYPERLINK("#",""), HYPERLINK(CONCATENATE("#Metadata!", ADDRESS(INDEX($Q$2:$Q$1001,MATCH(ROWS($O$2:O729),$O$2:$O$1001,0),0), INDEX($V$1004:$AE$1004,1,MATCH(COLUMNS($V$1006:AC1006),$V$1006:$AE$1006,0)))),"Fix")))</f>
        <v>0</v>
      </c>
      <c r="J729" s="3">
        <f>IF(OR(INDEX($P$2:$P$1001,MATCH(ROWS($O$2:O729),$O$2:$O$1001,0),1)&gt;=100000,INDEX($V$1005:$AE$1005,1,MATCH(COLUMNS($V$1006:AD1006),$V$1006:$AE$1006,0))&gt;=100000), " ",IF(INDEX($V$2:$AE$1001,MATCH(ROWS($O$2:O729),$O$2:$O$1001,0),MATCH(COLUMNS($V$1006:AD1006),$V$1006:$AE$1006,0)), HYPERLINK("#",""), HYPERLINK(CONCATENATE("#Metadata!", ADDRESS(INDEX($Q$2:$Q$1001,MATCH(ROWS($O$2:O729),$O$2:$O$1001,0),0), INDEX($V$1004:$AE$1004,1,MATCH(COLUMNS($V$1006:AD1006),$V$1006:$AE$1006,0)))),"Fix")))</f>
        <v>0</v>
      </c>
      <c r="K729" s="3">
        <f>IF(OR(INDEX($P$2:$P$1001,MATCH(ROWS($O$2:O729),$O$2:$O$1001,0),1)&gt;=100000,INDEX($V$1005:$AE$1005,1,MATCH(COLUMNS($V$1006:AE1006),$V$1006:$AE$1006,0))&gt;=100000), " ",IF(INDEX($V$2:$AE$1001,MATCH(ROWS($O$2:O729),$O$2:$O$1001,0),MATCH(COLUMNS($V$1006:AE1006),$V$1006:$AE$1006,0)), HYPERLINK("#",""), HYPERLINK(CONCATENATE("#Metadata!", ADDRESS(INDEX($Q$2:$Q$1001,MATCH(ROWS($O$2:O729),$O$2:$O$1001,0),0), INDEX($V$1004:$AE$1004,1,MATCH(COLUMNS($V$1006:AE1006),$V$1006:$AE$1006,0)))),"Fix")))</f>
        <v>0</v>
      </c>
      <c r="O729">
        <v>0</v>
      </c>
      <c r="P729">
        <v>0</v>
      </c>
      <c r="Q729">
        <v>0</v>
      </c>
      <c r="R729">
        <f>IF(S729,TRUE,AND(V729:AE729))</f>
        <v>0</v>
      </c>
      <c r="S729">
        <f>COUNTBLANK(Metadata!B729:K729)=COLUMNS(Metadata!B729:K729)</f>
        <v>0</v>
      </c>
      <c r="T729">
        <v>0</v>
      </c>
      <c r="V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W729">
        <f>AND(IF(Metadata!C729="",FALSE,TRUE),exact(Metadata!C729,"animal secretion"))</f>
        <v>0</v>
      </c>
      <c r="X729">
        <f>AND(IF(Metadata!D729="",FALSE,TRUE),exact(Metadata!D729,"saliva"))</f>
        <v>0</v>
      </c>
      <c r="Y729">
        <f>AND(IF(Metadata!E729="",FALSE,TRUE),exact(Metadata!E729,"human-oral"))</f>
        <v>0</v>
      </c>
      <c r="Z729">
        <f>AND(IF(Metadata!F729="",FALSE,TRUE),exact(Metadata!F729,"UBERON:oral cavity"))</f>
        <v>0</v>
      </c>
      <c r="AA729">
        <f>AND(IF(Metadata!G729="",FALSE,TRUE),exact(Metadata!G729,"UBERON:saliva"))</f>
        <v>0</v>
      </c>
      <c r="AB729">
        <f>AND(IF(Metadata!H729="",FALSE,TRUE),exact(Metadata!H729,"UBERON:tongue"))</f>
        <v>0</v>
      </c>
      <c r="AC729">
        <f>AND(IF(Metadata!I729="",FALSE,TRUE),exact(Metadata!I729,"tongue"))</f>
        <v>0</v>
      </c>
      <c r="AD729">
        <f>AND(IF(Metadata!J729="",FALSE,TRUE),exact(Metadata!J729,"human oral metagenome"))</f>
        <v>0</v>
      </c>
      <c r="AE729">
        <f>AND(IF(Metadata!K729="",FALSE,TRUE),exact(Metadata!K729,"447426"))</f>
        <v>0</v>
      </c>
    </row>
    <row r="730" spans="1:31">
      <c r="A730" s="4">
        <f>IF(B730=" "," ",HYPERLINK(CONCATENATE("#metadata!",ADDRESS(INDEX($Q$2:$Q$1001,MATCH(ROWS($O$2:O730),$O$2:$O$1001,0),0),1)),INDEX($T$2:$T$1001,MATCH(ROWS($O$2:O730),$O$2:$O$1001,0),0)))</f>
        <v>0</v>
      </c>
      <c r="B730" s="3">
        <f>IF(OR(INDEX($P$2:$P$1001,MATCH(ROWS($O$2:O730),$O$2:$O$1001,0),1)&gt;=100000,INDEX($V$1005:$AE$1005,1,MATCH(COLUMNS($V$1006:V1006),$V$1006:$AE$1006,0))&gt;=100000), " ",IF(INDEX($V$2:$AE$1001,MATCH(ROWS($O$2:O730),$O$2:$O$1001,0),MATCH(COLUMNS($V$1006:V1006),$V$1006:$AE$1006,0)), HYPERLINK("#",""), HYPERLINK(CONCATENATE("#Metadata!", ADDRESS(INDEX($Q$2:$Q$1001,MATCH(ROWS($O$2:O730),$O$2:$O$1001,0),0), INDEX($V$1004:$AE$1004,1,MATCH(COLUMNS($V$1006:V1006),$V$1006:$AE$1006,0)))),"Fix")))</f>
        <v>0</v>
      </c>
      <c r="C730" s="3">
        <f>IF(OR(INDEX($P$2:$P$1001,MATCH(ROWS($O$2:O730),$O$2:$O$1001,0),1)&gt;=100000,INDEX($V$1005:$AE$1005,1,MATCH(COLUMNS($V$1006:W1006),$V$1006:$AE$1006,0))&gt;=100000), " ",IF(INDEX($V$2:$AE$1001,MATCH(ROWS($O$2:O730),$O$2:$O$1001,0),MATCH(COLUMNS($V$1006:W1006),$V$1006:$AE$1006,0)), HYPERLINK("#",""), HYPERLINK(CONCATENATE("#Metadata!", ADDRESS(INDEX($Q$2:$Q$1001,MATCH(ROWS($O$2:O730),$O$2:$O$1001,0),0), INDEX($V$1004:$AE$1004,1,MATCH(COLUMNS($V$1006:W1006),$V$1006:$AE$1006,0)))),"Fix")))</f>
        <v>0</v>
      </c>
      <c r="D730" s="3">
        <f>IF(OR(INDEX($P$2:$P$1001,MATCH(ROWS($O$2:O730),$O$2:$O$1001,0),1)&gt;=100000,INDEX($V$1005:$AE$1005,1,MATCH(COLUMNS($V$1006:X1006),$V$1006:$AE$1006,0))&gt;=100000), " ",IF(INDEX($V$2:$AE$1001,MATCH(ROWS($O$2:O730),$O$2:$O$1001,0),MATCH(COLUMNS($V$1006:X1006),$V$1006:$AE$1006,0)), HYPERLINK("#",""), HYPERLINK(CONCATENATE("#Metadata!", ADDRESS(INDEX($Q$2:$Q$1001,MATCH(ROWS($O$2:O730),$O$2:$O$1001,0),0), INDEX($V$1004:$AE$1004,1,MATCH(COLUMNS($V$1006:X1006),$V$1006:$AE$1006,0)))),"Fix")))</f>
        <v>0</v>
      </c>
      <c r="E730" s="3">
        <f>IF(OR(INDEX($P$2:$P$1001,MATCH(ROWS($O$2:O730),$O$2:$O$1001,0),1)&gt;=100000,INDEX($V$1005:$AE$1005,1,MATCH(COLUMNS($V$1006:Y1006),$V$1006:$AE$1006,0))&gt;=100000), " ",IF(INDEX($V$2:$AE$1001,MATCH(ROWS($O$2:O730),$O$2:$O$1001,0),MATCH(COLUMNS($V$1006:Y1006),$V$1006:$AE$1006,0)), HYPERLINK("#",""), HYPERLINK(CONCATENATE("#Metadata!", ADDRESS(INDEX($Q$2:$Q$1001,MATCH(ROWS($O$2:O730),$O$2:$O$1001,0),0), INDEX($V$1004:$AE$1004,1,MATCH(COLUMNS($V$1006:Y1006),$V$1006:$AE$1006,0)))),"Fix")))</f>
        <v>0</v>
      </c>
      <c r="F730" s="3">
        <f>IF(OR(INDEX($P$2:$P$1001,MATCH(ROWS($O$2:O730),$O$2:$O$1001,0),1)&gt;=100000,INDEX($V$1005:$AE$1005,1,MATCH(COLUMNS($V$1006:Z1006),$V$1006:$AE$1006,0))&gt;=100000), " ",IF(INDEX($V$2:$AE$1001,MATCH(ROWS($O$2:O730),$O$2:$O$1001,0),MATCH(COLUMNS($V$1006:Z1006),$V$1006:$AE$1006,0)), HYPERLINK("#",""), HYPERLINK(CONCATENATE("#Metadata!", ADDRESS(INDEX($Q$2:$Q$1001,MATCH(ROWS($O$2:O730),$O$2:$O$1001,0),0), INDEX($V$1004:$AE$1004,1,MATCH(COLUMNS($V$1006:Z1006),$V$1006:$AE$1006,0)))),"Fix")))</f>
        <v>0</v>
      </c>
      <c r="G730" s="3">
        <f>IF(OR(INDEX($P$2:$P$1001,MATCH(ROWS($O$2:O730),$O$2:$O$1001,0),1)&gt;=100000,INDEX($V$1005:$AE$1005,1,MATCH(COLUMNS($V$1006:AA1006),$V$1006:$AE$1006,0))&gt;=100000), " ",IF(INDEX($V$2:$AE$1001,MATCH(ROWS($O$2:O730),$O$2:$O$1001,0),MATCH(COLUMNS($V$1006:AA1006),$V$1006:$AE$1006,0)), HYPERLINK("#",""), HYPERLINK(CONCATENATE("#Metadata!", ADDRESS(INDEX($Q$2:$Q$1001,MATCH(ROWS($O$2:O730),$O$2:$O$1001,0),0), INDEX($V$1004:$AE$1004,1,MATCH(COLUMNS($V$1006:AA1006),$V$1006:$AE$1006,0)))),"Fix")))</f>
        <v>0</v>
      </c>
      <c r="H730" s="3">
        <f>IF(OR(INDEX($P$2:$P$1001,MATCH(ROWS($O$2:O730),$O$2:$O$1001,0),1)&gt;=100000,INDEX($V$1005:$AE$1005,1,MATCH(COLUMNS($V$1006:AB1006),$V$1006:$AE$1006,0))&gt;=100000), " ",IF(INDEX($V$2:$AE$1001,MATCH(ROWS($O$2:O730),$O$2:$O$1001,0),MATCH(COLUMNS($V$1006:AB1006),$V$1006:$AE$1006,0)), HYPERLINK("#",""), HYPERLINK(CONCATENATE("#Metadata!", ADDRESS(INDEX($Q$2:$Q$1001,MATCH(ROWS($O$2:O730),$O$2:$O$1001,0),0), INDEX($V$1004:$AE$1004,1,MATCH(COLUMNS($V$1006:AB1006),$V$1006:$AE$1006,0)))),"Fix")))</f>
        <v>0</v>
      </c>
      <c r="I730" s="3">
        <f>IF(OR(INDEX($P$2:$P$1001,MATCH(ROWS($O$2:O730),$O$2:$O$1001,0),1)&gt;=100000,INDEX($V$1005:$AE$1005,1,MATCH(COLUMNS($V$1006:AC1006),$V$1006:$AE$1006,0))&gt;=100000), " ",IF(INDEX($V$2:$AE$1001,MATCH(ROWS($O$2:O730),$O$2:$O$1001,0),MATCH(COLUMNS($V$1006:AC1006),$V$1006:$AE$1006,0)), HYPERLINK("#",""), HYPERLINK(CONCATENATE("#Metadata!", ADDRESS(INDEX($Q$2:$Q$1001,MATCH(ROWS($O$2:O730),$O$2:$O$1001,0),0), INDEX($V$1004:$AE$1004,1,MATCH(COLUMNS($V$1006:AC1006),$V$1006:$AE$1006,0)))),"Fix")))</f>
        <v>0</v>
      </c>
      <c r="J730" s="3">
        <f>IF(OR(INDEX($P$2:$P$1001,MATCH(ROWS($O$2:O730),$O$2:$O$1001,0),1)&gt;=100000,INDEX($V$1005:$AE$1005,1,MATCH(COLUMNS($V$1006:AD1006),$V$1006:$AE$1006,0))&gt;=100000), " ",IF(INDEX($V$2:$AE$1001,MATCH(ROWS($O$2:O730),$O$2:$O$1001,0),MATCH(COLUMNS($V$1006:AD1006),$V$1006:$AE$1006,0)), HYPERLINK("#",""), HYPERLINK(CONCATENATE("#Metadata!", ADDRESS(INDEX($Q$2:$Q$1001,MATCH(ROWS($O$2:O730),$O$2:$O$1001,0),0), INDEX($V$1004:$AE$1004,1,MATCH(COLUMNS($V$1006:AD1006),$V$1006:$AE$1006,0)))),"Fix")))</f>
        <v>0</v>
      </c>
      <c r="K730" s="3">
        <f>IF(OR(INDEX($P$2:$P$1001,MATCH(ROWS($O$2:O730),$O$2:$O$1001,0),1)&gt;=100000,INDEX($V$1005:$AE$1005,1,MATCH(COLUMNS($V$1006:AE1006),$V$1006:$AE$1006,0))&gt;=100000), " ",IF(INDEX($V$2:$AE$1001,MATCH(ROWS($O$2:O730),$O$2:$O$1001,0),MATCH(COLUMNS($V$1006:AE1006),$V$1006:$AE$1006,0)), HYPERLINK("#",""), HYPERLINK(CONCATENATE("#Metadata!", ADDRESS(INDEX($Q$2:$Q$1001,MATCH(ROWS($O$2:O730),$O$2:$O$1001,0),0), INDEX($V$1004:$AE$1004,1,MATCH(COLUMNS($V$1006:AE1006),$V$1006:$AE$1006,0)))),"Fix")))</f>
        <v>0</v>
      </c>
      <c r="O730">
        <v>0</v>
      </c>
      <c r="P730">
        <v>0</v>
      </c>
      <c r="Q730">
        <v>0</v>
      </c>
      <c r="R730">
        <f>IF(S730,TRUE,AND(V730:AE730))</f>
        <v>0</v>
      </c>
      <c r="S730">
        <f>COUNTBLANK(Metadata!B730:K730)=COLUMNS(Metadata!B730:K730)</f>
        <v>0</v>
      </c>
      <c r="T730">
        <v>0</v>
      </c>
      <c r="V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W730">
        <f>AND(IF(Metadata!C730="",FALSE,TRUE),exact(Metadata!C730,"animal secretion"))</f>
        <v>0</v>
      </c>
      <c r="X730">
        <f>AND(IF(Metadata!D730="",FALSE,TRUE),exact(Metadata!D730,"saliva"))</f>
        <v>0</v>
      </c>
      <c r="Y730">
        <f>AND(IF(Metadata!E730="",FALSE,TRUE),exact(Metadata!E730,"human-oral"))</f>
        <v>0</v>
      </c>
      <c r="Z730">
        <f>AND(IF(Metadata!F730="",FALSE,TRUE),exact(Metadata!F730,"UBERON:oral cavity"))</f>
        <v>0</v>
      </c>
      <c r="AA730">
        <f>AND(IF(Metadata!G730="",FALSE,TRUE),exact(Metadata!G730,"UBERON:saliva"))</f>
        <v>0</v>
      </c>
      <c r="AB730">
        <f>AND(IF(Metadata!H730="",FALSE,TRUE),exact(Metadata!H730,"UBERON:tongue"))</f>
        <v>0</v>
      </c>
      <c r="AC730">
        <f>AND(IF(Metadata!I730="",FALSE,TRUE),exact(Metadata!I730,"tongue"))</f>
        <v>0</v>
      </c>
      <c r="AD730">
        <f>AND(IF(Metadata!J730="",FALSE,TRUE),exact(Metadata!J730,"human oral metagenome"))</f>
        <v>0</v>
      </c>
      <c r="AE730">
        <f>AND(IF(Metadata!K730="",FALSE,TRUE),exact(Metadata!K730,"447426"))</f>
        <v>0</v>
      </c>
    </row>
    <row r="731" spans="1:31">
      <c r="A731" s="4">
        <f>IF(B731=" "," ",HYPERLINK(CONCATENATE("#metadata!",ADDRESS(INDEX($Q$2:$Q$1001,MATCH(ROWS($O$2:O731),$O$2:$O$1001,0),0),1)),INDEX($T$2:$T$1001,MATCH(ROWS($O$2:O731),$O$2:$O$1001,0),0)))</f>
        <v>0</v>
      </c>
      <c r="B731" s="3">
        <f>IF(OR(INDEX($P$2:$P$1001,MATCH(ROWS($O$2:O731),$O$2:$O$1001,0),1)&gt;=100000,INDEX($V$1005:$AE$1005,1,MATCH(COLUMNS($V$1006:V1006),$V$1006:$AE$1006,0))&gt;=100000), " ",IF(INDEX($V$2:$AE$1001,MATCH(ROWS($O$2:O731),$O$2:$O$1001,0),MATCH(COLUMNS($V$1006:V1006),$V$1006:$AE$1006,0)), HYPERLINK("#",""), HYPERLINK(CONCATENATE("#Metadata!", ADDRESS(INDEX($Q$2:$Q$1001,MATCH(ROWS($O$2:O731),$O$2:$O$1001,0),0), INDEX($V$1004:$AE$1004,1,MATCH(COLUMNS($V$1006:V1006),$V$1006:$AE$1006,0)))),"Fix")))</f>
        <v>0</v>
      </c>
      <c r="C731" s="3">
        <f>IF(OR(INDEX($P$2:$P$1001,MATCH(ROWS($O$2:O731),$O$2:$O$1001,0),1)&gt;=100000,INDEX($V$1005:$AE$1005,1,MATCH(COLUMNS($V$1006:W1006),$V$1006:$AE$1006,0))&gt;=100000), " ",IF(INDEX($V$2:$AE$1001,MATCH(ROWS($O$2:O731),$O$2:$O$1001,0),MATCH(COLUMNS($V$1006:W1006),$V$1006:$AE$1006,0)), HYPERLINK("#",""), HYPERLINK(CONCATENATE("#Metadata!", ADDRESS(INDEX($Q$2:$Q$1001,MATCH(ROWS($O$2:O731),$O$2:$O$1001,0),0), INDEX($V$1004:$AE$1004,1,MATCH(COLUMNS($V$1006:W1006),$V$1006:$AE$1006,0)))),"Fix")))</f>
        <v>0</v>
      </c>
      <c r="D731" s="3">
        <f>IF(OR(INDEX($P$2:$P$1001,MATCH(ROWS($O$2:O731),$O$2:$O$1001,0),1)&gt;=100000,INDEX($V$1005:$AE$1005,1,MATCH(COLUMNS($V$1006:X1006),$V$1006:$AE$1006,0))&gt;=100000), " ",IF(INDEX($V$2:$AE$1001,MATCH(ROWS($O$2:O731),$O$2:$O$1001,0),MATCH(COLUMNS($V$1006:X1006),$V$1006:$AE$1006,0)), HYPERLINK("#",""), HYPERLINK(CONCATENATE("#Metadata!", ADDRESS(INDEX($Q$2:$Q$1001,MATCH(ROWS($O$2:O731),$O$2:$O$1001,0),0), INDEX($V$1004:$AE$1004,1,MATCH(COLUMNS($V$1006:X1006),$V$1006:$AE$1006,0)))),"Fix")))</f>
        <v>0</v>
      </c>
      <c r="E731" s="3">
        <f>IF(OR(INDEX($P$2:$P$1001,MATCH(ROWS($O$2:O731),$O$2:$O$1001,0),1)&gt;=100000,INDEX($V$1005:$AE$1005,1,MATCH(COLUMNS($V$1006:Y1006),$V$1006:$AE$1006,0))&gt;=100000), " ",IF(INDEX($V$2:$AE$1001,MATCH(ROWS($O$2:O731),$O$2:$O$1001,0),MATCH(COLUMNS($V$1006:Y1006),$V$1006:$AE$1006,0)), HYPERLINK("#",""), HYPERLINK(CONCATENATE("#Metadata!", ADDRESS(INDEX($Q$2:$Q$1001,MATCH(ROWS($O$2:O731),$O$2:$O$1001,0),0), INDEX($V$1004:$AE$1004,1,MATCH(COLUMNS($V$1006:Y1006),$V$1006:$AE$1006,0)))),"Fix")))</f>
        <v>0</v>
      </c>
      <c r="F731" s="3">
        <f>IF(OR(INDEX($P$2:$P$1001,MATCH(ROWS($O$2:O731),$O$2:$O$1001,0),1)&gt;=100000,INDEX($V$1005:$AE$1005,1,MATCH(COLUMNS($V$1006:Z1006),$V$1006:$AE$1006,0))&gt;=100000), " ",IF(INDEX($V$2:$AE$1001,MATCH(ROWS($O$2:O731),$O$2:$O$1001,0),MATCH(COLUMNS($V$1006:Z1006),$V$1006:$AE$1006,0)), HYPERLINK("#",""), HYPERLINK(CONCATENATE("#Metadata!", ADDRESS(INDEX($Q$2:$Q$1001,MATCH(ROWS($O$2:O731),$O$2:$O$1001,0),0), INDEX($V$1004:$AE$1004,1,MATCH(COLUMNS($V$1006:Z1006),$V$1006:$AE$1006,0)))),"Fix")))</f>
        <v>0</v>
      </c>
      <c r="G731" s="3">
        <f>IF(OR(INDEX($P$2:$P$1001,MATCH(ROWS($O$2:O731),$O$2:$O$1001,0),1)&gt;=100000,INDEX($V$1005:$AE$1005,1,MATCH(COLUMNS($V$1006:AA1006),$V$1006:$AE$1006,0))&gt;=100000), " ",IF(INDEX($V$2:$AE$1001,MATCH(ROWS($O$2:O731),$O$2:$O$1001,0),MATCH(COLUMNS($V$1006:AA1006),$V$1006:$AE$1006,0)), HYPERLINK("#",""), HYPERLINK(CONCATENATE("#Metadata!", ADDRESS(INDEX($Q$2:$Q$1001,MATCH(ROWS($O$2:O731),$O$2:$O$1001,0),0), INDEX($V$1004:$AE$1004,1,MATCH(COLUMNS($V$1006:AA1006),$V$1006:$AE$1006,0)))),"Fix")))</f>
        <v>0</v>
      </c>
      <c r="H731" s="3">
        <f>IF(OR(INDEX($P$2:$P$1001,MATCH(ROWS($O$2:O731),$O$2:$O$1001,0),1)&gt;=100000,INDEX($V$1005:$AE$1005,1,MATCH(COLUMNS($V$1006:AB1006),$V$1006:$AE$1006,0))&gt;=100000), " ",IF(INDEX($V$2:$AE$1001,MATCH(ROWS($O$2:O731),$O$2:$O$1001,0),MATCH(COLUMNS($V$1006:AB1006),$V$1006:$AE$1006,0)), HYPERLINK("#",""), HYPERLINK(CONCATENATE("#Metadata!", ADDRESS(INDEX($Q$2:$Q$1001,MATCH(ROWS($O$2:O731),$O$2:$O$1001,0),0), INDEX($V$1004:$AE$1004,1,MATCH(COLUMNS($V$1006:AB1006),$V$1006:$AE$1006,0)))),"Fix")))</f>
        <v>0</v>
      </c>
      <c r="I731" s="3">
        <f>IF(OR(INDEX($P$2:$P$1001,MATCH(ROWS($O$2:O731),$O$2:$O$1001,0),1)&gt;=100000,INDEX($V$1005:$AE$1005,1,MATCH(COLUMNS($V$1006:AC1006),$V$1006:$AE$1006,0))&gt;=100000), " ",IF(INDEX($V$2:$AE$1001,MATCH(ROWS($O$2:O731),$O$2:$O$1001,0),MATCH(COLUMNS($V$1006:AC1006),$V$1006:$AE$1006,0)), HYPERLINK("#",""), HYPERLINK(CONCATENATE("#Metadata!", ADDRESS(INDEX($Q$2:$Q$1001,MATCH(ROWS($O$2:O731),$O$2:$O$1001,0),0), INDEX($V$1004:$AE$1004,1,MATCH(COLUMNS($V$1006:AC1006),$V$1006:$AE$1006,0)))),"Fix")))</f>
        <v>0</v>
      </c>
      <c r="J731" s="3">
        <f>IF(OR(INDEX($P$2:$P$1001,MATCH(ROWS($O$2:O731),$O$2:$O$1001,0),1)&gt;=100000,INDEX($V$1005:$AE$1005,1,MATCH(COLUMNS($V$1006:AD1006),$V$1006:$AE$1006,0))&gt;=100000), " ",IF(INDEX($V$2:$AE$1001,MATCH(ROWS($O$2:O731),$O$2:$O$1001,0),MATCH(COLUMNS($V$1006:AD1006),$V$1006:$AE$1006,0)), HYPERLINK("#",""), HYPERLINK(CONCATENATE("#Metadata!", ADDRESS(INDEX($Q$2:$Q$1001,MATCH(ROWS($O$2:O731),$O$2:$O$1001,0),0), INDEX($V$1004:$AE$1004,1,MATCH(COLUMNS($V$1006:AD1006),$V$1006:$AE$1006,0)))),"Fix")))</f>
        <v>0</v>
      </c>
      <c r="K731" s="3">
        <f>IF(OR(INDEX($P$2:$P$1001,MATCH(ROWS($O$2:O731),$O$2:$O$1001,0),1)&gt;=100000,INDEX($V$1005:$AE$1005,1,MATCH(COLUMNS($V$1006:AE1006),$V$1006:$AE$1006,0))&gt;=100000), " ",IF(INDEX($V$2:$AE$1001,MATCH(ROWS($O$2:O731),$O$2:$O$1001,0),MATCH(COLUMNS($V$1006:AE1006),$V$1006:$AE$1006,0)), HYPERLINK("#",""), HYPERLINK(CONCATENATE("#Metadata!", ADDRESS(INDEX($Q$2:$Q$1001,MATCH(ROWS($O$2:O731),$O$2:$O$1001,0),0), INDEX($V$1004:$AE$1004,1,MATCH(COLUMNS($V$1006:AE1006),$V$1006:$AE$1006,0)))),"Fix")))</f>
        <v>0</v>
      </c>
      <c r="O731">
        <v>0</v>
      </c>
      <c r="P731">
        <v>0</v>
      </c>
      <c r="Q731">
        <v>0</v>
      </c>
      <c r="R731">
        <f>IF(S731,TRUE,AND(V731:AE731))</f>
        <v>0</v>
      </c>
      <c r="S731">
        <f>COUNTBLANK(Metadata!B731:K731)=COLUMNS(Metadata!B731:K731)</f>
        <v>0</v>
      </c>
      <c r="T731">
        <v>0</v>
      </c>
      <c r="V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W731">
        <f>AND(IF(Metadata!C731="",FALSE,TRUE),exact(Metadata!C731,"animal secretion"))</f>
        <v>0</v>
      </c>
      <c r="X731">
        <f>AND(IF(Metadata!D731="",FALSE,TRUE),exact(Metadata!D731,"saliva"))</f>
        <v>0</v>
      </c>
      <c r="Y731">
        <f>AND(IF(Metadata!E731="",FALSE,TRUE),exact(Metadata!E731,"human-oral"))</f>
        <v>0</v>
      </c>
      <c r="Z731">
        <f>AND(IF(Metadata!F731="",FALSE,TRUE),exact(Metadata!F731,"UBERON:oral cavity"))</f>
        <v>0</v>
      </c>
      <c r="AA731">
        <f>AND(IF(Metadata!G731="",FALSE,TRUE),exact(Metadata!G731,"UBERON:saliva"))</f>
        <v>0</v>
      </c>
      <c r="AB731">
        <f>AND(IF(Metadata!H731="",FALSE,TRUE),exact(Metadata!H731,"UBERON:tongue"))</f>
        <v>0</v>
      </c>
      <c r="AC731">
        <f>AND(IF(Metadata!I731="",FALSE,TRUE),exact(Metadata!I731,"tongue"))</f>
        <v>0</v>
      </c>
      <c r="AD731">
        <f>AND(IF(Metadata!J731="",FALSE,TRUE),exact(Metadata!J731,"human oral metagenome"))</f>
        <v>0</v>
      </c>
      <c r="AE731">
        <f>AND(IF(Metadata!K731="",FALSE,TRUE),exact(Metadata!K731,"447426"))</f>
        <v>0</v>
      </c>
    </row>
    <row r="732" spans="1:31">
      <c r="A732" s="4">
        <f>IF(B732=" "," ",HYPERLINK(CONCATENATE("#metadata!",ADDRESS(INDEX($Q$2:$Q$1001,MATCH(ROWS($O$2:O732),$O$2:$O$1001,0),0),1)),INDEX($T$2:$T$1001,MATCH(ROWS($O$2:O732),$O$2:$O$1001,0),0)))</f>
        <v>0</v>
      </c>
      <c r="B732" s="3">
        <f>IF(OR(INDEX($P$2:$P$1001,MATCH(ROWS($O$2:O732),$O$2:$O$1001,0),1)&gt;=100000,INDEX($V$1005:$AE$1005,1,MATCH(COLUMNS($V$1006:V1006),$V$1006:$AE$1006,0))&gt;=100000), " ",IF(INDEX($V$2:$AE$1001,MATCH(ROWS($O$2:O732),$O$2:$O$1001,0),MATCH(COLUMNS($V$1006:V1006),$V$1006:$AE$1006,0)), HYPERLINK("#",""), HYPERLINK(CONCATENATE("#Metadata!", ADDRESS(INDEX($Q$2:$Q$1001,MATCH(ROWS($O$2:O732),$O$2:$O$1001,0),0), INDEX($V$1004:$AE$1004,1,MATCH(COLUMNS($V$1006:V1006),$V$1006:$AE$1006,0)))),"Fix")))</f>
        <v>0</v>
      </c>
      <c r="C732" s="3">
        <f>IF(OR(INDEX($P$2:$P$1001,MATCH(ROWS($O$2:O732),$O$2:$O$1001,0),1)&gt;=100000,INDEX($V$1005:$AE$1005,1,MATCH(COLUMNS($V$1006:W1006),$V$1006:$AE$1006,0))&gt;=100000), " ",IF(INDEX($V$2:$AE$1001,MATCH(ROWS($O$2:O732),$O$2:$O$1001,0),MATCH(COLUMNS($V$1006:W1006),$V$1006:$AE$1006,0)), HYPERLINK("#",""), HYPERLINK(CONCATENATE("#Metadata!", ADDRESS(INDEX($Q$2:$Q$1001,MATCH(ROWS($O$2:O732),$O$2:$O$1001,0),0), INDEX($V$1004:$AE$1004,1,MATCH(COLUMNS($V$1006:W1006),$V$1006:$AE$1006,0)))),"Fix")))</f>
        <v>0</v>
      </c>
      <c r="D732" s="3">
        <f>IF(OR(INDEX($P$2:$P$1001,MATCH(ROWS($O$2:O732),$O$2:$O$1001,0),1)&gt;=100000,INDEX($V$1005:$AE$1005,1,MATCH(COLUMNS($V$1006:X1006),$V$1006:$AE$1006,0))&gt;=100000), " ",IF(INDEX($V$2:$AE$1001,MATCH(ROWS($O$2:O732),$O$2:$O$1001,0),MATCH(COLUMNS($V$1006:X1006),$V$1006:$AE$1006,0)), HYPERLINK("#",""), HYPERLINK(CONCATENATE("#Metadata!", ADDRESS(INDEX($Q$2:$Q$1001,MATCH(ROWS($O$2:O732),$O$2:$O$1001,0),0), INDEX($V$1004:$AE$1004,1,MATCH(COLUMNS($V$1006:X1006),$V$1006:$AE$1006,0)))),"Fix")))</f>
        <v>0</v>
      </c>
      <c r="E732" s="3">
        <f>IF(OR(INDEX($P$2:$P$1001,MATCH(ROWS($O$2:O732),$O$2:$O$1001,0),1)&gt;=100000,INDEX($V$1005:$AE$1005,1,MATCH(COLUMNS($V$1006:Y1006),$V$1006:$AE$1006,0))&gt;=100000), " ",IF(INDEX($V$2:$AE$1001,MATCH(ROWS($O$2:O732),$O$2:$O$1001,0),MATCH(COLUMNS($V$1006:Y1006),$V$1006:$AE$1006,0)), HYPERLINK("#",""), HYPERLINK(CONCATENATE("#Metadata!", ADDRESS(INDEX($Q$2:$Q$1001,MATCH(ROWS($O$2:O732),$O$2:$O$1001,0),0), INDEX($V$1004:$AE$1004,1,MATCH(COLUMNS($V$1006:Y1006),$V$1006:$AE$1006,0)))),"Fix")))</f>
        <v>0</v>
      </c>
      <c r="F732" s="3">
        <f>IF(OR(INDEX($P$2:$P$1001,MATCH(ROWS($O$2:O732),$O$2:$O$1001,0),1)&gt;=100000,INDEX($V$1005:$AE$1005,1,MATCH(COLUMNS($V$1006:Z1006),$V$1006:$AE$1006,0))&gt;=100000), " ",IF(INDEX($V$2:$AE$1001,MATCH(ROWS($O$2:O732),$O$2:$O$1001,0),MATCH(COLUMNS($V$1006:Z1006),$V$1006:$AE$1006,0)), HYPERLINK("#",""), HYPERLINK(CONCATENATE("#Metadata!", ADDRESS(INDEX($Q$2:$Q$1001,MATCH(ROWS($O$2:O732),$O$2:$O$1001,0),0), INDEX($V$1004:$AE$1004,1,MATCH(COLUMNS($V$1006:Z1006),$V$1006:$AE$1006,0)))),"Fix")))</f>
        <v>0</v>
      </c>
      <c r="G732" s="3">
        <f>IF(OR(INDEX($P$2:$P$1001,MATCH(ROWS($O$2:O732),$O$2:$O$1001,0),1)&gt;=100000,INDEX($V$1005:$AE$1005,1,MATCH(COLUMNS($V$1006:AA1006),$V$1006:$AE$1006,0))&gt;=100000), " ",IF(INDEX($V$2:$AE$1001,MATCH(ROWS($O$2:O732),$O$2:$O$1001,0),MATCH(COLUMNS($V$1006:AA1006),$V$1006:$AE$1006,0)), HYPERLINK("#",""), HYPERLINK(CONCATENATE("#Metadata!", ADDRESS(INDEX($Q$2:$Q$1001,MATCH(ROWS($O$2:O732),$O$2:$O$1001,0),0), INDEX($V$1004:$AE$1004,1,MATCH(COLUMNS($V$1006:AA1006),$V$1006:$AE$1006,0)))),"Fix")))</f>
        <v>0</v>
      </c>
      <c r="H732" s="3">
        <f>IF(OR(INDEX($P$2:$P$1001,MATCH(ROWS($O$2:O732),$O$2:$O$1001,0),1)&gt;=100000,INDEX($V$1005:$AE$1005,1,MATCH(COLUMNS($V$1006:AB1006),$V$1006:$AE$1006,0))&gt;=100000), " ",IF(INDEX($V$2:$AE$1001,MATCH(ROWS($O$2:O732),$O$2:$O$1001,0),MATCH(COLUMNS($V$1006:AB1006),$V$1006:$AE$1006,0)), HYPERLINK("#",""), HYPERLINK(CONCATENATE("#Metadata!", ADDRESS(INDEX($Q$2:$Q$1001,MATCH(ROWS($O$2:O732),$O$2:$O$1001,0),0), INDEX($V$1004:$AE$1004,1,MATCH(COLUMNS($V$1006:AB1006),$V$1006:$AE$1006,0)))),"Fix")))</f>
        <v>0</v>
      </c>
      <c r="I732" s="3">
        <f>IF(OR(INDEX($P$2:$P$1001,MATCH(ROWS($O$2:O732),$O$2:$O$1001,0),1)&gt;=100000,INDEX($V$1005:$AE$1005,1,MATCH(COLUMNS($V$1006:AC1006),$V$1006:$AE$1006,0))&gt;=100000), " ",IF(INDEX($V$2:$AE$1001,MATCH(ROWS($O$2:O732),$O$2:$O$1001,0),MATCH(COLUMNS($V$1006:AC1006),$V$1006:$AE$1006,0)), HYPERLINK("#",""), HYPERLINK(CONCATENATE("#Metadata!", ADDRESS(INDEX($Q$2:$Q$1001,MATCH(ROWS($O$2:O732),$O$2:$O$1001,0),0), INDEX($V$1004:$AE$1004,1,MATCH(COLUMNS($V$1006:AC1006),$V$1006:$AE$1006,0)))),"Fix")))</f>
        <v>0</v>
      </c>
      <c r="J732" s="3">
        <f>IF(OR(INDEX($P$2:$P$1001,MATCH(ROWS($O$2:O732),$O$2:$O$1001,0),1)&gt;=100000,INDEX($V$1005:$AE$1005,1,MATCH(COLUMNS($V$1006:AD1006),$V$1006:$AE$1006,0))&gt;=100000), " ",IF(INDEX($V$2:$AE$1001,MATCH(ROWS($O$2:O732),$O$2:$O$1001,0),MATCH(COLUMNS($V$1006:AD1006),$V$1006:$AE$1006,0)), HYPERLINK("#",""), HYPERLINK(CONCATENATE("#Metadata!", ADDRESS(INDEX($Q$2:$Q$1001,MATCH(ROWS($O$2:O732),$O$2:$O$1001,0),0), INDEX($V$1004:$AE$1004,1,MATCH(COLUMNS($V$1006:AD1006),$V$1006:$AE$1006,0)))),"Fix")))</f>
        <v>0</v>
      </c>
      <c r="K732" s="3">
        <f>IF(OR(INDEX($P$2:$P$1001,MATCH(ROWS($O$2:O732),$O$2:$O$1001,0),1)&gt;=100000,INDEX($V$1005:$AE$1005,1,MATCH(COLUMNS($V$1006:AE1006),$V$1006:$AE$1006,0))&gt;=100000), " ",IF(INDEX($V$2:$AE$1001,MATCH(ROWS($O$2:O732),$O$2:$O$1001,0),MATCH(COLUMNS($V$1006:AE1006),$V$1006:$AE$1006,0)), HYPERLINK("#",""), HYPERLINK(CONCATENATE("#Metadata!", ADDRESS(INDEX($Q$2:$Q$1001,MATCH(ROWS($O$2:O732),$O$2:$O$1001,0),0), INDEX($V$1004:$AE$1004,1,MATCH(COLUMNS($V$1006:AE1006),$V$1006:$AE$1006,0)))),"Fix")))</f>
        <v>0</v>
      </c>
      <c r="O732">
        <v>0</v>
      </c>
      <c r="P732">
        <v>0</v>
      </c>
      <c r="Q732">
        <v>0</v>
      </c>
      <c r="R732">
        <f>IF(S732,TRUE,AND(V732:AE732))</f>
        <v>0</v>
      </c>
      <c r="S732">
        <f>COUNTBLANK(Metadata!B732:K732)=COLUMNS(Metadata!B732:K732)</f>
        <v>0</v>
      </c>
      <c r="T732">
        <v>0</v>
      </c>
      <c r="V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W732">
        <f>AND(IF(Metadata!C732="",FALSE,TRUE),exact(Metadata!C732,"animal secretion"))</f>
        <v>0</v>
      </c>
      <c r="X732">
        <f>AND(IF(Metadata!D732="",FALSE,TRUE),exact(Metadata!D732,"saliva"))</f>
        <v>0</v>
      </c>
      <c r="Y732">
        <f>AND(IF(Metadata!E732="",FALSE,TRUE),exact(Metadata!E732,"human-oral"))</f>
        <v>0</v>
      </c>
      <c r="Z732">
        <f>AND(IF(Metadata!F732="",FALSE,TRUE),exact(Metadata!F732,"UBERON:oral cavity"))</f>
        <v>0</v>
      </c>
      <c r="AA732">
        <f>AND(IF(Metadata!G732="",FALSE,TRUE),exact(Metadata!G732,"UBERON:saliva"))</f>
        <v>0</v>
      </c>
      <c r="AB732">
        <f>AND(IF(Metadata!H732="",FALSE,TRUE),exact(Metadata!H732,"UBERON:tongue"))</f>
        <v>0</v>
      </c>
      <c r="AC732">
        <f>AND(IF(Metadata!I732="",FALSE,TRUE),exact(Metadata!I732,"tongue"))</f>
        <v>0</v>
      </c>
      <c r="AD732">
        <f>AND(IF(Metadata!J732="",FALSE,TRUE),exact(Metadata!J732,"human oral metagenome"))</f>
        <v>0</v>
      </c>
      <c r="AE732">
        <f>AND(IF(Metadata!K732="",FALSE,TRUE),exact(Metadata!K732,"447426"))</f>
        <v>0</v>
      </c>
    </row>
    <row r="733" spans="1:31">
      <c r="A733" s="4">
        <f>IF(B733=" "," ",HYPERLINK(CONCATENATE("#metadata!",ADDRESS(INDEX($Q$2:$Q$1001,MATCH(ROWS($O$2:O733),$O$2:$O$1001,0),0),1)),INDEX($T$2:$T$1001,MATCH(ROWS($O$2:O733),$O$2:$O$1001,0),0)))</f>
        <v>0</v>
      </c>
      <c r="B733" s="3">
        <f>IF(OR(INDEX($P$2:$P$1001,MATCH(ROWS($O$2:O733),$O$2:$O$1001,0),1)&gt;=100000,INDEX($V$1005:$AE$1005,1,MATCH(COLUMNS($V$1006:V1006),$V$1006:$AE$1006,0))&gt;=100000), " ",IF(INDEX($V$2:$AE$1001,MATCH(ROWS($O$2:O733),$O$2:$O$1001,0),MATCH(COLUMNS($V$1006:V1006),$V$1006:$AE$1006,0)), HYPERLINK("#",""), HYPERLINK(CONCATENATE("#Metadata!", ADDRESS(INDEX($Q$2:$Q$1001,MATCH(ROWS($O$2:O733),$O$2:$O$1001,0),0), INDEX($V$1004:$AE$1004,1,MATCH(COLUMNS($V$1006:V1006),$V$1006:$AE$1006,0)))),"Fix")))</f>
        <v>0</v>
      </c>
      <c r="C733" s="3">
        <f>IF(OR(INDEX($P$2:$P$1001,MATCH(ROWS($O$2:O733),$O$2:$O$1001,0),1)&gt;=100000,INDEX($V$1005:$AE$1005,1,MATCH(COLUMNS($V$1006:W1006),$V$1006:$AE$1006,0))&gt;=100000), " ",IF(INDEX($V$2:$AE$1001,MATCH(ROWS($O$2:O733),$O$2:$O$1001,0),MATCH(COLUMNS($V$1006:W1006),$V$1006:$AE$1006,0)), HYPERLINK("#",""), HYPERLINK(CONCATENATE("#Metadata!", ADDRESS(INDEX($Q$2:$Q$1001,MATCH(ROWS($O$2:O733),$O$2:$O$1001,0),0), INDEX($V$1004:$AE$1004,1,MATCH(COLUMNS($V$1006:W1006),$V$1006:$AE$1006,0)))),"Fix")))</f>
        <v>0</v>
      </c>
      <c r="D733" s="3">
        <f>IF(OR(INDEX($P$2:$P$1001,MATCH(ROWS($O$2:O733),$O$2:$O$1001,0),1)&gt;=100000,INDEX($V$1005:$AE$1005,1,MATCH(COLUMNS($V$1006:X1006),$V$1006:$AE$1006,0))&gt;=100000), " ",IF(INDEX($V$2:$AE$1001,MATCH(ROWS($O$2:O733),$O$2:$O$1001,0),MATCH(COLUMNS($V$1006:X1006),$V$1006:$AE$1006,0)), HYPERLINK("#",""), HYPERLINK(CONCATENATE("#Metadata!", ADDRESS(INDEX($Q$2:$Q$1001,MATCH(ROWS($O$2:O733),$O$2:$O$1001,0),0), INDEX($V$1004:$AE$1004,1,MATCH(COLUMNS($V$1006:X1006),$V$1006:$AE$1006,0)))),"Fix")))</f>
        <v>0</v>
      </c>
      <c r="E733" s="3">
        <f>IF(OR(INDEX($P$2:$P$1001,MATCH(ROWS($O$2:O733),$O$2:$O$1001,0),1)&gt;=100000,INDEX($V$1005:$AE$1005,1,MATCH(COLUMNS($V$1006:Y1006),$V$1006:$AE$1006,0))&gt;=100000), " ",IF(INDEX($V$2:$AE$1001,MATCH(ROWS($O$2:O733),$O$2:$O$1001,0),MATCH(COLUMNS($V$1006:Y1006),$V$1006:$AE$1006,0)), HYPERLINK("#",""), HYPERLINK(CONCATENATE("#Metadata!", ADDRESS(INDEX($Q$2:$Q$1001,MATCH(ROWS($O$2:O733),$O$2:$O$1001,0),0), INDEX($V$1004:$AE$1004,1,MATCH(COLUMNS($V$1006:Y1006),$V$1006:$AE$1006,0)))),"Fix")))</f>
        <v>0</v>
      </c>
      <c r="F733" s="3">
        <f>IF(OR(INDEX($P$2:$P$1001,MATCH(ROWS($O$2:O733),$O$2:$O$1001,0),1)&gt;=100000,INDEX($V$1005:$AE$1005,1,MATCH(COLUMNS($V$1006:Z1006),$V$1006:$AE$1006,0))&gt;=100000), " ",IF(INDEX($V$2:$AE$1001,MATCH(ROWS($O$2:O733),$O$2:$O$1001,0),MATCH(COLUMNS($V$1006:Z1006),$V$1006:$AE$1006,0)), HYPERLINK("#",""), HYPERLINK(CONCATENATE("#Metadata!", ADDRESS(INDEX($Q$2:$Q$1001,MATCH(ROWS($O$2:O733),$O$2:$O$1001,0),0), INDEX($V$1004:$AE$1004,1,MATCH(COLUMNS($V$1006:Z1006),$V$1006:$AE$1006,0)))),"Fix")))</f>
        <v>0</v>
      </c>
      <c r="G733" s="3">
        <f>IF(OR(INDEX($P$2:$P$1001,MATCH(ROWS($O$2:O733),$O$2:$O$1001,0),1)&gt;=100000,INDEX($V$1005:$AE$1005,1,MATCH(COLUMNS($V$1006:AA1006),$V$1006:$AE$1006,0))&gt;=100000), " ",IF(INDEX($V$2:$AE$1001,MATCH(ROWS($O$2:O733),$O$2:$O$1001,0),MATCH(COLUMNS($V$1006:AA1006),$V$1006:$AE$1006,0)), HYPERLINK("#",""), HYPERLINK(CONCATENATE("#Metadata!", ADDRESS(INDEX($Q$2:$Q$1001,MATCH(ROWS($O$2:O733),$O$2:$O$1001,0),0), INDEX($V$1004:$AE$1004,1,MATCH(COLUMNS($V$1006:AA1006),$V$1006:$AE$1006,0)))),"Fix")))</f>
        <v>0</v>
      </c>
      <c r="H733" s="3">
        <f>IF(OR(INDEX($P$2:$P$1001,MATCH(ROWS($O$2:O733),$O$2:$O$1001,0),1)&gt;=100000,INDEX($V$1005:$AE$1005,1,MATCH(COLUMNS($V$1006:AB1006),$V$1006:$AE$1006,0))&gt;=100000), " ",IF(INDEX($V$2:$AE$1001,MATCH(ROWS($O$2:O733),$O$2:$O$1001,0),MATCH(COLUMNS($V$1006:AB1006),$V$1006:$AE$1006,0)), HYPERLINK("#",""), HYPERLINK(CONCATENATE("#Metadata!", ADDRESS(INDEX($Q$2:$Q$1001,MATCH(ROWS($O$2:O733),$O$2:$O$1001,0),0), INDEX($V$1004:$AE$1004,1,MATCH(COLUMNS($V$1006:AB1006),$V$1006:$AE$1006,0)))),"Fix")))</f>
        <v>0</v>
      </c>
      <c r="I733" s="3">
        <f>IF(OR(INDEX($P$2:$P$1001,MATCH(ROWS($O$2:O733),$O$2:$O$1001,0),1)&gt;=100000,INDEX($V$1005:$AE$1005,1,MATCH(COLUMNS($V$1006:AC1006),$V$1006:$AE$1006,0))&gt;=100000), " ",IF(INDEX($V$2:$AE$1001,MATCH(ROWS($O$2:O733),$O$2:$O$1001,0),MATCH(COLUMNS($V$1006:AC1006),$V$1006:$AE$1006,0)), HYPERLINK("#",""), HYPERLINK(CONCATENATE("#Metadata!", ADDRESS(INDEX($Q$2:$Q$1001,MATCH(ROWS($O$2:O733),$O$2:$O$1001,0),0), INDEX($V$1004:$AE$1004,1,MATCH(COLUMNS($V$1006:AC1006),$V$1006:$AE$1006,0)))),"Fix")))</f>
        <v>0</v>
      </c>
      <c r="J733" s="3">
        <f>IF(OR(INDEX($P$2:$P$1001,MATCH(ROWS($O$2:O733),$O$2:$O$1001,0),1)&gt;=100000,INDEX($V$1005:$AE$1005,1,MATCH(COLUMNS($V$1006:AD1006),$V$1006:$AE$1006,0))&gt;=100000), " ",IF(INDEX($V$2:$AE$1001,MATCH(ROWS($O$2:O733),$O$2:$O$1001,0),MATCH(COLUMNS($V$1006:AD1006),$V$1006:$AE$1006,0)), HYPERLINK("#",""), HYPERLINK(CONCATENATE("#Metadata!", ADDRESS(INDEX($Q$2:$Q$1001,MATCH(ROWS($O$2:O733),$O$2:$O$1001,0),0), INDEX($V$1004:$AE$1004,1,MATCH(COLUMNS($V$1006:AD1006),$V$1006:$AE$1006,0)))),"Fix")))</f>
        <v>0</v>
      </c>
      <c r="K733" s="3">
        <f>IF(OR(INDEX($P$2:$P$1001,MATCH(ROWS($O$2:O733),$O$2:$O$1001,0),1)&gt;=100000,INDEX($V$1005:$AE$1005,1,MATCH(COLUMNS($V$1006:AE1006),$V$1006:$AE$1006,0))&gt;=100000), " ",IF(INDEX($V$2:$AE$1001,MATCH(ROWS($O$2:O733),$O$2:$O$1001,0),MATCH(COLUMNS($V$1006:AE1006),$V$1006:$AE$1006,0)), HYPERLINK("#",""), HYPERLINK(CONCATENATE("#Metadata!", ADDRESS(INDEX($Q$2:$Q$1001,MATCH(ROWS($O$2:O733),$O$2:$O$1001,0),0), INDEX($V$1004:$AE$1004,1,MATCH(COLUMNS($V$1006:AE1006),$V$1006:$AE$1006,0)))),"Fix")))</f>
        <v>0</v>
      </c>
      <c r="O733">
        <v>0</v>
      </c>
      <c r="P733">
        <v>0</v>
      </c>
      <c r="Q733">
        <v>0</v>
      </c>
      <c r="R733">
        <f>IF(S733,TRUE,AND(V733:AE733))</f>
        <v>0</v>
      </c>
      <c r="S733">
        <f>COUNTBLANK(Metadata!B733:K733)=COLUMNS(Metadata!B733:K733)</f>
        <v>0</v>
      </c>
      <c r="T733">
        <v>0</v>
      </c>
      <c r="V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W733">
        <f>AND(IF(Metadata!C733="",FALSE,TRUE),exact(Metadata!C733,"animal secretion"))</f>
        <v>0</v>
      </c>
      <c r="X733">
        <f>AND(IF(Metadata!D733="",FALSE,TRUE),exact(Metadata!D733,"saliva"))</f>
        <v>0</v>
      </c>
      <c r="Y733">
        <f>AND(IF(Metadata!E733="",FALSE,TRUE),exact(Metadata!E733,"human-oral"))</f>
        <v>0</v>
      </c>
      <c r="Z733">
        <f>AND(IF(Metadata!F733="",FALSE,TRUE),exact(Metadata!F733,"UBERON:oral cavity"))</f>
        <v>0</v>
      </c>
      <c r="AA733">
        <f>AND(IF(Metadata!G733="",FALSE,TRUE),exact(Metadata!G733,"UBERON:saliva"))</f>
        <v>0</v>
      </c>
      <c r="AB733">
        <f>AND(IF(Metadata!H733="",FALSE,TRUE),exact(Metadata!H733,"UBERON:tongue"))</f>
        <v>0</v>
      </c>
      <c r="AC733">
        <f>AND(IF(Metadata!I733="",FALSE,TRUE),exact(Metadata!I733,"tongue"))</f>
        <v>0</v>
      </c>
      <c r="AD733">
        <f>AND(IF(Metadata!J733="",FALSE,TRUE),exact(Metadata!J733,"human oral metagenome"))</f>
        <v>0</v>
      </c>
      <c r="AE733">
        <f>AND(IF(Metadata!K733="",FALSE,TRUE),exact(Metadata!K733,"447426"))</f>
        <v>0</v>
      </c>
    </row>
    <row r="734" spans="1:31">
      <c r="A734" s="4">
        <f>IF(B734=" "," ",HYPERLINK(CONCATENATE("#metadata!",ADDRESS(INDEX($Q$2:$Q$1001,MATCH(ROWS($O$2:O734),$O$2:$O$1001,0),0),1)),INDEX($T$2:$T$1001,MATCH(ROWS($O$2:O734),$O$2:$O$1001,0),0)))</f>
        <v>0</v>
      </c>
      <c r="B734" s="3">
        <f>IF(OR(INDEX($P$2:$P$1001,MATCH(ROWS($O$2:O734),$O$2:$O$1001,0),1)&gt;=100000,INDEX($V$1005:$AE$1005,1,MATCH(COLUMNS($V$1006:V1006),$V$1006:$AE$1006,0))&gt;=100000), " ",IF(INDEX($V$2:$AE$1001,MATCH(ROWS($O$2:O734),$O$2:$O$1001,0),MATCH(COLUMNS($V$1006:V1006),$V$1006:$AE$1006,0)), HYPERLINK("#",""), HYPERLINK(CONCATENATE("#Metadata!", ADDRESS(INDEX($Q$2:$Q$1001,MATCH(ROWS($O$2:O734),$O$2:$O$1001,0),0), INDEX($V$1004:$AE$1004,1,MATCH(COLUMNS($V$1006:V1006),$V$1006:$AE$1006,0)))),"Fix")))</f>
        <v>0</v>
      </c>
      <c r="C734" s="3">
        <f>IF(OR(INDEX($P$2:$P$1001,MATCH(ROWS($O$2:O734),$O$2:$O$1001,0),1)&gt;=100000,INDEX($V$1005:$AE$1005,1,MATCH(COLUMNS($V$1006:W1006),$V$1006:$AE$1006,0))&gt;=100000), " ",IF(INDEX($V$2:$AE$1001,MATCH(ROWS($O$2:O734),$O$2:$O$1001,0),MATCH(COLUMNS($V$1006:W1006),$V$1006:$AE$1006,0)), HYPERLINK("#",""), HYPERLINK(CONCATENATE("#Metadata!", ADDRESS(INDEX($Q$2:$Q$1001,MATCH(ROWS($O$2:O734),$O$2:$O$1001,0),0), INDEX($V$1004:$AE$1004,1,MATCH(COLUMNS($V$1006:W1006),$V$1006:$AE$1006,0)))),"Fix")))</f>
        <v>0</v>
      </c>
      <c r="D734" s="3">
        <f>IF(OR(INDEX($P$2:$P$1001,MATCH(ROWS($O$2:O734),$O$2:$O$1001,0),1)&gt;=100000,INDEX($V$1005:$AE$1005,1,MATCH(COLUMNS($V$1006:X1006),$V$1006:$AE$1006,0))&gt;=100000), " ",IF(INDEX($V$2:$AE$1001,MATCH(ROWS($O$2:O734),$O$2:$O$1001,0),MATCH(COLUMNS($V$1006:X1006),$V$1006:$AE$1006,0)), HYPERLINK("#",""), HYPERLINK(CONCATENATE("#Metadata!", ADDRESS(INDEX($Q$2:$Q$1001,MATCH(ROWS($O$2:O734),$O$2:$O$1001,0),0), INDEX($V$1004:$AE$1004,1,MATCH(COLUMNS($V$1006:X1006),$V$1006:$AE$1006,0)))),"Fix")))</f>
        <v>0</v>
      </c>
      <c r="E734" s="3">
        <f>IF(OR(INDEX($P$2:$P$1001,MATCH(ROWS($O$2:O734),$O$2:$O$1001,0),1)&gt;=100000,INDEX($V$1005:$AE$1005,1,MATCH(COLUMNS($V$1006:Y1006),$V$1006:$AE$1006,0))&gt;=100000), " ",IF(INDEX($V$2:$AE$1001,MATCH(ROWS($O$2:O734),$O$2:$O$1001,0),MATCH(COLUMNS($V$1006:Y1006),$V$1006:$AE$1006,0)), HYPERLINK("#",""), HYPERLINK(CONCATENATE("#Metadata!", ADDRESS(INDEX($Q$2:$Q$1001,MATCH(ROWS($O$2:O734),$O$2:$O$1001,0),0), INDEX($V$1004:$AE$1004,1,MATCH(COLUMNS($V$1006:Y1006),$V$1006:$AE$1006,0)))),"Fix")))</f>
        <v>0</v>
      </c>
      <c r="F734" s="3">
        <f>IF(OR(INDEX($P$2:$P$1001,MATCH(ROWS($O$2:O734),$O$2:$O$1001,0),1)&gt;=100000,INDEX($V$1005:$AE$1005,1,MATCH(COLUMNS($V$1006:Z1006),$V$1006:$AE$1006,0))&gt;=100000), " ",IF(INDEX($V$2:$AE$1001,MATCH(ROWS($O$2:O734),$O$2:$O$1001,0),MATCH(COLUMNS($V$1006:Z1006),$V$1006:$AE$1006,0)), HYPERLINK("#",""), HYPERLINK(CONCATENATE("#Metadata!", ADDRESS(INDEX($Q$2:$Q$1001,MATCH(ROWS($O$2:O734),$O$2:$O$1001,0),0), INDEX($V$1004:$AE$1004,1,MATCH(COLUMNS($V$1006:Z1006),$V$1006:$AE$1006,0)))),"Fix")))</f>
        <v>0</v>
      </c>
      <c r="G734" s="3">
        <f>IF(OR(INDEX($P$2:$P$1001,MATCH(ROWS($O$2:O734),$O$2:$O$1001,0),1)&gt;=100000,INDEX($V$1005:$AE$1005,1,MATCH(COLUMNS($V$1006:AA1006),$V$1006:$AE$1006,0))&gt;=100000), " ",IF(INDEX($V$2:$AE$1001,MATCH(ROWS($O$2:O734),$O$2:$O$1001,0),MATCH(COLUMNS($V$1006:AA1006),$V$1006:$AE$1006,0)), HYPERLINK("#",""), HYPERLINK(CONCATENATE("#Metadata!", ADDRESS(INDEX($Q$2:$Q$1001,MATCH(ROWS($O$2:O734),$O$2:$O$1001,0),0), INDEX($V$1004:$AE$1004,1,MATCH(COLUMNS($V$1006:AA1006),$V$1006:$AE$1006,0)))),"Fix")))</f>
        <v>0</v>
      </c>
      <c r="H734" s="3">
        <f>IF(OR(INDEX($P$2:$P$1001,MATCH(ROWS($O$2:O734),$O$2:$O$1001,0),1)&gt;=100000,INDEX($V$1005:$AE$1005,1,MATCH(COLUMNS($V$1006:AB1006),$V$1006:$AE$1006,0))&gt;=100000), " ",IF(INDEX($V$2:$AE$1001,MATCH(ROWS($O$2:O734),$O$2:$O$1001,0),MATCH(COLUMNS($V$1006:AB1006),$V$1006:$AE$1006,0)), HYPERLINK("#",""), HYPERLINK(CONCATENATE("#Metadata!", ADDRESS(INDEX($Q$2:$Q$1001,MATCH(ROWS($O$2:O734),$O$2:$O$1001,0),0), INDEX($V$1004:$AE$1004,1,MATCH(COLUMNS($V$1006:AB1006),$V$1006:$AE$1006,0)))),"Fix")))</f>
        <v>0</v>
      </c>
      <c r="I734" s="3">
        <f>IF(OR(INDEX($P$2:$P$1001,MATCH(ROWS($O$2:O734),$O$2:$O$1001,0),1)&gt;=100000,INDEX($V$1005:$AE$1005,1,MATCH(COLUMNS($V$1006:AC1006),$V$1006:$AE$1006,0))&gt;=100000), " ",IF(INDEX($V$2:$AE$1001,MATCH(ROWS($O$2:O734),$O$2:$O$1001,0),MATCH(COLUMNS($V$1006:AC1006),$V$1006:$AE$1006,0)), HYPERLINK("#",""), HYPERLINK(CONCATENATE("#Metadata!", ADDRESS(INDEX($Q$2:$Q$1001,MATCH(ROWS($O$2:O734),$O$2:$O$1001,0),0), INDEX($V$1004:$AE$1004,1,MATCH(COLUMNS($V$1006:AC1006),$V$1006:$AE$1006,0)))),"Fix")))</f>
        <v>0</v>
      </c>
      <c r="J734" s="3">
        <f>IF(OR(INDEX($P$2:$P$1001,MATCH(ROWS($O$2:O734),$O$2:$O$1001,0),1)&gt;=100000,INDEX($V$1005:$AE$1005,1,MATCH(COLUMNS($V$1006:AD1006),$V$1006:$AE$1006,0))&gt;=100000), " ",IF(INDEX($V$2:$AE$1001,MATCH(ROWS($O$2:O734),$O$2:$O$1001,0),MATCH(COLUMNS($V$1006:AD1006),$V$1006:$AE$1006,0)), HYPERLINK("#",""), HYPERLINK(CONCATENATE("#Metadata!", ADDRESS(INDEX($Q$2:$Q$1001,MATCH(ROWS($O$2:O734),$O$2:$O$1001,0),0), INDEX($V$1004:$AE$1004,1,MATCH(COLUMNS($V$1006:AD1006),$V$1006:$AE$1006,0)))),"Fix")))</f>
        <v>0</v>
      </c>
      <c r="K734" s="3">
        <f>IF(OR(INDEX($P$2:$P$1001,MATCH(ROWS($O$2:O734),$O$2:$O$1001,0),1)&gt;=100000,INDEX($V$1005:$AE$1005,1,MATCH(COLUMNS($V$1006:AE1006),$V$1006:$AE$1006,0))&gt;=100000), " ",IF(INDEX($V$2:$AE$1001,MATCH(ROWS($O$2:O734),$O$2:$O$1001,0),MATCH(COLUMNS($V$1006:AE1006),$V$1006:$AE$1006,0)), HYPERLINK("#",""), HYPERLINK(CONCATENATE("#Metadata!", ADDRESS(INDEX($Q$2:$Q$1001,MATCH(ROWS($O$2:O734),$O$2:$O$1001,0),0), INDEX($V$1004:$AE$1004,1,MATCH(COLUMNS($V$1006:AE1006),$V$1006:$AE$1006,0)))),"Fix")))</f>
        <v>0</v>
      </c>
      <c r="O734">
        <v>0</v>
      </c>
      <c r="P734">
        <v>0</v>
      </c>
      <c r="Q734">
        <v>0</v>
      </c>
      <c r="R734">
        <f>IF(S734,TRUE,AND(V734:AE734))</f>
        <v>0</v>
      </c>
      <c r="S734">
        <f>COUNTBLANK(Metadata!B734:K734)=COLUMNS(Metadata!B734:K734)</f>
        <v>0</v>
      </c>
      <c r="T734">
        <v>0</v>
      </c>
      <c r="V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W734">
        <f>AND(IF(Metadata!C734="",FALSE,TRUE),exact(Metadata!C734,"animal secretion"))</f>
        <v>0</v>
      </c>
      <c r="X734">
        <f>AND(IF(Metadata!D734="",FALSE,TRUE),exact(Metadata!D734,"saliva"))</f>
        <v>0</v>
      </c>
      <c r="Y734">
        <f>AND(IF(Metadata!E734="",FALSE,TRUE),exact(Metadata!E734,"human-oral"))</f>
        <v>0</v>
      </c>
      <c r="Z734">
        <f>AND(IF(Metadata!F734="",FALSE,TRUE),exact(Metadata!F734,"UBERON:oral cavity"))</f>
        <v>0</v>
      </c>
      <c r="AA734">
        <f>AND(IF(Metadata!G734="",FALSE,TRUE),exact(Metadata!G734,"UBERON:saliva"))</f>
        <v>0</v>
      </c>
      <c r="AB734">
        <f>AND(IF(Metadata!H734="",FALSE,TRUE),exact(Metadata!H734,"UBERON:tongue"))</f>
        <v>0</v>
      </c>
      <c r="AC734">
        <f>AND(IF(Metadata!I734="",FALSE,TRUE),exact(Metadata!I734,"tongue"))</f>
        <v>0</v>
      </c>
      <c r="AD734">
        <f>AND(IF(Metadata!J734="",FALSE,TRUE),exact(Metadata!J734,"human oral metagenome"))</f>
        <v>0</v>
      </c>
      <c r="AE734">
        <f>AND(IF(Metadata!K734="",FALSE,TRUE),exact(Metadata!K734,"447426"))</f>
        <v>0</v>
      </c>
    </row>
    <row r="735" spans="1:31">
      <c r="A735" s="4">
        <f>IF(B735=" "," ",HYPERLINK(CONCATENATE("#metadata!",ADDRESS(INDEX($Q$2:$Q$1001,MATCH(ROWS($O$2:O735),$O$2:$O$1001,0),0),1)),INDEX($T$2:$T$1001,MATCH(ROWS($O$2:O735),$O$2:$O$1001,0),0)))</f>
        <v>0</v>
      </c>
      <c r="B735" s="3">
        <f>IF(OR(INDEX($P$2:$P$1001,MATCH(ROWS($O$2:O735),$O$2:$O$1001,0),1)&gt;=100000,INDEX($V$1005:$AE$1005,1,MATCH(COLUMNS($V$1006:V1006),$V$1006:$AE$1006,0))&gt;=100000), " ",IF(INDEX($V$2:$AE$1001,MATCH(ROWS($O$2:O735),$O$2:$O$1001,0),MATCH(COLUMNS($V$1006:V1006),$V$1006:$AE$1006,0)), HYPERLINK("#",""), HYPERLINK(CONCATENATE("#Metadata!", ADDRESS(INDEX($Q$2:$Q$1001,MATCH(ROWS($O$2:O735),$O$2:$O$1001,0),0), INDEX($V$1004:$AE$1004,1,MATCH(COLUMNS($V$1006:V1006),$V$1006:$AE$1006,0)))),"Fix")))</f>
        <v>0</v>
      </c>
      <c r="C735" s="3">
        <f>IF(OR(INDEX($P$2:$P$1001,MATCH(ROWS($O$2:O735),$O$2:$O$1001,0),1)&gt;=100000,INDEX($V$1005:$AE$1005,1,MATCH(COLUMNS($V$1006:W1006),$V$1006:$AE$1006,0))&gt;=100000), " ",IF(INDEX($V$2:$AE$1001,MATCH(ROWS($O$2:O735),$O$2:$O$1001,0),MATCH(COLUMNS($V$1006:W1006),$V$1006:$AE$1006,0)), HYPERLINK("#",""), HYPERLINK(CONCATENATE("#Metadata!", ADDRESS(INDEX($Q$2:$Q$1001,MATCH(ROWS($O$2:O735),$O$2:$O$1001,0),0), INDEX($V$1004:$AE$1004,1,MATCH(COLUMNS($V$1006:W1006),$V$1006:$AE$1006,0)))),"Fix")))</f>
        <v>0</v>
      </c>
      <c r="D735" s="3">
        <f>IF(OR(INDEX($P$2:$P$1001,MATCH(ROWS($O$2:O735),$O$2:$O$1001,0),1)&gt;=100000,INDEX($V$1005:$AE$1005,1,MATCH(COLUMNS($V$1006:X1006),$V$1006:$AE$1006,0))&gt;=100000), " ",IF(INDEX($V$2:$AE$1001,MATCH(ROWS($O$2:O735),$O$2:$O$1001,0),MATCH(COLUMNS($V$1006:X1006),$V$1006:$AE$1006,0)), HYPERLINK("#",""), HYPERLINK(CONCATENATE("#Metadata!", ADDRESS(INDEX($Q$2:$Q$1001,MATCH(ROWS($O$2:O735),$O$2:$O$1001,0),0), INDEX($V$1004:$AE$1004,1,MATCH(COLUMNS($V$1006:X1006),$V$1006:$AE$1006,0)))),"Fix")))</f>
        <v>0</v>
      </c>
      <c r="E735" s="3">
        <f>IF(OR(INDEX($P$2:$P$1001,MATCH(ROWS($O$2:O735),$O$2:$O$1001,0),1)&gt;=100000,INDEX($V$1005:$AE$1005,1,MATCH(COLUMNS($V$1006:Y1006),$V$1006:$AE$1006,0))&gt;=100000), " ",IF(INDEX($V$2:$AE$1001,MATCH(ROWS($O$2:O735),$O$2:$O$1001,0),MATCH(COLUMNS($V$1006:Y1006),$V$1006:$AE$1006,0)), HYPERLINK("#",""), HYPERLINK(CONCATENATE("#Metadata!", ADDRESS(INDEX($Q$2:$Q$1001,MATCH(ROWS($O$2:O735),$O$2:$O$1001,0),0), INDEX($V$1004:$AE$1004,1,MATCH(COLUMNS($V$1006:Y1006),$V$1006:$AE$1006,0)))),"Fix")))</f>
        <v>0</v>
      </c>
      <c r="F735" s="3">
        <f>IF(OR(INDEX($P$2:$P$1001,MATCH(ROWS($O$2:O735),$O$2:$O$1001,0),1)&gt;=100000,INDEX($V$1005:$AE$1005,1,MATCH(COLUMNS($V$1006:Z1006),$V$1006:$AE$1006,0))&gt;=100000), " ",IF(INDEX($V$2:$AE$1001,MATCH(ROWS($O$2:O735),$O$2:$O$1001,0),MATCH(COLUMNS($V$1006:Z1006),$V$1006:$AE$1006,0)), HYPERLINK("#",""), HYPERLINK(CONCATENATE("#Metadata!", ADDRESS(INDEX($Q$2:$Q$1001,MATCH(ROWS($O$2:O735),$O$2:$O$1001,0),0), INDEX($V$1004:$AE$1004,1,MATCH(COLUMNS($V$1006:Z1006),$V$1006:$AE$1006,0)))),"Fix")))</f>
        <v>0</v>
      </c>
      <c r="G735" s="3">
        <f>IF(OR(INDEX($P$2:$P$1001,MATCH(ROWS($O$2:O735),$O$2:$O$1001,0),1)&gt;=100000,INDEX($V$1005:$AE$1005,1,MATCH(COLUMNS($V$1006:AA1006),$V$1006:$AE$1006,0))&gt;=100000), " ",IF(INDEX($V$2:$AE$1001,MATCH(ROWS($O$2:O735),$O$2:$O$1001,0),MATCH(COLUMNS($V$1006:AA1006),$V$1006:$AE$1006,0)), HYPERLINK("#",""), HYPERLINK(CONCATENATE("#Metadata!", ADDRESS(INDEX($Q$2:$Q$1001,MATCH(ROWS($O$2:O735),$O$2:$O$1001,0),0), INDEX($V$1004:$AE$1004,1,MATCH(COLUMNS($V$1006:AA1006),$V$1006:$AE$1006,0)))),"Fix")))</f>
        <v>0</v>
      </c>
      <c r="H735" s="3">
        <f>IF(OR(INDEX($P$2:$P$1001,MATCH(ROWS($O$2:O735),$O$2:$O$1001,0),1)&gt;=100000,INDEX($V$1005:$AE$1005,1,MATCH(COLUMNS($V$1006:AB1006),$V$1006:$AE$1006,0))&gt;=100000), " ",IF(INDEX($V$2:$AE$1001,MATCH(ROWS($O$2:O735),$O$2:$O$1001,0),MATCH(COLUMNS($V$1006:AB1006),$V$1006:$AE$1006,0)), HYPERLINK("#",""), HYPERLINK(CONCATENATE("#Metadata!", ADDRESS(INDEX($Q$2:$Q$1001,MATCH(ROWS($O$2:O735),$O$2:$O$1001,0),0), INDEX($V$1004:$AE$1004,1,MATCH(COLUMNS($V$1006:AB1006),$V$1006:$AE$1006,0)))),"Fix")))</f>
        <v>0</v>
      </c>
      <c r="I735" s="3">
        <f>IF(OR(INDEX($P$2:$P$1001,MATCH(ROWS($O$2:O735),$O$2:$O$1001,0),1)&gt;=100000,INDEX($V$1005:$AE$1005,1,MATCH(COLUMNS($V$1006:AC1006),$V$1006:$AE$1006,0))&gt;=100000), " ",IF(INDEX($V$2:$AE$1001,MATCH(ROWS($O$2:O735),$O$2:$O$1001,0),MATCH(COLUMNS($V$1006:AC1006),$V$1006:$AE$1006,0)), HYPERLINK("#",""), HYPERLINK(CONCATENATE("#Metadata!", ADDRESS(INDEX($Q$2:$Q$1001,MATCH(ROWS($O$2:O735),$O$2:$O$1001,0),0), INDEX($V$1004:$AE$1004,1,MATCH(COLUMNS($V$1006:AC1006),$V$1006:$AE$1006,0)))),"Fix")))</f>
        <v>0</v>
      </c>
      <c r="J735" s="3">
        <f>IF(OR(INDEX($P$2:$P$1001,MATCH(ROWS($O$2:O735),$O$2:$O$1001,0),1)&gt;=100000,INDEX($V$1005:$AE$1005,1,MATCH(COLUMNS($V$1006:AD1006),$V$1006:$AE$1006,0))&gt;=100000), " ",IF(INDEX($V$2:$AE$1001,MATCH(ROWS($O$2:O735),$O$2:$O$1001,0),MATCH(COLUMNS($V$1006:AD1006),$V$1006:$AE$1006,0)), HYPERLINK("#",""), HYPERLINK(CONCATENATE("#Metadata!", ADDRESS(INDEX($Q$2:$Q$1001,MATCH(ROWS($O$2:O735),$O$2:$O$1001,0),0), INDEX($V$1004:$AE$1004,1,MATCH(COLUMNS($V$1006:AD1006),$V$1006:$AE$1006,0)))),"Fix")))</f>
        <v>0</v>
      </c>
      <c r="K735" s="3">
        <f>IF(OR(INDEX($P$2:$P$1001,MATCH(ROWS($O$2:O735),$O$2:$O$1001,0),1)&gt;=100000,INDEX($V$1005:$AE$1005,1,MATCH(COLUMNS($V$1006:AE1006),$V$1006:$AE$1006,0))&gt;=100000), " ",IF(INDEX($V$2:$AE$1001,MATCH(ROWS($O$2:O735),$O$2:$O$1001,0),MATCH(COLUMNS($V$1006:AE1006),$V$1006:$AE$1006,0)), HYPERLINK("#",""), HYPERLINK(CONCATENATE("#Metadata!", ADDRESS(INDEX($Q$2:$Q$1001,MATCH(ROWS($O$2:O735),$O$2:$O$1001,0),0), INDEX($V$1004:$AE$1004,1,MATCH(COLUMNS($V$1006:AE1006),$V$1006:$AE$1006,0)))),"Fix")))</f>
        <v>0</v>
      </c>
      <c r="O735">
        <v>0</v>
      </c>
      <c r="P735">
        <v>0</v>
      </c>
      <c r="Q735">
        <v>0</v>
      </c>
      <c r="R735">
        <f>IF(S735,TRUE,AND(V735:AE735))</f>
        <v>0</v>
      </c>
      <c r="S735">
        <f>COUNTBLANK(Metadata!B735:K735)=COLUMNS(Metadata!B735:K735)</f>
        <v>0</v>
      </c>
      <c r="T735">
        <v>0</v>
      </c>
      <c r="V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W735">
        <f>AND(IF(Metadata!C735="",FALSE,TRUE),exact(Metadata!C735,"animal secretion"))</f>
        <v>0</v>
      </c>
      <c r="X735">
        <f>AND(IF(Metadata!D735="",FALSE,TRUE),exact(Metadata!D735,"saliva"))</f>
        <v>0</v>
      </c>
      <c r="Y735">
        <f>AND(IF(Metadata!E735="",FALSE,TRUE),exact(Metadata!E735,"human-oral"))</f>
        <v>0</v>
      </c>
      <c r="Z735">
        <f>AND(IF(Metadata!F735="",FALSE,TRUE),exact(Metadata!F735,"UBERON:oral cavity"))</f>
        <v>0</v>
      </c>
      <c r="AA735">
        <f>AND(IF(Metadata!G735="",FALSE,TRUE),exact(Metadata!G735,"UBERON:saliva"))</f>
        <v>0</v>
      </c>
      <c r="AB735">
        <f>AND(IF(Metadata!H735="",FALSE,TRUE),exact(Metadata!H735,"UBERON:tongue"))</f>
        <v>0</v>
      </c>
      <c r="AC735">
        <f>AND(IF(Metadata!I735="",FALSE,TRUE),exact(Metadata!I735,"tongue"))</f>
        <v>0</v>
      </c>
      <c r="AD735">
        <f>AND(IF(Metadata!J735="",FALSE,TRUE),exact(Metadata!J735,"human oral metagenome"))</f>
        <v>0</v>
      </c>
      <c r="AE735">
        <f>AND(IF(Metadata!K735="",FALSE,TRUE),exact(Metadata!K735,"447426"))</f>
        <v>0</v>
      </c>
    </row>
    <row r="736" spans="1:31">
      <c r="A736" s="4">
        <f>IF(B736=" "," ",HYPERLINK(CONCATENATE("#metadata!",ADDRESS(INDEX($Q$2:$Q$1001,MATCH(ROWS($O$2:O736),$O$2:$O$1001,0),0),1)),INDEX($T$2:$T$1001,MATCH(ROWS($O$2:O736),$O$2:$O$1001,0),0)))</f>
        <v>0</v>
      </c>
      <c r="B736" s="3">
        <f>IF(OR(INDEX($P$2:$P$1001,MATCH(ROWS($O$2:O736),$O$2:$O$1001,0),1)&gt;=100000,INDEX($V$1005:$AE$1005,1,MATCH(COLUMNS($V$1006:V1006),$V$1006:$AE$1006,0))&gt;=100000), " ",IF(INDEX($V$2:$AE$1001,MATCH(ROWS($O$2:O736),$O$2:$O$1001,0),MATCH(COLUMNS($V$1006:V1006),$V$1006:$AE$1006,0)), HYPERLINK("#",""), HYPERLINK(CONCATENATE("#Metadata!", ADDRESS(INDEX($Q$2:$Q$1001,MATCH(ROWS($O$2:O736),$O$2:$O$1001,0),0), INDEX($V$1004:$AE$1004,1,MATCH(COLUMNS($V$1006:V1006),$V$1006:$AE$1006,0)))),"Fix")))</f>
        <v>0</v>
      </c>
      <c r="C736" s="3">
        <f>IF(OR(INDEX($P$2:$P$1001,MATCH(ROWS($O$2:O736),$O$2:$O$1001,0),1)&gt;=100000,INDEX($V$1005:$AE$1005,1,MATCH(COLUMNS($V$1006:W1006),$V$1006:$AE$1006,0))&gt;=100000), " ",IF(INDEX($V$2:$AE$1001,MATCH(ROWS($O$2:O736),$O$2:$O$1001,0),MATCH(COLUMNS($V$1006:W1006),$V$1006:$AE$1006,0)), HYPERLINK("#",""), HYPERLINK(CONCATENATE("#Metadata!", ADDRESS(INDEX($Q$2:$Q$1001,MATCH(ROWS($O$2:O736),$O$2:$O$1001,0),0), INDEX($V$1004:$AE$1004,1,MATCH(COLUMNS($V$1006:W1006),$V$1006:$AE$1006,0)))),"Fix")))</f>
        <v>0</v>
      </c>
      <c r="D736" s="3">
        <f>IF(OR(INDEX($P$2:$P$1001,MATCH(ROWS($O$2:O736),$O$2:$O$1001,0),1)&gt;=100000,INDEX($V$1005:$AE$1005,1,MATCH(COLUMNS($V$1006:X1006),$V$1006:$AE$1006,0))&gt;=100000), " ",IF(INDEX($V$2:$AE$1001,MATCH(ROWS($O$2:O736),$O$2:$O$1001,0),MATCH(COLUMNS($V$1006:X1006),$V$1006:$AE$1006,0)), HYPERLINK("#",""), HYPERLINK(CONCATENATE("#Metadata!", ADDRESS(INDEX($Q$2:$Q$1001,MATCH(ROWS($O$2:O736),$O$2:$O$1001,0),0), INDEX($V$1004:$AE$1004,1,MATCH(COLUMNS($V$1006:X1006),$V$1006:$AE$1006,0)))),"Fix")))</f>
        <v>0</v>
      </c>
      <c r="E736" s="3">
        <f>IF(OR(INDEX($P$2:$P$1001,MATCH(ROWS($O$2:O736),$O$2:$O$1001,0),1)&gt;=100000,INDEX($V$1005:$AE$1005,1,MATCH(COLUMNS($V$1006:Y1006),$V$1006:$AE$1006,0))&gt;=100000), " ",IF(INDEX($V$2:$AE$1001,MATCH(ROWS($O$2:O736),$O$2:$O$1001,0),MATCH(COLUMNS($V$1006:Y1006),$V$1006:$AE$1006,0)), HYPERLINK("#",""), HYPERLINK(CONCATENATE("#Metadata!", ADDRESS(INDEX($Q$2:$Q$1001,MATCH(ROWS($O$2:O736),$O$2:$O$1001,0),0), INDEX($V$1004:$AE$1004,1,MATCH(COLUMNS($V$1006:Y1006),$V$1006:$AE$1006,0)))),"Fix")))</f>
        <v>0</v>
      </c>
      <c r="F736" s="3">
        <f>IF(OR(INDEX($P$2:$P$1001,MATCH(ROWS($O$2:O736),$O$2:$O$1001,0),1)&gt;=100000,INDEX($V$1005:$AE$1005,1,MATCH(COLUMNS($V$1006:Z1006),$V$1006:$AE$1006,0))&gt;=100000), " ",IF(INDEX($V$2:$AE$1001,MATCH(ROWS($O$2:O736),$O$2:$O$1001,0),MATCH(COLUMNS($V$1006:Z1006),$V$1006:$AE$1006,0)), HYPERLINK("#",""), HYPERLINK(CONCATENATE("#Metadata!", ADDRESS(INDEX($Q$2:$Q$1001,MATCH(ROWS($O$2:O736),$O$2:$O$1001,0),0), INDEX($V$1004:$AE$1004,1,MATCH(COLUMNS($V$1006:Z1006),$V$1006:$AE$1006,0)))),"Fix")))</f>
        <v>0</v>
      </c>
      <c r="G736" s="3">
        <f>IF(OR(INDEX($P$2:$P$1001,MATCH(ROWS($O$2:O736),$O$2:$O$1001,0),1)&gt;=100000,INDEX($V$1005:$AE$1005,1,MATCH(COLUMNS($V$1006:AA1006),$V$1006:$AE$1006,0))&gt;=100000), " ",IF(INDEX($V$2:$AE$1001,MATCH(ROWS($O$2:O736),$O$2:$O$1001,0),MATCH(COLUMNS($V$1006:AA1006),$V$1006:$AE$1006,0)), HYPERLINK("#",""), HYPERLINK(CONCATENATE("#Metadata!", ADDRESS(INDEX($Q$2:$Q$1001,MATCH(ROWS($O$2:O736),$O$2:$O$1001,0),0), INDEX($V$1004:$AE$1004,1,MATCH(COLUMNS($V$1006:AA1006),$V$1006:$AE$1006,0)))),"Fix")))</f>
        <v>0</v>
      </c>
      <c r="H736" s="3">
        <f>IF(OR(INDEX($P$2:$P$1001,MATCH(ROWS($O$2:O736),$O$2:$O$1001,0),1)&gt;=100000,INDEX($V$1005:$AE$1005,1,MATCH(COLUMNS($V$1006:AB1006),$V$1006:$AE$1006,0))&gt;=100000), " ",IF(INDEX($V$2:$AE$1001,MATCH(ROWS($O$2:O736),$O$2:$O$1001,0),MATCH(COLUMNS($V$1006:AB1006),$V$1006:$AE$1006,0)), HYPERLINK("#",""), HYPERLINK(CONCATENATE("#Metadata!", ADDRESS(INDEX($Q$2:$Q$1001,MATCH(ROWS($O$2:O736),$O$2:$O$1001,0),0), INDEX($V$1004:$AE$1004,1,MATCH(COLUMNS($V$1006:AB1006),$V$1006:$AE$1006,0)))),"Fix")))</f>
        <v>0</v>
      </c>
      <c r="I736" s="3">
        <f>IF(OR(INDEX($P$2:$P$1001,MATCH(ROWS($O$2:O736),$O$2:$O$1001,0),1)&gt;=100000,INDEX($V$1005:$AE$1005,1,MATCH(COLUMNS($V$1006:AC1006),$V$1006:$AE$1006,0))&gt;=100000), " ",IF(INDEX($V$2:$AE$1001,MATCH(ROWS($O$2:O736),$O$2:$O$1001,0),MATCH(COLUMNS($V$1006:AC1006),$V$1006:$AE$1006,0)), HYPERLINK("#",""), HYPERLINK(CONCATENATE("#Metadata!", ADDRESS(INDEX($Q$2:$Q$1001,MATCH(ROWS($O$2:O736),$O$2:$O$1001,0),0), INDEX($V$1004:$AE$1004,1,MATCH(COLUMNS($V$1006:AC1006),$V$1006:$AE$1006,0)))),"Fix")))</f>
        <v>0</v>
      </c>
      <c r="J736" s="3">
        <f>IF(OR(INDEX($P$2:$P$1001,MATCH(ROWS($O$2:O736),$O$2:$O$1001,0),1)&gt;=100000,INDEX($V$1005:$AE$1005,1,MATCH(COLUMNS($V$1006:AD1006),$V$1006:$AE$1006,0))&gt;=100000), " ",IF(INDEX($V$2:$AE$1001,MATCH(ROWS($O$2:O736),$O$2:$O$1001,0),MATCH(COLUMNS($V$1006:AD1006),$V$1006:$AE$1006,0)), HYPERLINK("#",""), HYPERLINK(CONCATENATE("#Metadata!", ADDRESS(INDEX($Q$2:$Q$1001,MATCH(ROWS($O$2:O736),$O$2:$O$1001,0),0), INDEX($V$1004:$AE$1004,1,MATCH(COLUMNS($V$1006:AD1006),$V$1006:$AE$1006,0)))),"Fix")))</f>
        <v>0</v>
      </c>
      <c r="K736" s="3">
        <f>IF(OR(INDEX($P$2:$P$1001,MATCH(ROWS($O$2:O736),$O$2:$O$1001,0),1)&gt;=100000,INDEX($V$1005:$AE$1005,1,MATCH(COLUMNS($V$1006:AE1006),$V$1006:$AE$1006,0))&gt;=100000), " ",IF(INDEX($V$2:$AE$1001,MATCH(ROWS($O$2:O736),$O$2:$O$1001,0),MATCH(COLUMNS($V$1006:AE1006),$V$1006:$AE$1006,0)), HYPERLINK("#",""), HYPERLINK(CONCATENATE("#Metadata!", ADDRESS(INDEX($Q$2:$Q$1001,MATCH(ROWS($O$2:O736),$O$2:$O$1001,0),0), INDEX($V$1004:$AE$1004,1,MATCH(COLUMNS($V$1006:AE1006),$V$1006:$AE$1006,0)))),"Fix")))</f>
        <v>0</v>
      </c>
      <c r="O736">
        <v>0</v>
      </c>
      <c r="P736">
        <v>0</v>
      </c>
      <c r="Q736">
        <v>0</v>
      </c>
      <c r="R736">
        <f>IF(S736,TRUE,AND(V736:AE736))</f>
        <v>0</v>
      </c>
      <c r="S736">
        <f>COUNTBLANK(Metadata!B736:K736)=COLUMNS(Metadata!B736:K736)</f>
        <v>0</v>
      </c>
      <c r="T736">
        <v>0</v>
      </c>
      <c r="V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W736">
        <f>AND(IF(Metadata!C736="",FALSE,TRUE),exact(Metadata!C736,"animal secretion"))</f>
        <v>0</v>
      </c>
      <c r="X736">
        <f>AND(IF(Metadata!D736="",FALSE,TRUE),exact(Metadata!D736,"saliva"))</f>
        <v>0</v>
      </c>
      <c r="Y736">
        <f>AND(IF(Metadata!E736="",FALSE,TRUE),exact(Metadata!E736,"human-oral"))</f>
        <v>0</v>
      </c>
      <c r="Z736">
        <f>AND(IF(Metadata!F736="",FALSE,TRUE),exact(Metadata!F736,"UBERON:oral cavity"))</f>
        <v>0</v>
      </c>
      <c r="AA736">
        <f>AND(IF(Metadata!G736="",FALSE,TRUE),exact(Metadata!G736,"UBERON:saliva"))</f>
        <v>0</v>
      </c>
      <c r="AB736">
        <f>AND(IF(Metadata!H736="",FALSE,TRUE),exact(Metadata!H736,"UBERON:tongue"))</f>
        <v>0</v>
      </c>
      <c r="AC736">
        <f>AND(IF(Metadata!I736="",FALSE,TRUE),exact(Metadata!I736,"tongue"))</f>
        <v>0</v>
      </c>
      <c r="AD736">
        <f>AND(IF(Metadata!J736="",FALSE,TRUE),exact(Metadata!J736,"human oral metagenome"))</f>
        <v>0</v>
      </c>
      <c r="AE736">
        <f>AND(IF(Metadata!K736="",FALSE,TRUE),exact(Metadata!K736,"447426"))</f>
        <v>0</v>
      </c>
    </row>
    <row r="737" spans="1:31">
      <c r="A737" s="4">
        <f>IF(B737=" "," ",HYPERLINK(CONCATENATE("#metadata!",ADDRESS(INDEX($Q$2:$Q$1001,MATCH(ROWS($O$2:O737),$O$2:$O$1001,0),0),1)),INDEX($T$2:$T$1001,MATCH(ROWS($O$2:O737),$O$2:$O$1001,0),0)))</f>
        <v>0</v>
      </c>
      <c r="B737" s="3">
        <f>IF(OR(INDEX($P$2:$P$1001,MATCH(ROWS($O$2:O737),$O$2:$O$1001,0),1)&gt;=100000,INDEX($V$1005:$AE$1005,1,MATCH(COLUMNS($V$1006:V1006),$V$1006:$AE$1006,0))&gt;=100000), " ",IF(INDEX($V$2:$AE$1001,MATCH(ROWS($O$2:O737),$O$2:$O$1001,0),MATCH(COLUMNS($V$1006:V1006),$V$1006:$AE$1006,0)), HYPERLINK("#",""), HYPERLINK(CONCATENATE("#Metadata!", ADDRESS(INDEX($Q$2:$Q$1001,MATCH(ROWS($O$2:O737),$O$2:$O$1001,0),0), INDEX($V$1004:$AE$1004,1,MATCH(COLUMNS($V$1006:V1006),$V$1006:$AE$1006,0)))),"Fix")))</f>
        <v>0</v>
      </c>
      <c r="C737" s="3">
        <f>IF(OR(INDEX($P$2:$P$1001,MATCH(ROWS($O$2:O737),$O$2:$O$1001,0),1)&gt;=100000,INDEX($V$1005:$AE$1005,1,MATCH(COLUMNS($V$1006:W1006),$V$1006:$AE$1006,0))&gt;=100000), " ",IF(INDEX($V$2:$AE$1001,MATCH(ROWS($O$2:O737),$O$2:$O$1001,0),MATCH(COLUMNS($V$1006:W1006),$V$1006:$AE$1006,0)), HYPERLINK("#",""), HYPERLINK(CONCATENATE("#Metadata!", ADDRESS(INDEX($Q$2:$Q$1001,MATCH(ROWS($O$2:O737),$O$2:$O$1001,0),0), INDEX($V$1004:$AE$1004,1,MATCH(COLUMNS($V$1006:W1006),$V$1006:$AE$1006,0)))),"Fix")))</f>
        <v>0</v>
      </c>
      <c r="D737" s="3">
        <f>IF(OR(INDEX($P$2:$P$1001,MATCH(ROWS($O$2:O737),$O$2:$O$1001,0),1)&gt;=100000,INDEX($V$1005:$AE$1005,1,MATCH(COLUMNS($V$1006:X1006),$V$1006:$AE$1006,0))&gt;=100000), " ",IF(INDEX($V$2:$AE$1001,MATCH(ROWS($O$2:O737),$O$2:$O$1001,0),MATCH(COLUMNS($V$1006:X1006),$V$1006:$AE$1006,0)), HYPERLINK("#",""), HYPERLINK(CONCATENATE("#Metadata!", ADDRESS(INDEX($Q$2:$Q$1001,MATCH(ROWS($O$2:O737),$O$2:$O$1001,0),0), INDEX($V$1004:$AE$1004,1,MATCH(COLUMNS($V$1006:X1006),$V$1006:$AE$1006,0)))),"Fix")))</f>
        <v>0</v>
      </c>
      <c r="E737" s="3">
        <f>IF(OR(INDEX($P$2:$P$1001,MATCH(ROWS($O$2:O737),$O$2:$O$1001,0),1)&gt;=100000,INDEX($V$1005:$AE$1005,1,MATCH(COLUMNS($V$1006:Y1006),$V$1006:$AE$1006,0))&gt;=100000), " ",IF(INDEX($V$2:$AE$1001,MATCH(ROWS($O$2:O737),$O$2:$O$1001,0),MATCH(COLUMNS($V$1006:Y1006),$V$1006:$AE$1006,0)), HYPERLINK("#",""), HYPERLINK(CONCATENATE("#Metadata!", ADDRESS(INDEX($Q$2:$Q$1001,MATCH(ROWS($O$2:O737),$O$2:$O$1001,0),0), INDEX($V$1004:$AE$1004,1,MATCH(COLUMNS($V$1006:Y1006),$V$1006:$AE$1006,0)))),"Fix")))</f>
        <v>0</v>
      </c>
      <c r="F737" s="3">
        <f>IF(OR(INDEX($P$2:$P$1001,MATCH(ROWS($O$2:O737),$O$2:$O$1001,0),1)&gt;=100000,INDEX($V$1005:$AE$1005,1,MATCH(COLUMNS($V$1006:Z1006),$V$1006:$AE$1006,0))&gt;=100000), " ",IF(INDEX($V$2:$AE$1001,MATCH(ROWS($O$2:O737),$O$2:$O$1001,0),MATCH(COLUMNS($V$1006:Z1006),$V$1006:$AE$1006,0)), HYPERLINK("#",""), HYPERLINK(CONCATENATE("#Metadata!", ADDRESS(INDEX($Q$2:$Q$1001,MATCH(ROWS($O$2:O737),$O$2:$O$1001,0),0), INDEX($V$1004:$AE$1004,1,MATCH(COLUMNS($V$1006:Z1006),$V$1006:$AE$1006,0)))),"Fix")))</f>
        <v>0</v>
      </c>
      <c r="G737" s="3">
        <f>IF(OR(INDEX($P$2:$P$1001,MATCH(ROWS($O$2:O737),$O$2:$O$1001,0),1)&gt;=100000,INDEX($V$1005:$AE$1005,1,MATCH(COLUMNS($V$1006:AA1006),$V$1006:$AE$1006,0))&gt;=100000), " ",IF(INDEX($V$2:$AE$1001,MATCH(ROWS($O$2:O737),$O$2:$O$1001,0),MATCH(COLUMNS($V$1006:AA1006),$V$1006:$AE$1006,0)), HYPERLINK("#",""), HYPERLINK(CONCATENATE("#Metadata!", ADDRESS(INDEX($Q$2:$Q$1001,MATCH(ROWS($O$2:O737),$O$2:$O$1001,0),0), INDEX($V$1004:$AE$1004,1,MATCH(COLUMNS($V$1006:AA1006),$V$1006:$AE$1006,0)))),"Fix")))</f>
        <v>0</v>
      </c>
      <c r="H737" s="3">
        <f>IF(OR(INDEX($P$2:$P$1001,MATCH(ROWS($O$2:O737),$O$2:$O$1001,0),1)&gt;=100000,INDEX($V$1005:$AE$1005,1,MATCH(COLUMNS($V$1006:AB1006),$V$1006:$AE$1006,0))&gt;=100000), " ",IF(INDEX($V$2:$AE$1001,MATCH(ROWS($O$2:O737),$O$2:$O$1001,0),MATCH(COLUMNS($V$1006:AB1006),$V$1006:$AE$1006,0)), HYPERLINK("#",""), HYPERLINK(CONCATENATE("#Metadata!", ADDRESS(INDEX($Q$2:$Q$1001,MATCH(ROWS($O$2:O737),$O$2:$O$1001,0),0), INDEX($V$1004:$AE$1004,1,MATCH(COLUMNS($V$1006:AB1006),$V$1006:$AE$1006,0)))),"Fix")))</f>
        <v>0</v>
      </c>
      <c r="I737" s="3">
        <f>IF(OR(INDEX($P$2:$P$1001,MATCH(ROWS($O$2:O737),$O$2:$O$1001,0),1)&gt;=100000,INDEX($V$1005:$AE$1005,1,MATCH(COLUMNS($V$1006:AC1006),$V$1006:$AE$1006,0))&gt;=100000), " ",IF(INDEX($V$2:$AE$1001,MATCH(ROWS($O$2:O737),$O$2:$O$1001,0),MATCH(COLUMNS($V$1006:AC1006),$V$1006:$AE$1006,0)), HYPERLINK("#",""), HYPERLINK(CONCATENATE("#Metadata!", ADDRESS(INDEX($Q$2:$Q$1001,MATCH(ROWS($O$2:O737),$O$2:$O$1001,0),0), INDEX($V$1004:$AE$1004,1,MATCH(COLUMNS($V$1006:AC1006),$V$1006:$AE$1006,0)))),"Fix")))</f>
        <v>0</v>
      </c>
      <c r="J737" s="3">
        <f>IF(OR(INDEX($P$2:$P$1001,MATCH(ROWS($O$2:O737),$O$2:$O$1001,0),1)&gt;=100000,INDEX($V$1005:$AE$1005,1,MATCH(COLUMNS($V$1006:AD1006),$V$1006:$AE$1006,0))&gt;=100000), " ",IF(INDEX($V$2:$AE$1001,MATCH(ROWS($O$2:O737),$O$2:$O$1001,0),MATCH(COLUMNS($V$1006:AD1006),$V$1006:$AE$1006,0)), HYPERLINK("#",""), HYPERLINK(CONCATENATE("#Metadata!", ADDRESS(INDEX($Q$2:$Q$1001,MATCH(ROWS($O$2:O737),$O$2:$O$1001,0),0), INDEX($V$1004:$AE$1004,1,MATCH(COLUMNS($V$1006:AD1006),$V$1006:$AE$1006,0)))),"Fix")))</f>
        <v>0</v>
      </c>
      <c r="K737" s="3">
        <f>IF(OR(INDEX($P$2:$P$1001,MATCH(ROWS($O$2:O737),$O$2:$O$1001,0),1)&gt;=100000,INDEX($V$1005:$AE$1005,1,MATCH(COLUMNS($V$1006:AE1006),$V$1006:$AE$1006,0))&gt;=100000), " ",IF(INDEX($V$2:$AE$1001,MATCH(ROWS($O$2:O737),$O$2:$O$1001,0),MATCH(COLUMNS($V$1006:AE1006),$V$1006:$AE$1006,0)), HYPERLINK("#",""), HYPERLINK(CONCATENATE("#Metadata!", ADDRESS(INDEX($Q$2:$Q$1001,MATCH(ROWS($O$2:O737),$O$2:$O$1001,0),0), INDEX($V$1004:$AE$1004,1,MATCH(COLUMNS($V$1006:AE1006),$V$1006:$AE$1006,0)))),"Fix")))</f>
        <v>0</v>
      </c>
      <c r="O737">
        <v>0</v>
      </c>
      <c r="P737">
        <v>0</v>
      </c>
      <c r="Q737">
        <v>0</v>
      </c>
      <c r="R737">
        <f>IF(S737,TRUE,AND(V737:AE737))</f>
        <v>0</v>
      </c>
      <c r="S737">
        <f>COUNTBLANK(Metadata!B737:K737)=COLUMNS(Metadata!B737:K737)</f>
        <v>0</v>
      </c>
      <c r="T737">
        <v>0</v>
      </c>
      <c r="V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W737">
        <f>AND(IF(Metadata!C737="",FALSE,TRUE),exact(Metadata!C737,"animal secretion"))</f>
        <v>0</v>
      </c>
      <c r="X737">
        <f>AND(IF(Metadata!D737="",FALSE,TRUE),exact(Metadata!D737,"saliva"))</f>
        <v>0</v>
      </c>
      <c r="Y737">
        <f>AND(IF(Metadata!E737="",FALSE,TRUE),exact(Metadata!E737,"human-oral"))</f>
        <v>0</v>
      </c>
      <c r="Z737">
        <f>AND(IF(Metadata!F737="",FALSE,TRUE),exact(Metadata!F737,"UBERON:oral cavity"))</f>
        <v>0</v>
      </c>
      <c r="AA737">
        <f>AND(IF(Metadata!G737="",FALSE,TRUE),exact(Metadata!G737,"UBERON:saliva"))</f>
        <v>0</v>
      </c>
      <c r="AB737">
        <f>AND(IF(Metadata!H737="",FALSE,TRUE),exact(Metadata!H737,"UBERON:tongue"))</f>
        <v>0</v>
      </c>
      <c r="AC737">
        <f>AND(IF(Metadata!I737="",FALSE,TRUE),exact(Metadata!I737,"tongue"))</f>
        <v>0</v>
      </c>
      <c r="AD737">
        <f>AND(IF(Metadata!J737="",FALSE,TRUE),exact(Metadata!J737,"human oral metagenome"))</f>
        <v>0</v>
      </c>
      <c r="AE737">
        <f>AND(IF(Metadata!K737="",FALSE,TRUE),exact(Metadata!K737,"447426"))</f>
        <v>0</v>
      </c>
    </row>
    <row r="738" spans="1:31">
      <c r="A738" s="4">
        <f>IF(B738=" "," ",HYPERLINK(CONCATENATE("#metadata!",ADDRESS(INDEX($Q$2:$Q$1001,MATCH(ROWS($O$2:O738),$O$2:$O$1001,0),0),1)),INDEX($T$2:$T$1001,MATCH(ROWS($O$2:O738),$O$2:$O$1001,0),0)))</f>
        <v>0</v>
      </c>
      <c r="B738" s="3">
        <f>IF(OR(INDEX($P$2:$P$1001,MATCH(ROWS($O$2:O738),$O$2:$O$1001,0),1)&gt;=100000,INDEX($V$1005:$AE$1005,1,MATCH(COLUMNS($V$1006:V1006),$V$1006:$AE$1006,0))&gt;=100000), " ",IF(INDEX($V$2:$AE$1001,MATCH(ROWS($O$2:O738),$O$2:$O$1001,0),MATCH(COLUMNS($V$1006:V1006),$V$1006:$AE$1006,0)), HYPERLINK("#",""), HYPERLINK(CONCATENATE("#Metadata!", ADDRESS(INDEX($Q$2:$Q$1001,MATCH(ROWS($O$2:O738),$O$2:$O$1001,0),0), INDEX($V$1004:$AE$1004,1,MATCH(COLUMNS($V$1006:V1006),$V$1006:$AE$1006,0)))),"Fix")))</f>
        <v>0</v>
      </c>
      <c r="C738" s="3">
        <f>IF(OR(INDEX($P$2:$P$1001,MATCH(ROWS($O$2:O738),$O$2:$O$1001,0),1)&gt;=100000,INDEX($V$1005:$AE$1005,1,MATCH(COLUMNS($V$1006:W1006),$V$1006:$AE$1006,0))&gt;=100000), " ",IF(INDEX($V$2:$AE$1001,MATCH(ROWS($O$2:O738),$O$2:$O$1001,0),MATCH(COLUMNS($V$1006:W1006),$V$1006:$AE$1006,0)), HYPERLINK("#",""), HYPERLINK(CONCATENATE("#Metadata!", ADDRESS(INDEX($Q$2:$Q$1001,MATCH(ROWS($O$2:O738),$O$2:$O$1001,0),0), INDEX($V$1004:$AE$1004,1,MATCH(COLUMNS($V$1006:W1006),$V$1006:$AE$1006,0)))),"Fix")))</f>
        <v>0</v>
      </c>
      <c r="D738" s="3">
        <f>IF(OR(INDEX($P$2:$P$1001,MATCH(ROWS($O$2:O738),$O$2:$O$1001,0),1)&gt;=100000,INDEX($V$1005:$AE$1005,1,MATCH(COLUMNS($V$1006:X1006),$V$1006:$AE$1006,0))&gt;=100000), " ",IF(INDEX($V$2:$AE$1001,MATCH(ROWS($O$2:O738),$O$2:$O$1001,0),MATCH(COLUMNS($V$1006:X1006),$V$1006:$AE$1006,0)), HYPERLINK("#",""), HYPERLINK(CONCATENATE("#Metadata!", ADDRESS(INDEX($Q$2:$Q$1001,MATCH(ROWS($O$2:O738),$O$2:$O$1001,0),0), INDEX($V$1004:$AE$1004,1,MATCH(COLUMNS($V$1006:X1006),$V$1006:$AE$1006,0)))),"Fix")))</f>
        <v>0</v>
      </c>
      <c r="E738" s="3">
        <f>IF(OR(INDEX($P$2:$P$1001,MATCH(ROWS($O$2:O738),$O$2:$O$1001,0),1)&gt;=100000,INDEX($V$1005:$AE$1005,1,MATCH(COLUMNS($V$1006:Y1006),$V$1006:$AE$1006,0))&gt;=100000), " ",IF(INDEX($V$2:$AE$1001,MATCH(ROWS($O$2:O738),$O$2:$O$1001,0),MATCH(COLUMNS($V$1006:Y1006),$V$1006:$AE$1006,0)), HYPERLINK("#",""), HYPERLINK(CONCATENATE("#Metadata!", ADDRESS(INDEX($Q$2:$Q$1001,MATCH(ROWS($O$2:O738),$O$2:$O$1001,0),0), INDEX($V$1004:$AE$1004,1,MATCH(COLUMNS($V$1006:Y1006),$V$1006:$AE$1006,0)))),"Fix")))</f>
        <v>0</v>
      </c>
      <c r="F738" s="3">
        <f>IF(OR(INDEX($P$2:$P$1001,MATCH(ROWS($O$2:O738),$O$2:$O$1001,0),1)&gt;=100000,INDEX($V$1005:$AE$1005,1,MATCH(COLUMNS($V$1006:Z1006),$V$1006:$AE$1006,0))&gt;=100000), " ",IF(INDEX($V$2:$AE$1001,MATCH(ROWS($O$2:O738),$O$2:$O$1001,0),MATCH(COLUMNS($V$1006:Z1006),$V$1006:$AE$1006,0)), HYPERLINK("#",""), HYPERLINK(CONCATENATE("#Metadata!", ADDRESS(INDEX($Q$2:$Q$1001,MATCH(ROWS($O$2:O738),$O$2:$O$1001,0),0), INDEX($V$1004:$AE$1004,1,MATCH(COLUMNS($V$1006:Z1006),$V$1006:$AE$1006,0)))),"Fix")))</f>
        <v>0</v>
      </c>
      <c r="G738" s="3">
        <f>IF(OR(INDEX($P$2:$P$1001,MATCH(ROWS($O$2:O738),$O$2:$O$1001,0),1)&gt;=100000,INDEX($V$1005:$AE$1005,1,MATCH(COLUMNS($V$1006:AA1006),$V$1006:$AE$1006,0))&gt;=100000), " ",IF(INDEX($V$2:$AE$1001,MATCH(ROWS($O$2:O738),$O$2:$O$1001,0),MATCH(COLUMNS($V$1006:AA1006),$V$1006:$AE$1006,0)), HYPERLINK("#",""), HYPERLINK(CONCATENATE("#Metadata!", ADDRESS(INDEX($Q$2:$Q$1001,MATCH(ROWS($O$2:O738),$O$2:$O$1001,0),0), INDEX($V$1004:$AE$1004,1,MATCH(COLUMNS($V$1006:AA1006),$V$1006:$AE$1006,0)))),"Fix")))</f>
        <v>0</v>
      </c>
      <c r="H738" s="3">
        <f>IF(OR(INDEX($P$2:$P$1001,MATCH(ROWS($O$2:O738),$O$2:$O$1001,0),1)&gt;=100000,INDEX($V$1005:$AE$1005,1,MATCH(COLUMNS($V$1006:AB1006),$V$1006:$AE$1006,0))&gt;=100000), " ",IF(INDEX($V$2:$AE$1001,MATCH(ROWS($O$2:O738),$O$2:$O$1001,0),MATCH(COLUMNS($V$1006:AB1006),$V$1006:$AE$1006,0)), HYPERLINK("#",""), HYPERLINK(CONCATENATE("#Metadata!", ADDRESS(INDEX($Q$2:$Q$1001,MATCH(ROWS($O$2:O738),$O$2:$O$1001,0),0), INDEX($V$1004:$AE$1004,1,MATCH(COLUMNS($V$1006:AB1006),$V$1006:$AE$1006,0)))),"Fix")))</f>
        <v>0</v>
      </c>
      <c r="I738" s="3">
        <f>IF(OR(INDEX($P$2:$P$1001,MATCH(ROWS($O$2:O738),$O$2:$O$1001,0),1)&gt;=100000,INDEX($V$1005:$AE$1005,1,MATCH(COLUMNS($V$1006:AC1006),$V$1006:$AE$1006,0))&gt;=100000), " ",IF(INDEX($V$2:$AE$1001,MATCH(ROWS($O$2:O738),$O$2:$O$1001,0),MATCH(COLUMNS($V$1006:AC1006),$V$1006:$AE$1006,0)), HYPERLINK("#",""), HYPERLINK(CONCATENATE("#Metadata!", ADDRESS(INDEX($Q$2:$Q$1001,MATCH(ROWS($O$2:O738),$O$2:$O$1001,0),0), INDEX($V$1004:$AE$1004,1,MATCH(COLUMNS($V$1006:AC1006),$V$1006:$AE$1006,0)))),"Fix")))</f>
        <v>0</v>
      </c>
      <c r="J738" s="3">
        <f>IF(OR(INDEX($P$2:$P$1001,MATCH(ROWS($O$2:O738),$O$2:$O$1001,0),1)&gt;=100000,INDEX($V$1005:$AE$1005,1,MATCH(COLUMNS($V$1006:AD1006),$V$1006:$AE$1006,0))&gt;=100000), " ",IF(INDEX($V$2:$AE$1001,MATCH(ROWS($O$2:O738),$O$2:$O$1001,0),MATCH(COLUMNS($V$1006:AD1006),$V$1006:$AE$1006,0)), HYPERLINK("#",""), HYPERLINK(CONCATENATE("#Metadata!", ADDRESS(INDEX($Q$2:$Q$1001,MATCH(ROWS($O$2:O738),$O$2:$O$1001,0),0), INDEX($V$1004:$AE$1004,1,MATCH(COLUMNS($V$1006:AD1006),$V$1006:$AE$1006,0)))),"Fix")))</f>
        <v>0</v>
      </c>
      <c r="K738" s="3">
        <f>IF(OR(INDEX($P$2:$P$1001,MATCH(ROWS($O$2:O738),$O$2:$O$1001,0),1)&gt;=100000,INDEX($V$1005:$AE$1005,1,MATCH(COLUMNS($V$1006:AE1006),$V$1006:$AE$1006,0))&gt;=100000), " ",IF(INDEX($V$2:$AE$1001,MATCH(ROWS($O$2:O738),$O$2:$O$1001,0),MATCH(COLUMNS($V$1006:AE1006),$V$1006:$AE$1006,0)), HYPERLINK("#",""), HYPERLINK(CONCATENATE("#Metadata!", ADDRESS(INDEX($Q$2:$Q$1001,MATCH(ROWS($O$2:O738),$O$2:$O$1001,0),0), INDEX($V$1004:$AE$1004,1,MATCH(COLUMNS($V$1006:AE1006),$V$1006:$AE$1006,0)))),"Fix")))</f>
        <v>0</v>
      </c>
      <c r="O738">
        <v>0</v>
      </c>
      <c r="P738">
        <v>0</v>
      </c>
      <c r="Q738">
        <v>0</v>
      </c>
      <c r="R738">
        <f>IF(S738,TRUE,AND(V738:AE738))</f>
        <v>0</v>
      </c>
      <c r="S738">
        <f>COUNTBLANK(Metadata!B738:K738)=COLUMNS(Metadata!B738:K738)</f>
        <v>0</v>
      </c>
      <c r="T738">
        <v>0</v>
      </c>
      <c r="V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W738">
        <f>AND(IF(Metadata!C738="",FALSE,TRUE),exact(Metadata!C738,"animal secretion"))</f>
        <v>0</v>
      </c>
      <c r="X738">
        <f>AND(IF(Metadata!D738="",FALSE,TRUE),exact(Metadata!D738,"saliva"))</f>
        <v>0</v>
      </c>
      <c r="Y738">
        <f>AND(IF(Metadata!E738="",FALSE,TRUE),exact(Metadata!E738,"human-oral"))</f>
        <v>0</v>
      </c>
      <c r="Z738">
        <f>AND(IF(Metadata!F738="",FALSE,TRUE),exact(Metadata!F738,"UBERON:oral cavity"))</f>
        <v>0</v>
      </c>
      <c r="AA738">
        <f>AND(IF(Metadata!G738="",FALSE,TRUE),exact(Metadata!G738,"UBERON:saliva"))</f>
        <v>0</v>
      </c>
      <c r="AB738">
        <f>AND(IF(Metadata!H738="",FALSE,TRUE),exact(Metadata!H738,"UBERON:tongue"))</f>
        <v>0</v>
      </c>
      <c r="AC738">
        <f>AND(IF(Metadata!I738="",FALSE,TRUE),exact(Metadata!I738,"tongue"))</f>
        <v>0</v>
      </c>
      <c r="AD738">
        <f>AND(IF(Metadata!J738="",FALSE,TRUE),exact(Metadata!J738,"human oral metagenome"))</f>
        <v>0</v>
      </c>
      <c r="AE738">
        <f>AND(IF(Metadata!K738="",FALSE,TRUE),exact(Metadata!K738,"447426"))</f>
        <v>0</v>
      </c>
    </row>
    <row r="739" spans="1:31">
      <c r="A739" s="4">
        <f>IF(B739=" "," ",HYPERLINK(CONCATENATE("#metadata!",ADDRESS(INDEX($Q$2:$Q$1001,MATCH(ROWS($O$2:O739),$O$2:$O$1001,0),0),1)),INDEX($T$2:$T$1001,MATCH(ROWS($O$2:O739),$O$2:$O$1001,0),0)))</f>
        <v>0</v>
      </c>
      <c r="B739" s="3">
        <f>IF(OR(INDEX($P$2:$P$1001,MATCH(ROWS($O$2:O739),$O$2:$O$1001,0),1)&gt;=100000,INDEX($V$1005:$AE$1005,1,MATCH(COLUMNS($V$1006:V1006),$V$1006:$AE$1006,0))&gt;=100000), " ",IF(INDEX($V$2:$AE$1001,MATCH(ROWS($O$2:O739),$O$2:$O$1001,0),MATCH(COLUMNS($V$1006:V1006),$V$1006:$AE$1006,0)), HYPERLINK("#",""), HYPERLINK(CONCATENATE("#Metadata!", ADDRESS(INDEX($Q$2:$Q$1001,MATCH(ROWS($O$2:O739),$O$2:$O$1001,0),0), INDEX($V$1004:$AE$1004,1,MATCH(COLUMNS($V$1006:V1006),$V$1006:$AE$1006,0)))),"Fix")))</f>
        <v>0</v>
      </c>
      <c r="C739" s="3">
        <f>IF(OR(INDEX($P$2:$P$1001,MATCH(ROWS($O$2:O739),$O$2:$O$1001,0),1)&gt;=100000,INDEX($V$1005:$AE$1005,1,MATCH(COLUMNS($V$1006:W1006),$V$1006:$AE$1006,0))&gt;=100000), " ",IF(INDEX($V$2:$AE$1001,MATCH(ROWS($O$2:O739),$O$2:$O$1001,0),MATCH(COLUMNS($V$1006:W1006),$V$1006:$AE$1006,0)), HYPERLINK("#",""), HYPERLINK(CONCATENATE("#Metadata!", ADDRESS(INDEX($Q$2:$Q$1001,MATCH(ROWS($O$2:O739),$O$2:$O$1001,0),0), INDEX($V$1004:$AE$1004,1,MATCH(COLUMNS($V$1006:W1006),$V$1006:$AE$1006,0)))),"Fix")))</f>
        <v>0</v>
      </c>
      <c r="D739" s="3">
        <f>IF(OR(INDEX($P$2:$P$1001,MATCH(ROWS($O$2:O739),$O$2:$O$1001,0),1)&gt;=100000,INDEX($V$1005:$AE$1005,1,MATCH(COLUMNS($V$1006:X1006),$V$1006:$AE$1006,0))&gt;=100000), " ",IF(INDEX($V$2:$AE$1001,MATCH(ROWS($O$2:O739),$O$2:$O$1001,0),MATCH(COLUMNS($V$1006:X1006),$V$1006:$AE$1006,0)), HYPERLINK("#",""), HYPERLINK(CONCATENATE("#Metadata!", ADDRESS(INDEX($Q$2:$Q$1001,MATCH(ROWS($O$2:O739),$O$2:$O$1001,0),0), INDEX($V$1004:$AE$1004,1,MATCH(COLUMNS($V$1006:X1006),$V$1006:$AE$1006,0)))),"Fix")))</f>
        <v>0</v>
      </c>
      <c r="E739" s="3">
        <f>IF(OR(INDEX($P$2:$P$1001,MATCH(ROWS($O$2:O739),$O$2:$O$1001,0),1)&gt;=100000,INDEX($V$1005:$AE$1005,1,MATCH(COLUMNS($V$1006:Y1006),$V$1006:$AE$1006,0))&gt;=100000), " ",IF(INDEX($V$2:$AE$1001,MATCH(ROWS($O$2:O739),$O$2:$O$1001,0),MATCH(COLUMNS($V$1006:Y1006),$V$1006:$AE$1006,0)), HYPERLINK("#",""), HYPERLINK(CONCATENATE("#Metadata!", ADDRESS(INDEX($Q$2:$Q$1001,MATCH(ROWS($O$2:O739),$O$2:$O$1001,0),0), INDEX($V$1004:$AE$1004,1,MATCH(COLUMNS($V$1006:Y1006),$V$1006:$AE$1006,0)))),"Fix")))</f>
        <v>0</v>
      </c>
      <c r="F739" s="3">
        <f>IF(OR(INDEX($P$2:$P$1001,MATCH(ROWS($O$2:O739),$O$2:$O$1001,0),1)&gt;=100000,INDEX($V$1005:$AE$1005,1,MATCH(COLUMNS($V$1006:Z1006),$V$1006:$AE$1006,0))&gt;=100000), " ",IF(INDEX($V$2:$AE$1001,MATCH(ROWS($O$2:O739),$O$2:$O$1001,0),MATCH(COLUMNS($V$1006:Z1006),$V$1006:$AE$1006,0)), HYPERLINK("#",""), HYPERLINK(CONCATENATE("#Metadata!", ADDRESS(INDEX($Q$2:$Q$1001,MATCH(ROWS($O$2:O739),$O$2:$O$1001,0),0), INDEX($V$1004:$AE$1004,1,MATCH(COLUMNS($V$1006:Z1006),$V$1006:$AE$1006,0)))),"Fix")))</f>
        <v>0</v>
      </c>
      <c r="G739" s="3">
        <f>IF(OR(INDEX($P$2:$P$1001,MATCH(ROWS($O$2:O739),$O$2:$O$1001,0),1)&gt;=100000,INDEX($V$1005:$AE$1005,1,MATCH(COLUMNS($V$1006:AA1006),$V$1006:$AE$1006,0))&gt;=100000), " ",IF(INDEX($V$2:$AE$1001,MATCH(ROWS($O$2:O739),$O$2:$O$1001,0),MATCH(COLUMNS($V$1006:AA1006),$V$1006:$AE$1006,0)), HYPERLINK("#",""), HYPERLINK(CONCATENATE("#Metadata!", ADDRESS(INDEX($Q$2:$Q$1001,MATCH(ROWS($O$2:O739),$O$2:$O$1001,0),0), INDEX($V$1004:$AE$1004,1,MATCH(COLUMNS($V$1006:AA1006),$V$1006:$AE$1006,0)))),"Fix")))</f>
        <v>0</v>
      </c>
      <c r="H739" s="3">
        <f>IF(OR(INDEX($P$2:$P$1001,MATCH(ROWS($O$2:O739),$O$2:$O$1001,0),1)&gt;=100000,INDEX($V$1005:$AE$1005,1,MATCH(COLUMNS($V$1006:AB1006),$V$1006:$AE$1006,0))&gt;=100000), " ",IF(INDEX($V$2:$AE$1001,MATCH(ROWS($O$2:O739),$O$2:$O$1001,0),MATCH(COLUMNS($V$1006:AB1006),$V$1006:$AE$1006,0)), HYPERLINK("#",""), HYPERLINK(CONCATENATE("#Metadata!", ADDRESS(INDEX($Q$2:$Q$1001,MATCH(ROWS($O$2:O739),$O$2:$O$1001,0),0), INDEX($V$1004:$AE$1004,1,MATCH(COLUMNS($V$1006:AB1006),$V$1006:$AE$1006,0)))),"Fix")))</f>
        <v>0</v>
      </c>
      <c r="I739" s="3">
        <f>IF(OR(INDEX($P$2:$P$1001,MATCH(ROWS($O$2:O739),$O$2:$O$1001,0),1)&gt;=100000,INDEX($V$1005:$AE$1005,1,MATCH(COLUMNS($V$1006:AC1006),$V$1006:$AE$1006,0))&gt;=100000), " ",IF(INDEX($V$2:$AE$1001,MATCH(ROWS($O$2:O739),$O$2:$O$1001,0),MATCH(COLUMNS($V$1006:AC1006),$V$1006:$AE$1006,0)), HYPERLINK("#",""), HYPERLINK(CONCATENATE("#Metadata!", ADDRESS(INDEX($Q$2:$Q$1001,MATCH(ROWS($O$2:O739),$O$2:$O$1001,0),0), INDEX($V$1004:$AE$1004,1,MATCH(COLUMNS($V$1006:AC1006),$V$1006:$AE$1006,0)))),"Fix")))</f>
        <v>0</v>
      </c>
      <c r="J739" s="3">
        <f>IF(OR(INDEX($P$2:$P$1001,MATCH(ROWS($O$2:O739),$O$2:$O$1001,0),1)&gt;=100000,INDEX($V$1005:$AE$1005,1,MATCH(COLUMNS($V$1006:AD1006),$V$1006:$AE$1006,0))&gt;=100000), " ",IF(INDEX($V$2:$AE$1001,MATCH(ROWS($O$2:O739),$O$2:$O$1001,0),MATCH(COLUMNS($V$1006:AD1006),$V$1006:$AE$1006,0)), HYPERLINK("#",""), HYPERLINK(CONCATENATE("#Metadata!", ADDRESS(INDEX($Q$2:$Q$1001,MATCH(ROWS($O$2:O739),$O$2:$O$1001,0),0), INDEX($V$1004:$AE$1004,1,MATCH(COLUMNS($V$1006:AD1006),$V$1006:$AE$1006,0)))),"Fix")))</f>
        <v>0</v>
      </c>
      <c r="K739" s="3">
        <f>IF(OR(INDEX($P$2:$P$1001,MATCH(ROWS($O$2:O739),$O$2:$O$1001,0),1)&gt;=100000,INDEX($V$1005:$AE$1005,1,MATCH(COLUMNS($V$1006:AE1006),$V$1006:$AE$1006,0))&gt;=100000), " ",IF(INDEX($V$2:$AE$1001,MATCH(ROWS($O$2:O739),$O$2:$O$1001,0),MATCH(COLUMNS($V$1006:AE1006),$V$1006:$AE$1006,0)), HYPERLINK("#",""), HYPERLINK(CONCATENATE("#Metadata!", ADDRESS(INDEX($Q$2:$Q$1001,MATCH(ROWS($O$2:O739),$O$2:$O$1001,0),0), INDEX($V$1004:$AE$1004,1,MATCH(COLUMNS($V$1006:AE1006),$V$1006:$AE$1006,0)))),"Fix")))</f>
        <v>0</v>
      </c>
      <c r="O739">
        <v>0</v>
      </c>
      <c r="P739">
        <v>0</v>
      </c>
      <c r="Q739">
        <v>0</v>
      </c>
      <c r="R739">
        <f>IF(S739,TRUE,AND(V739:AE739))</f>
        <v>0</v>
      </c>
      <c r="S739">
        <f>COUNTBLANK(Metadata!B739:K739)=COLUMNS(Metadata!B739:K739)</f>
        <v>0</v>
      </c>
      <c r="T739">
        <v>0</v>
      </c>
      <c r="V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W739">
        <f>AND(IF(Metadata!C739="",FALSE,TRUE),exact(Metadata!C739,"animal secretion"))</f>
        <v>0</v>
      </c>
      <c r="X739">
        <f>AND(IF(Metadata!D739="",FALSE,TRUE),exact(Metadata!D739,"saliva"))</f>
        <v>0</v>
      </c>
      <c r="Y739">
        <f>AND(IF(Metadata!E739="",FALSE,TRUE),exact(Metadata!E739,"human-oral"))</f>
        <v>0</v>
      </c>
      <c r="Z739">
        <f>AND(IF(Metadata!F739="",FALSE,TRUE),exact(Metadata!F739,"UBERON:oral cavity"))</f>
        <v>0</v>
      </c>
      <c r="AA739">
        <f>AND(IF(Metadata!G739="",FALSE,TRUE),exact(Metadata!G739,"UBERON:saliva"))</f>
        <v>0</v>
      </c>
      <c r="AB739">
        <f>AND(IF(Metadata!H739="",FALSE,TRUE),exact(Metadata!H739,"UBERON:tongue"))</f>
        <v>0</v>
      </c>
      <c r="AC739">
        <f>AND(IF(Metadata!I739="",FALSE,TRUE),exact(Metadata!I739,"tongue"))</f>
        <v>0</v>
      </c>
      <c r="AD739">
        <f>AND(IF(Metadata!J739="",FALSE,TRUE),exact(Metadata!J739,"human oral metagenome"))</f>
        <v>0</v>
      </c>
      <c r="AE739">
        <f>AND(IF(Metadata!K739="",FALSE,TRUE),exact(Metadata!K739,"447426"))</f>
        <v>0</v>
      </c>
    </row>
    <row r="740" spans="1:31">
      <c r="A740" s="4">
        <f>IF(B740=" "," ",HYPERLINK(CONCATENATE("#metadata!",ADDRESS(INDEX($Q$2:$Q$1001,MATCH(ROWS($O$2:O740),$O$2:$O$1001,0),0),1)),INDEX($T$2:$T$1001,MATCH(ROWS($O$2:O740),$O$2:$O$1001,0),0)))</f>
        <v>0</v>
      </c>
      <c r="B740" s="3">
        <f>IF(OR(INDEX($P$2:$P$1001,MATCH(ROWS($O$2:O740),$O$2:$O$1001,0),1)&gt;=100000,INDEX($V$1005:$AE$1005,1,MATCH(COLUMNS($V$1006:V1006),$V$1006:$AE$1006,0))&gt;=100000), " ",IF(INDEX($V$2:$AE$1001,MATCH(ROWS($O$2:O740),$O$2:$O$1001,0),MATCH(COLUMNS($V$1006:V1006),$V$1006:$AE$1006,0)), HYPERLINK("#",""), HYPERLINK(CONCATENATE("#Metadata!", ADDRESS(INDEX($Q$2:$Q$1001,MATCH(ROWS($O$2:O740),$O$2:$O$1001,0),0), INDEX($V$1004:$AE$1004,1,MATCH(COLUMNS($V$1006:V1006),$V$1006:$AE$1006,0)))),"Fix")))</f>
        <v>0</v>
      </c>
      <c r="C740" s="3">
        <f>IF(OR(INDEX($P$2:$P$1001,MATCH(ROWS($O$2:O740),$O$2:$O$1001,0),1)&gt;=100000,INDEX($V$1005:$AE$1005,1,MATCH(COLUMNS($V$1006:W1006),$V$1006:$AE$1006,0))&gt;=100000), " ",IF(INDEX($V$2:$AE$1001,MATCH(ROWS($O$2:O740),$O$2:$O$1001,0),MATCH(COLUMNS($V$1006:W1006),$V$1006:$AE$1006,0)), HYPERLINK("#",""), HYPERLINK(CONCATENATE("#Metadata!", ADDRESS(INDEX($Q$2:$Q$1001,MATCH(ROWS($O$2:O740),$O$2:$O$1001,0),0), INDEX($V$1004:$AE$1004,1,MATCH(COLUMNS($V$1006:W1006),$V$1006:$AE$1006,0)))),"Fix")))</f>
        <v>0</v>
      </c>
      <c r="D740" s="3">
        <f>IF(OR(INDEX($P$2:$P$1001,MATCH(ROWS($O$2:O740),$O$2:$O$1001,0),1)&gt;=100000,INDEX($V$1005:$AE$1005,1,MATCH(COLUMNS($V$1006:X1006),$V$1006:$AE$1006,0))&gt;=100000), " ",IF(INDEX($V$2:$AE$1001,MATCH(ROWS($O$2:O740),$O$2:$O$1001,0),MATCH(COLUMNS($V$1006:X1006),$V$1006:$AE$1006,0)), HYPERLINK("#",""), HYPERLINK(CONCATENATE("#Metadata!", ADDRESS(INDEX($Q$2:$Q$1001,MATCH(ROWS($O$2:O740),$O$2:$O$1001,0),0), INDEX($V$1004:$AE$1004,1,MATCH(COLUMNS($V$1006:X1006),$V$1006:$AE$1006,0)))),"Fix")))</f>
        <v>0</v>
      </c>
      <c r="E740" s="3">
        <f>IF(OR(INDEX($P$2:$P$1001,MATCH(ROWS($O$2:O740),$O$2:$O$1001,0),1)&gt;=100000,INDEX($V$1005:$AE$1005,1,MATCH(COLUMNS($V$1006:Y1006),$V$1006:$AE$1006,0))&gt;=100000), " ",IF(INDEX($V$2:$AE$1001,MATCH(ROWS($O$2:O740),$O$2:$O$1001,0),MATCH(COLUMNS($V$1006:Y1006),$V$1006:$AE$1006,0)), HYPERLINK("#",""), HYPERLINK(CONCATENATE("#Metadata!", ADDRESS(INDEX($Q$2:$Q$1001,MATCH(ROWS($O$2:O740),$O$2:$O$1001,0),0), INDEX($V$1004:$AE$1004,1,MATCH(COLUMNS($V$1006:Y1006),$V$1006:$AE$1006,0)))),"Fix")))</f>
        <v>0</v>
      </c>
      <c r="F740" s="3">
        <f>IF(OR(INDEX($P$2:$P$1001,MATCH(ROWS($O$2:O740),$O$2:$O$1001,0),1)&gt;=100000,INDEX($V$1005:$AE$1005,1,MATCH(COLUMNS($V$1006:Z1006),$V$1006:$AE$1006,0))&gt;=100000), " ",IF(INDEX($V$2:$AE$1001,MATCH(ROWS($O$2:O740),$O$2:$O$1001,0),MATCH(COLUMNS($V$1006:Z1006),$V$1006:$AE$1006,0)), HYPERLINK("#",""), HYPERLINK(CONCATENATE("#Metadata!", ADDRESS(INDEX($Q$2:$Q$1001,MATCH(ROWS($O$2:O740),$O$2:$O$1001,0),0), INDEX($V$1004:$AE$1004,1,MATCH(COLUMNS($V$1006:Z1006),$V$1006:$AE$1006,0)))),"Fix")))</f>
        <v>0</v>
      </c>
      <c r="G740" s="3">
        <f>IF(OR(INDEX($P$2:$P$1001,MATCH(ROWS($O$2:O740),$O$2:$O$1001,0),1)&gt;=100000,INDEX($V$1005:$AE$1005,1,MATCH(COLUMNS($V$1006:AA1006),$V$1006:$AE$1006,0))&gt;=100000), " ",IF(INDEX($V$2:$AE$1001,MATCH(ROWS($O$2:O740),$O$2:$O$1001,0),MATCH(COLUMNS($V$1006:AA1006),$V$1006:$AE$1006,0)), HYPERLINK("#",""), HYPERLINK(CONCATENATE("#Metadata!", ADDRESS(INDEX($Q$2:$Q$1001,MATCH(ROWS($O$2:O740),$O$2:$O$1001,0),0), INDEX($V$1004:$AE$1004,1,MATCH(COLUMNS($V$1006:AA1006),$V$1006:$AE$1006,0)))),"Fix")))</f>
        <v>0</v>
      </c>
      <c r="H740" s="3">
        <f>IF(OR(INDEX($P$2:$P$1001,MATCH(ROWS($O$2:O740),$O$2:$O$1001,0),1)&gt;=100000,INDEX($V$1005:$AE$1005,1,MATCH(COLUMNS($V$1006:AB1006),$V$1006:$AE$1006,0))&gt;=100000), " ",IF(INDEX($V$2:$AE$1001,MATCH(ROWS($O$2:O740),$O$2:$O$1001,0),MATCH(COLUMNS($V$1006:AB1006),$V$1006:$AE$1006,0)), HYPERLINK("#",""), HYPERLINK(CONCATENATE("#Metadata!", ADDRESS(INDEX($Q$2:$Q$1001,MATCH(ROWS($O$2:O740),$O$2:$O$1001,0),0), INDEX($V$1004:$AE$1004,1,MATCH(COLUMNS($V$1006:AB1006),$V$1006:$AE$1006,0)))),"Fix")))</f>
        <v>0</v>
      </c>
      <c r="I740" s="3">
        <f>IF(OR(INDEX($P$2:$P$1001,MATCH(ROWS($O$2:O740),$O$2:$O$1001,0),1)&gt;=100000,INDEX($V$1005:$AE$1005,1,MATCH(COLUMNS($V$1006:AC1006),$V$1006:$AE$1006,0))&gt;=100000), " ",IF(INDEX($V$2:$AE$1001,MATCH(ROWS($O$2:O740),$O$2:$O$1001,0),MATCH(COLUMNS($V$1006:AC1006),$V$1006:$AE$1006,0)), HYPERLINK("#",""), HYPERLINK(CONCATENATE("#Metadata!", ADDRESS(INDEX($Q$2:$Q$1001,MATCH(ROWS($O$2:O740),$O$2:$O$1001,0),0), INDEX($V$1004:$AE$1004,1,MATCH(COLUMNS($V$1006:AC1006),$V$1006:$AE$1006,0)))),"Fix")))</f>
        <v>0</v>
      </c>
      <c r="J740" s="3">
        <f>IF(OR(INDEX($P$2:$P$1001,MATCH(ROWS($O$2:O740),$O$2:$O$1001,0),1)&gt;=100000,INDEX($V$1005:$AE$1005,1,MATCH(COLUMNS($V$1006:AD1006),$V$1006:$AE$1006,0))&gt;=100000), " ",IF(INDEX($V$2:$AE$1001,MATCH(ROWS($O$2:O740),$O$2:$O$1001,0),MATCH(COLUMNS($V$1006:AD1006),$V$1006:$AE$1006,0)), HYPERLINK("#",""), HYPERLINK(CONCATENATE("#Metadata!", ADDRESS(INDEX($Q$2:$Q$1001,MATCH(ROWS($O$2:O740),$O$2:$O$1001,0),0), INDEX($V$1004:$AE$1004,1,MATCH(COLUMNS($V$1006:AD1006),$V$1006:$AE$1006,0)))),"Fix")))</f>
        <v>0</v>
      </c>
      <c r="K740" s="3">
        <f>IF(OR(INDEX($P$2:$P$1001,MATCH(ROWS($O$2:O740),$O$2:$O$1001,0),1)&gt;=100000,INDEX($V$1005:$AE$1005,1,MATCH(COLUMNS($V$1006:AE1006),$V$1006:$AE$1006,0))&gt;=100000), " ",IF(INDEX($V$2:$AE$1001,MATCH(ROWS($O$2:O740),$O$2:$O$1001,0),MATCH(COLUMNS($V$1006:AE1006),$V$1006:$AE$1006,0)), HYPERLINK("#",""), HYPERLINK(CONCATENATE("#Metadata!", ADDRESS(INDEX($Q$2:$Q$1001,MATCH(ROWS($O$2:O740),$O$2:$O$1001,0),0), INDEX($V$1004:$AE$1004,1,MATCH(COLUMNS($V$1006:AE1006),$V$1006:$AE$1006,0)))),"Fix")))</f>
        <v>0</v>
      </c>
      <c r="O740">
        <v>0</v>
      </c>
      <c r="P740">
        <v>0</v>
      </c>
      <c r="Q740">
        <v>0</v>
      </c>
      <c r="R740">
        <f>IF(S740,TRUE,AND(V740:AE740))</f>
        <v>0</v>
      </c>
      <c r="S740">
        <f>COUNTBLANK(Metadata!B740:K740)=COLUMNS(Metadata!B740:K740)</f>
        <v>0</v>
      </c>
      <c r="T740">
        <v>0</v>
      </c>
      <c r="V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W740">
        <f>AND(IF(Metadata!C740="",FALSE,TRUE),exact(Metadata!C740,"animal secretion"))</f>
        <v>0</v>
      </c>
      <c r="X740">
        <f>AND(IF(Metadata!D740="",FALSE,TRUE),exact(Metadata!D740,"saliva"))</f>
        <v>0</v>
      </c>
      <c r="Y740">
        <f>AND(IF(Metadata!E740="",FALSE,TRUE),exact(Metadata!E740,"human-oral"))</f>
        <v>0</v>
      </c>
      <c r="Z740">
        <f>AND(IF(Metadata!F740="",FALSE,TRUE),exact(Metadata!F740,"UBERON:oral cavity"))</f>
        <v>0</v>
      </c>
      <c r="AA740">
        <f>AND(IF(Metadata!G740="",FALSE,TRUE),exact(Metadata!G740,"UBERON:saliva"))</f>
        <v>0</v>
      </c>
      <c r="AB740">
        <f>AND(IF(Metadata!H740="",FALSE,TRUE),exact(Metadata!H740,"UBERON:tongue"))</f>
        <v>0</v>
      </c>
      <c r="AC740">
        <f>AND(IF(Metadata!I740="",FALSE,TRUE),exact(Metadata!I740,"tongue"))</f>
        <v>0</v>
      </c>
      <c r="AD740">
        <f>AND(IF(Metadata!J740="",FALSE,TRUE),exact(Metadata!J740,"human oral metagenome"))</f>
        <v>0</v>
      </c>
      <c r="AE740">
        <f>AND(IF(Metadata!K740="",FALSE,TRUE),exact(Metadata!K740,"447426"))</f>
        <v>0</v>
      </c>
    </row>
    <row r="741" spans="1:31">
      <c r="A741" s="4">
        <f>IF(B741=" "," ",HYPERLINK(CONCATENATE("#metadata!",ADDRESS(INDEX($Q$2:$Q$1001,MATCH(ROWS($O$2:O741),$O$2:$O$1001,0),0),1)),INDEX($T$2:$T$1001,MATCH(ROWS($O$2:O741),$O$2:$O$1001,0),0)))</f>
        <v>0</v>
      </c>
      <c r="B741" s="3">
        <f>IF(OR(INDEX($P$2:$P$1001,MATCH(ROWS($O$2:O741),$O$2:$O$1001,0),1)&gt;=100000,INDEX($V$1005:$AE$1005,1,MATCH(COLUMNS($V$1006:V1006),$V$1006:$AE$1006,0))&gt;=100000), " ",IF(INDEX($V$2:$AE$1001,MATCH(ROWS($O$2:O741),$O$2:$O$1001,0),MATCH(COLUMNS($V$1006:V1006),$V$1006:$AE$1006,0)), HYPERLINK("#",""), HYPERLINK(CONCATENATE("#Metadata!", ADDRESS(INDEX($Q$2:$Q$1001,MATCH(ROWS($O$2:O741),$O$2:$O$1001,0),0), INDEX($V$1004:$AE$1004,1,MATCH(COLUMNS($V$1006:V1006),$V$1006:$AE$1006,0)))),"Fix")))</f>
        <v>0</v>
      </c>
      <c r="C741" s="3">
        <f>IF(OR(INDEX($P$2:$P$1001,MATCH(ROWS($O$2:O741),$O$2:$O$1001,0),1)&gt;=100000,INDEX($V$1005:$AE$1005,1,MATCH(COLUMNS($V$1006:W1006),$V$1006:$AE$1006,0))&gt;=100000), " ",IF(INDEX($V$2:$AE$1001,MATCH(ROWS($O$2:O741),$O$2:$O$1001,0),MATCH(COLUMNS($V$1006:W1006),$V$1006:$AE$1006,0)), HYPERLINK("#",""), HYPERLINK(CONCATENATE("#Metadata!", ADDRESS(INDEX($Q$2:$Q$1001,MATCH(ROWS($O$2:O741),$O$2:$O$1001,0),0), INDEX($V$1004:$AE$1004,1,MATCH(COLUMNS($V$1006:W1006),$V$1006:$AE$1006,0)))),"Fix")))</f>
        <v>0</v>
      </c>
      <c r="D741" s="3">
        <f>IF(OR(INDEX($P$2:$P$1001,MATCH(ROWS($O$2:O741),$O$2:$O$1001,0),1)&gt;=100000,INDEX($V$1005:$AE$1005,1,MATCH(COLUMNS($V$1006:X1006),$V$1006:$AE$1006,0))&gt;=100000), " ",IF(INDEX($V$2:$AE$1001,MATCH(ROWS($O$2:O741),$O$2:$O$1001,0),MATCH(COLUMNS($V$1006:X1006),$V$1006:$AE$1006,0)), HYPERLINK("#",""), HYPERLINK(CONCATENATE("#Metadata!", ADDRESS(INDEX($Q$2:$Q$1001,MATCH(ROWS($O$2:O741),$O$2:$O$1001,0),0), INDEX($V$1004:$AE$1004,1,MATCH(COLUMNS($V$1006:X1006),$V$1006:$AE$1006,0)))),"Fix")))</f>
        <v>0</v>
      </c>
      <c r="E741" s="3">
        <f>IF(OR(INDEX($P$2:$P$1001,MATCH(ROWS($O$2:O741),$O$2:$O$1001,0),1)&gt;=100000,INDEX($V$1005:$AE$1005,1,MATCH(COLUMNS($V$1006:Y1006),$V$1006:$AE$1006,0))&gt;=100000), " ",IF(INDEX($V$2:$AE$1001,MATCH(ROWS($O$2:O741),$O$2:$O$1001,0),MATCH(COLUMNS($V$1006:Y1006),$V$1006:$AE$1006,0)), HYPERLINK("#",""), HYPERLINK(CONCATENATE("#Metadata!", ADDRESS(INDEX($Q$2:$Q$1001,MATCH(ROWS($O$2:O741),$O$2:$O$1001,0),0), INDEX($V$1004:$AE$1004,1,MATCH(COLUMNS($V$1006:Y1006),$V$1006:$AE$1006,0)))),"Fix")))</f>
        <v>0</v>
      </c>
      <c r="F741" s="3">
        <f>IF(OR(INDEX($P$2:$P$1001,MATCH(ROWS($O$2:O741),$O$2:$O$1001,0),1)&gt;=100000,INDEX($V$1005:$AE$1005,1,MATCH(COLUMNS($V$1006:Z1006),$V$1006:$AE$1006,0))&gt;=100000), " ",IF(INDEX($V$2:$AE$1001,MATCH(ROWS($O$2:O741),$O$2:$O$1001,0),MATCH(COLUMNS($V$1006:Z1006),$V$1006:$AE$1006,0)), HYPERLINK("#",""), HYPERLINK(CONCATENATE("#Metadata!", ADDRESS(INDEX($Q$2:$Q$1001,MATCH(ROWS($O$2:O741),$O$2:$O$1001,0),0), INDEX($V$1004:$AE$1004,1,MATCH(COLUMNS($V$1006:Z1006),$V$1006:$AE$1006,0)))),"Fix")))</f>
        <v>0</v>
      </c>
      <c r="G741" s="3">
        <f>IF(OR(INDEX($P$2:$P$1001,MATCH(ROWS($O$2:O741),$O$2:$O$1001,0),1)&gt;=100000,INDEX($V$1005:$AE$1005,1,MATCH(COLUMNS($V$1006:AA1006),$V$1006:$AE$1006,0))&gt;=100000), " ",IF(INDEX($V$2:$AE$1001,MATCH(ROWS($O$2:O741),$O$2:$O$1001,0),MATCH(COLUMNS($V$1006:AA1006),$V$1006:$AE$1006,0)), HYPERLINK("#",""), HYPERLINK(CONCATENATE("#Metadata!", ADDRESS(INDEX($Q$2:$Q$1001,MATCH(ROWS($O$2:O741),$O$2:$O$1001,0),0), INDEX($V$1004:$AE$1004,1,MATCH(COLUMNS($V$1006:AA1006),$V$1006:$AE$1006,0)))),"Fix")))</f>
        <v>0</v>
      </c>
      <c r="H741" s="3">
        <f>IF(OR(INDEX($P$2:$P$1001,MATCH(ROWS($O$2:O741),$O$2:$O$1001,0),1)&gt;=100000,INDEX($V$1005:$AE$1005,1,MATCH(COLUMNS($V$1006:AB1006),$V$1006:$AE$1006,0))&gt;=100000), " ",IF(INDEX($V$2:$AE$1001,MATCH(ROWS($O$2:O741),$O$2:$O$1001,0),MATCH(COLUMNS($V$1006:AB1006),$V$1006:$AE$1006,0)), HYPERLINK("#",""), HYPERLINK(CONCATENATE("#Metadata!", ADDRESS(INDEX($Q$2:$Q$1001,MATCH(ROWS($O$2:O741),$O$2:$O$1001,0),0), INDEX($V$1004:$AE$1004,1,MATCH(COLUMNS($V$1006:AB1006),$V$1006:$AE$1006,0)))),"Fix")))</f>
        <v>0</v>
      </c>
      <c r="I741" s="3">
        <f>IF(OR(INDEX($P$2:$P$1001,MATCH(ROWS($O$2:O741),$O$2:$O$1001,0),1)&gt;=100000,INDEX($V$1005:$AE$1005,1,MATCH(COLUMNS($V$1006:AC1006),$V$1006:$AE$1006,0))&gt;=100000), " ",IF(INDEX($V$2:$AE$1001,MATCH(ROWS($O$2:O741),$O$2:$O$1001,0),MATCH(COLUMNS($V$1006:AC1006),$V$1006:$AE$1006,0)), HYPERLINK("#",""), HYPERLINK(CONCATENATE("#Metadata!", ADDRESS(INDEX($Q$2:$Q$1001,MATCH(ROWS($O$2:O741),$O$2:$O$1001,0),0), INDEX($V$1004:$AE$1004,1,MATCH(COLUMNS($V$1006:AC1006),$V$1006:$AE$1006,0)))),"Fix")))</f>
        <v>0</v>
      </c>
      <c r="J741" s="3">
        <f>IF(OR(INDEX($P$2:$P$1001,MATCH(ROWS($O$2:O741),$O$2:$O$1001,0),1)&gt;=100000,INDEX($V$1005:$AE$1005,1,MATCH(COLUMNS($V$1006:AD1006),$V$1006:$AE$1006,0))&gt;=100000), " ",IF(INDEX($V$2:$AE$1001,MATCH(ROWS($O$2:O741),$O$2:$O$1001,0),MATCH(COLUMNS($V$1006:AD1006),$V$1006:$AE$1006,0)), HYPERLINK("#",""), HYPERLINK(CONCATENATE("#Metadata!", ADDRESS(INDEX($Q$2:$Q$1001,MATCH(ROWS($O$2:O741),$O$2:$O$1001,0),0), INDEX($V$1004:$AE$1004,1,MATCH(COLUMNS($V$1006:AD1006),$V$1006:$AE$1006,0)))),"Fix")))</f>
        <v>0</v>
      </c>
      <c r="K741" s="3">
        <f>IF(OR(INDEX($P$2:$P$1001,MATCH(ROWS($O$2:O741),$O$2:$O$1001,0),1)&gt;=100000,INDEX($V$1005:$AE$1005,1,MATCH(COLUMNS($V$1006:AE1006),$V$1006:$AE$1006,0))&gt;=100000), " ",IF(INDEX($V$2:$AE$1001,MATCH(ROWS($O$2:O741),$O$2:$O$1001,0),MATCH(COLUMNS($V$1006:AE1006),$V$1006:$AE$1006,0)), HYPERLINK("#",""), HYPERLINK(CONCATENATE("#Metadata!", ADDRESS(INDEX($Q$2:$Q$1001,MATCH(ROWS($O$2:O741),$O$2:$O$1001,0),0), INDEX($V$1004:$AE$1004,1,MATCH(COLUMNS($V$1006:AE1006),$V$1006:$AE$1006,0)))),"Fix")))</f>
        <v>0</v>
      </c>
      <c r="O741">
        <v>0</v>
      </c>
      <c r="P741">
        <v>0</v>
      </c>
      <c r="Q741">
        <v>0</v>
      </c>
      <c r="R741">
        <f>IF(S741,TRUE,AND(V741:AE741))</f>
        <v>0</v>
      </c>
      <c r="S741">
        <f>COUNTBLANK(Metadata!B741:K741)=COLUMNS(Metadata!B741:K741)</f>
        <v>0</v>
      </c>
      <c r="T741">
        <v>0</v>
      </c>
      <c r="V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W741">
        <f>AND(IF(Metadata!C741="",FALSE,TRUE),exact(Metadata!C741,"animal secretion"))</f>
        <v>0</v>
      </c>
      <c r="X741">
        <f>AND(IF(Metadata!D741="",FALSE,TRUE),exact(Metadata!D741,"saliva"))</f>
        <v>0</v>
      </c>
      <c r="Y741">
        <f>AND(IF(Metadata!E741="",FALSE,TRUE),exact(Metadata!E741,"human-oral"))</f>
        <v>0</v>
      </c>
      <c r="Z741">
        <f>AND(IF(Metadata!F741="",FALSE,TRUE),exact(Metadata!F741,"UBERON:oral cavity"))</f>
        <v>0</v>
      </c>
      <c r="AA741">
        <f>AND(IF(Metadata!G741="",FALSE,TRUE),exact(Metadata!G741,"UBERON:saliva"))</f>
        <v>0</v>
      </c>
      <c r="AB741">
        <f>AND(IF(Metadata!H741="",FALSE,TRUE),exact(Metadata!H741,"UBERON:tongue"))</f>
        <v>0</v>
      </c>
      <c r="AC741">
        <f>AND(IF(Metadata!I741="",FALSE,TRUE),exact(Metadata!I741,"tongue"))</f>
        <v>0</v>
      </c>
      <c r="AD741">
        <f>AND(IF(Metadata!J741="",FALSE,TRUE),exact(Metadata!J741,"human oral metagenome"))</f>
        <v>0</v>
      </c>
      <c r="AE741">
        <f>AND(IF(Metadata!K741="",FALSE,TRUE),exact(Metadata!K741,"447426"))</f>
        <v>0</v>
      </c>
    </row>
    <row r="742" spans="1:31">
      <c r="A742" s="4">
        <f>IF(B742=" "," ",HYPERLINK(CONCATENATE("#metadata!",ADDRESS(INDEX($Q$2:$Q$1001,MATCH(ROWS($O$2:O742),$O$2:$O$1001,0),0),1)),INDEX($T$2:$T$1001,MATCH(ROWS($O$2:O742),$O$2:$O$1001,0),0)))</f>
        <v>0</v>
      </c>
      <c r="B742" s="3">
        <f>IF(OR(INDEX($P$2:$P$1001,MATCH(ROWS($O$2:O742),$O$2:$O$1001,0),1)&gt;=100000,INDEX($V$1005:$AE$1005,1,MATCH(COLUMNS($V$1006:V1006),$V$1006:$AE$1006,0))&gt;=100000), " ",IF(INDEX($V$2:$AE$1001,MATCH(ROWS($O$2:O742),$O$2:$O$1001,0),MATCH(COLUMNS($V$1006:V1006),$V$1006:$AE$1006,0)), HYPERLINK("#",""), HYPERLINK(CONCATENATE("#Metadata!", ADDRESS(INDEX($Q$2:$Q$1001,MATCH(ROWS($O$2:O742),$O$2:$O$1001,0),0), INDEX($V$1004:$AE$1004,1,MATCH(COLUMNS($V$1006:V1006),$V$1006:$AE$1006,0)))),"Fix")))</f>
        <v>0</v>
      </c>
      <c r="C742" s="3">
        <f>IF(OR(INDEX($P$2:$P$1001,MATCH(ROWS($O$2:O742),$O$2:$O$1001,0),1)&gt;=100000,INDEX($V$1005:$AE$1005,1,MATCH(COLUMNS($V$1006:W1006),$V$1006:$AE$1006,0))&gt;=100000), " ",IF(INDEX($V$2:$AE$1001,MATCH(ROWS($O$2:O742),$O$2:$O$1001,0),MATCH(COLUMNS($V$1006:W1006),$V$1006:$AE$1006,0)), HYPERLINK("#",""), HYPERLINK(CONCATENATE("#Metadata!", ADDRESS(INDEX($Q$2:$Q$1001,MATCH(ROWS($O$2:O742),$O$2:$O$1001,0),0), INDEX($V$1004:$AE$1004,1,MATCH(COLUMNS($V$1006:W1006),$V$1006:$AE$1006,0)))),"Fix")))</f>
        <v>0</v>
      </c>
      <c r="D742" s="3">
        <f>IF(OR(INDEX($P$2:$P$1001,MATCH(ROWS($O$2:O742),$O$2:$O$1001,0),1)&gt;=100000,INDEX($V$1005:$AE$1005,1,MATCH(COLUMNS($V$1006:X1006),$V$1006:$AE$1006,0))&gt;=100000), " ",IF(INDEX($V$2:$AE$1001,MATCH(ROWS($O$2:O742),$O$2:$O$1001,0),MATCH(COLUMNS($V$1006:X1006),$V$1006:$AE$1006,0)), HYPERLINK("#",""), HYPERLINK(CONCATENATE("#Metadata!", ADDRESS(INDEX($Q$2:$Q$1001,MATCH(ROWS($O$2:O742),$O$2:$O$1001,0),0), INDEX($V$1004:$AE$1004,1,MATCH(COLUMNS($V$1006:X1006),$V$1006:$AE$1006,0)))),"Fix")))</f>
        <v>0</v>
      </c>
      <c r="E742" s="3">
        <f>IF(OR(INDEX($P$2:$P$1001,MATCH(ROWS($O$2:O742),$O$2:$O$1001,0),1)&gt;=100000,INDEX($V$1005:$AE$1005,1,MATCH(COLUMNS($V$1006:Y1006),$V$1006:$AE$1006,0))&gt;=100000), " ",IF(INDEX($V$2:$AE$1001,MATCH(ROWS($O$2:O742),$O$2:$O$1001,0),MATCH(COLUMNS($V$1006:Y1006),$V$1006:$AE$1006,0)), HYPERLINK("#",""), HYPERLINK(CONCATENATE("#Metadata!", ADDRESS(INDEX($Q$2:$Q$1001,MATCH(ROWS($O$2:O742),$O$2:$O$1001,0),0), INDEX($V$1004:$AE$1004,1,MATCH(COLUMNS($V$1006:Y1006),$V$1006:$AE$1006,0)))),"Fix")))</f>
        <v>0</v>
      </c>
      <c r="F742" s="3">
        <f>IF(OR(INDEX($P$2:$P$1001,MATCH(ROWS($O$2:O742),$O$2:$O$1001,0),1)&gt;=100000,INDEX($V$1005:$AE$1005,1,MATCH(COLUMNS($V$1006:Z1006),$V$1006:$AE$1006,0))&gt;=100000), " ",IF(INDEX($V$2:$AE$1001,MATCH(ROWS($O$2:O742),$O$2:$O$1001,0),MATCH(COLUMNS($V$1006:Z1006),$V$1006:$AE$1006,0)), HYPERLINK("#",""), HYPERLINK(CONCATENATE("#Metadata!", ADDRESS(INDEX($Q$2:$Q$1001,MATCH(ROWS($O$2:O742),$O$2:$O$1001,0),0), INDEX($V$1004:$AE$1004,1,MATCH(COLUMNS($V$1006:Z1006),$V$1006:$AE$1006,0)))),"Fix")))</f>
        <v>0</v>
      </c>
      <c r="G742" s="3">
        <f>IF(OR(INDEX($P$2:$P$1001,MATCH(ROWS($O$2:O742),$O$2:$O$1001,0),1)&gt;=100000,INDEX($V$1005:$AE$1005,1,MATCH(COLUMNS($V$1006:AA1006),$V$1006:$AE$1006,0))&gt;=100000), " ",IF(INDEX($V$2:$AE$1001,MATCH(ROWS($O$2:O742),$O$2:$O$1001,0),MATCH(COLUMNS($V$1006:AA1006),$V$1006:$AE$1006,0)), HYPERLINK("#",""), HYPERLINK(CONCATENATE("#Metadata!", ADDRESS(INDEX($Q$2:$Q$1001,MATCH(ROWS($O$2:O742),$O$2:$O$1001,0),0), INDEX($V$1004:$AE$1004,1,MATCH(COLUMNS($V$1006:AA1006),$V$1006:$AE$1006,0)))),"Fix")))</f>
        <v>0</v>
      </c>
      <c r="H742" s="3">
        <f>IF(OR(INDEX($P$2:$P$1001,MATCH(ROWS($O$2:O742),$O$2:$O$1001,0),1)&gt;=100000,INDEX($V$1005:$AE$1005,1,MATCH(COLUMNS($V$1006:AB1006),$V$1006:$AE$1006,0))&gt;=100000), " ",IF(INDEX($V$2:$AE$1001,MATCH(ROWS($O$2:O742),$O$2:$O$1001,0),MATCH(COLUMNS($V$1006:AB1006),$V$1006:$AE$1006,0)), HYPERLINK("#",""), HYPERLINK(CONCATENATE("#Metadata!", ADDRESS(INDEX($Q$2:$Q$1001,MATCH(ROWS($O$2:O742),$O$2:$O$1001,0),0), INDEX($V$1004:$AE$1004,1,MATCH(COLUMNS($V$1006:AB1006),$V$1006:$AE$1006,0)))),"Fix")))</f>
        <v>0</v>
      </c>
      <c r="I742" s="3">
        <f>IF(OR(INDEX($P$2:$P$1001,MATCH(ROWS($O$2:O742),$O$2:$O$1001,0),1)&gt;=100000,INDEX($V$1005:$AE$1005,1,MATCH(COLUMNS($V$1006:AC1006),$V$1006:$AE$1006,0))&gt;=100000), " ",IF(INDEX($V$2:$AE$1001,MATCH(ROWS($O$2:O742),$O$2:$O$1001,0),MATCH(COLUMNS($V$1006:AC1006),$V$1006:$AE$1006,0)), HYPERLINK("#",""), HYPERLINK(CONCATENATE("#Metadata!", ADDRESS(INDEX($Q$2:$Q$1001,MATCH(ROWS($O$2:O742),$O$2:$O$1001,0),0), INDEX($V$1004:$AE$1004,1,MATCH(COLUMNS($V$1006:AC1006),$V$1006:$AE$1006,0)))),"Fix")))</f>
        <v>0</v>
      </c>
      <c r="J742" s="3">
        <f>IF(OR(INDEX($P$2:$P$1001,MATCH(ROWS($O$2:O742),$O$2:$O$1001,0),1)&gt;=100000,INDEX($V$1005:$AE$1005,1,MATCH(COLUMNS($V$1006:AD1006),$V$1006:$AE$1006,0))&gt;=100000), " ",IF(INDEX($V$2:$AE$1001,MATCH(ROWS($O$2:O742),$O$2:$O$1001,0),MATCH(COLUMNS($V$1006:AD1006),$V$1006:$AE$1006,0)), HYPERLINK("#",""), HYPERLINK(CONCATENATE("#Metadata!", ADDRESS(INDEX($Q$2:$Q$1001,MATCH(ROWS($O$2:O742),$O$2:$O$1001,0),0), INDEX($V$1004:$AE$1004,1,MATCH(COLUMNS($V$1006:AD1006),$V$1006:$AE$1006,0)))),"Fix")))</f>
        <v>0</v>
      </c>
      <c r="K742" s="3">
        <f>IF(OR(INDEX($P$2:$P$1001,MATCH(ROWS($O$2:O742),$O$2:$O$1001,0),1)&gt;=100000,INDEX($V$1005:$AE$1005,1,MATCH(COLUMNS($V$1006:AE1006),$V$1006:$AE$1006,0))&gt;=100000), " ",IF(INDEX($V$2:$AE$1001,MATCH(ROWS($O$2:O742),$O$2:$O$1001,0),MATCH(COLUMNS($V$1006:AE1006),$V$1006:$AE$1006,0)), HYPERLINK("#",""), HYPERLINK(CONCATENATE("#Metadata!", ADDRESS(INDEX($Q$2:$Q$1001,MATCH(ROWS($O$2:O742),$O$2:$O$1001,0),0), INDEX($V$1004:$AE$1004,1,MATCH(COLUMNS($V$1006:AE1006),$V$1006:$AE$1006,0)))),"Fix")))</f>
        <v>0</v>
      </c>
      <c r="O742">
        <v>0</v>
      </c>
      <c r="P742">
        <v>0</v>
      </c>
      <c r="Q742">
        <v>0</v>
      </c>
      <c r="R742">
        <f>IF(S742,TRUE,AND(V742:AE742))</f>
        <v>0</v>
      </c>
      <c r="S742">
        <f>COUNTBLANK(Metadata!B742:K742)=COLUMNS(Metadata!B742:K742)</f>
        <v>0</v>
      </c>
      <c r="T742">
        <v>0</v>
      </c>
      <c r="V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W742">
        <f>AND(IF(Metadata!C742="",FALSE,TRUE),exact(Metadata!C742,"animal secretion"))</f>
        <v>0</v>
      </c>
      <c r="X742">
        <f>AND(IF(Metadata!D742="",FALSE,TRUE),exact(Metadata!D742,"saliva"))</f>
        <v>0</v>
      </c>
      <c r="Y742">
        <f>AND(IF(Metadata!E742="",FALSE,TRUE),exact(Metadata!E742,"human-oral"))</f>
        <v>0</v>
      </c>
      <c r="Z742">
        <f>AND(IF(Metadata!F742="",FALSE,TRUE),exact(Metadata!F742,"UBERON:oral cavity"))</f>
        <v>0</v>
      </c>
      <c r="AA742">
        <f>AND(IF(Metadata!G742="",FALSE,TRUE),exact(Metadata!G742,"UBERON:saliva"))</f>
        <v>0</v>
      </c>
      <c r="AB742">
        <f>AND(IF(Metadata!H742="",FALSE,TRUE),exact(Metadata!H742,"UBERON:tongue"))</f>
        <v>0</v>
      </c>
      <c r="AC742">
        <f>AND(IF(Metadata!I742="",FALSE,TRUE),exact(Metadata!I742,"tongue"))</f>
        <v>0</v>
      </c>
      <c r="AD742">
        <f>AND(IF(Metadata!J742="",FALSE,TRUE),exact(Metadata!J742,"human oral metagenome"))</f>
        <v>0</v>
      </c>
      <c r="AE742">
        <f>AND(IF(Metadata!K742="",FALSE,TRUE),exact(Metadata!K742,"447426"))</f>
        <v>0</v>
      </c>
    </row>
    <row r="743" spans="1:31">
      <c r="A743" s="4">
        <f>IF(B743=" "," ",HYPERLINK(CONCATENATE("#metadata!",ADDRESS(INDEX($Q$2:$Q$1001,MATCH(ROWS($O$2:O743),$O$2:$O$1001,0),0),1)),INDEX($T$2:$T$1001,MATCH(ROWS($O$2:O743),$O$2:$O$1001,0),0)))</f>
        <v>0</v>
      </c>
      <c r="B743" s="3">
        <f>IF(OR(INDEX($P$2:$P$1001,MATCH(ROWS($O$2:O743),$O$2:$O$1001,0),1)&gt;=100000,INDEX($V$1005:$AE$1005,1,MATCH(COLUMNS($V$1006:V1006),$V$1006:$AE$1006,0))&gt;=100000), " ",IF(INDEX($V$2:$AE$1001,MATCH(ROWS($O$2:O743),$O$2:$O$1001,0),MATCH(COLUMNS($V$1006:V1006),$V$1006:$AE$1006,0)), HYPERLINK("#",""), HYPERLINK(CONCATENATE("#Metadata!", ADDRESS(INDEX($Q$2:$Q$1001,MATCH(ROWS($O$2:O743),$O$2:$O$1001,0),0), INDEX($V$1004:$AE$1004,1,MATCH(COLUMNS($V$1006:V1006),$V$1006:$AE$1006,0)))),"Fix")))</f>
        <v>0</v>
      </c>
      <c r="C743" s="3">
        <f>IF(OR(INDEX($P$2:$P$1001,MATCH(ROWS($O$2:O743),$O$2:$O$1001,0),1)&gt;=100000,INDEX($V$1005:$AE$1005,1,MATCH(COLUMNS($V$1006:W1006),$V$1006:$AE$1006,0))&gt;=100000), " ",IF(INDEX($V$2:$AE$1001,MATCH(ROWS($O$2:O743),$O$2:$O$1001,0),MATCH(COLUMNS($V$1006:W1006),$V$1006:$AE$1006,0)), HYPERLINK("#",""), HYPERLINK(CONCATENATE("#Metadata!", ADDRESS(INDEX($Q$2:$Q$1001,MATCH(ROWS($O$2:O743),$O$2:$O$1001,0),0), INDEX($V$1004:$AE$1004,1,MATCH(COLUMNS($V$1006:W1006),$V$1006:$AE$1006,0)))),"Fix")))</f>
        <v>0</v>
      </c>
      <c r="D743" s="3">
        <f>IF(OR(INDEX($P$2:$P$1001,MATCH(ROWS($O$2:O743),$O$2:$O$1001,0),1)&gt;=100000,INDEX($V$1005:$AE$1005,1,MATCH(COLUMNS($V$1006:X1006),$V$1006:$AE$1006,0))&gt;=100000), " ",IF(INDEX($V$2:$AE$1001,MATCH(ROWS($O$2:O743),$O$2:$O$1001,0),MATCH(COLUMNS($V$1006:X1006),$V$1006:$AE$1006,0)), HYPERLINK("#",""), HYPERLINK(CONCATENATE("#Metadata!", ADDRESS(INDEX($Q$2:$Q$1001,MATCH(ROWS($O$2:O743),$O$2:$O$1001,0),0), INDEX($V$1004:$AE$1004,1,MATCH(COLUMNS($V$1006:X1006),$V$1006:$AE$1006,0)))),"Fix")))</f>
        <v>0</v>
      </c>
      <c r="E743" s="3">
        <f>IF(OR(INDEX($P$2:$P$1001,MATCH(ROWS($O$2:O743),$O$2:$O$1001,0),1)&gt;=100000,INDEX($V$1005:$AE$1005,1,MATCH(COLUMNS($V$1006:Y1006),$V$1006:$AE$1006,0))&gt;=100000), " ",IF(INDEX($V$2:$AE$1001,MATCH(ROWS($O$2:O743),$O$2:$O$1001,0),MATCH(COLUMNS($V$1006:Y1006),$V$1006:$AE$1006,0)), HYPERLINK("#",""), HYPERLINK(CONCATENATE("#Metadata!", ADDRESS(INDEX($Q$2:$Q$1001,MATCH(ROWS($O$2:O743),$O$2:$O$1001,0),0), INDEX($V$1004:$AE$1004,1,MATCH(COLUMNS($V$1006:Y1006),$V$1006:$AE$1006,0)))),"Fix")))</f>
        <v>0</v>
      </c>
      <c r="F743" s="3">
        <f>IF(OR(INDEX($P$2:$P$1001,MATCH(ROWS($O$2:O743),$O$2:$O$1001,0),1)&gt;=100000,INDEX($V$1005:$AE$1005,1,MATCH(COLUMNS($V$1006:Z1006),$V$1006:$AE$1006,0))&gt;=100000), " ",IF(INDEX($V$2:$AE$1001,MATCH(ROWS($O$2:O743),$O$2:$O$1001,0),MATCH(COLUMNS($V$1006:Z1006),$V$1006:$AE$1006,0)), HYPERLINK("#",""), HYPERLINK(CONCATENATE("#Metadata!", ADDRESS(INDEX($Q$2:$Q$1001,MATCH(ROWS($O$2:O743),$O$2:$O$1001,0),0), INDEX($V$1004:$AE$1004,1,MATCH(COLUMNS($V$1006:Z1006),$V$1006:$AE$1006,0)))),"Fix")))</f>
        <v>0</v>
      </c>
      <c r="G743" s="3">
        <f>IF(OR(INDEX($P$2:$P$1001,MATCH(ROWS($O$2:O743),$O$2:$O$1001,0),1)&gt;=100000,INDEX($V$1005:$AE$1005,1,MATCH(COLUMNS($V$1006:AA1006),$V$1006:$AE$1006,0))&gt;=100000), " ",IF(INDEX($V$2:$AE$1001,MATCH(ROWS($O$2:O743),$O$2:$O$1001,0),MATCH(COLUMNS($V$1006:AA1006),$V$1006:$AE$1006,0)), HYPERLINK("#",""), HYPERLINK(CONCATENATE("#Metadata!", ADDRESS(INDEX($Q$2:$Q$1001,MATCH(ROWS($O$2:O743),$O$2:$O$1001,0),0), INDEX($V$1004:$AE$1004,1,MATCH(COLUMNS($V$1006:AA1006),$V$1006:$AE$1006,0)))),"Fix")))</f>
        <v>0</v>
      </c>
      <c r="H743" s="3">
        <f>IF(OR(INDEX($P$2:$P$1001,MATCH(ROWS($O$2:O743),$O$2:$O$1001,0),1)&gt;=100000,INDEX($V$1005:$AE$1005,1,MATCH(COLUMNS($V$1006:AB1006),$V$1006:$AE$1006,0))&gt;=100000), " ",IF(INDEX($V$2:$AE$1001,MATCH(ROWS($O$2:O743),$O$2:$O$1001,0),MATCH(COLUMNS($V$1006:AB1006),$V$1006:$AE$1006,0)), HYPERLINK("#",""), HYPERLINK(CONCATENATE("#Metadata!", ADDRESS(INDEX($Q$2:$Q$1001,MATCH(ROWS($O$2:O743),$O$2:$O$1001,0),0), INDEX($V$1004:$AE$1004,1,MATCH(COLUMNS($V$1006:AB1006),$V$1006:$AE$1006,0)))),"Fix")))</f>
        <v>0</v>
      </c>
      <c r="I743" s="3">
        <f>IF(OR(INDEX($P$2:$P$1001,MATCH(ROWS($O$2:O743),$O$2:$O$1001,0),1)&gt;=100000,INDEX($V$1005:$AE$1005,1,MATCH(COLUMNS($V$1006:AC1006),$V$1006:$AE$1006,0))&gt;=100000), " ",IF(INDEX($V$2:$AE$1001,MATCH(ROWS($O$2:O743),$O$2:$O$1001,0),MATCH(COLUMNS($V$1006:AC1006),$V$1006:$AE$1006,0)), HYPERLINK("#",""), HYPERLINK(CONCATENATE("#Metadata!", ADDRESS(INDEX($Q$2:$Q$1001,MATCH(ROWS($O$2:O743),$O$2:$O$1001,0),0), INDEX($V$1004:$AE$1004,1,MATCH(COLUMNS($V$1006:AC1006),$V$1006:$AE$1006,0)))),"Fix")))</f>
        <v>0</v>
      </c>
      <c r="J743" s="3">
        <f>IF(OR(INDEX($P$2:$P$1001,MATCH(ROWS($O$2:O743),$O$2:$O$1001,0),1)&gt;=100000,INDEX($V$1005:$AE$1005,1,MATCH(COLUMNS($V$1006:AD1006),$V$1006:$AE$1006,0))&gt;=100000), " ",IF(INDEX($V$2:$AE$1001,MATCH(ROWS($O$2:O743),$O$2:$O$1001,0),MATCH(COLUMNS($V$1006:AD1006),$V$1006:$AE$1006,0)), HYPERLINK("#",""), HYPERLINK(CONCATENATE("#Metadata!", ADDRESS(INDEX($Q$2:$Q$1001,MATCH(ROWS($O$2:O743),$O$2:$O$1001,0),0), INDEX($V$1004:$AE$1004,1,MATCH(COLUMNS($V$1006:AD1006),$V$1006:$AE$1006,0)))),"Fix")))</f>
        <v>0</v>
      </c>
      <c r="K743" s="3">
        <f>IF(OR(INDEX($P$2:$P$1001,MATCH(ROWS($O$2:O743),$O$2:$O$1001,0),1)&gt;=100000,INDEX($V$1005:$AE$1005,1,MATCH(COLUMNS($V$1006:AE1006),$V$1006:$AE$1006,0))&gt;=100000), " ",IF(INDEX($V$2:$AE$1001,MATCH(ROWS($O$2:O743),$O$2:$O$1001,0),MATCH(COLUMNS($V$1006:AE1006),$V$1006:$AE$1006,0)), HYPERLINK("#",""), HYPERLINK(CONCATENATE("#Metadata!", ADDRESS(INDEX($Q$2:$Q$1001,MATCH(ROWS($O$2:O743),$O$2:$O$1001,0),0), INDEX($V$1004:$AE$1004,1,MATCH(COLUMNS($V$1006:AE1006),$V$1006:$AE$1006,0)))),"Fix")))</f>
        <v>0</v>
      </c>
      <c r="O743">
        <v>0</v>
      </c>
      <c r="P743">
        <v>0</v>
      </c>
      <c r="Q743">
        <v>0</v>
      </c>
      <c r="R743">
        <f>IF(S743,TRUE,AND(V743:AE743))</f>
        <v>0</v>
      </c>
      <c r="S743">
        <f>COUNTBLANK(Metadata!B743:K743)=COLUMNS(Metadata!B743:K743)</f>
        <v>0</v>
      </c>
      <c r="T743">
        <v>0</v>
      </c>
      <c r="V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W743">
        <f>AND(IF(Metadata!C743="",FALSE,TRUE),exact(Metadata!C743,"animal secretion"))</f>
        <v>0</v>
      </c>
      <c r="X743">
        <f>AND(IF(Metadata!D743="",FALSE,TRUE),exact(Metadata!D743,"saliva"))</f>
        <v>0</v>
      </c>
      <c r="Y743">
        <f>AND(IF(Metadata!E743="",FALSE,TRUE),exact(Metadata!E743,"human-oral"))</f>
        <v>0</v>
      </c>
      <c r="Z743">
        <f>AND(IF(Metadata!F743="",FALSE,TRUE),exact(Metadata!F743,"UBERON:oral cavity"))</f>
        <v>0</v>
      </c>
      <c r="AA743">
        <f>AND(IF(Metadata!G743="",FALSE,TRUE),exact(Metadata!G743,"UBERON:saliva"))</f>
        <v>0</v>
      </c>
      <c r="AB743">
        <f>AND(IF(Metadata!H743="",FALSE,TRUE),exact(Metadata!H743,"UBERON:tongue"))</f>
        <v>0</v>
      </c>
      <c r="AC743">
        <f>AND(IF(Metadata!I743="",FALSE,TRUE),exact(Metadata!I743,"tongue"))</f>
        <v>0</v>
      </c>
      <c r="AD743">
        <f>AND(IF(Metadata!J743="",FALSE,TRUE),exact(Metadata!J743,"human oral metagenome"))</f>
        <v>0</v>
      </c>
      <c r="AE743">
        <f>AND(IF(Metadata!K743="",FALSE,TRUE),exact(Metadata!K743,"447426"))</f>
        <v>0</v>
      </c>
    </row>
    <row r="744" spans="1:31">
      <c r="A744" s="4">
        <f>IF(B744=" "," ",HYPERLINK(CONCATENATE("#metadata!",ADDRESS(INDEX($Q$2:$Q$1001,MATCH(ROWS($O$2:O744),$O$2:$O$1001,0),0),1)),INDEX($T$2:$T$1001,MATCH(ROWS($O$2:O744),$O$2:$O$1001,0),0)))</f>
        <v>0</v>
      </c>
      <c r="B744" s="3">
        <f>IF(OR(INDEX($P$2:$P$1001,MATCH(ROWS($O$2:O744),$O$2:$O$1001,0),1)&gt;=100000,INDEX($V$1005:$AE$1005,1,MATCH(COLUMNS($V$1006:V1006),$V$1006:$AE$1006,0))&gt;=100000), " ",IF(INDEX($V$2:$AE$1001,MATCH(ROWS($O$2:O744),$O$2:$O$1001,0),MATCH(COLUMNS($V$1006:V1006),$V$1006:$AE$1006,0)), HYPERLINK("#",""), HYPERLINK(CONCATENATE("#Metadata!", ADDRESS(INDEX($Q$2:$Q$1001,MATCH(ROWS($O$2:O744),$O$2:$O$1001,0),0), INDEX($V$1004:$AE$1004,1,MATCH(COLUMNS($V$1006:V1006),$V$1006:$AE$1006,0)))),"Fix")))</f>
        <v>0</v>
      </c>
      <c r="C744" s="3">
        <f>IF(OR(INDEX($P$2:$P$1001,MATCH(ROWS($O$2:O744),$O$2:$O$1001,0),1)&gt;=100000,INDEX($V$1005:$AE$1005,1,MATCH(COLUMNS($V$1006:W1006),$V$1006:$AE$1006,0))&gt;=100000), " ",IF(INDEX($V$2:$AE$1001,MATCH(ROWS($O$2:O744),$O$2:$O$1001,0),MATCH(COLUMNS($V$1006:W1006),$V$1006:$AE$1006,0)), HYPERLINK("#",""), HYPERLINK(CONCATENATE("#Metadata!", ADDRESS(INDEX($Q$2:$Q$1001,MATCH(ROWS($O$2:O744),$O$2:$O$1001,0),0), INDEX($V$1004:$AE$1004,1,MATCH(COLUMNS($V$1006:W1006),$V$1006:$AE$1006,0)))),"Fix")))</f>
        <v>0</v>
      </c>
      <c r="D744" s="3">
        <f>IF(OR(INDEX($P$2:$P$1001,MATCH(ROWS($O$2:O744),$O$2:$O$1001,0),1)&gt;=100000,INDEX($V$1005:$AE$1005,1,MATCH(COLUMNS($V$1006:X1006),$V$1006:$AE$1006,0))&gt;=100000), " ",IF(INDEX($V$2:$AE$1001,MATCH(ROWS($O$2:O744),$O$2:$O$1001,0),MATCH(COLUMNS($V$1006:X1006),$V$1006:$AE$1006,0)), HYPERLINK("#",""), HYPERLINK(CONCATENATE("#Metadata!", ADDRESS(INDEX($Q$2:$Q$1001,MATCH(ROWS($O$2:O744),$O$2:$O$1001,0),0), INDEX($V$1004:$AE$1004,1,MATCH(COLUMNS($V$1006:X1006),$V$1006:$AE$1006,0)))),"Fix")))</f>
        <v>0</v>
      </c>
      <c r="E744" s="3">
        <f>IF(OR(INDEX($P$2:$P$1001,MATCH(ROWS($O$2:O744),$O$2:$O$1001,0),1)&gt;=100000,INDEX($V$1005:$AE$1005,1,MATCH(COLUMNS($V$1006:Y1006),$V$1006:$AE$1006,0))&gt;=100000), " ",IF(INDEX($V$2:$AE$1001,MATCH(ROWS($O$2:O744),$O$2:$O$1001,0),MATCH(COLUMNS($V$1006:Y1006),$V$1006:$AE$1006,0)), HYPERLINK("#",""), HYPERLINK(CONCATENATE("#Metadata!", ADDRESS(INDEX($Q$2:$Q$1001,MATCH(ROWS($O$2:O744),$O$2:$O$1001,0),0), INDEX($V$1004:$AE$1004,1,MATCH(COLUMNS($V$1006:Y1006),$V$1006:$AE$1006,0)))),"Fix")))</f>
        <v>0</v>
      </c>
      <c r="F744" s="3">
        <f>IF(OR(INDEX($P$2:$P$1001,MATCH(ROWS($O$2:O744),$O$2:$O$1001,0),1)&gt;=100000,INDEX($V$1005:$AE$1005,1,MATCH(COLUMNS($V$1006:Z1006),$V$1006:$AE$1006,0))&gt;=100000), " ",IF(INDEX($V$2:$AE$1001,MATCH(ROWS($O$2:O744),$O$2:$O$1001,0),MATCH(COLUMNS($V$1006:Z1006),$V$1006:$AE$1006,0)), HYPERLINK("#",""), HYPERLINK(CONCATENATE("#Metadata!", ADDRESS(INDEX($Q$2:$Q$1001,MATCH(ROWS($O$2:O744),$O$2:$O$1001,0),0), INDEX($V$1004:$AE$1004,1,MATCH(COLUMNS($V$1006:Z1006),$V$1006:$AE$1006,0)))),"Fix")))</f>
        <v>0</v>
      </c>
      <c r="G744" s="3">
        <f>IF(OR(INDEX($P$2:$P$1001,MATCH(ROWS($O$2:O744),$O$2:$O$1001,0),1)&gt;=100000,INDEX($V$1005:$AE$1005,1,MATCH(COLUMNS($V$1006:AA1006),$V$1006:$AE$1006,0))&gt;=100000), " ",IF(INDEX($V$2:$AE$1001,MATCH(ROWS($O$2:O744),$O$2:$O$1001,0),MATCH(COLUMNS($V$1006:AA1006),$V$1006:$AE$1006,0)), HYPERLINK("#",""), HYPERLINK(CONCATENATE("#Metadata!", ADDRESS(INDEX($Q$2:$Q$1001,MATCH(ROWS($O$2:O744),$O$2:$O$1001,0),0), INDEX($V$1004:$AE$1004,1,MATCH(COLUMNS($V$1006:AA1006),$V$1006:$AE$1006,0)))),"Fix")))</f>
        <v>0</v>
      </c>
      <c r="H744" s="3">
        <f>IF(OR(INDEX($P$2:$P$1001,MATCH(ROWS($O$2:O744),$O$2:$O$1001,0),1)&gt;=100000,INDEX($V$1005:$AE$1005,1,MATCH(COLUMNS($V$1006:AB1006),$V$1006:$AE$1006,0))&gt;=100000), " ",IF(INDEX($V$2:$AE$1001,MATCH(ROWS($O$2:O744),$O$2:$O$1001,0),MATCH(COLUMNS($V$1006:AB1006),$V$1006:$AE$1006,0)), HYPERLINK("#",""), HYPERLINK(CONCATENATE("#Metadata!", ADDRESS(INDEX($Q$2:$Q$1001,MATCH(ROWS($O$2:O744),$O$2:$O$1001,0),0), INDEX($V$1004:$AE$1004,1,MATCH(COLUMNS($V$1006:AB1006),$V$1006:$AE$1006,0)))),"Fix")))</f>
        <v>0</v>
      </c>
      <c r="I744" s="3">
        <f>IF(OR(INDEX($P$2:$P$1001,MATCH(ROWS($O$2:O744),$O$2:$O$1001,0),1)&gt;=100000,INDEX($V$1005:$AE$1005,1,MATCH(COLUMNS($V$1006:AC1006),$V$1006:$AE$1006,0))&gt;=100000), " ",IF(INDEX($V$2:$AE$1001,MATCH(ROWS($O$2:O744),$O$2:$O$1001,0),MATCH(COLUMNS($V$1006:AC1006),$V$1006:$AE$1006,0)), HYPERLINK("#",""), HYPERLINK(CONCATENATE("#Metadata!", ADDRESS(INDEX($Q$2:$Q$1001,MATCH(ROWS($O$2:O744),$O$2:$O$1001,0),0), INDEX($V$1004:$AE$1004,1,MATCH(COLUMNS($V$1006:AC1006),$V$1006:$AE$1006,0)))),"Fix")))</f>
        <v>0</v>
      </c>
      <c r="J744" s="3">
        <f>IF(OR(INDEX($P$2:$P$1001,MATCH(ROWS($O$2:O744),$O$2:$O$1001,0),1)&gt;=100000,INDEX($V$1005:$AE$1005,1,MATCH(COLUMNS($V$1006:AD1006),$V$1006:$AE$1006,0))&gt;=100000), " ",IF(INDEX($V$2:$AE$1001,MATCH(ROWS($O$2:O744),$O$2:$O$1001,0),MATCH(COLUMNS($V$1006:AD1006),$V$1006:$AE$1006,0)), HYPERLINK("#",""), HYPERLINK(CONCATENATE("#Metadata!", ADDRESS(INDEX($Q$2:$Q$1001,MATCH(ROWS($O$2:O744),$O$2:$O$1001,0),0), INDEX($V$1004:$AE$1004,1,MATCH(COLUMNS($V$1006:AD1006),$V$1006:$AE$1006,0)))),"Fix")))</f>
        <v>0</v>
      </c>
      <c r="K744" s="3">
        <f>IF(OR(INDEX($P$2:$P$1001,MATCH(ROWS($O$2:O744),$O$2:$O$1001,0),1)&gt;=100000,INDEX($V$1005:$AE$1005,1,MATCH(COLUMNS($V$1006:AE1006),$V$1006:$AE$1006,0))&gt;=100000), " ",IF(INDEX($V$2:$AE$1001,MATCH(ROWS($O$2:O744),$O$2:$O$1001,0),MATCH(COLUMNS($V$1006:AE1006),$V$1006:$AE$1006,0)), HYPERLINK("#",""), HYPERLINK(CONCATENATE("#Metadata!", ADDRESS(INDEX($Q$2:$Q$1001,MATCH(ROWS($O$2:O744),$O$2:$O$1001,0),0), INDEX($V$1004:$AE$1004,1,MATCH(COLUMNS($V$1006:AE1006),$V$1006:$AE$1006,0)))),"Fix")))</f>
        <v>0</v>
      </c>
      <c r="O744">
        <v>0</v>
      </c>
      <c r="P744">
        <v>0</v>
      </c>
      <c r="Q744">
        <v>0</v>
      </c>
      <c r="R744">
        <f>IF(S744,TRUE,AND(V744:AE744))</f>
        <v>0</v>
      </c>
      <c r="S744">
        <f>COUNTBLANK(Metadata!B744:K744)=COLUMNS(Metadata!B744:K744)</f>
        <v>0</v>
      </c>
      <c r="T744">
        <v>0</v>
      </c>
      <c r="V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W744">
        <f>AND(IF(Metadata!C744="",FALSE,TRUE),exact(Metadata!C744,"animal secretion"))</f>
        <v>0</v>
      </c>
      <c r="X744">
        <f>AND(IF(Metadata!D744="",FALSE,TRUE),exact(Metadata!D744,"saliva"))</f>
        <v>0</v>
      </c>
      <c r="Y744">
        <f>AND(IF(Metadata!E744="",FALSE,TRUE),exact(Metadata!E744,"human-oral"))</f>
        <v>0</v>
      </c>
      <c r="Z744">
        <f>AND(IF(Metadata!F744="",FALSE,TRUE),exact(Metadata!F744,"UBERON:oral cavity"))</f>
        <v>0</v>
      </c>
      <c r="AA744">
        <f>AND(IF(Metadata!G744="",FALSE,TRUE),exact(Metadata!G744,"UBERON:saliva"))</f>
        <v>0</v>
      </c>
      <c r="AB744">
        <f>AND(IF(Metadata!H744="",FALSE,TRUE),exact(Metadata!H744,"UBERON:tongue"))</f>
        <v>0</v>
      </c>
      <c r="AC744">
        <f>AND(IF(Metadata!I744="",FALSE,TRUE),exact(Metadata!I744,"tongue"))</f>
        <v>0</v>
      </c>
      <c r="AD744">
        <f>AND(IF(Metadata!J744="",FALSE,TRUE),exact(Metadata!J744,"human oral metagenome"))</f>
        <v>0</v>
      </c>
      <c r="AE744">
        <f>AND(IF(Metadata!K744="",FALSE,TRUE),exact(Metadata!K744,"447426"))</f>
        <v>0</v>
      </c>
    </row>
    <row r="745" spans="1:31">
      <c r="A745" s="4">
        <f>IF(B745=" "," ",HYPERLINK(CONCATENATE("#metadata!",ADDRESS(INDEX($Q$2:$Q$1001,MATCH(ROWS($O$2:O745),$O$2:$O$1001,0),0),1)),INDEX($T$2:$T$1001,MATCH(ROWS($O$2:O745),$O$2:$O$1001,0),0)))</f>
        <v>0</v>
      </c>
      <c r="B745" s="3">
        <f>IF(OR(INDEX($P$2:$P$1001,MATCH(ROWS($O$2:O745),$O$2:$O$1001,0),1)&gt;=100000,INDEX($V$1005:$AE$1005,1,MATCH(COLUMNS($V$1006:V1006),$V$1006:$AE$1006,0))&gt;=100000), " ",IF(INDEX($V$2:$AE$1001,MATCH(ROWS($O$2:O745),$O$2:$O$1001,0),MATCH(COLUMNS($V$1006:V1006),$V$1006:$AE$1006,0)), HYPERLINK("#",""), HYPERLINK(CONCATENATE("#Metadata!", ADDRESS(INDEX($Q$2:$Q$1001,MATCH(ROWS($O$2:O745),$O$2:$O$1001,0),0), INDEX($V$1004:$AE$1004,1,MATCH(COLUMNS($V$1006:V1006),$V$1006:$AE$1006,0)))),"Fix")))</f>
        <v>0</v>
      </c>
      <c r="C745" s="3">
        <f>IF(OR(INDEX($P$2:$P$1001,MATCH(ROWS($O$2:O745),$O$2:$O$1001,0),1)&gt;=100000,INDEX($V$1005:$AE$1005,1,MATCH(COLUMNS($V$1006:W1006),$V$1006:$AE$1006,0))&gt;=100000), " ",IF(INDEX($V$2:$AE$1001,MATCH(ROWS($O$2:O745),$O$2:$O$1001,0),MATCH(COLUMNS($V$1006:W1006),$V$1006:$AE$1006,0)), HYPERLINK("#",""), HYPERLINK(CONCATENATE("#Metadata!", ADDRESS(INDEX($Q$2:$Q$1001,MATCH(ROWS($O$2:O745),$O$2:$O$1001,0),0), INDEX($V$1004:$AE$1004,1,MATCH(COLUMNS($V$1006:W1006),$V$1006:$AE$1006,0)))),"Fix")))</f>
        <v>0</v>
      </c>
      <c r="D745" s="3">
        <f>IF(OR(INDEX($P$2:$P$1001,MATCH(ROWS($O$2:O745),$O$2:$O$1001,0),1)&gt;=100000,INDEX($V$1005:$AE$1005,1,MATCH(COLUMNS($V$1006:X1006),$V$1006:$AE$1006,0))&gt;=100000), " ",IF(INDEX($V$2:$AE$1001,MATCH(ROWS($O$2:O745),$O$2:$O$1001,0),MATCH(COLUMNS($V$1006:X1006),$V$1006:$AE$1006,0)), HYPERLINK("#",""), HYPERLINK(CONCATENATE("#Metadata!", ADDRESS(INDEX($Q$2:$Q$1001,MATCH(ROWS($O$2:O745),$O$2:$O$1001,0),0), INDEX($V$1004:$AE$1004,1,MATCH(COLUMNS($V$1006:X1006),$V$1006:$AE$1006,0)))),"Fix")))</f>
        <v>0</v>
      </c>
      <c r="E745" s="3">
        <f>IF(OR(INDEX($P$2:$P$1001,MATCH(ROWS($O$2:O745),$O$2:$O$1001,0),1)&gt;=100000,INDEX($V$1005:$AE$1005,1,MATCH(COLUMNS($V$1006:Y1006),$V$1006:$AE$1006,0))&gt;=100000), " ",IF(INDEX($V$2:$AE$1001,MATCH(ROWS($O$2:O745),$O$2:$O$1001,0),MATCH(COLUMNS($V$1006:Y1006),$V$1006:$AE$1006,0)), HYPERLINK("#",""), HYPERLINK(CONCATENATE("#Metadata!", ADDRESS(INDEX($Q$2:$Q$1001,MATCH(ROWS($O$2:O745),$O$2:$O$1001,0),0), INDEX($V$1004:$AE$1004,1,MATCH(COLUMNS($V$1006:Y1006),$V$1006:$AE$1006,0)))),"Fix")))</f>
        <v>0</v>
      </c>
      <c r="F745" s="3">
        <f>IF(OR(INDEX($P$2:$P$1001,MATCH(ROWS($O$2:O745),$O$2:$O$1001,0),1)&gt;=100000,INDEX($V$1005:$AE$1005,1,MATCH(COLUMNS($V$1006:Z1006),$V$1006:$AE$1006,0))&gt;=100000), " ",IF(INDEX($V$2:$AE$1001,MATCH(ROWS($O$2:O745),$O$2:$O$1001,0),MATCH(COLUMNS($V$1006:Z1006),$V$1006:$AE$1006,0)), HYPERLINK("#",""), HYPERLINK(CONCATENATE("#Metadata!", ADDRESS(INDEX($Q$2:$Q$1001,MATCH(ROWS($O$2:O745),$O$2:$O$1001,0),0), INDEX($V$1004:$AE$1004,1,MATCH(COLUMNS($V$1006:Z1006),$V$1006:$AE$1006,0)))),"Fix")))</f>
        <v>0</v>
      </c>
      <c r="G745" s="3">
        <f>IF(OR(INDEX($P$2:$P$1001,MATCH(ROWS($O$2:O745),$O$2:$O$1001,0),1)&gt;=100000,INDEX($V$1005:$AE$1005,1,MATCH(COLUMNS($V$1006:AA1006),$V$1006:$AE$1006,0))&gt;=100000), " ",IF(INDEX($V$2:$AE$1001,MATCH(ROWS($O$2:O745),$O$2:$O$1001,0),MATCH(COLUMNS($V$1006:AA1006),$V$1006:$AE$1006,0)), HYPERLINK("#",""), HYPERLINK(CONCATENATE("#Metadata!", ADDRESS(INDEX($Q$2:$Q$1001,MATCH(ROWS($O$2:O745),$O$2:$O$1001,0),0), INDEX($V$1004:$AE$1004,1,MATCH(COLUMNS($V$1006:AA1006),$V$1006:$AE$1006,0)))),"Fix")))</f>
        <v>0</v>
      </c>
      <c r="H745" s="3">
        <f>IF(OR(INDEX($P$2:$P$1001,MATCH(ROWS($O$2:O745),$O$2:$O$1001,0),1)&gt;=100000,INDEX($V$1005:$AE$1005,1,MATCH(COLUMNS($V$1006:AB1006),$V$1006:$AE$1006,0))&gt;=100000), " ",IF(INDEX($V$2:$AE$1001,MATCH(ROWS($O$2:O745),$O$2:$O$1001,0),MATCH(COLUMNS($V$1006:AB1006),$V$1006:$AE$1006,0)), HYPERLINK("#",""), HYPERLINK(CONCATENATE("#Metadata!", ADDRESS(INDEX($Q$2:$Q$1001,MATCH(ROWS($O$2:O745),$O$2:$O$1001,0),0), INDEX($V$1004:$AE$1004,1,MATCH(COLUMNS($V$1006:AB1006),$V$1006:$AE$1006,0)))),"Fix")))</f>
        <v>0</v>
      </c>
      <c r="I745" s="3">
        <f>IF(OR(INDEX($P$2:$P$1001,MATCH(ROWS($O$2:O745),$O$2:$O$1001,0),1)&gt;=100000,INDEX($V$1005:$AE$1005,1,MATCH(COLUMNS($V$1006:AC1006),$V$1006:$AE$1006,0))&gt;=100000), " ",IF(INDEX($V$2:$AE$1001,MATCH(ROWS($O$2:O745),$O$2:$O$1001,0),MATCH(COLUMNS($V$1006:AC1006),$V$1006:$AE$1006,0)), HYPERLINK("#",""), HYPERLINK(CONCATENATE("#Metadata!", ADDRESS(INDEX($Q$2:$Q$1001,MATCH(ROWS($O$2:O745),$O$2:$O$1001,0),0), INDEX($V$1004:$AE$1004,1,MATCH(COLUMNS($V$1006:AC1006),$V$1006:$AE$1006,0)))),"Fix")))</f>
        <v>0</v>
      </c>
      <c r="J745" s="3">
        <f>IF(OR(INDEX($P$2:$P$1001,MATCH(ROWS($O$2:O745),$O$2:$O$1001,0),1)&gt;=100000,INDEX($V$1005:$AE$1005,1,MATCH(COLUMNS($V$1006:AD1006),$V$1006:$AE$1006,0))&gt;=100000), " ",IF(INDEX($V$2:$AE$1001,MATCH(ROWS($O$2:O745),$O$2:$O$1001,0),MATCH(COLUMNS($V$1006:AD1006),$V$1006:$AE$1006,0)), HYPERLINK("#",""), HYPERLINK(CONCATENATE("#Metadata!", ADDRESS(INDEX($Q$2:$Q$1001,MATCH(ROWS($O$2:O745),$O$2:$O$1001,0),0), INDEX($V$1004:$AE$1004,1,MATCH(COLUMNS($V$1006:AD1006),$V$1006:$AE$1006,0)))),"Fix")))</f>
        <v>0</v>
      </c>
      <c r="K745" s="3">
        <f>IF(OR(INDEX($P$2:$P$1001,MATCH(ROWS($O$2:O745),$O$2:$O$1001,0),1)&gt;=100000,INDEX($V$1005:$AE$1005,1,MATCH(COLUMNS($V$1006:AE1006),$V$1006:$AE$1006,0))&gt;=100000), " ",IF(INDEX($V$2:$AE$1001,MATCH(ROWS($O$2:O745),$O$2:$O$1001,0),MATCH(COLUMNS($V$1006:AE1006),$V$1006:$AE$1006,0)), HYPERLINK("#",""), HYPERLINK(CONCATENATE("#Metadata!", ADDRESS(INDEX($Q$2:$Q$1001,MATCH(ROWS($O$2:O745),$O$2:$O$1001,0),0), INDEX($V$1004:$AE$1004,1,MATCH(COLUMNS($V$1006:AE1006),$V$1006:$AE$1006,0)))),"Fix")))</f>
        <v>0</v>
      </c>
      <c r="O745">
        <v>0</v>
      </c>
      <c r="P745">
        <v>0</v>
      </c>
      <c r="Q745">
        <v>0</v>
      </c>
      <c r="R745">
        <f>IF(S745,TRUE,AND(V745:AE745))</f>
        <v>0</v>
      </c>
      <c r="S745">
        <f>COUNTBLANK(Metadata!B745:K745)=COLUMNS(Metadata!B745:K745)</f>
        <v>0</v>
      </c>
      <c r="T745">
        <v>0</v>
      </c>
      <c r="V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W745">
        <f>AND(IF(Metadata!C745="",FALSE,TRUE),exact(Metadata!C745,"animal secretion"))</f>
        <v>0</v>
      </c>
      <c r="X745">
        <f>AND(IF(Metadata!D745="",FALSE,TRUE),exact(Metadata!D745,"saliva"))</f>
        <v>0</v>
      </c>
      <c r="Y745">
        <f>AND(IF(Metadata!E745="",FALSE,TRUE),exact(Metadata!E745,"human-oral"))</f>
        <v>0</v>
      </c>
      <c r="Z745">
        <f>AND(IF(Metadata!F745="",FALSE,TRUE),exact(Metadata!F745,"UBERON:oral cavity"))</f>
        <v>0</v>
      </c>
      <c r="AA745">
        <f>AND(IF(Metadata!G745="",FALSE,TRUE),exact(Metadata!G745,"UBERON:saliva"))</f>
        <v>0</v>
      </c>
      <c r="AB745">
        <f>AND(IF(Metadata!H745="",FALSE,TRUE),exact(Metadata!H745,"UBERON:tongue"))</f>
        <v>0</v>
      </c>
      <c r="AC745">
        <f>AND(IF(Metadata!I745="",FALSE,TRUE),exact(Metadata!I745,"tongue"))</f>
        <v>0</v>
      </c>
      <c r="AD745">
        <f>AND(IF(Metadata!J745="",FALSE,TRUE),exact(Metadata!J745,"human oral metagenome"))</f>
        <v>0</v>
      </c>
      <c r="AE745">
        <f>AND(IF(Metadata!K745="",FALSE,TRUE),exact(Metadata!K745,"447426"))</f>
        <v>0</v>
      </c>
    </row>
    <row r="746" spans="1:31">
      <c r="A746" s="4">
        <f>IF(B746=" "," ",HYPERLINK(CONCATENATE("#metadata!",ADDRESS(INDEX($Q$2:$Q$1001,MATCH(ROWS($O$2:O746),$O$2:$O$1001,0),0),1)),INDEX($T$2:$T$1001,MATCH(ROWS($O$2:O746),$O$2:$O$1001,0),0)))</f>
        <v>0</v>
      </c>
      <c r="B746" s="3">
        <f>IF(OR(INDEX($P$2:$P$1001,MATCH(ROWS($O$2:O746),$O$2:$O$1001,0),1)&gt;=100000,INDEX($V$1005:$AE$1005,1,MATCH(COLUMNS($V$1006:V1006),$V$1006:$AE$1006,0))&gt;=100000), " ",IF(INDEX($V$2:$AE$1001,MATCH(ROWS($O$2:O746),$O$2:$O$1001,0),MATCH(COLUMNS($V$1006:V1006),$V$1006:$AE$1006,0)), HYPERLINK("#",""), HYPERLINK(CONCATENATE("#Metadata!", ADDRESS(INDEX($Q$2:$Q$1001,MATCH(ROWS($O$2:O746),$O$2:$O$1001,0),0), INDEX($V$1004:$AE$1004,1,MATCH(COLUMNS($V$1006:V1006),$V$1006:$AE$1006,0)))),"Fix")))</f>
        <v>0</v>
      </c>
      <c r="C746" s="3">
        <f>IF(OR(INDEX($P$2:$P$1001,MATCH(ROWS($O$2:O746),$O$2:$O$1001,0),1)&gt;=100000,INDEX($V$1005:$AE$1005,1,MATCH(COLUMNS($V$1006:W1006),$V$1006:$AE$1006,0))&gt;=100000), " ",IF(INDEX($V$2:$AE$1001,MATCH(ROWS($O$2:O746),$O$2:$O$1001,0),MATCH(COLUMNS($V$1006:W1006),$V$1006:$AE$1006,0)), HYPERLINK("#",""), HYPERLINK(CONCATENATE("#Metadata!", ADDRESS(INDEX($Q$2:$Q$1001,MATCH(ROWS($O$2:O746),$O$2:$O$1001,0),0), INDEX($V$1004:$AE$1004,1,MATCH(COLUMNS($V$1006:W1006),$V$1006:$AE$1006,0)))),"Fix")))</f>
        <v>0</v>
      </c>
      <c r="D746" s="3">
        <f>IF(OR(INDEX($P$2:$P$1001,MATCH(ROWS($O$2:O746),$O$2:$O$1001,0),1)&gt;=100000,INDEX($V$1005:$AE$1005,1,MATCH(COLUMNS($V$1006:X1006),$V$1006:$AE$1006,0))&gt;=100000), " ",IF(INDEX($V$2:$AE$1001,MATCH(ROWS($O$2:O746),$O$2:$O$1001,0),MATCH(COLUMNS($V$1006:X1006),$V$1006:$AE$1006,0)), HYPERLINK("#",""), HYPERLINK(CONCATENATE("#Metadata!", ADDRESS(INDEX($Q$2:$Q$1001,MATCH(ROWS($O$2:O746),$O$2:$O$1001,0),0), INDEX($V$1004:$AE$1004,1,MATCH(COLUMNS($V$1006:X1006),$V$1006:$AE$1006,0)))),"Fix")))</f>
        <v>0</v>
      </c>
      <c r="E746" s="3">
        <f>IF(OR(INDEX($P$2:$P$1001,MATCH(ROWS($O$2:O746),$O$2:$O$1001,0),1)&gt;=100000,INDEX($V$1005:$AE$1005,1,MATCH(COLUMNS($V$1006:Y1006),$V$1006:$AE$1006,0))&gt;=100000), " ",IF(INDEX($V$2:$AE$1001,MATCH(ROWS($O$2:O746),$O$2:$O$1001,0),MATCH(COLUMNS($V$1006:Y1006),$V$1006:$AE$1006,0)), HYPERLINK("#",""), HYPERLINK(CONCATENATE("#Metadata!", ADDRESS(INDEX($Q$2:$Q$1001,MATCH(ROWS($O$2:O746),$O$2:$O$1001,0),0), INDEX($V$1004:$AE$1004,1,MATCH(COLUMNS($V$1006:Y1006),$V$1006:$AE$1006,0)))),"Fix")))</f>
        <v>0</v>
      </c>
      <c r="F746" s="3">
        <f>IF(OR(INDEX($P$2:$P$1001,MATCH(ROWS($O$2:O746),$O$2:$O$1001,0),1)&gt;=100000,INDEX($V$1005:$AE$1005,1,MATCH(COLUMNS($V$1006:Z1006),$V$1006:$AE$1006,0))&gt;=100000), " ",IF(INDEX($V$2:$AE$1001,MATCH(ROWS($O$2:O746),$O$2:$O$1001,0),MATCH(COLUMNS($V$1006:Z1006),$V$1006:$AE$1006,0)), HYPERLINK("#",""), HYPERLINK(CONCATENATE("#Metadata!", ADDRESS(INDEX($Q$2:$Q$1001,MATCH(ROWS($O$2:O746),$O$2:$O$1001,0),0), INDEX($V$1004:$AE$1004,1,MATCH(COLUMNS($V$1006:Z1006),$V$1006:$AE$1006,0)))),"Fix")))</f>
        <v>0</v>
      </c>
      <c r="G746" s="3">
        <f>IF(OR(INDEX($P$2:$P$1001,MATCH(ROWS($O$2:O746),$O$2:$O$1001,0),1)&gt;=100000,INDEX($V$1005:$AE$1005,1,MATCH(COLUMNS($V$1006:AA1006),$V$1006:$AE$1006,0))&gt;=100000), " ",IF(INDEX($V$2:$AE$1001,MATCH(ROWS($O$2:O746),$O$2:$O$1001,0),MATCH(COLUMNS($V$1006:AA1006),$V$1006:$AE$1006,0)), HYPERLINK("#",""), HYPERLINK(CONCATENATE("#Metadata!", ADDRESS(INDEX($Q$2:$Q$1001,MATCH(ROWS($O$2:O746),$O$2:$O$1001,0),0), INDEX($V$1004:$AE$1004,1,MATCH(COLUMNS($V$1006:AA1006),$V$1006:$AE$1006,0)))),"Fix")))</f>
        <v>0</v>
      </c>
      <c r="H746" s="3">
        <f>IF(OR(INDEX($P$2:$P$1001,MATCH(ROWS($O$2:O746),$O$2:$O$1001,0),1)&gt;=100000,INDEX($V$1005:$AE$1005,1,MATCH(COLUMNS($V$1006:AB1006),$V$1006:$AE$1006,0))&gt;=100000), " ",IF(INDEX($V$2:$AE$1001,MATCH(ROWS($O$2:O746),$O$2:$O$1001,0),MATCH(COLUMNS($V$1006:AB1006),$V$1006:$AE$1006,0)), HYPERLINK("#",""), HYPERLINK(CONCATENATE("#Metadata!", ADDRESS(INDEX($Q$2:$Q$1001,MATCH(ROWS($O$2:O746),$O$2:$O$1001,0),0), INDEX($V$1004:$AE$1004,1,MATCH(COLUMNS($V$1006:AB1006),$V$1006:$AE$1006,0)))),"Fix")))</f>
        <v>0</v>
      </c>
      <c r="I746" s="3">
        <f>IF(OR(INDEX($P$2:$P$1001,MATCH(ROWS($O$2:O746),$O$2:$O$1001,0),1)&gt;=100000,INDEX($V$1005:$AE$1005,1,MATCH(COLUMNS($V$1006:AC1006),$V$1006:$AE$1006,0))&gt;=100000), " ",IF(INDEX($V$2:$AE$1001,MATCH(ROWS($O$2:O746),$O$2:$O$1001,0),MATCH(COLUMNS($V$1006:AC1006),$V$1006:$AE$1006,0)), HYPERLINK("#",""), HYPERLINK(CONCATENATE("#Metadata!", ADDRESS(INDEX($Q$2:$Q$1001,MATCH(ROWS($O$2:O746),$O$2:$O$1001,0),0), INDEX($V$1004:$AE$1004,1,MATCH(COLUMNS($V$1006:AC1006),$V$1006:$AE$1006,0)))),"Fix")))</f>
        <v>0</v>
      </c>
      <c r="J746" s="3">
        <f>IF(OR(INDEX($P$2:$P$1001,MATCH(ROWS($O$2:O746),$O$2:$O$1001,0),1)&gt;=100000,INDEX($V$1005:$AE$1005,1,MATCH(COLUMNS($V$1006:AD1006),$V$1006:$AE$1006,0))&gt;=100000), " ",IF(INDEX($V$2:$AE$1001,MATCH(ROWS($O$2:O746),$O$2:$O$1001,0),MATCH(COLUMNS($V$1006:AD1006),$V$1006:$AE$1006,0)), HYPERLINK("#",""), HYPERLINK(CONCATENATE("#Metadata!", ADDRESS(INDEX($Q$2:$Q$1001,MATCH(ROWS($O$2:O746),$O$2:$O$1001,0),0), INDEX($V$1004:$AE$1004,1,MATCH(COLUMNS($V$1006:AD1006),$V$1006:$AE$1006,0)))),"Fix")))</f>
        <v>0</v>
      </c>
      <c r="K746" s="3">
        <f>IF(OR(INDEX($P$2:$P$1001,MATCH(ROWS($O$2:O746),$O$2:$O$1001,0),1)&gt;=100000,INDEX($V$1005:$AE$1005,1,MATCH(COLUMNS($V$1006:AE1006),$V$1006:$AE$1006,0))&gt;=100000), " ",IF(INDEX($V$2:$AE$1001,MATCH(ROWS($O$2:O746),$O$2:$O$1001,0),MATCH(COLUMNS($V$1006:AE1006),$V$1006:$AE$1006,0)), HYPERLINK("#",""), HYPERLINK(CONCATENATE("#Metadata!", ADDRESS(INDEX($Q$2:$Q$1001,MATCH(ROWS($O$2:O746),$O$2:$O$1001,0),0), INDEX($V$1004:$AE$1004,1,MATCH(COLUMNS($V$1006:AE1006),$V$1006:$AE$1006,0)))),"Fix")))</f>
        <v>0</v>
      </c>
      <c r="O746">
        <v>0</v>
      </c>
      <c r="P746">
        <v>0</v>
      </c>
      <c r="Q746">
        <v>0</v>
      </c>
      <c r="R746">
        <f>IF(S746,TRUE,AND(V746:AE746))</f>
        <v>0</v>
      </c>
      <c r="S746">
        <f>COUNTBLANK(Metadata!B746:K746)=COLUMNS(Metadata!B746:K746)</f>
        <v>0</v>
      </c>
      <c r="T746">
        <v>0</v>
      </c>
      <c r="V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W746">
        <f>AND(IF(Metadata!C746="",FALSE,TRUE),exact(Metadata!C746,"animal secretion"))</f>
        <v>0</v>
      </c>
      <c r="X746">
        <f>AND(IF(Metadata!D746="",FALSE,TRUE),exact(Metadata!D746,"saliva"))</f>
        <v>0</v>
      </c>
      <c r="Y746">
        <f>AND(IF(Metadata!E746="",FALSE,TRUE),exact(Metadata!E746,"human-oral"))</f>
        <v>0</v>
      </c>
      <c r="Z746">
        <f>AND(IF(Metadata!F746="",FALSE,TRUE),exact(Metadata!F746,"UBERON:oral cavity"))</f>
        <v>0</v>
      </c>
      <c r="AA746">
        <f>AND(IF(Metadata!G746="",FALSE,TRUE),exact(Metadata!G746,"UBERON:saliva"))</f>
        <v>0</v>
      </c>
      <c r="AB746">
        <f>AND(IF(Metadata!H746="",FALSE,TRUE),exact(Metadata!H746,"UBERON:tongue"))</f>
        <v>0</v>
      </c>
      <c r="AC746">
        <f>AND(IF(Metadata!I746="",FALSE,TRUE),exact(Metadata!I746,"tongue"))</f>
        <v>0</v>
      </c>
      <c r="AD746">
        <f>AND(IF(Metadata!J746="",FALSE,TRUE),exact(Metadata!J746,"human oral metagenome"))</f>
        <v>0</v>
      </c>
      <c r="AE746">
        <f>AND(IF(Metadata!K746="",FALSE,TRUE),exact(Metadata!K746,"447426"))</f>
        <v>0</v>
      </c>
    </row>
    <row r="747" spans="1:31">
      <c r="A747" s="4">
        <f>IF(B747=" "," ",HYPERLINK(CONCATENATE("#metadata!",ADDRESS(INDEX($Q$2:$Q$1001,MATCH(ROWS($O$2:O747),$O$2:$O$1001,0),0),1)),INDEX($T$2:$T$1001,MATCH(ROWS($O$2:O747),$O$2:$O$1001,0),0)))</f>
        <v>0</v>
      </c>
      <c r="B747" s="3">
        <f>IF(OR(INDEX($P$2:$P$1001,MATCH(ROWS($O$2:O747),$O$2:$O$1001,0),1)&gt;=100000,INDEX($V$1005:$AE$1005,1,MATCH(COLUMNS($V$1006:V1006),$V$1006:$AE$1006,0))&gt;=100000), " ",IF(INDEX($V$2:$AE$1001,MATCH(ROWS($O$2:O747),$O$2:$O$1001,0),MATCH(COLUMNS($V$1006:V1006),$V$1006:$AE$1006,0)), HYPERLINK("#",""), HYPERLINK(CONCATENATE("#Metadata!", ADDRESS(INDEX($Q$2:$Q$1001,MATCH(ROWS($O$2:O747),$O$2:$O$1001,0),0), INDEX($V$1004:$AE$1004,1,MATCH(COLUMNS($V$1006:V1006),$V$1006:$AE$1006,0)))),"Fix")))</f>
        <v>0</v>
      </c>
      <c r="C747" s="3">
        <f>IF(OR(INDEX($P$2:$P$1001,MATCH(ROWS($O$2:O747),$O$2:$O$1001,0),1)&gt;=100000,INDEX($V$1005:$AE$1005,1,MATCH(COLUMNS($V$1006:W1006),$V$1006:$AE$1006,0))&gt;=100000), " ",IF(INDEX($V$2:$AE$1001,MATCH(ROWS($O$2:O747),$O$2:$O$1001,0),MATCH(COLUMNS($V$1006:W1006),$V$1006:$AE$1006,0)), HYPERLINK("#",""), HYPERLINK(CONCATENATE("#Metadata!", ADDRESS(INDEX($Q$2:$Q$1001,MATCH(ROWS($O$2:O747),$O$2:$O$1001,0),0), INDEX($V$1004:$AE$1004,1,MATCH(COLUMNS($V$1006:W1006),$V$1006:$AE$1006,0)))),"Fix")))</f>
        <v>0</v>
      </c>
      <c r="D747" s="3">
        <f>IF(OR(INDEX($P$2:$P$1001,MATCH(ROWS($O$2:O747),$O$2:$O$1001,0),1)&gt;=100000,INDEX($V$1005:$AE$1005,1,MATCH(COLUMNS($V$1006:X1006),$V$1006:$AE$1006,0))&gt;=100000), " ",IF(INDEX($V$2:$AE$1001,MATCH(ROWS($O$2:O747),$O$2:$O$1001,0),MATCH(COLUMNS($V$1006:X1006),$V$1006:$AE$1006,0)), HYPERLINK("#",""), HYPERLINK(CONCATENATE("#Metadata!", ADDRESS(INDEX($Q$2:$Q$1001,MATCH(ROWS($O$2:O747),$O$2:$O$1001,0),0), INDEX($V$1004:$AE$1004,1,MATCH(COLUMNS($V$1006:X1006),$V$1006:$AE$1006,0)))),"Fix")))</f>
        <v>0</v>
      </c>
      <c r="E747" s="3">
        <f>IF(OR(INDEX($P$2:$P$1001,MATCH(ROWS($O$2:O747),$O$2:$O$1001,0),1)&gt;=100000,INDEX($V$1005:$AE$1005,1,MATCH(COLUMNS($V$1006:Y1006),$V$1006:$AE$1006,0))&gt;=100000), " ",IF(INDEX($V$2:$AE$1001,MATCH(ROWS($O$2:O747),$O$2:$O$1001,0),MATCH(COLUMNS($V$1006:Y1006),$V$1006:$AE$1006,0)), HYPERLINK("#",""), HYPERLINK(CONCATENATE("#Metadata!", ADDRESS(INDEX($Q$2:$Q$1001,MATCH(ROWS($O$2:O747),$O$2:$O$1001,0),0), INDEX($V$1004:$AE$1004,1,MATCH(COLUMNS($V$1006:Y1006),$V$1006:$AE$1006,0)))),"Fix")))</f>
        <v>0</v>
      </c>
      <c r="F747" s="3">
        <f>IF(OR(INDEX($P$2:$P$1001,MATCH(ROWS($O$2:O747),$O$2:$O$1001,0),1)&gt;=100000,INDEX($V$1005:$AE$1005,1,MATCH(COLUMNS($V$1006:Z1006),$V$1006:$AE$1006,0))&gt;=100000), " ",IF(INDEX($V$2:$AE$1001,MATCH(ROWS($O$2:O747),$O$2:$O$1001,0),MATCH(COLUMNS($V$1006:Z1006),$V$1006:$AE$1006,0)), HYPERLINK("#",""), HYPERLINK(CONCATENATE("#Metadata!", ADDRESS(INDEX($Q$2:$Q$1001,MATCH(ROWS($O$2:O747),$O$2:$O$1001,0),0), INDEX($V$1004:$AE$1004,1,MATCH(COLUMNS($V$1006:Z1006),$V$1006:$AE$1006,0)))),"Fix")))</f>
        <v>0</v>
      </c>
      <c r="G747" s="3">
        <f>IF(OR(INDEX($P$2:$P$1001,MATCH(ROWS($O$2:O747),$O$2:$O$1001,0),1)&gt;=100000,INDEX($V$1005:$AE$1005,1,MATCH(COLUMNS($V$1006:AA1006),$V$1006:$AE$1006,0))&gt;=100000), " ",IF(INDEX($V$2:$AE$1001,MATCH(ROWS($O$2:O747),$O$2:$O$1001,0),MATCH(COLUMNS($V$1006:AA1006),$V$1006:$AE$1006,0)), HYPERLINK("#",""), HYPERLINK(CONCATENATE("#Metadata!", ADDRESS(INDEX($Q$2:$Q$1001,MATCH(ROWS($O$2:O747),$O$2:$O$1001,0),0), INDEX($V$1004:$AE$1004,1,MATCH(COLUMNS($V$1006:AA1006),$V$1006:$AE$1006,0)))),"Fix")))</f>
        <v>0</v>
      </c>
      <c r="H747" s="3">
        <f>IF(OR(INDEX($P$2:$P$1001,MATCH(ROWS($O$2:O747),$O$2:$O$1001,0),1)&gt;=100000,INDEX($V$1005:$AE$1005,1,MATCH(COLUMNS($V$1006:AB1006),$V$1006:$AE$1006,0))&gt;=100000), " ",IF(INDEX($V$2:$AE$1001,MATCH(ROWS($O$2:O747),$O$2:$O$1001,0),MATCH(COLUMNS($V$1006:AB1006),$V$1006:$AE$1006,0)), HYPERLINK("#",""), HYPERLINK(CONCATENATE("#Metadata!", ADDRESS(INDEX($Q$2:$Q$1001,MATCH(ROWS($O$2:O747),$O$2:$O$1001,0),0), INDEX($V$1004:$AE$1004,1,MATCH(COLUMNS($V$1006:AB1006),$V$1006:$AE$1006,0)))),"Fix")))</f>
        <v>0</v>
      </c>
      <c r="I747" s="3">
        <f>IF(OR(INDEX($P$2:$P$1001,MATCH(ROWS($O$2:O747),$O$2:$O$1001,0),1)&gt;=100000,INDEX($V$1005:$AE$1005,1,MATCH(COLUMNS($V$1006:AC1006),$V$1006:$AE$1006,0))&gt;=100000), " ",IF(INDEX($V$2:$AE$1001,MATCH(ROWS($O$2:O747),$O$2:$O$1001,0),MATCH(COLUMNS($V$1006:AC1006),$V$1006:$AE$1006,0)), HYPERLINK("#",""), HYPERLINK(CONCATENATE("#Metadata!", ADDRESS(INDEX($Q$2:$Q$1001,MATCH(ROWS($O$2:O747),$O$2:$O$1001,0),0), INDEX($V$1004:$AE$1004,1,MATCH(COLUMNS($V$1006:AC1006),$V$1006:$AE$1006,0)))),"Fix")))</f>
        <v>0</v>
      </c>
      <c r="J747" s="3">
        <f>IF(OR(INDEX($P$2:$P$1001,MATCH(ROWS($O$2:O747),$O$2:$O$1001,0),1)&gt;=100000,INDEX($V$1005:$AE$1005,1,MATCH(COLUMNS($V$1006:AD1006),$V$1006:$AE$1006,0))&gt;=100000), " ",IF(INDEX($V$2:$AE$1001,MATCH(ROWS($O$2:O747),$O$2:$O$1001,0),MATCH(COLUMNS($V$1006:AD1006),$V$1006:$AE$1006,0)), HYPERLINK("#",""), HYPERLINK(CONCATENATE("#Metadata!", ADDRESS(INDEX($Q$2:$Q$1001,MATCH(ROWS($O$2:O747),$O$2:$O$1001,0),0), INDEX($V$1004:$AE$1004,1,MATCH(COLUMNS($V$1006:AD1006),$V$1006:$AE$1006,0)))),"Fix")))</f>
        <v>0</v>
      </c>
      <c r="K747" s="3">
        <f>IF(OR(INDEX($P$2:$P$1001,MATCH(ROWS($O$2:O747),$O$2:$O$1001,0),1)&gt;=100000,INDEX($V$1005:$AE$1005,1,MATCH(COLUMNS($V$1006:AE1006),$V$1006:$AE$1006,0))&gt;=100000), " ",IF(INDEX($V$2:$AE$1001,MATCH(ROWS($O$2:O747),$O$2:$O$1001,0),MATCH(COLUMNS($V$1006:AE1006),$V$1006:$AE$1006,0)), HYPERLINK("#",""), HYPERLINK(CONCATENATE("#Metadata!", ADDRESS(INDEX($Q$2:$Q$1001,MATCH(ROWS($O$2:O747),$O$2:$O$1001,0),0), INDEX($V$1004:$AE$1004,1,MATCH(COLUMNS($V$1006:AE1006),$V$1006:$AE$1006,0)))),"Fix")))</f>
        <v>0</v>
      </c>
      <c r="O747">
        <v>0</v>
      </c>
      <c r="P747">
        <v>0</v>
      </c>
      <c r="Q747">
        <v>0</v>
      </c>
      <c r="R747">
        <f>IF(S747,TRUE,AND(V747:AE747))</f>
        <v>0</v>
      </c>
      <c r="S747">
        <f>COUNTBLANK(Metadata!B747:K747)=COLUMNS(Metadata!B747:K747)</f>
        <v>0</v>
      </c>
      <c r="T747">
        <v>0</v>
      </c>
      <c r="V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W747">
        <f>AND(IF(Metadata!C747="",FALSE,TRUE),exact(Metadata!C747,"animal secretion"))</f>
        <v>0</v>
      </c>
      <c r="X747">
        <f>AND(IF(Metadata!D747="",FALSE,TRUE),exact(Metadata!D747,"saliva"))</f>
        <v>0</v>
      </c>
      <c r="Y747">
        <f>AND(IF(Metadata!E747="",FALSE,TRUE),exact(Metadata!E747,"human-oral"))</f>
        <v>0</v>
      </c>
      <c r="Z747">
        <f>AND(IF(Metadata!F747="",FALSE,TRUE),exact(Metadata!F747,"UBERON:oral cavity"))</f>
        <v>0</v>
      </c>
      <c r="AA747">
        <f>AND(IF(Metadata!G747="",FALSE,TRUE),exact(Metadata!G747,"UBERON:saliva"))</f>
        <v>0</v>
      </c>
      <c r="AB747">
        <f>AND(IF(Metadata!H747="",FALSE,TRUE),exact(Metadata!H747,"UBERON:tongue"))</f>
        <v>0</v>
      </c>
      <c r="AC747">
        <f>AND(IF(Metadata!I747="",FALSE,TRUE),exact(Metadata!I747,"tongue"))</f>
        <v>0</v>
      </c>
      <c r="AD747">
        <f>AND(IF(Metadata!J747="",FALSE,TRUE),exact(Metadata!J747,"human oral metagenome"))</f>
        <v>0</v>
      </c>
      <c r="AE747">
        <f>AND(IF(Metadata!K747="",FALSE,TRUE),exact(Metadata!K747,"447426"))</f>
        <v>0</v>
      </c>
    </row>
    <row r="748" spans="1:31">
      <c r="A748" s="4">
        <f>IF(B748=" "," ",HYPERLINK(CONCATENATE("#metadata!",ADDRESS(INDEX($Q$2:$Q$1001,MATCH(ROWS($O$2:O748),$O$2:$O$1001,0),0),1)),INDEX($T$2:$T$1001,MATCH(ROWS($O$2:O748),$O$2:$O$1001,0),0)))</f>
        <v>0</v>
      </c>
      <c r="B748" s="3">
        <f>IF(OR(INDEX($P$2:$P$1001,MATCH(ROWS($O$2:O748),$O$2:$O$1001,0),1)&gt;=100000,INDEX($V$1005:$AE$1005,1,MATCH(COLUMNS($V$1006:V1006),$V$1006:$AE$1006,0))&gt;=100000), " ",IF(INDEX($V$2:$AE$1001,MATCH(ROWS($O$2:O748),$O$2:$O$1001,0),MATCH(COLUMNS($V$1006:V1006),$V$1006:$AE$1006,0)), HYPERLINK("#",""), HYPERLINK(CONCATENATE("#Metadata!", ADDRESS(INDEX($Q$2:$Q$1001,MATCH(ROWS($O$2:O748),$O$2:$O$1001,0),0), INDEX($V$1004:$AE$1004,1,MATCH(COLUMNS($V$1006:V1006),$V$1006:$AE$1006,0)))),"Fix")))</f>
        <v>0</v>
      </c>
      <c r="C748" s="3">
        <f>IF(OR(INDEX($P$2:$P$1001,MATCH(ROWS($O$2:O748),$O$2:$O$1001,0),1)&gt;=100000,INDEX($V$1005:$AE$1005,1,MATCH(COLUMNS($V$1006:W1006),$V$1006:$AE$1006,0))&gt;=100000), " ",IF(INDEX($V$2:$AE$1001,MATCH(ROWS($O$2:O748),$O$2:$O$1001,0),MATCH(COLUMNS($V$1006:W1006),$V$1006:$AE$1006,0)), HYPERLINK("#",""), HYPERLINK(CONCATENATE("#Metadata!", ADDRESS(INDEX($Q$2:$Q$1001,MATCH(ROWS($O$2:O748),$O$2:$O$1001,0),0), INDEX($V$1004:$AE$1004,1,MATCH(COLUMNS($V$1006:W1006),$V$1006:$AE$1006,0)))),"Fix")))</f>
        <v>0</v>
      </c>
      <c r="D748" s="3">
        <f>IF(OR(INDEX($P$2:$P$1001,MATCH(ROWS($O$2:O748),$O$2:$O$1001,0),1)&gt;=100000,INDEX($V$1005:$AE$1005,1,MATCH(COLUMNS($V$1006:X1006),$V$1006:$AE$1006,0))&gt;=100000), " ",IF(INDEX($V$2:$AE$1001,MATCH(ROWS($O$2:O748),$O$2:$O$1001,0),MATCH(COLUMNS($V$1006:X1006),$V$1006:$AE$1006,0)), HYPERLINK("#",""), HYPERLINK(CONCATENATE("#Metadata!", ADDRESS(INDEX($Q$2:$Q$1001,MATCH(ROWS($O$2:O748),$O$2:$O$1001,0),0), INDEX($V$1004:$AE$1004,1,MATCH(COLUMNS($V$1006:X1006),$V$1006:$AE$1006,0)))),"Fix")))</f>
        <v>0</v>
      </c>
      <c r="E748" s="3">
        <f>IF(OR(INDEX($P$2:$P$1001,MATCH(ROWS($O$2:O748),$O$2:$O$1001,0),1)&gt;=100000,INDEX($V$1005:$AE$1005,1,MATCH(COLUMNS($V$1006:Y1006),$V$1006:$AE$1006,0))&gt;=100000), " ",IF(INDEX($V$2:$AE$1001,MATCH(ROWS($O$2:O748),$O$2:$O$1001,0),MATCH(COLUMNS($V$1006:Y1006),$V$1006:$AE$1006,0)), HYPERLINK("#",""), HYPERLINK(CONCATENATE("#Metadata!", ADDRESS(INDEX($Q$2:$Q$1001,MATCH(ROWS($O$2:O748),$O$2:$O$1001,0),0), INDEX($V$1004:$AE$1004,1,MATCH(COLUMNS($V$1006:Y1006),$V$1006:$AE$1006,0)))),"Fix")))</f>
        <v>0</v>
      </c>
      <c r="F748" s="3">
        <f>IF(OR(INDEX($P$2:$P$1001,MATCH(ROWS($O$2:O748),$O$2:$O$1001,0),1)&gt;=100000,INDEX($V$1005:$AE$1005,1,MATCH(COLUMNS($V$1006:Z1006),$V$1006:$AE$1006,0))&gt;=100000), " ",IF(INDEX($V$2:$AE$1001,MATCH(ROWS($O$2:O748),$O$2:$O$1001,0),MATCH(COLUMNS($V$1006:Z1006),$V$1006:$AE$1006,0)), HYPERLINK("#",""), HYPERLINK(CONCATENATE("#Metadata!", ADDRESS(INDEX($Q$2:$Q$1001,MATCH(ROWS($O$2:O748),$O$2:$O$1001,0),0), INDEX($V$1004:$AE$1004,1,MATCH(COLUMNS($V$1006:Z1006),$V$1006:$AE$1006,0)))),"Fix")))</f>
        <v>0</v>
      </c>
      <c r="G748" s="3">
        <f>IF(OR(INDEX($P$2:$P$1001,MATCH(ROWS($O$2:O748),$O$2:$O$1001,0),1)&gt;=100000,INDEX($V$1005:$AE$1005,1,MATCH(COLUMNS($V$1006:AA1006),$V$1006:$AE$1006,0))&gt;=100000), " ",IF(INDEX($V$2:$AE$1001,MATCH(ROWS($O$2:O748),$O$2:$O$1001,0),MATCH(COLUMNS($V$1006:AA1006),$V$1006:$AE$1006,0)), HYPERLINK("#",""), HYPERLINK(CONCATENATE("#Metadata!", ADDRESS(INDEX($Q$2:$Q$1001,MATCH(ROWS($O$2:O748),$O$2:$O$1001,0),0), INDEX($V$1004:$AE$1004,1,MATCH(COLUMNS($V$1006:AA1006),$V$1006:$AE$1006,0)))),"Fix")))</f>
        <v>0</v>
      </c>
      <c r="H748" s="3">
        <f>IF(OR(INDEX($P$2:$P$1001,MATCH(ROWS($O$2:O748),$O$2:$O$1001,0),1)&gt;=100000,INDEX($V$1005:$AE$1005,1,MATCH(COLUMNS($V$1006:AB1006),$V$1006:$AE$1006,0))&gt;=100000), " ",IF(INDEX($V$2:$AE$1001,MATCH(ROWS($O$2:O748),$O$2:$O$1001,0),MATCH(COLUMNS($V$1006:AB1006),$V$1006:$AE$1006,0)), HYPERLINK("#",""), HYPERLINK(CONCATENATE("#Metadata!", ADDRESS(INDEX($Q$2:$Q$1001,MATCH(ROWS($O$2:O748),$O$2:$O$1001,0),0), INDEX($V$1004:$AE$1004,1,MATCH(COLUMNS($V$1006:AB1006),$V$1006:$AE$1006,0)))),"Fix")))</f>
        <v>0</v>
      </c>
      <c r="I748" s="3">
        <f>IF(OR(INDEX($P$2:$P$1001,MATCH(ROWS($O$2:O748),$O$2:$O$1001,0),1)&gt;=100000,INDEX($V$1005:$AE$1005,1,MATCH(COLUMNS($V$1006:AC1006),$V$1006:$AE$1006,0))&gt;=100000), " ",IF(INDEX($V$2:$AE$1001,MATCH(ROWS($O$2:O748),$O$2:$O$1001,0),MATCH(COLUMNS($V$1006:AC1006),$V$1006:$AE$1006,0)), HYPERLINK("#",""), HYPERLINK(CONCATENATE("#Metadata!", ADDRESS(INDEX($Q$2:$Q$1001,MATCH(ROWS($O$2:O748),$O$2:$O$1001,0),0), INDEX($V$1004:$AE$1004,1,MATCH(COLUMNS($V$1006:AC1006),$V$1006:$AE$1006,0)))),"Fix")))</f>
        <v>0</v>
      </c>
      <c r="J748" s="3">
        <f>IF(OR(INDEX($P$2:$P$1001,MATCH(ROWS($O$2:O748),$O$2:$O$1001,0),1)&gt;=100000,INDEX($V$1005:$AE$1005,1,MATCH(COLUMNS($V$1006:AD1006),$V$1006:$AE$1006,0))&gt;=100000), " ",IF(INDEX($V$2:$AE$1001,MATCH(ROWS($O$2:O748),$O$2:$O$1001,0),MATCH(COLUMNS($V$1006:AD1006),$V$1006:$AE$1006,0)), HYPERLINK("#",""), HYPERLINK(CONCATENATE("#Metadata!", ADDRESS(INDEX($Q$2:$Q$1001,MATCH(ROWS($O$2:O748),$O$2:$O$1001,0),0), INDEX($V$1004:$AE$1004,1,MATCH(COLUMNS($V$1006:AD1006),$V$1006:$AE$1006,0)))),"Fix")))</f>
        <v>0</v>
      </c>
      <c r="K748" s="3">
        <f>IF(OR(INDEX($P$2:$P$1001,MATCH(ROWS($O$2:O748),$O$2:$O$1001,0),1)&gt;=100000,INDEX($V$1005:$AE$1005,1,MATCH(COLUMNS($V$1006:AE1006),$V$1006:$AE$1006,0))&gt;=100000), " ",IF(INDEX($V$2:$AE$1001,MATCH(ROWS($O$2:O748),$O$2:$O$1001,0),MATCH(COLUMNS($V$1006:AE1006),$V$1006:$AE$1006,0)), HYPERLINK("#",""), HYPERLINK(CONCATENATE("#Metadata!", ADDRESS(INDEX($Q$2:$Q$1001,MATCH(ROWS($O$2:O748),$O$2:$O$1001,0),0), INDEX($V$1004:$AE$1004,1,MATCH(COLUMNS($V$1006:AE1006),$V$1006:$AE$1006,0)))),"Fix")))</f>
        <v>0</v>
      </c>
      <c r="O748">
        <v>0</v>
      </c>
      <c r="P748">
        <v>0</v>
      </c>
      <c r="Q748">
        <v>0</v>
      </c>
      <c r="R748">
        <f>IF(S748,TRUE,AND(V748:AE748))</f>
        <v>0</v>
      </c>
      <c r="S748">
        <f>COUNTBLANK(Metadata!B748:K748)=COLUMNS(Metadata!B748:K748)</f>
        <v>0</v>
      </c>
      <c r="T748">
        <v>0</v>
      </c>
      <c r="V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W748">
        <f>AND(IF(Metadata!C748="",FALSE,TRUE),exact(Metadata!C748,"animal secretion"))</f>
        <v>0</v>
      </c>
      <c r="X748">
        <f>AND(IF(Metadata!D748="",FALSE,TRUE),exact(Metadata!D748,"saliva"))</f>
        <v>0</v>
      </c>
      <c r="Y748">
        <f>AND(IF(Metadata!E748="",FALSE,TRUE),exact(Metadata!E748,"human-oral"))</f>
        <v>0</v>
      </c>
      <c r="Z748">
        <f>AND(IF(Metadata!F748="",FALSE,TRUE),exact(Metadata!F748,"UBERON:oral cavity"))</f>
        <v>0</v>
      </c>
      <c r="AA748">
        <f>AND(IF(Metadata!G748="",FALSE,TRUE),exact(Metadata!G748,"UBERON:saliva"))</f>
        <v>0</v>
      </c>
      <c r="AB748">
        <f>AND(IF(Metadata!H748="",FALSE,TRUE),exact(Metadata!H748,"UBERON:tongue"))</f>
        <v>0</v>
      </c>
      <c r="AC748">
        <f>AND(IF(Metadata!I748="",FALSE,TRUE),exact(Metadata!I748,"tongue"))</f>
        <v>0</v>
      </c>
      <c r="AD748">
        <f>AND(IF(Metadata!J748="",FALSE,TRUE),exact(Metadata!J748,"human oral metagenome"))</f>
        <v>0</v>
      </c>
      <c r="AE748">
        <f>AND(IF(Metadata!K748="",FALSE,TRUE),exact(Metadata!K748,"447426"))</f>
        <v>0</v>
      </c>
    </row>
    <row r="749" spans="1:31">
      <c r="A749" s="4">
        <f>IF(B749=" "," ",HYPERLINK(CONCATENATE("#metadata!",ADDRESS(INDEX($Q$2:$Q$1001,MATCH(ROWS($O$2:O749),$O$2:$O$1001,0),0),1)),INDEX($T$2:$T$1001,MATCH(ROWS($O$2:O749),$O$2:$O$1001,0),0)))</f>
        <v>0</v>
      </c>
      <c r="B749" s="3">
        <f>IF(OR(INDEX($P$2:$P$1001,MATCH(ROWS($O$2:O749),$O$2:$O$1001,0),1)&gt;=100000,INDEX($V$1005:$AE$1005,1,MATCH(COLUMNS($V$1006:V1006),$V$1006:$AE$1006,0))&gt;=100000), " ",IF(INDEX($V$2:$AE$1001,MATCH(ROWS($O$2:O749),$O$2:$O$1001,0),MATCH(COLUMNS($V$1006:V1006),$V$1006:$AE$1006,0)), HYPERLINK("#",""), HYPERLINK(CONCATENATE("#Metadata!", ADDRESS(INDEX($Q$2:$Q$1001,MATCH(ROWS($O$2:O749),$O$2:$O$1001,0),0), INDEX($V$1004:$AE$1004,1,MATCH(COLUMNS($V$1006:V1006),$V$1006:$AE$1006,0)))),"Fix")))</f>
        <v>0</v>
      </c>
      <c r="C749" s="3">
        <f>IF(OR(INDEX($P$2:$P$1001,MATCH(ROWS($O$2:O749),$O$2:$O$1001,0),1)&gt;=100000,INDEX($V$1005:$AE$1005,1,MATCH(COLUMNS($V$1006:W1006),$V$1006:$AE$1006,0))&gt;=100000), " ",IF(INDEX($V$2:$AE$1001,MATCH(ROWS($O$2:O749),$O$2:$O$1001,0),MATCH(COLUMNS($V$1006:W1006),$V$1006:$AE$1006,0)), HYPERLINK("#",""), HYPERLINK(CONCATENATE("#Metadata!", ADDRESS(INDEX($Q$2:$Q$1001,MATCH(ROWS($O$2:O749),$O$2:$O$1001,0),0), INDEX($V$1004:$AE$1004,1,MATCH(COLUMNS($V$1006:W1006),$V$1006:$AE$1006,0)))),"Fix")))</f>
        <v>0</v>
      </c>
      <c r="D749" s="3">
        <f>IF(OR(INDEX($P$2:$P$1001,MATCH(ROWS($O$2:O749),$O$2:$O$1001,0),1)&gt;=100000,INDEX($V$1005:$AE$1005,1,MATCH(COLUMNS($V$1006:X1006),$V$1006:$AE$1006,0))&gt;=100000), " ",IF(INDEX($V$2:$AE$1001,MATCH(ROWS($O$2:O749),$O$2:$O$1001,0),MATCH(COLUMNS($V$1006:X1006),$V$1006:$AE$1006,0)), HYPERLINK("#",""), HYPERLINK(CONCATENATE("#Metadata!", ADDRESS(INDEX($Q$2:$Q$1001,MATCH(ROWS($O$2:O749),$O$2:$O$1001,0),0), INDEX($V$1004:$AE$1004,1,MATCH(COLUMNS($V$1006:X1006),$V$1006:$AE$1006,0)))),"Fix")))</f>
        <v>0</v>
      </c>
      <c r="E749" s="3">
        <f>IF(OR(INDEX($P$2:$P$1001,MATCH(ROWS($O$2:O749),$O$2:$O$1001,0),1)&gt;=100000,INDEX($V$1005:$AE$1005,1,MATCH(COLUMNS($V$1006:Y1006),$V$1006:$AE$1006,0))&gt;=100000), " ",IF(INDEX($V$2:$AE$1001,MATCH(ROWS($O$2:O749),$O$2:$O$1001,0),MATCH(COLUMNS($V$1006:Y1006),$V$1006:$AE$1006,0)), HYPERLINK("#",""), HYPERLINK(CONCATENATE("#Metadata!", ADDRESS(INDEX($Q$2:$Q$1001,MATCH(ROWS($O$2:O749),$O$2:$O$1001,0),0), INDEX($V$1004:$AE$1004,1,MATCH(COLUMNS($V$1006:Y1006),$V$1006:$AE$1006,0)))),"Fix")))</f>
        <v>0</v>
      </c>
      <c r="F749" s="3">
        <f>IF(OR(INDEX($P$2:$P$1001,MATCH(ROWS($O$2:O749),$O$2:$O$1001,0),1)&gt;=100000,INDEX($V$1005:$AE$1005,1,MATCH(COLUMNS($V$1006:Z1006),$V$1006:$AE$1006,0))&gt;=100000), " ",IF(INDEX($V$2:$AE$1001,MATCH(ROWS($O$2:O749),$O$2:$O$1001,0),MATCH(COLUMNS($V$1006:Z1006),$V$1006:$AE$1006,0)), HYPERLINK("#",""), HYPERLINK(CONCATENATE("#Metadata!", ADDRESS(INDEX($Q$2:$Q$1001,MATCH(ROWS($O$2:O749),$O$2:$O$1001,0),0), INDEX($V$1004:$AE$1004,1,MATCH(COLUMNS($V$1006:Z1006),$V$1006:$AE$1006,0)))),"Fix")))</f>
        <v>0</v>
      </c>
      <c r="G749" s="3">
        <f>IF(OR(INDEX($P$2:$P$1001,MATCH(ROWS($O$2:O749),$O$2:$O$1001,0),1)&gt;=100000,INDEX($V$1005:$AE$1005,1,MATCH(COLUMNS($V$1006:AA1006),$V$1006:$AE$1006,0))&gt;=100000), " ",IF(INDEX($V$2:$AE$1001,MATCH(ROWS($O$2:O749),$O$2:$O$1001,0),MATCH(COLUMNS($V$1006:AA1006),$V$1006:$AE$1006,0)), HYPERLINK("#",""), HYPERLINK(CONCATENATE("#Metadata!", ADDRESS(INDEX($Q$2:$Q$1001,MATCH(ROWS($O$2:O749),$O$2:$O$1001,0),0), INDEX($V$1004:$AE$1004,1,MATCH(COLUMNS($V$1006:AA1006),$V$1006:$AE$1006,0)))),"Fix")))</f>
        <v>0</v>
      </c>
      <c r="H749" s="3">
        <f>IF(OR(INDEX($P$2:$P$1001,MATCH(ROWS($O$2:O749),$O$2:$O$1001,0),1)&gt;=100000,INDEX($V$1005:$AE$1005,1,MATCH(COLUMNS($V$1006:AB1006),$V$1006:$AE$1006,0))&gt;=100000), " ",IF(INDEX($V$2:$AE$1001,MATCH(ROWS($O$2:O749),$O$2:$O$1001,0),MATCH(COLUMNS($V$1006:AB1006),$V$1006:$AE$1006,0)), HYPERLINK("#",""), HYPERLINK(CONCATENATE("#Metadata!", ADDRESS(INDEX($Q$2:$Q$1001,MATCH(ROWS($O$2:O749),$O$2:$O$1001,0),0), INDEX($V$1004:$AE$1004,1,MATCH(COLUMNS($V$1006:AB1006),$V$1006:$AE$1006,0)))),"Fix")))</f>
        <v>0</v>
      </c>
      <c r="I749" s="3">
        <f>IF(OR(INDEX($P$2:$P$1001,MATCH(ROWS($O$2:O749),$O$2:$O$1001,0),1)&gt;=100000,INDEX($V$1005:$AE$1005,1,MATCH(COLUMNS($V$1006:AC1006),$V$1006:$AE$1006,0))&gt;=100000), " ",IF(INDEX($V$2:$AE$1001,MATCH(ROWS($O$2:O749),$O$2:$O$1001,0),MATCH(COLUMNS($V$1006:AC1006),$V$1006:$AE$1006,0)), HYPERLINK("#",""), HYPERLINK(CONCATENATE("#Metadata!", ADDRESS(INDEX($Q$2:$Q$1001,MATCH(ROWS($O$2:O749),$O$2:$O$1001,0),0), INDEX($V$1004:$AE$1004,1,MATCH(COLUMNS($V$1006:AC1006),$V$1006:$AE$1006,0)))),"Fix")))</f>
        <v>0</v>
      </c>
      <c r="J749" s="3">
        <f>IF(OR(INDEX($P$2:$P$1001,MATCH(ROWS($O$2:O749),$O$2:$O$1001,0),1)&gt;=100000,INDEX($V$1005:$AE$1005,1,MATCH(COLUMNS($V$1006:AD1006),$V$1006:$AE$1006,0))&gt;=100000), " ",IF(INDEX($V$2:$AE$1001,MATCH(ROWS($O$2:O749),$O$2:$O$1001,0),MATCH(COLUMNS($V$1006:AD1006),$V$1006:$AE$1006,0)), HYPERLINK("#",""), HYPERLINK(CONCATENATE("#Metadata!", ADDRESS(INDEX($Q$2:$Q$1001,MATCH(ROWS($O$2:O749),$O$2:$O$1001,0),0), INDEX($V$1004:$AE$1004,1,MATCH(COLUMNS($V$1006:AD1006),$V$1006:$AE$1006,0)))),"Fix")))</f>
        <v>0</v>
      </c>
      <c r="K749" s="3">
        <f>IF(OR(INDEX($P$2:$P$1001,MATCH(ROWS($O$2:O749),$O$2:$O$1001,0),1)&gt;=100000,INDEX($V$1005:$AE$1005,1,MATCH(COLUMNS($V$1006:AE1006),$V$1006:$AE$1006,0))&gt;=100000), " ",IF(INDEX($V$2:$AE$1001,MATCH(ROWS($O$2:O749),$O$2:$O$1001,0),MATCH(COLUMNS($V$1006:AE1006),$V$1006:$AE$1006,0)), HYPERLINK("#",""), HYPERLINK(CONCATENATE("#Metadata!", ADDRESS(INDEX($Q$2:$Q$1001,MATCH(ROWS($O$2:O749),$O$2:$O$1001,0),0), INDEX($V$1004:$AE$1004,1,MATCH(COLUMNS($V$1006:AE1006),$V$1006:$AE$1006,0)))),"Fix")))</f>
        <v>0</v>
      </c>
      <c r="O749">
        <v>0</v>
      </c>
      <c r="P749">
        <v>0</v>
      </c>
      <c r="Q749">
        <v>0</v>
      </c>
      <c r="R749">
        <f>IF(S749,TRUE,AND(V749:AE749))</f>
        <v>0</v>
      </c>
      <c r="S749">
        <f>COUNTBLANK(Metadata!B749:K749)=COLUMNS(Metadata!B749:K749)</f>
        <v>0</v>
      </c>
      <c r="T749">
        <v>0</v>
      </c>
      <c r="V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W749">
        <f>AND(IF(Metadata!C749="",FALSE,TRUE),exact(Metadata!C749,"animal secretion"))</f>
        <v>0</v>
      </c>
      <c r="X749">
        <f>AND(IF(Metadata!D749="",FALSE,TRUE),exact(Metadata!D749,"saliva"))</f>
        <v>0</v>
      </c>
      <c r="Y749">
        <f>AND(IF(Metadata!E749="",FALSE,TRUE),exact(Metadata!E749,"human-oral"))</f>
        <v>0</v>
      </c>
      <c r="Z749">
        <f>AND(IF(Metadata!F749="",FALSE,TRUE),exact(Metadata!F749,"UBERON:oral cavity"))</f>
        <v>0</v>
      </c>
      <c r="AA749">
        <f>AND(IF(Metadata!G749="",FALSE,TRUE),exact(Metadata!G749,"UBERON:saliva"))</f>
        <v>0</v>
      </c>
      <c r="AB749">
        <f>AND(IF(Metadata!H749="",FALSE,TRUE),exact(Metadata!H749,"UBERON:tongue"))</f>
        <v>0</v>
      </c>
      <c r="AC749">
        <f>AND(IF(Metadata!I749="",FALSE,TRUE),exact(Metadata!I749,"tongue"))</f>
        <v>0</v>
      </c>
      <c r="AD749">
        <f>AND(IF(Metadata!J749="",FALSE,TRUE),exact(Metadata!J749,"human oral metagenome"))</f>
        <v>0</v>
      </c>
      <c r="AE749">
        <f>AND(IF(Metadata!K749="",FALSE,TRUE),exact(Metadata!K749,"447426"))</f>
        <v>0</v>
      </c>
    </row>
    <row r="750" spans="1:31">
      <c r="A750" s="4">
        <f>IF(B750=" "," ",HYPERLINK(CONCATENATE("#metadata!",ADDRESS(INDEX($Q$2:$Q$1001,MATCH(ROWS($O$2:O750),$O$2:$O$1001,0),0),1)),INDEX($T$2:$T$1001,MATCH(ROWS($O$2:O750),$O$2:$O$1001,0),0)))</f>
        <v>0</v>
      </c>
      <c r="B750" s="3">
        <f>IF(OR(INDEX($P$2:$P$1001,MATCH(ROWS($O$2:O750),$O$2:$O$1001,0),1)&gt;=100000,INDEX($V$1005:$AE$1005,1,MATCH(COLUMNS($V$1006:V1006),$V$1006:$AE$1006,0))&gt;=100000), " ",IF(INDEX($V$2:$AE$1001,MATCH(ROWS($O$2:O750),$O$2:$O$1001,0),MATCH(COLUMNS($V$1006:V1006),$V$1006:$AE$1006,0)), HYPERLINK("#",""), HYPERLINK(CONCATENATE("#Metadata!", ADDRESS(INDEX($Q$2:$Q$1001,MATCH(ROWS($O$2:O750),$O$2:$O$1001,0),0), INDEX($V$1004:$AE$1004,1,MATCH(COLUMNS($V$1006:V1006),$V$1006:$AE$1006,0)))),"Fix")))</f>
        <v>0</v>
      </c>
      <c r="C750" s="3">
        <f>IF(OR(INDEX($P$2:$P$1001,MATCH(ROWS($O$2:O750),$O$2:$O$1001,0),1)&gt;=100000,INDEX($V$1005:$AE$1005,1,MATCH(COLUMNS($V$1006:W1006),$V$1006:$AE$1006,0))&gt;=100000), " ",IF(INDEX($V$2:$AE$1001,MATCH(ROWS($O$2:O750),$O$2:$O$1001,0),MATCH(COLUMNS($V$1006:W1006),$V$1006:$AE$1006,0)), HYPERLINK("#",""), HYPERLINK(CONCATENATE("#Metadata!", ADDRESS(INDEX($Q$2:$Q$1001,MATCH(ROWS($O$2:O750),$O$2:$O$1001,0),0), INDEX($V$1004:$AE$1004,1,MATCH(COLUMNS($V$1006:W1006),$V$1006:$AE$1006,0)))),"Fix")))</f>
        <v>0</v>
      </c>
      <c r="D750" s="3">
        <f>IF(OR(INDEX($P$2:$P$1001,MATCH(ROWS($O$2:O750),$O$2:$O$1001,0),1)&gt;=100000,INDEX($V$1005:$AE$1005,1,MATCH(COLUMNS($V$1006:X1006),$V$1006:$AE$1006,0))&gt;=100000), " ",IF(INDEX($V$2:$AE$1001,MATCH(ROWS($O$2:O750),$O$2:$O$1001,0),MATCH(COLUMNS($V$1006:X1006),$V$1006:$AE$1006,0)), HYPERLINK("#",""), HYPERLINK(CONCATENATE("#Metadata!", ADDRESS(INDEX($Q$2:$Q$1001,MATCH(ROWS($O$2:O750),$O$2:$O$1001,0),0), INDEX($V$1004:$AE$1004,1,MATCH(COLUMNS($V$1006:X1006),$V$1006:$AE$1006,0)))),"Fix")))</f>
        <v>0</v>
      </c>
      <c r="E750" s="3">
        <f>IF(OR(INDEX($P$2:$P$1001,MATCH(ROWS($O$2:O750),$O$2:$O$1001,0),1)&gt;=100000,INDEX($V$1005:$AE$1005,1,MATCH(COLUMNS($V$1006:Y1006),$V$1006:$AE$1006,0))&gt;=100000), " ",IF(INDEX($V$2:$AE$1001,MATCH(ROWS($O$2:O750),$O$2:$O$1001,0),MATCH(COLUMNS($V$1006:Y1006),$V$1006:$AE$1006,0)), HYPERLINK("#",""), HYPERLINK(CONCATENATE("#Metadata!", ADDRESS(INDEX($Q$2:$Q$1001,MATCH(ROWS($O$2:O750),$O$2:$O$1001,0),0), INDEX($V$1004:$AE$1004,1,MATCH(COLUMNS($V$1006:Y1006),$V$1006:$AE$1006,0)))),"Fix")))</f>
        <v>0</v>
      </c>
      <c r="F750" s="3">
        <f>IF(OR(INDEX($P$2:$P$1001,MATCH(ROWS($O$2:O750),$O$2:$O$1001,0),1)&gt;=100000,INDEX($V$1005:$AE$1005,1,MATCH(COLUMNS($V$1006:Z1006),$V$1006:$AE$1006,0))&gt;=100000), " ",IF(INDEX($V$2:$AE$1001,MATCH(ROWS($O$2:O750),$O$2:$O$1001,0),MATCH(COLUMNS($V$1006:Z1006),$V$1006:$AE$1006,0)), HYPERLINK("#",""), HYPERLINK(CONCATENATE("#Metadata!", ADDRESS(INDEX($Q$2:$Q$1001,MATCH(ROWS($O$2:O750),$O$2:$O$1001,0),0), INDEX($V$1004:$AE$1004,1,MATCH(COLUMNS($V$1006:Z1006),$V$1006:$AE$1006,0)))),"Fix")))</f>
        <v>0</v>
      </c>
      <c r="G750" s="3">
        <f>IF(OR(INDEX($P$2:$P$1001,MATCH(ROWS($O$2:O750),$O$2:$O$1001,0),1)&gt;=100000,INDEX($V$1005:$AE$1005,1,MATCH(COLUMNS($V$1006:AA1006),$V$1006:$AE$1006,0))&gt;=100000), " ",IF(INDEX($V$2:$AE$1001,MATCH(ROWS($O$2:O750),$O$2:$O$1001,0),MATCH(COLUMNS($V$1006:AA1006),$V$1006:$AE$1006,0)), HYPERLINK("#",""), HYPERLINK(CONCATENATE("#Metadata!", ADDRESS(INDEX($Q$2:$Q$1001,MATCH(ROWS($O$2:O750),$O$2:$O$1001,0),0), INDEX($V$1004:$AE$1004,1,MATCH(COLUMNS($V$1006:AA1006),$V$1006:$AE$1006,0)))),"Fix")))</f>
        <v>0</v>
      </c>
      <c r="H750" s="3">
        <f>IF(OR(INDEX($P$2:$P$1001,MATCH(ROWS($O$2:O750),$O$2:$O$1001,0),1)&gt;=100000,INDEX($V$1005:$AE$1005,1,MATCH(COLUMNS($V$1006:AB1006),$V$1006:$AE$1006,0))&gt;=100000), " ",IF(INDEX($V$2:$AE$1001,MATCH(ROWS($O$2:O750),$O$2:$O$1001,0),MATCH(COLUMNS($V$1006:AB1006),$V$1006:$AE$1006,0)), HYPERLINK("#",""), HYPERLINK(CONCATENATE("#Metadata!", ADDRESS(INDEX($Q$2:$Q$1001,MATCH(ROWS($O$2:O750),$O$2:$O$1001,0),0), INDEX($V$1004:$AE$1004,1,MATCH(COLUMNS($V$1006:AB1006),$V$1006:$AE$1006,0)))),"Fix")))</f>
        <v>0</v>
      </c>
      <c r="I750" s="3">
        <f>IF(OR(INDEX($P$2:$P$1001,MATCH(ROWS($O$2:O750),$O$2:$O$1001,0),1)&gt;=100000,INDEX($V$1005:$AE$1005,1,MATCH(COLUMNS($V$1006:AC1006),$V$1006:$AE$1006,0))&gt;=100000), " ",IF(INDEX($V$2:$AE$1001,MATCH(ROWS($O$2:O750),$O$2:$O$1001,0),MATCH(COLUMNS($V$1006:AC1006),$V$1006:$AE$1006,0)), HYPERLINK("#",""), HYPERLINK(CONCATENATE("#Metadata!", ADDRESS(INDEX($Q$2:$Q$1001,MATCH(ROWS($O$2:O750),$O$2:$O$1001,0),0), INDEX($V$1004:$AE$1004,1,MATCH(COLUMNS($V$1006:AC1006),$V$1006:$AE$1006,0)))),"Fix")))</f>
        <v>0</v>
      </c>
      <c r="J750" s="3">
        <f>IF(OR(INDEX($P$2:$P$1001,MATCH(ROWS($O$2:O750),$O$2:$O$1001,0),1)&gt;=100000,INDEX($V$1005:$AE$1005,1,MATCH(COLUMNS($V$1006:AD1006),$V$1006:$AE$1006,0))&gt;=100000), " ",IF(INDEX($V$2:$AE$1001,MATCH(ROWS($O$2:O750),$O$2:$O$1001,0),MATCH(COLUMNS($V$1006:AD1006),$V$1006:$AE$1006,0)), HYPERLINK("#",""), HYPERLINK(CONCATENATE("#Metadata!", ADDRESS(INDEX($Q$2:$Q$1001,MATCH(ROWS($O$2:O750),$O$2:$O$1001,0),0), INDEX($V$1004:$AE$1004,1,MATCH(COLUMNS($V$1006:AD1006),$V$1006:$AE$1006,0)))),"Fix")))</f>
        <v>0</v>
      </c>
      <c r="K750" s="3">
        <f>IF(OR(INDEX($P$2:$P$1001,MATCH(ROWS($O$2:O750),$O$2:$O$1001,0),1)&gt;=100000,INDEX($V$1005:$AE$1005,1,MATCH(COLUMNS($V$1006:AE1006),$V$1006:$AE$1006,0))&gt;=100000), " ",IF(INDEX($V$2:$AE$1001,MATCH(ROWS($O$2:O750),$O$2:$O$1001,0),MATCH(COLUMNS($V$1006:AE1006),$V$1006:$AE$1006,0)), HYPERLINK("#",""), HYPERLINK(CONCATENATE("#Metadata!", ADDRESS(INDEX($Q$2:$Q$1001,MATCH(ROWS($O$2:O750),$O$2:$O$1001,0),0), INDEX($V$1004:$AE$1004,1,MATCH(COLUMNS($V$1006:AE1006),$V$1006:$AE$1006,0)))),"Fix")))</f>
        <v>0</v>
      </c>
      <c r="O750">
        <v>0</v>
      </c>
      <c r="P750">
        <v>0</v>
      </c>
      <c r="Q750">
        <v>0</v>
      </c>
      <c r="R750">
        <f>IF(S750,TRUE,AND(V750:AE750))</f>
        <v>0</v>
      </c>
      <c r="S750">
        <f>COUNTBLANK(Metadata!B750:K750)=COLUMNS(Metadata!B750:K750)</f>
        <v>0</v>
      </c>
      <c r="T750">
        <v>0</v>
      </c>
      <c r="V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W750">
        <f>AND(IF(Metadata!C750="",FALSE,TRUE),exact(Metadata!C750,"animal secretion"))</f>
        <v>0</v>
      </c>
      <c r="X750">
        <f>AND(IF(Metadata!D750="",FALSE,TRUE),exact(Metadata!D750,"saliva"))</f>
        <v>0</v>
      </c>
      <c r="Y750">
        <f>AND(IF(Metadata!E750="",FALSE,TRUE),exact(Metadata!E750,"human-oral"))</f>
        <v>0</v>
      </c>
      <c r="Z750">
        <f>AND(IF(Metadata!F750="",FALSE,TRUE),exact(Metadata!F750,"UBERON:oral cavity"))</f>
        <v>0</v>
      </c>
      <c r="AA750">
        <f>AND(IF(Metadata!G750="",FALSE,TRUE),exact(Metadata!G750,"UBERON:saliva"))</f>
        <v>0</v>
      </c>
      <c r="AB750">
        <f>AND(IF(Metadata!H750="",FALSE,TRUE),exact(Metadata!H750,"UBERON:tongue"))</f>
        <v>0</v>
      </c>
      <c r="AC750">
        <f>AND(IF(Metadata!I750="",FALSE,TRUE),exact(Metadata!I750,"tongue"))</f>
        <v>0</v>
      </c>
      <c r="AD750">
        <f>AND(IF(Metadata!J750="",FALSE,TRUE),exact(Metadata!J750,"human oral metagenome"))</f>
        <v>0</v>
      </c>
      <c r="AE750">
        <f>AND(IF(Metadata!K750="",FALSE,TRUE),exact(Metadata!K750,"447426"))</f>
        <v>0</v>
      </c>
    </row>
    <row r="751" spans="1:31">
      <c r="A751" s="4">
        <f>IF(B751=" "," ",HYPERLINK(CONCATENATE("#metadata!",ADDRESS(INDEX($Q$2:$Q$1001,MATCH(ROWS($O$2:O751),$O$2:$O$1001,0),0),1)),INDEX($T$2:$T$1001,MATCH(ROWS($O$2:O751),$O$2:$O$1001,0),0)))</f>
        <v>0</v>
      </c>
      <c r="B751" s="3">
        <f>IF(OR(INDEX($P$2:$P$1001,MATCH(ROWS($O$2:O751),$O$2:$O$1001,0),1)&gt;=100000,INDEX($V$1005:$AE$1005,1,MATCH(COLUMNS($V$1006:V1006),$V$1006:$AE$1006,0))&gt;=100000), " ",IF(INDEX($V$2:$AE$1001,MATCH(ROWS($O$2:O751),$O$2:$O$1001,0),MATCH(COLUMNS($V$1006:V1006),$V$1006:$AE$1006,0)), HYPERLINK("#",""), HYPERLINK(CONCATENATE("#Metadata!", ADDRESS(INDEX($Q$2:$Q$1001,MATCH(ROWS($O$2:O751),$O$2:$O$1001,0),0), INDEX($V$1004:$AE$1004,1,MATCH(COLUMNS($V$1006:V1006),$V$1006:$AE$1006,0)))),"Fix")))</f>
        <v>0</v>
      </c>
      <c r="C751" s="3">
        <f>IF(OR(INDEX($P$2:$P$1001,MATCH(ROWS($O$2:O751),$O$2:$O$1001,0),1)&gt;=100000,INDEX($V$1005:$AE$1005,1,MATCH(COLUMNS($V$1006:W1006),$V$1006:$AE$1006,0))&gt;=100000), " ",IF(INDEX($V$2:$AE$1001,MATCH(ROWS($O$2:O751),$O$2:$O$1001,0),MATCH(COLUMNS($V$1006:W1006),$V$1006:$AE$1006,0)), HYPERLINK("#",""), HYPERLINK(CONCATENATE("#Metadata!", ADDRESS(INDEX($Q$2:$Q$1001,MATCH(ROWS($O$2:O751),$O$2:$O$1001,0),0), INDEX($V$1004:$AE$1004,1,MATCH(COLUMNS($V$1006:W1006),$V$1006:$AE$1006,0)))),"Fix")))</f>
        <v>0</v>
      </c>
      <c r="D751" s="3">
        <f>IF(OR(INDEX($P$2:$P$1001,MATCH(ROWS($O$2:O751),$O$2:$O$1001,0),1)&gt;=100000,INDEX($V$1005:$AE$1005,1,MATCH(COLUMNS($V$1006:X1006),$V$1006:$AE$1006,0))&gt;=100000), " ",IF(INDEX($V$2:$AE$1001,MATCH(ROWS($O$2:O751),$O$2:$O$1001,0),MATCH(COLUMNS($V$1006:X1006),$V$1006:$AE$1006,0)), HYPERLINK("#",""), HYPERLINK(CONCATENATE("#Metadata!", ADDRESS(INDEX($Q$2:$Q$1001,MATCH(ROWS($O$2:O751),$O$2:$O$1001,0),0), INDEX($V$1004:$AE$1004,1,MATCH(COLUMNS($V$1006:X1006),$V$1006:$AE$1006,0)))),"Fix")))</f>
        <v>0</v>
      </c>
      <c r="E751" s="3">
        <f>IF(OR(INDEX($P$2:$P$1001,MATCH(ROWS($O$2:O751),$O$2:$O$1001,0),1)&gt;=100000,INDEX($V$1005:$AE$1005,1,MATCH(COLUMNS($V$1006:Y1006),$V$1006:$AE$1006,0))&gt;=100000), " ",IF(INDEX($V$2:$AE$1001,MATCH(ROWS($O$2:O751),$O$2:$O$1001,0),MATCH(COLUMNS($V$1006:Y1006),$V$1006:$AE$1006,0)), HYPERLINK("#",""), HYPERLINK(CONCATENATE("#Metadata!", ADDRESS(INDEX($Q$2:$Q$1001,MATCH(ROWS($O$2:O751),$O$2:$O$1001,0),0), INDEX($V$1004:$AE$1004,1,MATCH(COLUMNS($V$1006:Y1006),$V$1006:$AE$1006,0)))),"Fix")))</f>
        <v>0</v>
      </c>
      <c r="F751" s="3">
        <f>IF(OR(INDEX($P$2:$P$1001,MATCH(ROWS($O$2:O751),$O$2:$O$1001,0),1)&gt;=100000,INDEX($V$1005:$AE$1005,1,MATCH(COLUMNS($V$1006:Z1006),$V$1006:$AE$1006,0))&gt;=100000), " ",IF(INDEX($V$2:$AE$1001,MATCH(ROWS($O$2:O751),$O$2:$O$1001,0),MATCH(COLUMNS($V$1006:Z1006),$V$1006:$AE$1006,0)), HYPERLINK("#",""), HYPERLINK(CONCATENATE("#Metadata!", ADDRESS(INDEX($Q$2:$Q$1001,MATCH(ROWS($O$2:O751),$O$2:$O$1001,0),0), INDEX($V$1004:$AE$1004,1,MATCH(COLUMNS($V$1006:Z1006),$V$1006:$AE$1006,0)))),"Fix")))</f>
        <v>0</v>
      </c>
      <c r="G751" s="3">
        <f>IF(OR(INDEX($P$2:$P$1001,MATCH(ROWS($O$2:O751),$O$2:$O$1001,0),1)&gt;=100000,INDEX($V$1005:$AE$1005,1,MATCH(COLUMNS($V$1006:AA1006),$V$1006:$AE$1006,0))&gt;=100000), " ",IF(INDEX($V$2:$AE$1001,MATCH(ROWS($O$2:O751),$O$2:$O$1001,0),MATCH(COLUMNS($V$1006:AA1006),$V$1006:$AE$1006,0)), HYPERLINK("#",""), HYPERLINK(CONCATENATE("#Metadata!", ADDRESS(INDEX($Q$2:$Q$1001,MATCH(ROWS($O$2:O751),$O$2:$O$1001,0),0), INDEX($V$1004:$AE$1004,1,MATCH(COLUMNS($V$1006:AA1006),$V$1006:$AE$1006,0)))),"Fix")))</f>
        <v>0</v>
      </c>
      <c r="H751" s="3">
        <f>IF(OR(INDEX($P$2:$P$1001,MATCH(ROWS($O$2:O751),$O$2:$O$1001,0),1)&gt;=100000,INDEX($V$1005:$AE$1005,1,MATCH(COLUMNS($V$1006:AB1006),$V$1006:$AE$1006,0))&gt;=100000), " ",IF(INDEX($V$2:$AE$1001,MATCH(ROWS($O$2:O751),$O$2:$O$1001,0),MATCH(COLUMNS($V$1006:AB1006),$V$1006:$AE$1006,0)), HYPERLINK("#",""), HYPERLINK(CONCATENATE("#Metadata!", ADDRESS(INDEX($Q$2:$Q$1001,MATCH(ROWS($O$2:O751),$O$2:$O$1001,0),0), INDEX($V$1004:$AE$1004,1,MATCH(COLUMNS($V$1006:AB1006),$V$1006:$AE$1006,0)))),"Fix")))</f>
        <v>0</v>
      </c>
      <c r="I751" s="3">
        <f>IF(OR(INDEX($P$2:$P$1001,MATCH(ROWS($O$2:O751),$O$2:$O$1001,0),1)&gt;=100000,INDEX($V$1005:$AE$1005,1,MATCH(COLUMNS($V$1006:AC1006),$V$1006:$AE$1006,0))&gt;=100000), " ",IF(INDEX($V$2:$AE$1001,MATCH(ROWS($O$2:O751),$O$2:$O$1001,0),MATCH(COLUMNS($V$1006:AC1006),$V$1006:$AE$1006,0)), HYPERLINK("#",""), HYPERLINK(CONCATENATE("#Metadata!", ADDRESS(INDEX($Q$2:$Q$1001,MATCH(ROWS($O$2:O751),$O$2:$O$1001,0),0), INDEX($V$1004:$AE$1004,1,MATCH(COLUMNS($V$1006:AC1006),$V$1006:$AE$1006,0)))),"Fix")))</f>
        <v>0</v>
      </c>
      <c r="J751" s="3">
        <f>IF(OR(INDEX($P$2:$P$1001,MATCH(ROWS($O$2:O751),$O$2:$O$1001,0),1)&gt;=100000,INDEX($V$1005:$AE$1005,1,MATCH(COLUMNS($V$1006:AD1006),$V$1006:$AE$1006,0))&gt;=100000), " ",IF(INDEX($V$2:$AE$1001,MATCH(ROWS($O$2:O751),$O$2:$O$1001,0),MATCH(COLUMNS($V$1006:AD1006),$V$1006:$AE$1006,0)), HYPERLINK("#",""), HYPERLINK(CONCATENATE("#Metadata!", ADDRESS(INDEX($Q$2:$Q$1001,MATCH(ROWS($O$2:O751),$O$2:$O$1001,0),0), INDEX($V$1004:$AE$1004,1,MATCH(COLUMNS($V$1006:AD1006),$V$1006:$AE$1006,0)))),"Fix")))</f>
        <v>0</v>
      </c>
      <c r="K751" s="3">
        <f>IF(OR(INDEX($P$2:$P$1001,MATCH(ROWS($O$2:O751),$O$2:$O$1001,0),1)&gt;=100000,INDEX($V$1005:$AE$1005,1,MATCH(COLUMNS($V$1006:AE1006),$V$1006:$AE$1006,0))&gt;=100000), " ",IF(INDEX($V$2:$AE$1001,MATCH(ROWS($O$2:O751),$O$2:$O$1001,0),MATCH(COLUMNS($V$1006:AE1006),$V$1006:$AE$1006,0)), HYPERLINK("#",""), HYPERLINK(CONCATENATE("#Metadata!", ADDRESS(INDEX($Q$2:$Q$1001,MATCH(ROWS($O$2:O751),$O$2:$O$1001,0),0), INDEX($V$1004:$AE$1004,1,MATCH(COLUMNS($V$1006:AE1006),$V$1006:$AE$1006,0)))),"Fix")))</f>
        <v>0</v>
      </c>
      <c r="O751">
        <v>0</v>
      </c>
      <c r="P751">
        <v>0</v>
      </c>
      <c r="Q751">
        <v>0</v>
      </c>
      <c r="R751">
        <f>IF(S751,TRUE,AND(V751:AE751))</f>
        <v>0</v>
      </c>
      <c r="S751">
        <f>COUNTBLANK(Metadata!B751:K751)=COLUMNS(Metadata!B751:K751)</f>
        <v>0</v>
      </c>
      <c r="T751">
        <v>0</v>
      </c>
      <c r="V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W751">
        <f>AND(IF(Metadata!C751="",FALSE,TRUE),exact(Metadata!C751,"animal secretion"))</f>
        <v>0</v>
      </c>
      <c r="X751">
        <f>AND(IF(Metadata!D751="",FALSE,TRUE),exact(Metadata!D751,"saliva"))</f>
        <v>0</v>
      </c>
      <c r="Y751">
        <f>AND(IF(Metadata!E751="",FALSE,TRUE),exact(Metadata!E751,"human-oral"))</f>
        <v>0</v>
      </c>
      <c r="Z751">
        <f>AND(IF(Metadata!F751="",FALSE,TRUE),exact(Metadata!F751,"UBERON:oral cavity"))</f>
        <v>0</v>
      </c>
      <c r="AA751">
        <f>AND(IF(Metadata!G751="",FALSE,TRUE),exact(Metadata!G751,"UBERON:saliva"))</f>
        <v>0</v>
      </c>
      <c r="AB751">
        <f>AND(IF(Metadata!H751="",FALSE,TRUE),exact(Metadata!H751,"UBERON:tongue"))</f>
        <v>0</v>
      </c>
      <c r="AC751">
        <f>AND(IF(Metadata!I751="",FALSE,TRUE),exact(Metadata!I751,"tongue"))</f>
        <v>0</v>
      </c>
      <c r="AD751">
        <f>AND(IF(Metadata!J751="",FALSE,TRUE),exact(Metadata!J751,"human oral metagenome"))</f>
        <v>0</v>
      </c>
      <c r="AE751">
        <f>AND(IF(Metadata!K751="",FALSE,TRUE),exact(Metadata!K751,"447426"))</f>
        <v>0</v>
      </c>
    </row>
    <row r="752" spans="1:31">
      <c r="A752" s="4">
        <f>IF(B752=" "," ",HYPERLINK(CONCATENATE("#metadata!",ADDRESS(INDEX($Q$2:$Q$1001,MATCH(ROWS($O$2:O752),$O$2:$O$1001,0),0),1)),INDEX($T$2:$T$1001,MATCH(ROWS($O$2:O752),$O$2:$O$1001,0),0)))</f>
        <v>0</v>
      </c>
      <c r="B752" s="3">
        <f>IF(OR(INDEX($P$2:$P$1001,MATCH(ROWS($O$2:O752),$O$2:$O$1001,0),1)&gt;=100000,INDEX($V$1005:$AE$1005,1,MATCH(COLUMNS($V$1006:V1006),$V$1006:$AE$1006,0))&gt;=100000), " ",IF(INDEX($V$2:$AE$1001,MATCH(ROWS($O$2:O752),$O$2:$O$1001,0),MATCH(COLUMNS($V$1006:V1006),$V$1006:$AE$1006,0)), HYPERLINK("#",""), HYPERLINK(CONCATENATE("#Metadata!", ADDRESS(INDEX($Q$2:$Q$1001,MATCH(ROWS($O$2:O752),$O$2:$O$1001,0),0), INDEX($V$1004:$AE$1004,1,MATCH(COLUMNS($V$1006:V1006),$V$1006:$AE$1006,0)))),"Fix")))</f>
        <v>0</v>
      </c>
      <c r="C752" s="3">
        <f>IF(OR(INDEX($P$2:$P$1001,MATCH(ROWS($O$2:O752),$O$2:$O$1001,0),1)&gt;=100000,INDEX($V$1005:$AE$1005,1,MATCH(COLUMNS($V$1006:W1006),$V$1006:$AE$1006,0))&gt;=100000), " ",IF(INDEX($V$2:$AE$1001,MATCH(ROWS($O$2:O752),$O$2:$O$1001,0),MATCH(COLUMNS($V$1006:W1006),$V$1006:$AE$1006,0)), HYPERLINK("#",""), HYPERLINK(CONCATENATE("#Metadata!", ADDRESS(INDEX($Q$2:$Q$1001,MATCH(ROWS($O$2:O752),$O$2:$O$1001,0),0), INDEX($V$1004:$AE$1004,1,MATCH(COLUMNS($V$1006:W1006),$V$1006:$AE$1006,0)))),"Fix")))</f>
        <v>0</v>
      </c>
      <c r="D752" s="3">
        <f>IF(OR(INDEX($P$2:$P$1001,MATCH(ROWS($O$2:O752),$O$2:$O$1001,0),1)&gt;=100000,INDEX($V$1005:$AE$1005,1,MATCH(COLUMNS($V$1006:X1006),$V$1006:$AE$1006,0))&gt;=100000), " ",IF(INDEX($V$2:$AE$1001,MATCH(ROWS($O$2:O752),$O$2:$O$1001,0),MATCH(COLUMNS($V$1006:X1006),$V$1006:$AE$1006,0)), HYPERLINK("#",""), HYPERLINK(CONCATENATE("#Metadata!", ADDRESS(INDEX($Q$2:$Q$1001,MATCH(ROWS($O$2:O752),$O$2:$O$1001,0),0), INDEX($V$1004:$AE$1004,1,MATCH(COLUMNS($V$1006:X1006),$V$1006:$AE$1006,0)))),"Fix")))</f>
        <v>0</v>
      </c>
      <c r="E752" s="3">
        <f>IF(OR(INDEX($P$2:$P$1001,MATCH(ROWS($O$2:O752),$O$2:$O$1001,0),1)&gt;=100000,INDEX($V$1005:$AE$1005,1,MATCH(COLUMNS($V$1006:Y1006),$V$1006:$AE$1006,0))&gt;=100000), " ",IF(INDEX($V$2:$AE$1001,MATCH(ROWS($O$2:O752),$O$2:$O$1001,0),MATCH(COLUMNS($V$1006:Y1006),$V$1006:$AE$1006,0)), HYPERLINK("#",""), HYPERLINK(CONCATENATE("#Metadata!", ADDRESS(INDEX($Q$2:$Q$1001,MATCH(ROWS($O$2:O752),$O$2:$O$1001,0),0), INDEX($V$1004:$AE$1004,1,MATCH(COLUMNS($V$1006:Y1006),$V$1006:$AE$1006,0)))),"Fix")))</f>
        <v>0</v>
      </c>
      <c r="F752" s="3">
        <f>IF(OR(INDEX($P$2:$P$1001,MATCH(ROWS($O$2:O752),$O$2:$O$1001,0),1)&gt;=100000,INDEX($V$1005:$AE$1005,1,MATCH(COLUMNS($V$1006:Z1006),$V$1006:$AE$1006,0))&gt;=100000), " ",IF(INDEX($V$2:$AE$1001,MATCH(ROWS($O$2:O752),$O$2:$O$1001,0),MATCH(COLUMNS($V$1006:Z1006),$V$1006:$AE$1006,0)), HYPERLINK("#",""), HYPERLINK(CONCATENATE("#Metadata!", ADDRESS(INDEX($Q$2:$Q$1001,MATCH(ROWS($O$2:O752),$O$2:$O$1001,0),0), INDEX($V$1004:$AE$1004,1,MATCH(COLUMNS($V$1006:Z1006),$V$1006:$AE$1006,0)))),"Fix")))</f>
        <v>0</v>
      </c>
      <c r="G752" s="3">
        <f>IF(OR(INDEX($P$2:$P$1001,MATCH(ROWS($O$2:O752),$O$2:$O$1001,0),1)&gt;=100000,INDEX($V$1005:$AE$1005,1,MATCH(COLUMNS($V$1006:AA1006),$V$1006:$AE$1006,0))&gt;=100000), " ",IF(INDEX($V$2:$AE$1001,MATCH(ROWS($O$2:O752),$O$2:$O$1001,0),MATCH(COLUMNS($V$1006:AA1006),$V$1006:$AE$1006,0)), HYPERLINK("#",""), HYPERLINK(CONCATENATE("#Metadata!", ADDRESS(INDEX($Q$2:$Q$1001,MATCH(ROWS($O$2:O752),$O$2:$O$1001,0),0), INDEX($V$1004:$AE$1004,1,MATCH(COLUMNS($V$1006:AA1006),$V$1006:$AE$1006,0)))),"Fix")))</f>
        <v>0</v>
      </c>
      <c r="H752" s="3">
        <f>IF(OR(INDEX($P$2:$P$1001,MATCH(ROWS($O$2:O752),$O$2:$O$1001,0),1)&gt;=100000,INDEX($V$1005:$AE$1005,1,MATCH(COLUMNS($V$1006:AB1006),$V$1006:$AE$1006,0))&gt;=100000), " ",IF(INDEX($V$2:$AE$1001,MATCH(ROWS($O$2:O752),$O$2:$O$1001,0),MATCH(COLUMNS($V$1006:AB1006),$V$1006:$AE$1006,0)), HYPERLINK("#",""), HYPERLINK(CONCATENATE("#Metadata!", ADDRESS(INDEX($Q$2:$Q$1001,MATCH(ROWS($O$2:O752),$O$2:$O$1001,0),0), INDEX($V$1004:$AE$1004,1,MATCH(COLUMNS($V$1006:AB1006),$V$1006:$AE$1006,0)))),"Fix")))</f>
        <v>0</v>
      </c>
      <c r="I752" s="3">
        <f>IF(OR(INDEX($P$2:$P$1001,MATCH(ROWS($O$2:O752),$O$2:$O$1001,0),1)&gt;=100000,INDEX($V$1005:$AE$1005,1,MATCH(COLUMNS($V$1006:AC1006),$V$1006:$AE$1006,0))&gt;=100000), " ",IF(INDEX($V$2:$AE$1001,MATCH(ROWS($O$2:O752),$O$2:$O$1001,0),MATCH(COLUMNS($V$1006:AC1006),$V$1006:$AE$1006,0)), HYPERLINK("#",""), HYPERLINK(CONCATENATE("#Metadata!", ADDRESS(INDEX($Q$2:$Q$1001,MATCH(ROWS($O$2:O752),$O$2:$O$1001,0),0), INDEX($V$1004:$AE$1004,1,MATCH(COLUMNS($V$1006:AC1006),$V$1006:$AE$1006,0)))),"Fix")))</f>
        <v>0</v>
      </c>
      <c r="J752" s="3">
        <f>IF(OR(INDEX($P$2:$P$1001,MATCH(ROWS($O$2:O752),$O$2:$O$1001,0),1)&gt;=100000,INDEX($V$1005:$AE$1005,1,MATCH(COLUMNS($V$1006:AD1006),$V$1006:$AE$1006,0))&gt;=100000), " ",IF(INDEX($V$2:$AE$1001,MATCH(ROWS($O$2:O752),$O$2:$O$1001,0),MATCH(COLUMNS($V$1006:AD1006),$V$1006:$AE$1006,0)), HYPERLINK("#",""), HYPERLINK(CONCATENATE("#Metadata!", ADDRESS(INDEX($Q$2:$Q$1001,MATCH(ROWS($O$2:O752),$O$2:$O$1001,0),0), INDEX($V$1004:$AE$1004,1,MATCH(COLUMNS($V$1006:AD1006),$V$1006:$AE$1006,0)))),"Fix")))</f>
        <v>0</v>
      </c>
      <c r="K752" s="3">
        <f>IF(OR(INDEX($P$2:$P$1001,MATCH(ROWS($O$2:O752),$O$2:$O$1001,0),1)&gt;=100000,INDEX($V$1005:$AE$1005,1,MATCH(COLUMNS($V$1006:AE1006),$V$1006:$AE$1006,0))&gt;=100000), " ",IF(INDEX($V$2:$AE$1001,MATCH(ROWS($O$2:O752),$O$2:$O$1001,0),MATCH(COLUMNS($V$1006:AE1006),$V$1006:$AE$1006,0)), HYPERLINK("#",""), HYPERLINK(CONCATENATE("#Metadata!", ADDRESS(INDEX($Q$2:$Q$1001,MATCH(ROWS($O$2:O752),$O$2:$O$1001,0),0), INDEX($V$1004:$AE$1004,1,MATCH(COLUMNS($V$1006:AE1006),$V$1006:$AE$1006,0)))),"Fix")))</f>
        <v>0</v>
      </c>
      <c r="O752">
        <v>0</v>
      </c>
      <c r="P752">
        <v>0</v>
      </c>
      <c r="Q752">
        <v>0</v>
      </c>
      <c r="R752">
        <f>IF(S752,TRUE,AND(V752:AE752))</f>
        <v>0</v>
      </c>
      <c r="S752">
        <f>COUNTBLANK(Metadata!B752:K752)=COLUMNS(Metadata!B752:K752)</f>
        <v>0</v>
      </c>
      <c r="T752">
        <v>0</v>
      </c>
      <c r="V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W752">
        <f>AND(IF(Metadata!C752="",FALSE,TRUE),exact(Metadata!C752,"animal secretion"))</f>
        <v>0</v>
      </c>
      <c r="X752">
        <f>AND(IF(Metadata!D752="",FALSE,TRUE),exact(Metadata!D752,"saliva"))</f>
        <v>0</v>
      </c>
      <c r="Y752">
        <f>AND(IF(Metadata!E752="",FALSE,TRUE),exact(Metadata!E752,"human-oral"))</f>
        <v>0</v>
      </c>
      <c r="Z752">
        <f>AND(IF(Metadata!F752="",FALSE,TRUE),exact(Metadata!F752,"UBERON:oral cavity"))</f>
        <v>0</v>
      </c>
      <c r="AA752">
        <f>AND(IF(Metadata!G752="",FALSE,TRUE),exact(Metadata!G752,"UBERON:saliva"))</f>
        <v>0</v>
      </c>
      <c r="AB752">
        <f>AND(IF(Metadata!H752="",FALSE,TRUE),exact(Metadata!H752,"UBERON:tongue"))</f>
        <v>0</v>
      </c>
      <c r="AC752">
        <f>AND(IF(Metadata!I752="",FALSE,TRUE),exact(Metadata!I752,"tongue"))</f>
        <v>0</v>
      </c>
      <c r="AD752">
        <f>AND(IF(Metadata!J752="",FALSE,TRUE),exact(Metadata!J752,"human oral metagenome"))</f>
        <v>0</v>
      </c>
      <c r="AE752">
        <f>AND(IF(Metadata!K752="",FALSE,TRUE),exact(Metadata!K752,"447426"))</f>
        <v>0</v>
      </c>
    </row>
    <row r="753" spans="1:31">
      <c r="A753" s="4">
        <f>IF(B753=" "," ",HYPERLINK(CONCATENATE("#metadata!",ADDRESS(INDEX($Q$2:$Q$1001,MATCH(ROWS($O$2:O753),$O$2:$O$1001,0),0),1)),INDEX($T$2:$T$1001,MATCH(ROWS($O$2:O753),$O$2:$O$1001,0),0)))</f>
        <v>0</v>
      </c>
      <c r="B753" s="3">
        <f>IF(OR(INDEX($P$2:$P$1001,MATCH(ROWS($O$2:O753),$O$2:$O$1001,0),1)&gt;=100000,INDEX($V$1005:$AE$1005,1,MATCH(COLUMNS($V$1006:V1006),$V$1006:$AE$1006,0))&gt;=100000), " ",IF(INDEX($V$2:$AE$1001,MATCH(ROWS($O$2:O753),$O$2:$O$1001,0),MATCH(COLUMNS($V$1006:V1006),$V$1006:$AE$1006,0)), HYPERLINK("#",""), HYPERLINK(CONCATENATE("#Metadata!", ADDRESS(INDEX($Q$2:$Q$1001,MATCH(ROWS($O$2:O753),$O$2:$O$1001,0),0), INDEX($V$1004:$AE$1004,1,MATCH(COLUMNS($V$1006:V1006),$V$1006:$AE$1006,0)))),"Fix")))</f>
        <v>0</v>
      </c>
      <c r="C753" s="3">
        <f>IF(OR(INDEX($P$2:$P$1001,MATCH(ROWS($O$2:O753),$O$2:$O$1001,0),1)&gt;=100000,INDEX($V$1005:$AE$1005,1,MATCH(COLUMNS($V$1006:W1006),$V$1006:$AE$1006,0))&gt;=100000), " ",IF(INDEX($V$2:$AE$1001,MATCH(ROWS($O$2:O753),$O$2:$O$1001,0),MATCH(COLUMNS($V$1006:W1006),$V$1006:$AE$1006,0)), HYPERLINK("#",""), HYPERLINK(CONCATENATE("#Metadata!", ADDRESS(INDEX($Q$2:$Q$1001,MATCH(ROWS($O$2:O753),$O$2:$O$1001,0),0), INDEX($V$1004:$AE$1004,1,MATCH(COLUMNS($V$1006:W1006),$V$1006:$AE$1006,0)))),"Fix")))</f>
        <v>0</v>
      </c>
      <c r="D753" s="3">
        <f>IF(OR(INDEX($P$2:$P$1001,MATCH(ROWS($O$2:O753),$O$2:$O$1001,0),1)&gt;=100000,INDEX($V$1005:$AE$1005,1,MATCH(COLUMNS($V$1006:X1006),$V$1006:$AE$1006,0))&gt;=100000), " ",IF(INDEX($V$2:$AE$1001,MATCH(ROWS($O$2:O753),$O$2:$O$1001,0),MATCH(COLUMNS($V$1006:X1006),$V$1006:$AE$1006,0)), HYPERLINK("#",""), HYPERLINK(CONCATENATE("#Metadata!", ADDRESS(INDEX($Q$2:$Q$1001,MATCH(ROWS($O$2:O753),$O$2:$O$1001,0),0), INDEX($V$1004:$AE$1004,1,MATCH(COLUMNS($V$1006:X1006),$V$1006:$AE$1006,0)))),"Fix")))</f>
        <v>0</v>
      </c>
      <c r="E753" s="3">
        <f>IF(OR(INDEX($P$2:$P$1001,MATCH(ROWS($O$2:O753),$O$2:$O$1001,0),1)&gt;=100000,INDEX($V$1005:$AE$1005,1,MATCH(COLUMNS($V$1006:Y1006),$V$1006:$AE$1006,0))&gt;=100000), " ",IF(INDEX($V$2:$AE$1001,MATCH(ROWS($O$2:O753),$O$2:$O$1001,0),MATCH(COLUMNS($V$1006:Y1006),$V$1006:$AE$1006,0)), HYPERLINK("#",""), HYPERLINK(CONCATENATE("#Metadata!", ADDRESS(INDEX($Q$2:$Q$1001,MATCH(ROWS($O$2:O753),$O$2:$O$1001,0),0), INDEX($V$1004:$AE$1004,1,MATCH(COLUMNS($V$1006:Y1006),$V$1006:$AE$1006,0)))),"Fix")))</f>
        <v>0</v>
      </c>
      <c r="F753" s="3">
        <f>IF(OR(INDEX($P$2:$P$1001,MATCH(ROWS($O$2:O753),$O$2:$O$1001,0),1)&gt;=100000,INDEX($V$1005:$AE$1005,1,MATCH(COLUMNS($V$1006:Z1006),$V$1006:$AE$1006,0))&gt;=100000), " ",IF(INDEX($V$2:$AE$1001,MATCH(ROWS($O$2:O753),$O$2:$O$1001,0),MATCH(COLUMNS($V$1006:Z1006),$V$1006:$AE$1006,0)), HYPERLINK("#",""), HYPERLINK(CONCATENATE("#Metadata!", ADDRESS(INDEX($Q$2:$Q$1001,MATCH(ROWS($O$2:O753),$O$2:$O$1001,0),0), INDEX($V$1004:$AE$1004,1,MATCH(COLUMNS($V$1006:Z1006),$V$1006:$AE$1006,0)))),"Fix")))</f>
        <v>0</v>
      </c>
      <c r="G753" s="3">
        <f>IF(OR(INDEX($P$2:$P$1001,MATCH(ROWS($O$2:O753),$O$2:$O$1001,0),1)&gt;=100000,INDEX($V$1005:$AE$1005,1,MATCH(COLUMNS($V$1006:AA1006),$V$1006:$AE$1006,0))&gt;=100000), " ",IF(INDEX($V$2:$AE$1001,MATCH(ROWS($O$2:O753),$O$2:$O$1001,0),MATCH(COLUMNS($V$1006:AA1006),$V$1006:$AE$1006,0)), HYPERLINK("#",""), HYPERLINK(CONCATENATE("#Metadata!", ADDRESS(INDEX($Q$2:$Q$1001,MATCH(ROWS($O$2:O753),$O$2:$O$1001,0),0), INDEX($V$1004:$AE$1004,1,MATCH(COLUMNS($V$1006:AA1006),$V$1006:$AE$1006,0)))),"Fix")))</f>
        <v>0</v>
      </c>
      <c r="H753" s="3">
        <f>IF(OR(INDEX($P$2:$P$1001,MATCH(ROWS($O$2:O753),$O$2:$O$1001,0),1)&gt;=100000,INDEX($V$1005:$AE$1005,1,MATCH(COLUMNS($V$1006:AB1006),$V$1006:$AE$1006,0))&gt;=100000), " ",IF(INDEX($V$2:$AE$1001,MATCH(ROWS($O$2:O753),$O$2:$O$1001,0),MATCH(COLUMNS($V$1006:AB1006),$V$1006:$AE$1006,0)), HYPERLINK("#",""), HYPERLINK(CONCATENATE("#Metadata!", ADDRESS(INDEX($Q$2:$Q$1001,MATCH(ROWS($O$2:O753),$O$2:$O$1001,0),0), INDEX($V$1004:$AE$1004,1,MATCH(COLUMNS($V$1006:AB1006),$V$1006:$AE$1006,0)))),"Fix")))</f>
        <v>0</v>
      </c>
      <c r="I753" s="3">
        <f>IF(OR(INDEX($P$2:$P$1001,MATCH(ROWS($O$2:O753),$O$2:$O$1001,0),1)&gt;=100000,INDEX($V$1005:$AE$1005,1,MATCH(COLUMNS($V$1006:AC1006),$V$1006:$AE$1006,0))&gt;=100000), " ",IF(INDEX($V$2:$AE$1001,MATCH(ROWS($O$2:O753),$O$2:$O$1001,0),MATCH(COLUMNS($V$1006:AC1006),$V$1006:$AE$1006,0)), HYPERLINK("#",""), HYPERLINK(CONCATENATE("#Metadata!", ADDRESS(INDEX($Q$2:$Q$1001,MATCH(ROWS($O$2:O753),$O$2:$O$1001,0),0), INDEX($V$1004:$AE$1004,1,MATCH(COLUMNS($V$1006:AC1006),$V$1006:$AE$1006,0)))),"Fix")))</f>
        <v>0</v>
      </c>
      <c r="J753" s="3">
        <f>IF(OR(INDEX($P$2:$P$1001,MATCH(ROWS($O$2:O753),$O$2:$O$1001,0),1)&gt;=100000,INDEX($V$1005:$AE$1005,1,MATCH(COLUMNS($V$1006:AD1006),$V$1006:$AE$1006,0))&gt;=100000), " ",IF(INDEX($V$2:$AE$1001,MATCH(ROWS($O$2:O753),$O$2:$O$1001,0),MATCH(COLUMNS($V$1006:AD1006),$V$1006:$AE$1006,0)), HYPERLINK("#",""), HYPERLINK(CONCATENATE("#Metadata!", ADDRESS(INDEX($Q$2:$Q$1001,MATCH(ROWS($O$2:O753),$O$2:$O$1001,0),0), INDEX($V$1004:$AE$1004,1,MATCH(COLUMNS($V$1006:AD1006),$V$1006:$AE$1006,0)))),"Fix")))</f>
        <v>0</v>
      </c>
      <c r="K753" s="3">
        <f>IF(OR(INDEX($P$2:$P$1001,MATCH(ROWS($O$2:O753),$O$2:$O$1001,0),1)&gt;=100000,INDEX($V$1005:$AE$1005,1,MATCH(COLUMNS($V$1006:AE1006),$V$1006:$AE$1006,0))&gt;=100000), " ",IF(INDEX($V$2:$AE$1001,MATCH(ROWS($O$2:O753),$O$2:$O$1001,0),MATCH(COLUMNS($V$1006:AE1006),$V$1006:$AE$1006,0)), HYPERLINK("#",""), HYPERLINK(CONCATENATE("#Metadata!", ADDRESS(INDEX($Q$2:$Q$1001,MATCH(ROWS($O$2:O753),$O$2:$O$1001,0),0), INDEX($V$1004:$AE$1004,1,MATCH(COLUMNS($V$1006:AE1006),$V$1006:$AE$1006,0)))),"Fix")))</f>
        <v>0</v>
      </c>
      <c r="O753">
        <v>0</v>
      </c>
      <c r="P753">
        <v>0</v>
      </c>
      <c r="Q753">
        <v>0</v>
      </c>
      <c r="R753">
        <f>IF(S753,TRUE,AND(V753:AE753))</f>
        <v>0</v>
      </c>
      <c r="S753">
        <f>COUNTBLANK(Metadata!B753:K753)=COLUMNS(Metadata!B753:K753)</f>
        <v>0</v>
      </c>
      <c r="T753">
        <v>0</v>
      </c>
      <c r="V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W753">
        <f>AND(IF(Metadata!C753="",FALSE,TRUE),exact(Metadata!C753,"animal secretion"))</f>
        <v>0</v>
      </c>
      <c r="X753">
        <f>AND(IF(Metadata!D753="",FALSE,TRUE),exact(Metadata!D753,"saliva"))</f>
        <v>0</v>
      </c>
      <c r="Y753">
        <f>AND(IF(Metadata!E753="",FALSE,TRUE),exact(Metadata!E753,"human-oral"))</f>
        <v>0</v>
      </c>
      <c r="Z753">
        <f>AND(IF(Metadata!F753="",FALSE,TRUE),exact(Metadata!F753,"UBERON:oral cavity"))</f>
        <v>0</v>
      </c>
      <c r="AA753">
        <f>AND(IF(Metadata!G753="",FALSE,TRUE),exact(Metadata!G753,"UBERON:saliva"))</f>
        <v>0</v>
      </c>
      <c r="AB753">
        <f>AND(IF(Metadata!H753="",FALSE,TRUE),exact(Metadata!H753,"UBERON:tongue"))</f>
        <v>0</v>
      </c>
      <c r="AC753">
        <f>AND(IF(Metadata!I753="",FALSE,TRUE),exact(Metadata!I753,"tongue"))</f>
        <v>0</v>
      </c>
      <c r="AD753">
        <f>AND(IF(Metadata!J753="",FALSE,TRUE),exact(Metadata!J753,"human oral metagenome"))</f>
        <v>0</v>
      </c>
      <c r="AE753">
        <f>AND(IF(Metadata!K753="",FALSE,TRUE),exact(Metadata!K753,"447426"))</f>
        <v>0</v>
      </c>
    </row>
    <row r="754" spans="1:31">
      <c r="A754" s="4">
        <f>IF(B754=" "," ",HYPERLINK(CONCATENATE("#metadata!",ADDRESS(INDEX($Q$2:$Q$1001,MATCH(ROWS($O$2:O754),$O$2:$O$1001,0),0),1)),INDEX($T$2:$T$1001,MATCH(ROWS($O$2:O754),$O$2:$O$1001,0),0)))</f>
        <v>0</v>
      </c>
      <c r="B754" s="3">
        <f>IF(OR(INDEX($P$2:$P$1001,MATCH(ROWS($O$2:O754),$O$2:$O$1001,0),1)&gt;=100000,INDEX($V$1005:$AE$1005,1,MATCH(COLUMNS($V$1006:V1006),$V$1006:$AE$1006,0))&gt;=100000), " ",IF(INDEX($V$2:$AE$1001,MATCH(ROWS($O$2:O754),$O$2:$O$1001,0),MATCH(COLUMNS($V$1006:V1006),$V$1006:$AE$1006,0)), HYPERLINK("#",""), HYPERLINK(CONCATENATE("#Metadata!", ADDRESS(INDEX($Q$2:$Q$1001,MATCH(ROWS($O$2:O754),$O$2:$O$1001,0),0), INDEX($V$1004:$AE$1004,1,MATCH(COLUMNS($V$1006:V1006),$V$1006:$AE$1006,0)))),"Fix")))</f>
        <v>0</v>
      </c>
      <c r="C754" s="3">
        <f>IF(OR(INDEX($P$2:$P$1001,MATCH(ROWS($O$2:O754),$O$2:$O$1001,0),1)&gt;=100000,INDEX($V$1005:$AE$1005,1,MATCH(COLUMNS($V$1006:W1006),$V$1006:$AE$1006,0))&gt;=100000), " ",IF(INDEX($V$2:$AE$1001,MATCH(ROWS($O$2:O754),$O$2:$O$1001,0),MATCH(COLUMNS($V$1006:W1006),$V$1006:$AE$1006,0)), HYPERLINK("#",""), HYPERLINK(CONCATENATE("#Metadata!", ADDRESS(INDEX($Q$2:$Q$1001,MATCH(ROWS($O$2:O754),$O$2:$O$1001,0),0), INDEX($V$1004:$AE$1004,1,MATCH(COLUMNS($V$1006:W1006),$V$1006:$AE$1006,0)))),"Fix")))</f>
        <v>0</v>
      </c>
      <c r="D754" s="3">
        <f>IF(OR(INDEX($P$2:$P$1001,MATCH(ROWS($O$2:O754),$O$2:$O$1001,0),1)&gt;=100000,INDEX($V$1005:$AE$1005,1,MATCH(COLUMNS($V$1006:X1006),$V$1006:$AE$1006,0))&gt;=100000), " ",IF(INDEX($V$2:$AE$1001,MATCH(ROWS($O$2:O754),$O$2:$O$1001,0),MATCH(COLUMNS($V$1006:X1006),$V$1006:$AE$1006,0)), HYPERLINK("#",""), HYPERLINK(CONCATENATE("#Metadata!", ADDRESS(INDEX($Q$2:$Q$1001,MATCH(ROWS($O$2:O754),$O$2:$O$1001,0),0), INDEX($V$1004:$AE$1004,1,MATCH(COLUMNS($V$1006:X1006),$V$1006:$AE$1006,0)))),"Fix")))</f>
        <v>0</v>
      </c>
      <c r="E754" s="3">
        <f>IF(OR(INDEX($P$2:$P$1001,MATCH(ROWS($O$2:O754),$O$2:$O$1001,0),1)&gt;=100000,INDEX($V$1005:$AE$1005,1,MATCH(COLUMNS($V$1006:Y1006),$V$1006:$AE$1006,0))&gt;=100000), " ",IF(INDEX($V$2:$AE$1001,MATCH(ROWS($O$2:O754),$O$2:$O$1001,0),MATCH(COLUMNS($V$1006:Y1006),$V$1006:$AE$1006,0)), HYPERLINK("#",""), HYPERLINK(CONCATENATE("#Metadata!", ADDRESS(INDEX($Q$2:$Q$1001,MATCH(ROWS($O$2:O754),$O$2:$O$1001,0),0), INDEX($V$1004:$AE$1004,1,MATCH(COLUMNS($V$1006:Y1006),$V$1006:$AE$1006,0)))),"Fix")))</f>
        <v>0</v>
      </c>
      <c r="F754" s="3">
        <f>IF(OR(INDEX($P$2:$P$1001,MATCH(ROWS($O$2:O754),$O$2:$O$1001,0),1)&gt;=100000,INDEX($V$1005:$AE$1005,1,MATCH(COLUMNS($V$1006:Z1006),$V$1006:$AE$1006,0))&gt;=100000), " ",IF(INDEX($V$2:$AE$1001,MATCH(ROWS($O$2:O754),$O$2:$O$1001,0),MATCH(COLUMNS($V$1006:Z1006),$V$1006:$AE$1006,0)), HYPERLINK("#",""), HYPERLINK(CONCATENATE("#Metadata!", ADDRESS(INDEX($Q$2:$Q$1001,MATCH(ROWS($O$2:O754),$O$2:$O$1001,0),0), INDEX($V$1004:$AE$1004,1,MATCH(COLUMNS($V$1006:Z1006),$V$1006:$AE$1006,0)))),"Fix")))</f>
        <v>0</v>
      </c>
      <c r="G754" s="3">
        <f>IF(OR(INDEX($P$2:$P$1001,MATCH(ROWS($O$2:O754),$O$2:$O$1001,0),1)&gt;=100000,INDEX($V$1005:$AE$1005,1,MATCH(COLUMNS($V$1006:AA1006),$V$1006:$AE$1006,0))&gt;=100000), " ",IF(INDEX($V$2:$AE$1001,MATCH(ROWS($O$2:O754),$O$2:$O$1001,0),MATCH(COLUMNS($V$1006:AA1006),$V$1006:$AE$1006,0)), HYPERLINK("#",""), HYPERLINK(CONCATENATE("#Metadata!", ADDRESS(INDEX($Q$2:$Q$1001,MATCH(ROWS($O$2:O754),$O$2:$O$1001,0),0), INDEX($V$1004:$AE$1004,1,MATCH(COLUMNS($V$1006:AA1006),$V$1006:$AE$1006,0)))),"Fix")))</f>
        <v>0</v>
      </c>
      <c r="H754" s="3">
        <f>IF(OR(INDEX($P$2:$P$1001,MATCH(ROWS($O$2:O754),$O$2:$O$1001,0),1)&gt;=100000,INDEX($V$1005:$AE$1005,1,MATCH(COLUMNS($V$1006:AB1006),$V$1006:$AE$1006,0))&gt;=100000), " ",IF(INDEX($V$2:$AE$1001,MATCH(ROWS($O$2:O754),$O$2:$O$1001,0),MATCH(COLUMNS($V$1006:AB1006),$V$1006:$AE$1006,0)), HYPERLINK("#",""), HYPERLINK(CONCATENATE("#Metadata!", ADDRESS(INDEX($Q$2:$Q$1001,MATCH(ROWS($O$2:O754),$O$2:$O$1001,0),0), INDEX($V$1004:$AE$1004,1,MATCH(COLUMNS($V$1006:AB1006),$V$1006:$AE$1006,0)))),"Fix")))</f>
        <v>0</v>
      </c>
      <c r="I754" s="3">
        <f>IF(OR(INDEX($P$2:$P$1001,MATCH(ROWS($O$2:O754),$O$2:$O$1001,0),1)&gt;=100000,INDEX($V$1005:$AE$1005,1,MATCH(COLUMNS($V$1006:AC1006),$V$1006:$AE$1006,0))&gt;=100000), " ",IF(INDEX($V$2:$AE$1001,MATCH(ROWS($O$2:O754),$O$2:$O$1001,0),MATCH(COLUMNS($V$1006:AC1006),$V$1006:$AE$1006,0)), HYPERLINK("#",""), HYPERLINK(CONCATENATE("#Metadata!", ADDRESS(INDEX($Q$2:$Q$1001,MATCH(ROWS($O$2:O754),$O$2:$O$1001,0),0), INDEX($V$1004:$AE$1004,1,MATCH(COLUMNS($V$1006:AC1006),$V$1006:$AE$1006,0)))),"Fix")))</f>
        <v>0</v>
      </c>
      <c r="J754" s="3">
        <f>IF(OR(INDEX($P$2:$P$1001,MATCH(ROWS($O$2:O754),$O$2:$O$1001,0),1)&gt;=100000,INDEX($V$1005:$AE$1005,1,MATCH(COLUMNS($V$1006:AD1006),$V$1006:$AE$1006,0))&gt;=100000), " ",IF(INDEX($V$2:$AE$1001,MATCH(ROWS($O$2:O754),$O$2:$O$1001,0),MATCH(COLUMNS($V$1006:AD1006),$V$1006:$AE$1006,0)), HYPERLINK("#",""), HYPERLINK(CONCATENATE("#Metadata!", ADDRESS(INDEX($Q$2:$Q$1001,MATCH(ROWS($O$2:O754),$O$2:$O$1001,0),0), INDEX($V$1004:$AE$1004,1,MATCH(COLUMNS($V$1006:AD1006),$V$1006:$AE$1006,0)))),"Fix")))</f>
        <v>0</v>
      </c>
      <c r="K754" s="3">
        <f>IF(OR(INDEX($P$2:$P$1001,MATCH(ROWS($O$2:O754),$O$2:$O$1001,0),1)&gt;=100000,INDEX($V$1005:$AE$1005,1,MATCH(COLUMNS($V$1006:AE1006),$V$1006:$AE$1006,0))&gt;=100000), " ",IF(INDEX($V$2:$AE$1001,MATCH(ROWS($O$2:O754),$O$2:$O$1001,0),MATCH(COLUMNS($V$1006:AE1006),$V$1006:$AE$1006,0)), HYPERLINK("#",""), HYPERLINK(CONCATENATE("#Metadata!", ADDRESS(INDEX($Q$2:$Q$1001,MATCH(ROWS($O$2:O754),$O$2:$O$1001,0),0), INDEX($V$1004:$AE$1004,1,MATCH(COLUMNS($V$1006:AE1006),$V$1006:$AE$1006,0)))),"Fix")))</f>
        <v>0</v>
      </c>
      <c r="O754">
        <v>0</v>
      </c>
      <c r="P754">
        <v>0</v>
      </c>
      <c r="Q754">
        <v>0</v>
      </c>
      <c r="R754">
        <f>IF(S754,TRUE,AND(V754:AE754))</f>
        <v>0</v>
      </c>
      <c r="S754">
        <f>COUNTBLANK(Metadata!B754:K754)=COLUMNS(Metadata!B754:K754)</f>
        <v>0</v>
      </c>
      <c r="T754">
        <v>0</v>
      </c>
      <c r="V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W754">
        <f>AND(IF(Metadata!C754="",FALSE,TRUE),exact(Metadata!C754,"animal secretion"))</f>
        <v>0</v>
      </c>
      <c r="X754">
        <f>AND(IF(Metadata!D754="",FALSE,TRUE),exact(Metadata!D754,"saliva"))</f>
        <v>0</v>
      </c>
      <c r="Y754">
        <f>AND(IF(Metadata!E754="",FALSE,TRUE),exact(Metadata!E754,"human-oral"))</f>
        <v>0</v>
      </c>
      <c r="Z754">
        <f>AND(IF(Metadata!F754="",FALSE,TRUE),exact(Metadata!F754,"UBERON:oral cavity"))</f>
        <v>0</v>
      </c>
      <c r="AA754">
        <f>AND(IF(Metadata!G754="",FALSE,TRUE),exact(Metadata!G754,"UBERON:saliva"))</f>
        <v>0</v>
      </c>
      <c r="AB754">
        <f>AND(IF(Metadata!H754="",FALSE,TRUE),exact(Metadata!H754,"UBERON:tongue"))</f>
        <v>0</v>
      </c>
      <c r="AC754">
        <f>AND(IF(Metadata!I754="",FALSE,TRUE),exact(Metadata!I754,"tongue"))</f>
        <v>0</v>
      </c>
      <c r="AD754">
        <f>AND(IF(Metadata!J754="",FALSE,TRUE),exact(Metadata!J754,"human oral metagenome"))</f>
        <v>0</v>
      </c>
      <c r="AE754">
        <f>AND(IF(Metadata!K754="",FALSE,TRUE),exact(Metadata!K754,"447426"))</f>
        <v>0</v>
      </c>
    </row>
    <row r="755" spans="1:31">
      <c r="A755" s="4">
        <f>IF(B755=" "," ",HYPERLINK(CONCATENATE("#metadata!",ADDRESS(INDEX($Q$2:$Q$1001,MATCH(ROWS($O$2:O755),$O$2:$O$1001,0),0),1)),INDEX($T$2:$T$1001,MATCH(ROWS($O$2:O755),$O$2:$O$1001,0),0)))</f>
        <v>0</v>
      </c>
      <c r="B755" s="3">
        <f>IF(OR(INDEX($P$2:$P$1001,MATCH(ROWS($O$2:O755),$O$2:$O$1001,0),1)&gt;=100000,INDEX($V$1005:$AE$1005,1,MATCH(COLUMNS($V$1006:V1006),$V$1006:$AE$1006,0))&gt;=100000), " ",IF(INDEX($V$2:$AE$1001,MATCH(ROWS($O$2:O755),$O$2:$O$1001,0),MATCH(COLUMNS($V$1006:V1006),$V$1006:$AE$1006,0)), HYPERLINK("#",""), HYPERLINK(CONCATENATE("#Metadata!", ADDRESS(INDEX($Q$2:$Q$1001,MATCH(ROWS($O$2:O755),$O$2:$O$1001,0),0), INDEX($V$1004:$AE$1004,1,MATCH(COLUMNS($V$1006:V1006),$V$1006:$AE$1006,0)))),"Fix")))</f>
        <v>0</v>
      </c>
      <c r="C755" s="3">
        <f>IF(OR(INDEX($P$2:$P$1001,MATCH(ROWS($O$2:O755),$O$2:$O$1001,0),1)&gt;=100000,INDEX($V$1005:$AE$1005,1,MATCH(COLUMNS($V$1006:W1006),$V$1006:$AE$1006,0))&gt;=100000), " ",IF(INDEX($V$2:$AE$1001,MATCH(ROWS($O$2:O755),$O$2:$O$1001,0),MATCH(COLUMNS($V$1006:W1006),$V$1006:$AE$1006,0)), HYPERLINK("#",""), HYPERLINK(CONCATENATE("#Metadata!", ADDRESS(INDEX($Q$2:$Q$1001,MATCH(ROWS($O$2:O755),$O$2:$O$1001,0),0), INDEX($V$1004:$AE$1004,1,MATCH(COLUMNS($V$1006:W1006),$V$1006:$AE$1006,0)))),"Fix")))</f>
        <v>0</v>
      </c>
      <c r="D755" s="3">
        <f>IF(OR(INDEX($P$2:$P$1001,MATCH(ROWS($O$2:O755),$O$2:$O$1001,0),1)&gt;=100000,INDEX($V$1005:$AE$1005,1,MATCH(COLUMNS($V$1006:X1006),$V$1006:$AE$1006,0))&gt;=100000), " ",IF(INDEX($V$2:$AE$1001,MATCH(ROWS($O$2:O755),$O$2:$O$1001,0),MATCH(COLUMNS($V$1006:X1006),$V$1006:$AE$1006,0)), HYPERLINK("#",""), HYPERLINK(CONCATENATE("#Metadata!", ADDRESS(INDEX($Q$2:$Q$1001,MATCH(ROWS($O$2:O755),$O$2:$O$1001,0),0), INDEX($V$1004:$AE$1004,1,MATCH(COLUMNS($V$1006:X1006),$V$1006:$AE$1006,0)))),"Fix")))</f>
        <v>0</v>
      </c>
      <c r="E755" s="3">
        <f>IF(OR(INDEX($P$2:$P$1001,MATCH(ROWS($O$2:O755),$O$2:$O$1001,0),1)&gt;=100000,INDEX($V$1005:$AE$1005,1,MATCH(COLUMNS($V$1006:Y1006),$V$1006:$AE$1006,0))&gt;=100000), " ",IF(INDEX($V$2:$AE$1001,MATCH(ROWS($O$2:O755),$O$2:$O$1001,0),MATCH(COLUMNS($V$1006:Y1006),$V$1006:$AE$1006,0)), HYPERLINK("#",""), HYPERLINK(CONCATENATE("#Metadata!", ADDRESS(INDEX($Q$2:$Q$1001,MATCH(ROWS($O$2:O755),$O$2:$O$1001,0),0), INDEX($V$1004:$AE$1004,1,MATCH(COLUMNS($V$1006:Y1006),$V$1006:$AE$1006,0)))),"Fix")))</f>
        <v>0</v>
      </c>
      <c r="F755" s="3">
        <f>IF(OR(INDEX($P$2:$P$1001,MATCH(ROWS($O$2:O755),$O$2:$O$1001,0),1)&gt;=100000,INDEX($V$1005:$AE$1005,1,MATCH(COLUMNS($V$1006:Z1006),$V$1006:$AE$1006,0))&gt;=100000), " ",IF(INDEX($V$2:$AE$1001,MATCH(ROWS($O$2:O755),$O$2:$O$1001,0),MATCH(COLUMNS($V$1006:Z1006),$V$1006:$AE$1006,0)), HYPERLINK("#",""), HYPERLINK(CONCATENATE("#Metadata!", ADDRESS(INDEX($Q$2:$Q$1001,MATCH(ROWS($O$2:O755),$O$2:$O$1001,0),0), INDEX($V$1004:$AE$1004,1,MATCH(COLUMNS($V$1006:Z1006),$V$1006:$AE$1006,0)))),"Fix")))</f>
        <v>0</v>
      </c>
      <c r="G755" s="3">
        <f>IF(OR(INDEX($P$2:$P$1001,MATCH(ROWS($O$2:O755),$O$2:$O$1001,0),1)&gt;=100000,INDEX($V$1005:$AE$1005,1,MATCH(COLUMNS($V$1006:AA1006),$V$1006:$AE$1006,0))&gt;=100000), " ",IF(INDEX($V$2:$AE$1001,MATCH(ROWS($O$2:O755),$O$2:$O$1001,0),MATCH(COLUMNS($V$1006:AA1006),$V$1006:$AE$1006,0)), HYPERLINK("#",""), HYPERLINK(CONCATENATE("#Metadata!", ADDRESS(INDEX($Q$2:$Q$1001,MATCH(ROWS($O$2:O755),$O$2:$O$1001,0),0), INDEX($V$1004:$AE$1004,1,MATCH(COLUMNS($V$1006:AA1006),$V$1006:$AE$1006,0)))),"Fix")))</f>
        <v>0</v>
      </c>
      <c r="H755" s="3">
        <f>IF(OR(INDEX($P$2:$P$1001,MATCH(ROWS($O$2:O755),$O$2:$O$1001,0),1)&gt;=100000,INDEX($V$1005:$AE$1005,1,MATCH(COLUMNS($V$1006:AB1006),$V$1006:$AE$1006,0))&gt;=100000), " ",IF(INDEX($V$2:$AE$1001,MATCH(ROWS($O$2:O755),$O$2:$O$1001,0),MATCH(COLUMNS($V$1006:AB1006),$V$1006:$AE$1006,0)), HYPERLINK("#",""), HYPERLINK(CONCATENATE("#Metadata!", ADDRESS(INDEX($Q$2:$Q$1001,MATCH(ROWS($O$2:O755),$O$2:$O$1001,0),0), INDEX($V$1004:$AE$1004,1,MATCH(COLUMNS($V$1006:AB1006),$V$1006:$AE$1006,0)))),"Fix")))</f>
        <v>0</v>
      </c>
      <c r="I755" s="3">
        <f>IF(OR(INDEX($P$2:$P$1001,MATCH(ROWS($O$2:O755),$O$2:$O$1001,0),1)&gt;=100000,INDEX($V$1005:$AE$1005,1,MATCH(COLUMNS($V$1006:AC1006),$V$1006:$AE$1006,0))&gt;=100000), " ",IF(INDEX($V$2:$AE$1001,MATCH(ROWS($O$2:O755),$O$2:$O$1001,0),MATCH(COLUMNS($V$1006:AC1006),$V$1006:$AE$1006,0)), HYPERLINK("#",""), HYPERLINK(CONCATENATE("#Metadata!", ADDRESS(INDEX($Q$2:$Q$1001,MATCH(ROWS($O$2:O755),$O$2:$O$1001,0),0), INDEX($V$1004:$AE$1004,1,MATCH(COLUMNS($V$1006:AC1006),$V$1006:$AE$1006,0)))),"Fix")))</f>
        <v>0</v>
      </c>
      <c r="J755" s="3">
        <f>IF(OR(INDEX($P$2:$P$1001,MATCH(ROWS($O$2:O755),$O$2:$O$1001,0),1)&gt;=100000,INDEX($V$1005:$AE$1005,1,MATCH(COLUMNS($V$1006:AD1006),$V$1006:$AE$1006,0))&gt;=100000), " ",IF(INDEX($V$2:$AE$1001,MATCH(ROWS($O$2:O755),$O$2:$O$1001,0),MATCH(COLUMNS($V$1006:AD1006),$V$1006:$AE$1006,0)), HYPERLINK("#",""), HYPERLINK(CONCATENATE("#Metadata!", ADDRESS(INDEX($Q$2:$Q$1001,MATCH(ROWS($O$2:O755),$O$2:$O$1001,0),0), INDEX($V$1004:$AE$1004,1,MATCH(COLUMNS($V$1006:AD1006),$V$1006:$AE$1006,0)))),"Fix")))</f>
        <v>0</v>
      </c>
      <c r="K755" s="3">
        <f>IF(OR(INDEX($P$2:$P$1001,MATCH(ROWS($O$2:O755),$O$2:$O$1001,0),1)&gt;=100000,INDEX($V$1005:$AE$1005,1,MATCH(COLUMNS($V$1006:AE1006),$V$1006:$AE$1006,0))&gt;=100000), " ",IF(INDEX($V$2:$AE$1001,MATCH(ROWS($O$2:O755),$O$2:$O$1001,0),MATCH(COLUMNS($V$1006:AE1006),$V$1006:$AE$1006,0)), HYPERLINK("#",""), HYPERLINK(CONCATENATE("#Metadata!", ADDRESS(INDEX($Q$2:$Q$1001,MATCH(ROWS($O$2:O755),$O$2:$O$1001,0),0), INDEX($V$1004:$AE$1004,1,MATCH(COLUMNS($V$1006:AE1006),$V$1006:$AE$1006,0)))),"Fix")))</f>
        <v>0</v>
      </c>
      <c r="O755">
        <v>0</v>
      </c>
      <c r="P755">
        <v>0</v>
      </c>
      <c r="Q755">
        <v>0</v>
      </c>
      <c r="R755">
        <f>IF(S755,TRUE,AND(V755:AE755))</f>
        <v>0</v>
      </c>
      <c r="S755">
        <f>COUNTBLANK(Metadata!B755:K755)=COLUMNS(Metadata!B755:K755)</f>
        <v>0</v>
      </c>
      <c r="T755">
        <v>0</v>
      </c>
      <c r="V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W755">
        <f>AND(IF(Metadata!C755="",FALSE,TRUE),exact(Metadata!C755,"animal secretion"))</f>
        <v>0</v>
      </c>
      <c r="X755">
        <f>AND(IF(Metadata!D755="",FALSE,TRUE),exact(Metadata!D755,"saliva"))</f>
        <v>0</v>
      </c>
      <c r="Y755">
        <f>AND(IF(Metadata!E755="",FALSE,TRUE),exact(Metadata!E755,"human-oral"))</f>
        <v>0</v>
      </c>
      <c r="Z755">
        <f>AND(IF(Metadata!F755="",FALSE,TRUE),exact(Metadata!F755,"UBERON:oral cavity"))</f>
        <v>0</v>
      </c>
      <c r="AA755">
        <f>AND(IF(Metadata!G755="",FALSE,TRUE),exact(Metadata!G755,"UBERON:saliva"))</f>
        <v>0</v>
      </c>
      <c r="AB755">
        <f>AND(IF(Metadata!H755="",FALSE,TRUE),exact(Metadata!H755,"UBERON:tongue"))</f>
        <v>0</v>
      </c>
      <c r="AC755">
        <f>AND(IF(Metadata!I755="",FALSE,TRUE),exact(Metadata!I755,"tongue"))</f>
        <v>0</v>
      </c>
      <c r="AD755">
        <f>AND(IF(Metadata!J755="",FALSE,TRUE),exact(Metadata!J755,"human oral metagenome"))</f>
        <v>0</v>
      </c>
      <c r="AE755">
        <f>AND(IF(Metadata!K755="",FALSE,TRUE),exact(Metadata!K755,"447426"))</f>
        <v>0</v>
      </c>
    </row>
    <row r="756" spans="1:31">
      <c r="A756" s="4">
        <f>IF(B756=" "," ",HYPERLINK(CONCATENATE("#metadata!",ADDRESS(INDEX($Q$2:$Q$1001,MATCH(ROWS($O$2:O756),$O$2:$O$1001,0),0),1)),INDEX($T$2:$T$1001,MATCH(ROWS($O$2:O756),$O$2:$O$1001,0),0)))</f>
        <v>0</v>
      </c>
      <c r="B756" s="3">
        <f>IF(OR(INDEX($P$2:$P$1001,MATCH(ROWS($O$2:O756),$O$2:$O$1001,0),1)&gt;=100000,INDEX($V$1005:$AE$1005,1,MATCH(COLUMNS($V$1006:V1006),$V$1006:$AE$1006,0))&gt;=100000), " ",IF(INDEX($V$2:$AE$1001,MATCH(ROWS($O$2:O756),$O$2:$O$1001,0),MATCH(COLUMNS($V$1006:V1006),$V$1006:$AE$1006,0)), HYPERLINK("#",""), HYPERLINK(CONCATENATE("#Metadata!", ADDRESS(INDEX($Q$2:$Q$1001,MATCH(ROWS($O$2:O756),$O$2:$O$1001,0),0), INDEX($V$1004:$AE$1004,1,MATCH(COLUMNS($V$1006:V1006),$V$1006:$AE$1006,0)))),"Fix")))</f>
        <v>0</v>
      </c>
      <c r="C756" s="3">
        <f>IF(OR(INDEX($P$2:$P$1001,MATCH(ROWS($O$2:O756),$O$2:$O$1001,0),1)&gt;=100000,INDEX($V$1005:$AE$1005,1,MATCH(COLUMNS($V$1006:W1006),$V$1006:$AE$1006,0))&gt;=100000), " ",IF(INDEX($V$2:$AE$1001,MATCH(ROWS($O$2:O756),$O$2:$O$1001,0),MATCH(COLUMNS($V$1006:W1006),$V$1006:$AE$1006,0)), HYPERLINK("#",""), HYPERLINK(CONCATENATE("#Metadata!", ADDRESS(INDEX($Q$2:$Q$1001,MATCH(ROWS($O$2:O756),$O$2:$O$1001,0),0), INDEX($V$1004:$AE$1004,1,MATCH(COLUMNS($V$1006:W1006),$V$1006:$AE$1006,0)))),"Fix")))</f>
        <v>0</v>
      </c>
      <c r="D756" s="3">
        <f>IF(OR(INDEX($P$2:$P$1001,MATCH(ROWS($O$2:O756),$O$2:$O$1001,0),1)&gt;=100000,INDEX($V$1005:$AE$1005,1,MATCH(COLUMNS($V$1006:X1006),$V$1006:$AE$1006,0))&gt;=100000), " ",IF(INDEX($V$2:$AE$1001,MATCH(ROWS($O$2:O756),$O$2:$O$1001,0),MATCH(COLUMNS($V$1006:X1006),$V$1006:$AE$1006,0)), HYPERLINK("#",""), HYPERLINK(CONCATENATE("#Metadata!", ADDRESS(INDEX($Q$2:$Q$1001,MATCH(ROWS($O$2:O756),$O$2:$O$1001,0),0), INDEX($V$1004:$AE$1004,1,MATCH(COLUMNS($V$1006:X1006),$V$1006:$AE$1006,0)))),"Fix")))</f>
        <v>0</v>
      </c>
      <c r="E756" s="3">
        <f>IF(OR(INDEX($P$2:$P$1001,MATCH(ROWS($O$2:O756),$O$2:$O$1001,0),1)&gt;=100000,INDEX($V$1005:$AE$1005,1,MATCH(COLUMNS($V$1006:Y1006),$V$1006:$AE$1006,0))&gt;=100000), " ",IF(INDEX($V$2:$AE$1001,MATCH(ROWS($O$2:O756),$O$2:$O$1001,0),MATCH(COLUMNS($V$1006:Y1006),$V$1006:$AE$1006,0)), HYPERLINK("#",""), HYPERLINK(CONCATENATE("#Metadata!", ADDRESS(INDEX($Q$2:$Q$1001,MATCH(ROWS($O$2:O756),$O$2:$O$1001,0),0), INDEX($V$1004:$AE$1004,1,MATCH(COLUMNS($V$1006:Y1006),$V$1006:$AE$1006,0)))),"Fix")))</f>
        <v>0</v>
      </c>
      <c r="F756" s="3">
        <f>IF(OR(INDEX($P$2:$P$1001,MATCH(ROWS($O$2:O756),$O$2:$O$1001,0),1)&gt;=100000,INDEX($V$1005:$AE$1005,1,MATCH(COLUMNS($V$1006:Z1006),$V$1006:$AE$1006,0))&gt;=100000), " ",IF(INDEX($V$2:$AE$1001,MATCH(ROWS($O$2:O756),$O$2:$O$1001,0),MATCH(COLUMNS($V$1006:Z1006),$V$1006:$AE$1006,0)), HYPERLINK("#",""), HYPERLINK(CONCATENATE("#Metadata!", ADDRESS(INDEX($Q$2:$Q$1001,MATCH(ROWS($O$2:O756),$O$2:$O$1001,0),0), INDEX($V$1004:$AE$1004,1,MATCH(COLUMNS($V$1006:Z1006),$V$1006:$AE$1006,0)))),"Fix")))</f>
        <v>0</v>
      </c>
      <c r="G756" s="3">
        <f>IF(OR(INDEX($P$2:$P$1001,MATCH(ROWS($O$2:O756),$O$2:$O$1001,0),1)&gt;=100000,INDEX($V$1005:$AE$1005,1,MATCH(COLUMNS($V$1006:AA1006),$V$1006:$AE$1006,0))&gt;=100000), " ",IF(INDEX($V$2:$AE$1001,MATCH(ROWS($O$2:O756),$O$2:$O$1001,0),MATCH(COLUMNS($V$1006:AA1006),$V$1006:$AE$1006,0)), HYPERLINK("#",""), HYPERLINK(CONCATENATE("#Metadata!", ADDRESS(INDEX($Q$2:$Q$1001,MATCH(ROWS($O$2:O756),$O$2:$O$1001,0),0), INDEX($V$1004:$AE$1004,1,MATCH(COLUMNS($V$1006:AA1006),$V$1006:$AE$1006,0)))),"Fix")))</f>
        <v>0</v>
      </c>
      <c r="H756" s="3">
        <f>IF(OR(INDEX($P$2:$P$1001,MATCH(ROWS($O$2:O756),$O$2:$O$1001,0),1)&gt;=100000,INDEX($V$1005:$AE$1005,1,MATCH(COLUMNS($V$1006:AB1006),$V$1006:$AE$1006,0))&gt;=100000), " ",IF(INDEX($V$2:$AE$1001,MATCH(ROWS($O$2:O756),$O$2:$O$1001,0),MATCH(COLUMNS($V$1006:AB1006),$V$1006:$AE$1006,0)), HYPERLINK("#",""), HYPERLINK(CONCATENATE("#Metadata!", ADDRESS(INDEX($Q$2:$Q$1001,MATCH(ROWS($O$2:O756),$O$2:$O$1001,0),0), INDEX($V$1004:$AE$1004,1,MATCH(COLUMNS($V$1006:AB1006),$V$1006:$AE$1006,0)))),"Fix")))</f>
        <v>0</v>
      </c>
      <c r="I756" s="3">
        <f>IF(OR(INDEX($P$2:$P$1001,MATCH(ROWS($O$2:O756),$O$2:$O$1001,0),1)&gt;=100000,INDEX($V$1005:$AE$1005,1,MATCH(COLUMNS($V$1006:AC1006),$V$1006:$AE$1006,0))&gt;=100000), " ",IF(INDEX($V$2:$AE$1001,MATCH(ROWS($O$2:O756),$O$2:$O$1001,0),MATCH(COLUMNS($V$1006:AC1006),$V$1006:$AE$1006,0)), HYPERLINK("#",""), HYPERLINK(CONCATENATE("#Metadata!", ADDRESS(INDEX($Q$2:$Q$1001,MATCH(ROWS($O$2:O756),$O$2:$O$1001,0),0), INDEX($V$1004:$AE$1004,1,MATCH(COLUMNS($V$1006:AC1006),$V$1006:$AE$1006,0)))),"Fix")))</f>
        <v>0</v>
      </c>
      <c r="J756" s="3">
        <f>IF(OR(INDEX($P$2:$P$1001,MATCH(ROWS($O$2:O756),$O$2:$O$1001,0),1)&gt;=100000,INDEX($V$1005:$AE$1005,1,MATCH(COLUMNS($V$1006:AD1006),$V$1006:$AE$1006,0))&gt;=100000), " ",IF(INDEX($V$2:$AE$1001,MATCH(ROWS($O$2:O756),$O$2:$O$1001,0),MATCH(COLUMNS($V$1006:AD1006),$V$1006:$AE$1006,0)), HYPERLINK("#",""), HYPERLINK(CONCATENATE("#Metadata!", ADDRESS(INDEX($Q$2:$Q$1001,MATCH(ROWS($O$2:O756),$O$2:$O$1001,0),0), INDEX($V$1004:$AE$1004,1,MATCH(COLUMNS($V$1006:AD1006),$V$1006:$AE$1006,0)))),"Fix")))</f>
        <v>0</v>
      </c>
      <c r="K756" s="3">
        <f>IF(OR(INDEX($P$2:$P$1001,MATCH(ROWS($O$2:O756),$O$2:$O$1001,0),1)&gt;=100000,INDEX($V$1005:$AE$1005,1,MATCH(COLUMNS($V$1006:AE1006),$V$1006:$AE$1006,0))&gt;=100000), " ",IF(INDEX($V$2:$AE$1001,MATCH(ROWS($O$2:O756),$O$2:$O$1001,0),MATCH(COLUMNS($V$1006:AE1006),$V$1006:$AE$1006,0)), HYPERLINK("#",""), HYPERLINK(CONCATENATE("#Metadata!", ADDRESS(INDEX($Q$2:$Q$1001,MATCH(ROWS($O$2:O756),$O$2:$O$1001,0),0), INDEX($V$1004:$AE$1004,1,MATCH(COLUMNS($V$1006:AE1006),$V$1006:$AE$1006,0)))),"Fix")))</f>
        <v>0</v>
      </c>
      <c r="O756">
        <v>0</v>
      </c>
      <c r="P756">
        <v>0</v>
      </c>
      <c r="Q756">
        <v>0</v>
      </c>
      <c r="R756">
        <f>IF(S756,TRUE,AND(V756:AE756))</f>
        <v>0</v>
      </c>
      <c r="S756">
        <f>COUNTBLANK(Metadata!B756:K756)=COLUMNS(Metadata!B756:K756)</f>
        <v>0</v>
      </c>
      <c r="T756">
        <v>0</v>
      </c>
      <c r="V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W756">
        <f>AND(IF(Metadata!C756="",FALSE,TRUE),exact(Metadata!C756,"animal secretion"))</f>
        <v>0</v>
      </c>
      <c r="X756">
        <f>AND(IF(Metadata!D756="",FALSE,TRUE),exact(Metadata!D756,"saliva"))</f>
        <v>0</v>
      </c>
      <c r="Y756">
        <f>AND(IF(Metadata!E756="",FALSE,TRUE),exact(Metadata!E756,"human-oral"))</f>
        <v>0</v>
      </c>
      <c r="Z756">
        <f>AND(IF(Metadata!F756="",FALSE,TRUE),exact(Metadata!F756,"UBERON:oral cavity"))</f>
        <v>0</v>
      </c>
      <c r="AA756">
        <f>AND(IF(Metadata!G756="",FALSE,TRUE),exact(Metadata!G756,"UBERON:saliva"))</f>
        <v>0</v>
      </c>
      <c r="AB756">
        <f>AND(IF(Metadata!H756="",FALSE,TRUE),exact(Metadata!H756,"UBERON:tongue"))</f>
        <v>0</v>
      </c>
      <c r="AC756">
        <f>AND(IF(Metadata!I756="",FALSE,TRUE),exact(Metadata!I756,"tongue"))</f>
        <v>0</v>
      </c>
      <c r="AD756">
        <f>AND(IF(Metadata!J756="",FALSE,TRUE),exact(Metadata!J756,"human oral metagenome"))</f>
        <v>0</v>
      </c>
      <c r="AE756">
        <f>AND(IF(Metadata!K756="",FALSE,TRUE),exact(Metadata!K756,"447426"))</f>
        <v>0</v>
      </c>
    </row>
    <row r="757" spans="1:31">
      <c r="A757" s="4">
        <f>IF(B757=" "," ",HYPERLINK(CONCATENATE("#metadata!",ADDRESS(INDEX($Q$2:$Q$1001,MATCH(ROWS($O$2:O757),$O$2:$O$1001,0),0),1)),INDEX($T$2:$T$1001,MATCH(ROWS($O$2:O757),$O$2:$O$1001,0),0)))</f>
        <v>0</v>
      </c>
      <c r="B757" s="3">
        <f>IF(OR(INDEX($P$2:$P$1001,MATCH(ROWS($O$2:O757),$O$2:$O$1001,0),1)&gt;=100000,INDEX($V$1005:$AE$1005,1,MATCH(COLUMNS($V$1006:V1006),$V$1006:$AE$1006,0))&gt;=100000), " ",IF(INDEX($V$2:$AE$1001,MATCH(ROWS($O$2:O757),$O$2:$O$1001,0),MATCH(COLUMNS($V$1006:V1006),$V$1006:$AE$1006,0)), HYPERLINK("#",""), HYPERLINK(CONCATENATE("#Metadata!", ADDRESS(INDEX($Q$2:$Q$1001,MATCH(ROWS($O$2:O757),$O$2:$O$1001,0),0), INDEX($V$1004:$AE$1004,1,MATCH(COLUMNS($V$1006:V1006),$V$1006:$AE$1006,0)))),"Fix")))</f>
        <v>0</v>
      </c>
      <c r="C757" s="3">
        <f>IF(OR(INDEX($P$2:$P$1001,MATCH(ROWS($O$2:O757),$O$2:$O$1001,0),1)&gt;=100000,INDEX($V$1005:$AE$1005,1,MATCH(COLUMNS($V$1006:W1006),$V$1006:$AE$1006,0))&gt;=100000), " ",IF(INDEX($V$2:$AE$1001,MATCH(ROWS($O$2:O757),$O$2:$O$1001,0),MATCH(COLUMNS($V$1006:W1006),$V$1006:$AE$1006,0)), HYPERLINK("#",""), HYPERLINK(CONCATENATE("#Metadata!", ADDRESS(INDEX($Q$2:$Q$1001,MATCH(ROWS($O$2:O757),$O$2:$O$1001,0),0), INDEX($V$1004:$AE$1004,1,MATCH(COLUMNS($V$1006:W1006),$V$1006:$AE$1006,0)))),"Fix")))</f>
        <v>0</v>
      </c>
      <c r="D757" s="3">
        <f>IF(OR(INDEX($P$2:$P$1001,MATCH(ROWS($O$2:O757),$O$2:$O$1001,0),1)&gt;=100000,INDEX($V$1005:$AE$1005,1,MATCH(COLUMNS($V$1006:X1006),$V$1006:$AE$1006,0))&gt;=100000), " ",IF(INDEX($V$2:$AE$1001,MATCH(ROWS($O$2:O757),$O$2:$O$1001,0),MATCH(COLUMNS($V$1006:X1006),$V$1006:$AE$1006,0)), HYPERLINK("#",""), HYPERLINK(CONCATENATE("#Metadata!", ADDRESS(INDEX($Q$2:$Q$1001,MATCH(ROWS($O$2:O757),$O$2:$O$1001,0),0), INDEX($V$1004:$AE$1004,1,MATCH(COLUMNS($V$1006:X1006),$V$1006:$AE$1006,0)))),"Fix")))</f>
        <v>0</v>
      </c>
      <c r="E757" s="3">
        <f>IF(OR(INDEX($P$2:$P$1001,MATCH(ROWS($O$2:O757),$O$2:$O$1001,0),1)&gt;=100000,INDEX($V$1005:$AE$1005,1,MATCH(COLUMNS($V$1006:Y1006),$V$1006:$AE$1006,0))&gt;=100000), " ",IF(INDEX($V$2:$AE$1001,MATCH(ROWS($O$2:O757),$O$2:$O$1001,0),MATCH(COLUMNS($V$1006:Y1006),$V$1006:$AE$1006,0)), HYPERLINK("#",""), HYPERLINK(CONCATENATE("#Metadata!", ADDRESS(INDEX($Q$2:$Q$1001,MATCH(ROWS($O$2:O757),$O$2:$O$1001,0),0), INDEX($V$1004:$AE$1004,1,MATCH(COLUMNS($V$1006:Y1006),$V$1006:$AE$1006,0)))),"Fix")))</f>
        <v>0</v>
      </c>
      <c r="F757" s="3">
        <f>IF(OR(INDEX($P$2:$P$1001,MATCH(ROWS($O$2:O757),$O$2:$O$1001,0),1)&gt;=100000,INDEX($V$1005:$AE$1005,1,MATCH(COLUMNS($V$1006:Z1006),$V$1006:$AE$1006,0))&gt;=100000), " ",IF(INDEX($V$2:$AE$1001,MATCH(ROWS($O$2:O757),$O$2:$O$1001,0),MATCH(COLUMNS($V$1006:Z1006),$V$1006:$AE$1006,0)), HYPERLINK("#",""), HYPERLINK(CONCATENATE("#Metadata!", ADDRESS(INDEX($Q$2:$Q$1001,MATCH(ROWS($O$2:O757),$O$2:$O$1001,0),0), INDEX($V$1004:$AE$1004,1,MATCH(COLUMNS($V$1006:Z1006),$V$1006:$AE$1006,0)))),"Fix")))</f>
        <v>0</v>
      </c>
      <c r="G757" s="3">
        <f>IF(OR(INDEX($P$2:$P$1001,MATCH(ROWS($O$2:O757),$O$2:$O$1001,0),1)&gt;=100000,INDEX($V$1005:$AE$1005,1,MATCH(COLUMNS($V$1006:AA1006),$V$1006:$AE$1006,0))&gt;=100000), " ",IF(INDEX($V$2:$AE$1001,MATCH(ROWS($O$2:O757),$O$2:$O$1001,0),MATCH(COLUMNS($V$1006:AA1006),$V$1006:$AE$1006,0)), HYPERLINK("#",""), HYPERLINK(CONCATENATE("#Metadata!", ADDRESS(INDEX($Q$2:$Q$1001,MATCH(ROWS($O$2:O757),$O$2:$O$1001,0),0), INDEX($V$1004:$AE$1004,1,MATCH(COLUMNS($V$1006:AA1006),$V$1006:$AE$1006,0)))),"Fix")))</f>
        <v>0</v>
      </c>
      <c r="H757" s="3">
        <f>IF(OR(INDEX($P$2:$P$1001,MATCH(ROWS($O$2:O757),$O$2:$O$1001,0),1)&gt;=100000,INDEX($V$1005:$AE$1005,1,MATCH(COLUMNS($V$1006:AB1006),$V$1006:$AE$1006,0))&gt;=100000), " ",IF(INDEX($V$2:$AE$1001,MATCH(ROWS($O$2:O757),$O$2:$O$1001,0),MATCH(COLUMNS($V$1006:AB1006),$V$1006:$AE$1006,0)), HYPERLINK("#",""), HYPERLINK(CONCATENATE("#Metadata!", ADDRESS(INDEX($Q$2:$Q$1001,MATCH(ROWS($O$2:O757),$O$2:$O$1001,0),0), INDEX($V$1004:$AE$1004,1,MATCH(COLUMNS($V$1006:AB1006),$V$1006:$AE$1006,0)))),"Fix")))</f>
        <v>0</v>
      </c>
      <c r="I757" s="3">
        <f>IF(OR(INDEX($P$2:$P$1001,MATCH(ROWS($O$2:O757),$O$2:$O$1001,0),1)&gt;=100000,INDEX($V$1005:$AE$1005,1,MATCH(COLUMNS($V$1006:AC1006),$V$1006:$AE$1006,0))&gt;=100000), " ",IF(INDEX($V$2:$AE$1001,MATCH(ROWS($O$2:O757),$O$2:$O$1001,0),MATCH(COLUMNS($V$1006:AC1006),$V$1006:$AE$1006,0)), HYPERLINK("#",""), HYPERLINK(CONCATENATE("#Metadata!", ADDRESS(INDEX($Q$2:$Q$1001,MATCH(ROWS($O$2:O757),$O$2:$O$1001,0),0), INDEX($V$1004:$AE$1004,1,MATCH(COLUMNS($V$1006:AC1006),$V$1006:$AE$1006,0)))),"Fix")))</f>
        <v>0</v>
      </c>
      <c r="J757" s="3">
        <f>IF(OR(INDEX($P$2:$P$1001,MATCH(ROWS($O$2:O757),$O$2:$O$1001,0),1)&gt;=100000,INDEX($V$1005:$AE$1005,1,MATCH(COLUMNS($V$1006:AD1006),$V$1006:$AE$1006,0))&gt;=100000), " ",IF(INDEX($V$2:$AE$1001,MATCH(ROWS($O$2:O757),$O$2:$O$1001,0),MATCH(COLUMNS($V$1006:AD1006),$V$1006:$AE$1006,0)), HYPERLINK("#",""), HYPERLINK(CONCATENATE("#Metadata!", ADDRESS(INDEX($Q$2:$Q$1001,MATCH(ROWS($O$2:O757),$O$2:$O$1001,0),0), INDEX($V$1004:$AE$1004,1,MATCH(COLUMNS($V$1006:AD1006),$V$1006:$AE$1006,0)))),"Fix")))</f>
        <v>0</v>
      </c>
      <c r="K757" s="3">
        <f>IF(OR(INDEX($P$2:$P$1001,MATCH(ROWS($O$2:O757),$O$2:$O$1001,0),1)&gt;=100000,INDEX($V$1005:$AE$1005,1,MATCH(COLUMNS($V$1006:AE1006),$V$1006:$AE$1006,0))&gt;=100000), " ",IF(INDEX($V$2:$AE$1001,MATCH(ROWS($O$2:O757),$O$2:$O$1001,0),MATCH(COLUMNS($V$1006:AE1006),$V$1006:$AE$1006,0)), HYPERLINK("#",""), HYPERLINK(CONCATENATE("#Metadata!", ADDRESS(INDEX($Q$2:$Q$1001,MATCH(ROWS($O$2:O757),$O$2:$O$1001,0),0), INDEX($V$1004:$AE$1004,1,MATCH(COLUMNS($V$1006:AE1006),$V$1006:$AE$1006,0)))),"Fix")))</f>
        <v>0</v>
      </c>
      <c r="O757">
        <v>0</v>
      </c>
      <c r="P757">
        <v>0</v>
      </c>
      <c r="Q757">
        <v>0</v>
      </c>
      <c r="R757">
        <f>IF(S757,TRUE,AND(V757:AE757))</f>
        <v>0</v>
      </c>
      <c r="S757">
        <f>COUNTBLANK(Metadata!B757:K757)=COLUMNS(Metadata!B757:K757)</f>
        <v>0</v>
      </c>
      <c r="T757">
        <v>0</v>
      </c>
      <c r="V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W757">
        <f>AND(IF(Metadata!C757="",FALSE,TRUE),exact(Metadata!C757,"animal secretion"))</f>
        <v>0</v>
      </c>
      <c r="X757">
        <f>AND(IF(Metadata!D757="",FALSE,TRUE),exact(Metadata!D757,"saliva"))</f>
        <v>0</v>
      </c>
      <c r="Y757">
        <f>AND(IF(Metadata!E757="",FALSE,TRUE),exact(Metadata!E757,"human-oral"))</f>
        <v>0</v>
      </c>
      <c r="Z757">
        <f>AND(IF(Metadata!F757="",FALSE,TRUE),exact(Metadata!F757,"UBERON:oral cavity"))</f>
        <v>0</v>
      </c>
      <c r="AA757">
        <f>AND(IF(Metadata!G757="",FALSE,TRUE),exact(Metadata!G757,"UBERON:saliva"))</f>
        <v>0</v>
      </c>
      <c r="AB757">
        <f>AND(IF(Metadata!H757="",FALSE,TRUE),exact(Metadata!H757,"UBERON:tongue"))</f>
        <v>0</v>
      </c>
      <c r="AC757">
        <f>AND(IF(Metadata!I757="",FALSE,TRUE),exact(Metadata!I757,"tongue"))</f>
        <v>0</v>
      </c>
      <c r="AD757">
        <f>AND(IF(Metadata!J757="",FALSE,TRUE),exact(Metadata!J757,"human oral metagenome"))</f>
        <v>0</v>
      </c>
      <c r="AE757">
        <f>AND(IF(Metadata!K757="",FALSE,TRUE),exact(Metadata!K757,"447426"))</f>
        <v>0</v>
      </c>
    </row>
    <row r="758" spans="1:31">
      <c r="A758" s="4">
        <f>IF(B758=" "," ",HYPERLINK(CONCATENATE("#metadata!",ADDRESS(INDEX($Q$2:$Q$1001,MATCH(ROWS($O$2:O758),$O$2:$O$1001,0),0),1)),INDEX($T$2:$T$1001,MATCH(ROWS($O$2:O758),$O$2:$O$1001,0),0)))</f>
        <v>0</v>
      </c>
      <c r="B758" s="3">
        <f>IF(OR(INDEX($P$2:$P$1001,MATCH(ROWS($O$2:O758),$O$2:$O$1001,0),1)&gt;=100000,INDEX($V$1005:$AE$1005,1,MATCH(COLUMNS($V$1006:V1006),$V$1006:$AE$1006,0))&gt;=100000), " ",IF(INDEX($V$2:$AE$1001,MATCH(ROWS($O$2:O758),$O$2:$O$1001,0),MATCH(COLUMNS($V$1006:V1006),$V$1006:$AE$1006,0)), HYPERLINK("#",""), HYPERLINK(CONCATENATE("#Metadata!", ADDRESS(INDEX($Q$2:$Q$1001,MATCH(ROWS($O$2:O758),$O$2:$O$1001,0),0), INDEX($V$1004:$AE$1004,1,MATCH(COLUMNS($V$1006:V1006),$V$1006:$AE$1006,0)))),"Fix")))</f>
        <v>0</v>
      </c>
      <c r="C758" s="3">
        <f>IF(OR(INDEX($P$2:$P$1001,MATCH(ROWS($O$2:O758),$O$2:$O$1001,0),1)&gt;=100000,INDEX($V$1005:$AE$1005,1,MATCH(COLUMNS($V$1006:W1006),$V$1006:$AE$1006,0))&gt;=100000), " ",IF(INDEX($V$2:$AE$1001,MATCH(ROWS($O$2:O758),$O$2:$O$1001,0),MATCH(COLUMNS($V$1006:W1006),$V$1006:$AE$1006,0)), HYPERLINK("#",""), HYPERLINK(CONCATENATE("#Metadata!", ADDRESS(INDEX($Q$2:$Q$1001,MATCH(ROWS($O$2:O758),$O$2:$O$1001,0),0), INDEX($V$1004:$AE$1004,1,MATCH(COLUMNS($V$1006:W1006),$V$1006:$AE$1006,0)))),"Fix")))</f>
        <v>0</v>
      </c>
      <c r="D758" s="3">
        <f>IF(OR(INDEX($P$2:$P$1001,MATCH(ROWS($O$2:O758),$O$2:$O$1001,0),1)&gt;=100000,INDEX($V$1005:$AE$1005,1,MATCH(COLUMNS($V$1006:X1006),$V$1006:$AE$1006,0))&gt;=100000), " ",IF(INDEX($V$2:$AE$1001,MATCH(ROWS($O$2:O758),$O$2:$O$1001,0),MATCH(COLUMNS($V$1006:X1006),$V$1006:$AE$1006,0)), HYPERLINK("#",""), HYPERLINK(CONCATENATE("#Metadata!", ADDRESS(INDEX($Q$2:$Q$1001,MATCH(ROWS($O$2:O758),$O$2:$O$1001,0),0), INDEX($V$1004:$AE$1004,1,MATCH(COLUMNS($V$1006:X1006),$V$1006:$AE$1006,0)))),"Fix")))</f>
        <v>0</v>
      </c>
      <c r="E758" s="3">
        <f>IF(OR(INDEX($P$2:$P$1001,MATCH(ROWS($O$2:O758),$O$2:$O$1001,0),1)&gt;=100000,INDEX($V$1005:$AE$1005,1,MATCH(COLUMNS($V$1006:Y1006),$V$1006:$AE$1006,0))&gt;=100000), " ",IF(INDEX($V$2:$AE$1001,MATCH(ROWS($O$2:O758),$O$2:$O$1001,0),MATCH(COLUMNS($V$1006:Y1006),$V$1006:$AE$1006,0)), HYPERLINK("#",""), HYPERLINK(CONCATENATE("#Metadata!", ADDRESS(INDEX($Q$2:$Q$1001,MATCH(ROWS($O$2:O758),$O$2:$O$1001,0),0), INDEX($V$1004:$AE$1004,1,MATCH(COLUMNS($V$1006:Y1006),$V$1006:$AE$1006,0)))),"Fix")))</f>
        <v>0</v>
      </c>
      <c r="F758" s="3">
        <f>IF(OR(INDEX($P$2:$P$1001,MATCH(ROWS($O$2:O758),$O$2:$O$1001,0),1)&gt;=100000,INDEX($V$1005:$AE$1005,1,MATCH(COLUMNS($V$1006:Z1006),$V$1006:$AE$1006,0))&gt;=100000), " ",IF(INDEX($V$2:$AE$1001,MATCH(ROWS($O$2:O758),$O$2:$O$1001,0),MATCH(COLUMNS($V$1006:Z1006),$V$1006:$AE$1006,0)), HYPERLINK("#",""), HYPERLINK(CONCATENATE("#Metadata!", ADDRESS(INDEX($Q$2:$Q$1001,MATCH(ROWS($O$2:O758),$O$2:$O$1001,0),0), INDEX($V$1004:$AE$1004,1,MATCH(COLUMNS($V$1006:Z1006),$V$1006:$AE$1006,0)))),"Fix")))</f>
        <v>0</v>
      </c>
      <c r="G758" s="3">
        <f>IF(OR(INDEX($P$2:$P$1001,MATCH(ROWS($O$2:O758),$O$2:$O$1001,0),1)&gt;=100000,INDEX($V$1005:$AE$1005,1,MATCH(COLUMNS($V$1006:AA1006),$V$1006:$AE$1006,0))&gt;=100000), " ",IF(INDEX($V$2:$AE$1001,MATCH(ROWS($O$2:O758),$O$2:$O$1001,0),MATCH(COLUMNS($V$1006:AA1006),$V$1006:$AE$1006,0)), HYPERLINK("#",""), HYPERLINK(CONCATENATE("#Metadata!", ADDRESS(INDEX($Q$2:$Q$1001,MATCH(ROWS($O$2:O758),$O$2:$O$1001,0),0), INDEX($V$1004:$AE$1004,1,MATCH(COLUMNS($V$1006:AA1006),$V$1006:$AE$1006,0)))),"Fix")))</f>
        <v>0</v>
      </c>
      <c r="H758" s="3">
        <f>IF(OR(INDEX($P$2:$P$1001,MATCH(ROWS($O$2:O758),$O$2:$O$1001,0),1)&gt;=100000,INDEX($V$1005:$AE$1005,1,MATCH(COLUMNS($V$1006:AB1006),$V$1006:$AE$1006,0))&gt;=100000), " ",IF(INDEX($V$2:$AE$1001,MATCH(ROWS($O$2:O758),$O$2:$O$1001,0),MATCH(COLUMNS($V$1006:AB1006),$V$1006:$AE$1006,0)), HYPERLINK("#",""), HYPERLINK(CONCATENATE("#Metadata!", ADDRESS(INDEX($Q$2:$Q$1001,MATCH(ROWS($O$2:O758),$O$2:$O$1001,0),0), INDEX($V$1004:$AE$1004,1,MATCH(COLUMNS($V$1006:AB1006),$V$1006:$AE$1006,0)))),"Fix")))</f>
        <v>0</v>
      </c>
      <c r="I758" s="3">
        <f>IF(OR(INDEX($P$2:$P$1001,MATCH(ROWS($O$2:O758),$O$2:$O$1001,0),1)&gt;=100000,INDEX($V$1005:$AE$1005,1,MATCH(COLUMNS($V$1006:AC1006),$V$1006:$AE$1006,0))&gt;=100000), " ",IF(INDEX($V$2:$AE$1001,MATCH(ROWS($O$2:O758),$O$2:$O$1001,0),MATCH(COLUMNS($V$1006:AC1006),$V$1006:$AE$1006,0)), HYPERLINK("#",""), HYPERLINK(CONCATENATE("#Metadata!", ADDRESS(INDEX($Q$2:$Q$1001,MATCH(ROWS($O$2:O758),$O$2:$O$1001,0),0), INDEX($V$1004:$AE$1004,1,MATCH(COLUMNS($V$1006:AC1006),$V$1006:$AE$1006,0)))),"Fix")))</f>
        <v>0</v>
      </c>
      <c r="J758" s="3">
        <f>IF(OR(INDEX($P$2:$P$1001,MATCH(ROWS($O$2:O758),$O$2:$O$1001,0),1)&gt;=100000,INDEX($V$1005:$AE$1005,1,MATCH(COLUMNS($V$1006:AD1006),$V$1006:$AE$1006,0))&gt;=100000), " ",IF(INDEX($V$2:$AE$1001,MATCH(ROWS($O$2:O758),$O$2:$O$1001,0),MATCH(COLUMNS($V$1006:AD1006),$V$1006:$AE$1006,0)), HYPERLINK("#",""), HYPERLINK(CONCATENATE("#Metadata!", ADDRESS(INDEX($Q$2:$Q$1001,MATCH(ROWS($O$2:O758),$O$2:$O$1001,0),0), INDEX($V$1004:$AE$1004,1,MATCH(COLUMNS($V$1006:AD1006),$V$1006:$AE$1006,0)))),"Fix")))</f>
        <v>0</v>
      </c>
      <c r="K758" s="3">
        <f>IF(OR(INDEX($P$2:$P$1001,MATCH(ROWS($O$2:O758),$O$2:$O$1001,0),1)&gt;=100000,INDEX($V$1005:$AE$1005,1,MATCH(COLUMNS($V$1006:AE1006),$V$1006:$AE$1006,0))&gt;=100000), " ",IF(INDEX($V$2:$AE$1001,MATCH(ROWS($O$2:O758),$O$2:$O$1001,0),MATCH(COLUMNS($V$1006:AE1006),$V$1006:$AE$1006,0)), HYPERLINK("#",""), HYPERLINK(CONCATENATE("#Metadata!", ADDRESS(INDEX($Q$2:$Q$1001,MATCH(ROWS($O$2:O758),$O$2:$O$1001,0),0), INDEX($V$1004:$AE$1004,1,MATCH(COLUMNS($V$1006:AE1006),$V$1006:$AE$1006,0)))),"Fix")))</f>
        <v>0</v>
      </c>
      <c r="O758">
        <v>0</v>
      </c>
      <c r="P758">
        <v>0</v>
      </c>
      <c r="Q758">
        <v>0</v>
      </c>
      <c r="R758">
        <f>IF(S758,TRUE,AND(V758:AE758))</f>
        <v>0</v>
      </c>
      <c r="S758">
        <f>COUNTBLANK(Metadata!B758:K758)=COLUMNS(Metadata!B758:K758)</f>
        <v>0</v>
      </c>
      <c r="T758">
        <v>0</v>
      </c>
      <c r="V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W758">
        <f>AND(IF(Metadata!C758="",FALSE,TRUE),exact(Metadata!C758,"animal secretion"))</f>
        <v>0</v>
      </c>
      <c r="X758">
        <f>AND(IF(Metadata!D758="",FALSE,TRUE),exact(Metadata!D758,"saliva"))</f>
        <v>0</v>
      </c>
      <c r="Y758">
        <f>AND(IF(Metadata!E758="",FALSE,TRUE),exact(Metadata!E758,"human-oral"))</f>
        <v>0</v>
      </c>
      <c r="Z758">
        <f>AND(IF(Metadata!F758="",FALSE,TRUE),exact(Metadata!F758,"UBERON:oral cavity"))</f>
        <v>0</v>
      </c>
      <c r="AA758">
        <f>AND(IF(Metadata!G758="",FALSE,TRUE),exact(Metadata!G758,"UBERON:saliva"))</f>
        <v>0</v>
      </c>
      <c r="AB758">
        <f>AND(IF(Metadata!H758="",FALSE,TRUE),exact(Metadata!H758,"UBERON:tongue"))</f>
        <v>0</v>
      </c>
      <c r="AC758">
        <f>AND(IF(Metadata!I758="",FALSE,TRUE),exact(Metadata!I758,"tongue"))</f>
        <v>0</v>
      </c>
      <c r="AD758">
        <f>AND(IF(Metadata!J758="",FALSE,TRUE),exact(Metadata!J758,"human oral metagenome"))</f>
        <v>0</v>
      </c>
      <c r="AE758">
        <f>AND(IF(Metadata!K758="",FALSE,TRUE),exact(Metadata!K758,"447426"))</f>
        <v>0</v>
      </c>
    </row>
    <row r="759" spans="1:31">
      <c r="A759" s="4">
        <f>IF(B759=" "," ",HYPERLINK(CONCATENATE("#metadata!",ADDRESS(INDEX($Q$2:$Q$1001,MATCH(ROWS($O$2:O759),$O$2:$O$1001,0),0),1)),INDEX($T$2:$T$1001,MATCH(ROWS($O$2:O759),$O$2:$O$1001,0),0)))</f>
        <v>0</v>
      </c>
      <c r="B759" s="3">
        <f>IF(OR(INDEX($P$2:$P$1001,MATCH(ROWS($O$2:O759),$O$2:$O$1001,0),1)&gt;=100000,INDEX($V$1005:$AE$1005,1,MATCH(COLUMNS($V$1006:V1006),$V$1006:$AE$1006,0))&gt;=100000), " ",IF(INDEX($V$2:$AE$1001,MATCH(ROWS($O$2:O759),$O$2:$O$1001,0),MATCH(COLUMNS($V$1006:V1006),$V$1006:$AE$1006,0)), HYPERLINK("#",""), HYPERLINK(CONCATENATE("#Metadata!", ADDRESS(INDEX($Q$2:$Q$1001,MATCH(ROWS($O$2:O759),$O$2:$O$1001,0),0), INDEX($V$1004:$AE$1004,1,MATCH(COLUMNS($V$1006:V1006),$V$1006:$AE$1006,0)))),"Fix")))</f>
        <v>0</v>
      </c>
      <c r="C759" s="3">
        <f>IF(OR(INDEX($P$2:$P$1001,MATCH(ROWS($O$2:O759),$O$2:$O$1001,0),1)&gt;=100000,INDEX($V$1005:$AE$1005,1,MATCH(COLUMNS($V$1006:W1006),$V$1006:$AE$1006,0))&gt;=100000), " ",IF(INDEX($V$2:$AE$1001,MATCH(ROWS($O$2:O759),$O$2:$O$1001,0),MATCH(COLUMNS($V$1006:W1006),$V$1006:$AE$1006,0)), HYPERLINK("#",""), HYPERLINK(CONCATENATE("#Metadata!", ADDRESS(INDEX($Q$2:$Q$1001,MATCH(ROWS($O$2:O759),$O$2:$O$1001,0),0), INDEX($V$1004:$AE$1004,1,MATCH(COLUMNS($V$1006:W1006),$V$1006:$AE$1006,0)))),"Fix")))</f>
        <v>0</v>
      </c>
      <c r="D759" s="3">
        <f>IF(OR(INDEX($P$2:$P$1001,MATCH(ROWS($O$2:O759),$O$2:$O$1001,0),1)&gt;=100000,INDEX($V$1005:$AE$1005,1,MATCH(COLUMNS($V$1006:X1006),$V$1006:$AE$1006,0))&gt;=100000), " ",IF(INDEX($V$2:$AE$1001,MATCH(ROWS($O$2:O759),$O$2:$O$1001,0),MATCH(COLUMNS($V$1006:X1006),$V$1006:$AE$1006,0)), HYPERLINK("#",""), HYPERLINK(CONCATENATE("#Metadata!", ADDRESS(INDEX($Q$2:$Q$1001,MATCH(ROWS($O$2:O759),$O$2:$O$1001,0),0), INDEX($V$1004:$AE$1004,1,MATCH(COLUMNS($V$1006:X1006),$V$1006:$AE$1006,0)))),"Fix")))</f>
        <v>0</v>
      </c>
      <c r="E759" s="3">
        <f>IF(OR(INDEX($P$2:$P$1001,MATCH(ROWS($O$2:O759),$O$2:$O$1001,0),1)&gt;=100000,INDEX($V$1005:$AE$1005,1,MATCH(COLUMNS($V$1006:Y1006),$V$1006:$AE$1006,0))&gt;=100000), " ",IF(INDEX($V$2:$AE$1001,MATCH(ROWS($O$2:O759),$O$2:$O$1001,0),MATCH(COLUMNS($V$1006:Y1006),$V$1006:$AE$1006,0)), HYPERLINK("#",""), HYPERLINK(CONCATENATE("#Metadata!", ADDRESS(INDEX($Q$2:$Q$1001,MATCH(ROWS($O$2:O759),$O$2:$O$1001,0),0), INDEX($V$1004:$AE$1004,1,MATCH(COLUMNS($V$1006:Y1006),$V$1006:$AE$1006,0)))),"Fix")))</f>
        <v>0</v>
      </c>
      <c r="F759" s="3">
        <f>IF(OR(INDEX($P$2:$P$1001,MATCH(ROWS($O$2:O759),$O$2:$O$1001,0),1)&gt;=100000,INDEX($V$1005:$AE$1005,1,MATCH(COLUMNS($V$1006:Z1006),$V$1006:$AE$1006,0))&gt;=100000), " ",IF(INDEX($V$2:$AE$1001,MATCH(ROWS($O$2:O759),$O$2:$O$1001,0),MATCH(COLUMNS($V$1006:Z1006),$V$1006:$AE$1006,0)), HYPERLINK("#",""), HYPERLINK(CONCATENATE("#Metadata!", ADDRESS(INDEX($Q$2:$Q$1001,MATCH(ROWS($O$2:O759),$O$2:$O$1001,0),0), INDEX($V$1004:$AE$1004,1,MATCH(COLUMNS($V$1006:Z1006),$V$1006:$AE$1006,0)))),"Fix")))</f>
        <v>0</v>
      </c>
      <c r="G759" s="3">
        <f>IF(OR(INDEX($P$2:$P$1001,MATCH(ROWS($O$2:O759),$O$2:$O$1001,0),1)&gt;=100000,INDEX($V$1005:$AE$1005,1,MATCH(COLUMNS($V$1006:AA1006),$V$1006:$AE$1006,0))&gt;=100000), " ",IF(INDEX($V$2:$AE$1001,MATCH(ROWS($O$2:O759),$O$2:$O$1001,0),MATCH(COLUMNS($V$1006:AA1006),$V$1006:$AE$1006,0)), HYPERLINK("#",""), HYPERLINK(CONCATENATE("#Metadata!", ADDRESS(INDEX($Q$2:$Q$1001,MATCH(ROWS($O$2:O759),$O$2:$O$1001,0),0), INDEX($V$1004:$AE$1004,1,MATCH(COLUMNS($V$1006:AA1006),$V$1006:$AE$1006,0)))),"Fix")))</f>
        <v>0</v>
      </c>
      <c r="H759" s="3">
        <f>IF(OR(INDEX($P$2:$P$1001,MATCH(ROWS($O$2:O759),$O$2:$O$1001,0),1)&gt;=100000,INDEX($V$1005:$AE$1005,1,MATCH(COLUMNS($V$1006:AB1006),$V$1006:$AE$1006,0))&gt;=100000), " ",IF(INDEX($V$2:$AE$1001,MATCH(ROWS($O$2:O759),$O$2:$O$1001,0),MATCH(COLUMNS($V$1006:AB1006),$V$1006:$AE$1006,0)), HYPERLINK("#",""), HYPERLINK(CONCATENATE("#Metadata!", ADDRESS(INDEX($Q$2:$Q$1001,MATCH(ROWS($O$2:O759),$O$2:$O$1001,0),0), INDEX($V$1004:$AE$1004,1,MATCH(COLUMNS($V$1006:AB1006),$V$1006:$AE$1006,0)))),"Fix")))</f>
        <v>0</v>
      </c>
      <c r="I759" s="3">
        <f>IF(OR(INDEX($P$2:$P$1001,MATCH(ROWS($O$2:O759),$O$2:$O$1001,0),1)&gt;=100000,INDEX($V$1005:$AE$1005,1,MATCH(COLUMNS($V$1006:AC1006),$V$1006:$AE$1006,0))&gt;=100000), " ",IF(INDEX($V$2:$AE$1001,MATCH(ROWS($O$2:O759),$O$2:$O$1001,0),MATCH(COLUMNS($V$1006:AC1006),$V$1006:$AE$1006,0)), HYPERLINK("#",""), HYPERLINK(CONCATENATE("#Metadata!", ADDRESS(INDEX($Q$2:$Q$1001,MATCH(ROWS($O$2:O759),$O$2:$O$1001,0),0), INDEX($V$1004:$AE$1004,1,MATCH(COLUMNS($V$1006:AC1006),$V$1006:$AE$1006,0)))),"Fix")))</f>
        <v>0</v>
      </c>
      <c r="J759" s="3">
        <f>IF(OR(INDEX($P$2:$P$1001,MATCH(ROWS($O$2:O759),$O$2:$O$1001,0),1)&gt;=100000,INDEX($V$1005:$AE$1005,1,MATCH(COLUMNS($V$1006:AD1006),$V$1006:$AE$1006,0))&gt;=100000), " ",IF(INDEX($V$2:$AE$1001,MATCH(ROWS($O$2:O759),$O$2:$O$1001,0),MATCH(COLUMNS($V$1006:AD1006),$V$1006:$AE$1006,0)), HYPERLINK("#",""), HYPERLINK(CONCATENATE("#Metadata!", ADDRESS(INDEX($Q$2:$Q$1001,MATCH(ROWS($O$2:O759),$O$2:$O$1001,0),0), INDEX($V$1004:$AE$1004,1,MATCH(COLUMNS($V$1006:AD1006),$V$1006:$AE$1006,0)))),"Fix")))</f>
        <v>0</v>
      </c>
      <c r="K759" s="3">
        <f>IF(OR(INDEX($P$2:$P$1001,MATCH(ROWS($O$2:O759),$O$2:$O$1001,0),1)&gt;=100000,INDEX($V$1005:$AE$1005,1,MATCH(COLUMNS($V$1006:AE1006),$V$1006:$AE$1006,0))&gt;=100000), " ",IF(INDEX($V$2:$AE$1001,MATCH(ROWS($O$2:O759),$O$2:$O$1001,0),MATCH(COLUMNS($V$1006:AE1006),$V$1006:$AE$1006,0)), HYPERLINK("#",""), HYPERLINK(CONCATENATE("#Metadata!", ADDRESS(INDEX($Q$2:$Q$1001,MATCH(ROWS($O$2:O759),$O$2:$O$1001,0),0), INDEX($V$1004:$AE$1004,1,MATCH(COLUMNS($V$1006:AE1006),$V$1006:$AE$1006,0)))),"Fix")))</f>
        <v>0</v>
      </c>
      <c r="O759">
        <v>0</v>
      </c>
      <c r="P759">
        <v>0</v>
      </c>
      <c r="Q759">
        <v>0</v>
      </c>
      <c r="R759">
        <f>IF(S759,TRUE,AND(V759:AE759))</f>
        <v>0</v>
      </c>
      <c r="S759">
        <f>COUNTBLANK(Metadata!B759:K759)=COLUMNS(Metadata!B759:K759)</f>
        <v>0</v>
      </c>
      <c r="T759">
        <v>0</v>
      </c>
      <c r="V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W759">
        <f>AND(IF(Metadata!C759="",FALSE,TRUE),exact(Metadata!C759,"animal secretion"))</f>
        <v>0</v>
      </c>
      <c r="X759">
        <f>AND(IF(Metadata!D759="",FALSE,TRUE),exact(Metadata!D759,"saliva"))</f>
        <v>0</v>
      </c>
      <c r="Y759">
        <f>AND(IF(Metadata!E759="",FALSE,TRUE),exact(Metadata!E759,"human-oral"))</f>
        <v>0</v>
      </c>
      <c r="Z759">
        <f>AND(IF(Metadata!F759="",FALSE,TRUE),exact(Metadata!F759,"UBERON:oral cavity"))</f>
        <v>0</v>
      </c>
      <c r="AA759">
        <f>AND(IF(Metadata!G759="",FALSE,TRUE),exact(Metadata!G759,"UBERON:saliva"))</f>
        <v>0</v>
      </c>
      <c r="AB759">
        <f>AND(IF(Metadata!H759="",FALSE,TRUE),exact(Metadata!H759,"UBERON:tongue"))</f>
        <v>0</v>
      </c>
      <c r="AC759">
        <f>AND(IF(Metadata!I759="",FALSE,TRUE),exact(Metadata!I759,"tongue"))</f>
        <v>0</v>
      </c>
      <c r="AD759">
        <f>AND(IF(Metadata!J759="",FALSE,TRUE),exact(Metadata!J759,"human oral metagenome"))</f>
        <v>0</v>
      </c>
      <c r="AE759">
        <f>AND(IF(Metadata!K759="",FALSE,TRUE),exact(Metadata!K759,"447426"))</f>
        <v>0</v>
      </c>
    </row>
    <row r="760" spans="1:31">
      <c r="A760" s="4">
        <f>IF(B760=" "," ",HYPERLINK(CONCATENATE("#metadata!",ADDRESS(INDEX($Q$2:$Q$1001,MATCH(ROWS($O$2:O760),$O$2:$O$1001,0),0),1)),INDEX($T$2:$T$1001,MATCH(ROWS($O$2:O760),$O$2:$O$1001,0),0)))</f>
        <v>0</v>
      </c>
      <c r="B760" s="3">
        <f>IF(OR(INDEX($P$2:$P$1001,MATCH(ROWS($O$2:O760),$O$2:$O$1001,0),1)&gt;=100000,INDEX($V$1005:$AE$1005,1,MATCH(COLUMNS($V$1006:V1006),$V$1006:$AE$1006,0))&gt;=100000), " ",IF(INDEX($V$2:$AE$1001,MATCH(ROWS($O$2:O760),$O$2:$O$1001,0),MATCH(COLUMNS($V$1006:V1006),$V$1006:$AE$1006,0)), HYPERLINK("#",""), HYPERLINK(CONCATENATE("#Metadata!", ADDRESS(INDEX($Q$2:$Q$1001,MATCH(ROWS($O$2:O760),$O$2:$O$1001,0),0), INDEX($V$1004:$AE$1004,1,MATCH(COLUMNS($V$1006:V1006),$V$1006:$AE$1006,0)))),"Fix")))</f>
        <v>0</v>
      </c>
      <c r="C760" s="3">
        <f>IF(OR(INDEX($P$2:$P$1001,MATCH(ROWS($O$2:O760),$O$2:$O$1001,0),1)&gt;=100000,INDEX($V$1005:$AE$1005,1,MATCH(COLUMNS($V$1006:W1006),$V$1006:$AE$1006,0))&gt;=100000), " ",IF(INDEX($V$2:$AE$1001,MATCH(ROWS($O$2:O760),$O$2:$O$1001,0),MATCH(COLUMNS($V$1006:W1006),$V$1006:$AE$1006,0)), HYPERLINK("#",""), HYPERLINK(CONCATENATE("#Metadata!", ADDRESS(INDEX($Q$2:$Q$1001,MATCH(ROWS($O$2:O760),$O$2:$O$1001,0),0), INDEX($V$1004:$AE$1004,1,MATCH(COLUMNS($V$1006:W1006),$V$1006:$AE$1006,0)))),"Fix")))</f>
        <v>0</v>
      </c>
      <c r="D760" s="3">
        <f>IF(OR(INDEX($P$2:$P$1001,MATCH(ROWS($O$2:O760),$O$2:$O$1001,0),1)&gt;=100000,INDEX($V$1005:$AE$1005,1,MATCH(COLUMNS($V$1006:X1006),$V$1006:$AE$1006,0))&gt;=100000), " ",IF(INDEX($V$2:$AE$1001,MATCH(ROWS($O$2:O760),$O$2:$O$1001,0),MATCH(COLUMNS($V$1006:X1006),$V$1006:$AE$1006,0)), HYPERLINK("#",""), HYPERLINK(CONCATENATE("#Metadata!", ADDRESS(INDEX($Q$2:$Q$1001,MATCH(ROWS($O$2:O760),$O$2:$O$1001,0),0), INDEX($V$1004:$AE$1004,1,MATCH(COLUMNS($V$1006:X1006),$V$1006:$AE$1006,0)))),"Fix")))</f>
        <v>0</v>
      </c>
      <c r="E760" s="3">
        <f>IF(OR(INDEX($P$2:$P$1001,MATCH(ROWS($O$2:O760),$O$2:$O$1001,0),1)&gt;=100000,INDEX($V$1005:$AE$1005,1,MATCH(COLUMNS($V$1006:Y1006),$V$1006:$AE$1006,0))&gt;=100000), " ",IF(INDEX($V$2:$AE$1001,MATCH(ROWS($O$2:O760),$O$2:$O$1001,0),MATCH(COLUMNS($V$1006:Y1006),$V$1006:$AE$1006,0)), HYPERLINK("#",""), HYPERLINK(CONCATENATE("#Metadata!", ADDRESS(INDEX($Q$2:$Q$1001,MATCH(ROWS($O$2:O760),$O$2:$O$1001,0),0), INDEX($V$1004:$AE$1004,1,MATCH(COLUMNS($V$1006:Y1006),$V$1006:$AE$1006,0)))),"Fix")))</f>
        <v>0</v>
      </c>
      <c r="F760" s="3">
        <f>IF(OR(INDEX($P$2:$P$1001,MATCH(ROWS($O$2:O760),$O$2:$O$1001,0),1)&gt;=100000,INDEX($V$1005:$AE$1005,1,MATCH(COLUMNS($V$1006:Z1006),$V$1006:$AE$1006,0))&gt;=100000), " ",IF(INDEX($V$2:$AE$1001,MATCH(ROWS($O$2:O760),$O$2:$O$1001,0),MATCH(COLUMNS($V$1006:Z1006),$V$1006:$AE$1006,0)), HYPERLINK("#",""), HYPERLINK(CONCATENATE("#Metadata!", ADDRESS(INDEX($Q$2:$Q$1001,MATCH(ROWS($O$2:O760),$O$2:$O$1001,0),0), INDEX($V$1004:$AE$1004,1,MATCH(COLUMNS($V$1006:Z1006),$V$1006:$AE$1006,0)))),"Fix")))</f>
        <v>0</v>
      </c>
      <c r="G760" s="3">
        <f>IF(OR(INDEX($P$2:$P$1001,MATCH(ROWS($O$2:O760),$O$2:$O$1001,0),1)&gt;=100000,INDEX($V$1005:$AE$1005,1,MATCH(COLUMNS($V$1006:AA1006),$V$1006:$AE$1006,0))&gt;=100000), " ",IF(INDEX($V$2:$AE$1001,MATCH(ROWS($O$2:O760),$O$2:$O$1001,0),MATCH(COLUMNS($V$1006:AA1006),$V$1006:$AE$1006,0)), HYPERLINK("#",""), HYPERLINK(CONCATENATE("#Metadata!", ADDRESS(INDEX($Q$2:$Q$1001,MATCH(ROWS($O$2:O760),$O$2:$O$1001,0),0), INDEX($V$1004:$AE$1004,1,MATCH(COLUMNS($V$1006:AA1006),$V$1006:$AE$1006,0)))),"Fix")))</f>
        <v>0</v>
      </c>
      <c r="H760" s="3">
        <f>IF(OR(INDEX($P$2:$P$1001,MATCH(ROWS($O$2:O760),$O$2:$O$1001,0),1)&gt;=100000,INDEX($V$1005:$AE$1005,1,MATCH(COLUMNS($V$1006:AB1006),$V$1006:$AE$1006,0))&gt;=100000), " ",IF(INDEX($V$2:$AE$1001,MATCH(ROWS($O$2:O760),$O$2:$O$1001,0),MATCH(COLUMNS($V$1006:AB1006),$V$1006:$AE$1006,0)), HYPERLINK("#",""), HYPERLINK(CONCATENATE("#Metadata!", ADDRESS(INDEX($Q$2:$Q$1001,MATCH(ROWS($O$2:O760),$O$2:$O$1001,0),0), INDEX($V$1004:$AE$1004,1,MATCH(COLUMNS($V$1006:AB1006),$V$1006:$AE$1006,0)))),"Fix")))</f>
        <v>0</v>
      </c>
      <c r="I760" s="3">
        <f>IF(OR(INDEX($P$2:$P$1001,MATCH(ROWS($O$2:O760),$O$2:$O$1001,0),1)&gt;=100000,INDEX($V$1005:$AE$1005,1,MATCH(COLUMNS($V$1006:AC1006),$V$1006:$AE$1006,0))&gt;=100000), " ",IF(INDEX($V$2:$AE$1001,MATCH(ROWS($O$2:O760),$O$2:$O$1001,0),MATCH(COLUMNS($V$1006:AC1006),$V$1006:$AE$1006,0)), HYPERLINK("#",""), HYPERLINK(CONCATENATE("#Metadata!", ADDRESS(INDEX($Q$2:$Q$1001,MATCH(ROWS($O$2:O760),$O$2:$O$1001,0),0), INDEX($V$1004:$AE$1004,1,MATCH(COLUMNS($V$1006:AC1006),$V$1006:$AE$1006,0)))),"Fix")))</f>
        <v>0</v>
      </c>
      <c r="J760" s="3">
        <f>IF(OR(INDEX($P$2:$P$1001,MATCH(ROWS($O$2:O760),$O$2:$O$1001,0),1)&gt;=100000,INDEX($V$1005:$AE$1005,1,MATCH(COLUMNS($V$1006:AD1006),$V$1006:$AE$1006,0))&gt;=100000), " ",IF(INDEX($V$2:$AE$1001,MATCH(ROWS($O$2:O760),$O$2:$O$1001,0),MATCH(COLUMNS($V$1006:AD1006),$V$1006:$AE$1006,0)), HYPERLINK("#",""), HYPERLINK(CONCATENATE("#Metadata!", ADDRESS(INDEX($Q$2:$Q$1001,MATCH(ROWS($O$2:O760),$O$2:$O$1001,0),0), INDEX($V$1004:$AE$1004,1,MATCH(COLUMNS($V$1006:AD1006),$V$1006:$AE$1006,0)))),"Fix")))</f>
        <v>0</v>
      </c>
      <c r="K760" s="3">
        <f>IF(OR(INDEX($P$2:$P$1001,MATCH(ROWS($O$2:O760),$O$2:$O$1001,0),1)&gt;=100000,INDEX($V$1005:$AE$1005,1,MATCH(COLUMNS($V$1006:AE1006),$V$1006:$AE$1006,0))&gt;=100000), " ",IF(INDEX($V$2:$AE$1001,MATCH(ROWS($O$2:O760),$O$2:$O$1001,0),MATCH(COLUMNS($V$1006:AE1006),$V$1006:$AE$1006,0)), HYPERLINK("#",""), HYPERLINK(CONCATENATE("#Metadata!", ADDRESS(INDEX($Q$2:$Q$1001,MATCH(ROWS($O$2:O760),$O$2:$O$1001,0),0), INDEX($V$1004:$AE$1004,1,MATCH(COLUMNS($V$1006:AE1006),$V$1006:$AE$1006,0)))),"Fix")))</f>
        <v>0</v>
      </c>
      <c r="O760">
        <v>0</v>
      </c>
      <c r="P760">
        <v>0</v>
      </c>
      <c r="Q760">
        <v>0</v>
      </c>
      <c r="R760">
        <f>IF(S760,TRUE,AND(V760:AE760))</f>
        <v>0</v>
      </c>
      <c r="S760">
        <f>COUNTBLANK(Metadata!B760:K760)=COLUMNS(Metadata!B760:K760)</f>
        <v>0</v>
      </c>
      <c r="T760">
        <v>0</v>
      </c>
      <c r="V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W760">
        <f>AND(IF(Metadata!C760="",FALSE,TRUE),exact(Metadata!C760,"animal secretion"))</f>
        <v>0</v>
      </c>
      <c r="X760">
        <f>AND(IF(Metadata!D760="",FALSE,TRUE),exact(Metadata!D760,"saliva"))</f>
        <v>0</v>
      </c>
      <c r="Y760">
        <f>AND(IF(Metadata!E760="",FALSE,TRUE),exact(Metadata!E760,"human-oral"))</f>
        <v>0</v>
      </c>
      <c r="Z760">
        <f>AND(IF(Metadata!F760="",FALSE,TRUE),exact(Metadata!F760,"UBERON:oral cavity"))</f>
        <v>0</v>
      </c>
      <c r="AA760">
        <f>AND(IF(Metadata!G760="",FALSE,TRUE),exact(Metadata!G760,"UBERON:saliva"))</f>
        <v>0</v>
      </c>
      <c r="AB760">
        <f>AND(IF(Metadata!H760="",FALSE,TRUE),exact(Metadata!H760,"UBERON:tongue"))</f>
        <v>0</v>
      </c>
      <c r="AC760">
        <f>AND(IF(Metadata!I760="",FALSE,TRUE),exact(Metadata!I760,"tongue"))</f>
        <v>0</v>
      </c>
      <c r="AD760">
        <f>AND(IF(Metadata!J760="",FALSE,TRUE),exact(Metadata!J760,"human oral metagenome"))</f>
        <v>0</v>
      </c>
      <c r="AE760">
        <f>AND(IF(Metadata!K760="",FALSE,TRUE),exact(Metadata!K760,"447426"))</f>
        <v>0</v>
      </c>
    </row>
    <row r="761" spans="1:31">
      <c r="A761" s="4">
        <f>IF(B761=" "," ",HYPERLINK(CONCATENATE("#metadata!",ADDRESS(INDEX($Q$2:$Q$1001,MATCH(ROWS($O$2:O761),$O$2:$O$1001,0),0),1)),INDEX($T$2:$T$1001,MATCH(ROWS($O$2:O761),$O$2:$O$1001,0),0)))</f>
        <v>0</v>
      </c>
      <c r="B761" s="3">
        <f>IF(OR(INDEX($P$2:$P$1001,MATCH(ROWS($O$2:O761),$O$2:$O$1001,0),1)&gt;=100000,INDEX($V$1005:$AE$1005,1,MATCH(COLUMNS($V$1006:V1006),$V$1006:$AE$1006,0))&gt;=100000), " ",IF(INDEX($V$2:$AE$1001,MATCH(ROWS($O$2:O761),$O$2:$O$1001,0),MATCH(COLUMNS($V$1006:V1006),$V$1006:$AE$1006,0)), HYPERLINK("#",""), HYPERLINK(CONCATENATE("#Metadata!", ADDRESS(INDEX($Q$2:$Q$1001,MATCH(ROWS($O$2:O761),$O$2:$O$1001,0),0), INDEX($V$1004:$AE$1004,1,MATCH(COLUMNS($V$1006:V1006),$V$1006:$AE$1006,0)))),"Fix")))</f>
        <v>0</v>
      </c>
      <c r="C761" s="3">
        <f>IF(OR(INDEX($P$2:$P$1001,MATCH(ROWS($O$2:O761),$O$2:$O$1001,0),1)&gt;=100000,INDEX($V$1005:$AE$1005,1,MATCH(COLUMNS($V$1006:W1006),$V$1006:$AE$1006,0))&gt;=100000), " ",IF(INDEX($V$2:$AE$1001,MATCH(ROWS($O$2:O761),$O$2:$O$1001,0),MATCH(COLUMNS($V$1006:W1006),$V$1006:$AE$1006,0)), HYPERLINK("#",""), HYPERLINK(CONCATENATE("#Metadata!", ADDRESS(INDEX($Q$2:$Q$1001,MATCH(ROWS($O$2:O761),$O$2:$O$1001,0),0), INDEX($V$1004:$AE$1004,1,MATCH(COLUMNS($V$1006:W1006),$V$1006:$AE$1006,0)))),"Fix")))</f>
        <v>0</v>
      </c>
      <c r="D761" s="3">
        <f>IF(OR(INDEX($P$2:$P$1001,MATCH(ROWS($O$2:O761),$O$2:$O$1001,0),1)&gt;=100000,INDEX($V$1005:$AE$1005,1,MATCH(COLUMNS($V$1006:X1006),$V$1006:$AE$1006,0))&gt;=100000), " ",IF(INDEX($V$2:$AE$1001,MATCH(ROWS($O$2:O761),$O$2:$O$1001,0),MATCH(COLUMNS($V$1006:X1006),$V$1006:$AE$1006,0)), HYPERLINK("#",""), HYPERLINK(CONCATENATE("#Metadata!", ADDRESS(INDEX($Q$2:$Q$1001,MATCH(ROWS($O$2:O761),$O$2:$O$1001,0),0), INDEX($V$1004:$AE$1004,1,MATCH(COLUMNS($V$1006:X1006),$V$1006:$AE$1006,0)))),"Fix")))</f>
        <v>0</v>
      </c>
      <c r="E761" s="3">
        <f>IF(OR(INDEX($P$2:$P$1001,MATCH(ROWS($O$2:O761),$O$2:$O$1001,0),1)&gt;=100000,INDEX($V$1005:$AE$1005,1,MATCH(COLUMNS($V$1006:Y1006),$V$1006:$AE$1006,0))&gt;=100000), " ",IF(INDEX($V$2:$AE$1001,MATCH(ROWS($O$2:O761),$O$2:$O$1001,0),MATCH(COLUMNS($V$1006:Y1006),$V$1006:$AE$1006,0)), HYPERLINK("#",""), HYPERLINK(CONCATENATE("#Metadata!", ADDRESS(INDEX($Q$2:$Q$1001,MATCH(ROWS($O$2:O761),$O$2:$O$1001,0),0), INDEX($V$1004:$AE$1004,1,MATCH(COLUMNS($V$1006:Y1006),$V$1006:$AE$1006,0)))),"Fix")))</f>
        <v>0</v>
      </c>
      <c r="F761" s="3">
        <f>IF(OR(INDEX($P$2:$P$1001,MATCH(ROWS($O$2:O761),$O$2:$O$1001,0),1)&gt;=100000,INDEX($V$1005:$AE$1005,1,MATCH(COLUMNS($V$1006:Z1006),$V$1006:$AE$1006,0))&gt;=100000), " ",IF(INDEX($V$2:$AE$1001,MATCH(ROWS($O$2:O761),$O$2:$O$1001,0),MATCH(COLUMNS($V$1006:Z1006),$V$1006:$AE$1006,0)), HYPERLINK("#",""), HYPERLINK(CONCATENATE("#Metadata!", ADDRESS(INDEX($Q$2:$Q$1001,MATCH(ROWS($O$2:O761),$O$2:$O$1001,0),0), INDEX($V$1004:$AE$1004,1,MATCH(COLUMNS($V$1006:Z1006),$V$1006:$AE$1006,0)))),"Fix")))</f>
        <v>0</v>
      </c>
      <c r="G761" s="3">
        <f>IF(OR(INDEX($P$2:$P$1001,MATCH(ROWS($O$2:O761),$O$2:$O$1001,0),1)&gt;=100000,INDEX($V$1005:$AE$1005,1,MATCH(COLUMNS($V$1006:AA1006),$V$1006:$AE$1006,0))&gt;=100000), " ",IF(INDEX($V$2:$AE$1001,MATCH(ROWS($O$2:O761),$O$2:$O$1001,0),MATCH(COLUMNS($V$1006:AA1006),$V$1006:$AE$1006,0)), HYPERLINK("#",""), HYPERLINK(CONCATENATE("#Metadata!", ADDRESS(INDEX($Q$2:$Q$1001,MATCH(ROWS($O$2:O761),$O$2:$O$1001,0),0), INDEX($V$1004:$AE$1004,1,MATCH(COLUMNS($V$1006:AA1006),$V$1006:$AE$1006,0)))),"Fix")))</f>
        <v>0</v>
      </c>
      <c r="H761" s="3">
        <f>IF(OR(INDEX($P$2:$P$1001,MATCH(ROWS($O$2:O761),$O$2:$O$1001,0),1)&gt;=100000,INDEX($V$1005:$AE$1005,1,MATCH(COLUMNS($V$1006:AB1006),$V$1006:$AE$1006,0))&gt;=100000), " ",IF(INDEX($V$2:$AE$1001,MATCH(ROWS($O$2:O761),$O$2:$O$1001,0),MATCH(COLUMNS($V$1006:AB1006),$V$1006:$AE$1006,0)), HYPERLINK("#",""), HYPERLINK(CONCATENATE("#Metadata!", ADDRESS(INDEX($Q$2:$Q$1001,MATCH(ROWS($O$2:O761),$O$2:$O$1001,0),0), INDEX($V$1004:$AE$1004,1,MATCH(COLUMNS($V$1006:AB1006),$V$1006:$AE$1006,0)))),"Fix")))</f>
        <v>0</v>
      </c>
      <c r="I761" s="3">
        <f>IF(OR(INDEX($P$2:$P$1001,MATCH(ROWS($O$2:O761),$O$2:$O$1001,0),1)&gt;=100000,INDEX($V$1005:$AE$1005,1,MATCH(COLUMNS($V$1006:AC1006),$V$1006:$AE$1006,0))&gt;=100000), " ",IF(INDEX($V$2:$AE$1001,MATCH(ROWS($O$2:O761),$O$2:$O$1001,0),MATCH(COLUMNS($V$1006:AC1006),$V$1006:$AE$1006,0)), HYPERLINK("#",""), HYPERLINK(CONCATENATE("#Metadata!", ADDRESS(INDEX($Q$2:$Q$1001,MATCH(ROWS($O$2:O761),$O$2:$O$1001,0),0), INDEX($V$1004:$AE$1004,1,MATCH(COLUMNS($V$1006:AC1006),$V$1006:$AE$1006,0)))),"Fix")))</f>
        <v>0</v>
      </c>
      <c r="J761" s="3">
        <f>IF(OR(INDEX($P$2:$P$1001,MATCH(ROWS($O$2:O761),$O$2:$O$1001,0),1)&gt;=100000,INDEX($V$1005:$AE$1005,1,MATCH(COLUMNS($V$1006:AD1006),$V$1006:$AE$1006,0))&gt;=100000), " ",IF(INDEX($V$2:$AE$1001,MATCH(ROWS($O$2:O761),$O$2:$O$1001,0),MATCH(COLUMNS($V$1006:AD1006),$V$1006:$AE$1006,0)), HYPERLINK("#",""), HYPERLINK(CONCATENATE("#Metadata!", ADDRESS(INDEX($Q$2:$Q$1001,MATCH(ROWS($O$2:O761),$O$2:$O$1001,0),0), INDEX($V$1004:$AE$1004,1,MATCH(COLUMNS($V$1006:AD1006),$V$1006:$AE$1006,0)))),"Fix")))</f>
        <v>0</v>
      </c>
      <c r="K761" s="3">
        <f>IF(OR(INDEX($P$2:$P$1001,MATCH(ROWS($O$2:O761),$O$2:$O$1001,0),1)&gt;=100000,INDEX($V$1005:$AE$1005,1,MATCH(COLUMNS($V$1006:AE1006),$V$1006:$AE$1006,0))&gt;=100000), " ",IF(INDEX($V$2:$AE$1001,MATCH(ROWS($O$2:O761),$O$2:$O$1001,0),MATCH(COLUMNS($V$1006:AE1006),$V$1006:$AE$1006,0)), HYPERLINK("#",""), HYPERLINK(CONCATENATE("#Metadata!", ADDRESS(INDEX($Q$2:$Q$1001,MATCH(ROWS($O$2:O761),$O$2:$O$1001,0),0), INDEX($V$1004:$AE$1004,1,MATCH(COLUMNS($V$1006:AE1006),$V$1006:$AE$1006,0)))),"Fix")))</f>
        <v>0</v>
      </c>
      <c r="O761">
        <v>0</v>
      </c>
      <c r="P761">
        <v>0</v>
      </c>
      <c r="Q761">
        <v>0</v>
      </c>
      <c r="R761">
        <f>IF(S761,TRUE,AND(V761:AE761))</f>
        <v>0</v>
      </c>
      <c r="S761">
        <f>COUNTBLANK(Metadata!B761:K761)=COLUMNS(Metadata!B761:K761)</f>
        <v>0</v>
      </c>
      <c r="T761">
        <v>0</v>
      </c>
      <c r="V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W761">
        <f>AND(IF(Metadata!C761="",FALSE,TRUE),exact(Metadata!C761,"animal secretion"))</f>
        <v>0</v>
      </c>
      <c r="X761">
        <f>AND(IF(Metadata!D761="",FALSE,TRUE),exact(Metadata!D761,"saliva"))</f>
        <v>0</v>
      </c>
      <c r="Y761">
        <f>AND(IF(Metadata!E761="",FALSE,TRUE),exact(Metadata!E761,"human-oral"))</f>
        <v>0</v>
      </c>
      <c r="Z761">
        <f>AND(IF(Metadata!F761="",FALSE,TRUE),exact(Metadata!F761,"UBERON:oral cavity"))</f>
        <v>0</v>
      </c>
      <c r="AA761">
        <f>AND(IF(Metadata!G761="",FALSE,TRUE),exact(Metadata!G761,"UBERON:saliva"))</f>
        <v>0</v>
      </c>
      <c r="AB761">
        <f>AND(IF(Metadata!H761="",FALSE,TRUE),exact(Metadata!H761,"UBERON:tongue"))</f>
        <v>0</v>
      </c>
      <c r="AC761">
        <f>AND(IF(Metadata!I761="",FALSE,TRUE),exact(Metadata!I761,"tongue"))</f>
        <v>0</v>
      </c>
      <c r="AD761">
        <f>AND(IF(Metadata!J761="",FALSE,TRUE),exact(Metadata!J761,"human oral metagenome"))</f>
        <v>0</v>
      </c>
      <c r="AE761">
        <f>AND(IF(Metadata!K761="",FALSE,TRUE),exact(Metadata!K761,"447426"))</f>
        <v>0</v>
      </c>
    </row>
    <row r="762" spans="1:31">
      <c r="A762" s="4">
        <f>IF(B762=" "," ",HYPERLINK(CONCATENATE("#metadata!",ADDRESS(INDEX($Q$2:$Q$1001,MATCH(ROWS($O$2:O762),$O$2:$O$1001,0),0),1)),INDEX($T$2:$T$1001,MATCH(ROWS($O$2:O762),$O$2:$O$1001,0),0)))</f>
        <v>0</v>
      </c>
      <c r="B762" s="3">
        <f>IF(OR(INDEX($P$2:$P$1001,MATCH(ROWS($O$2:O762),$O$2:$O$1001,0),1)&gt;=100000,INDEX($V$1005:$AE$1005,1,MATCH(COLUMNS($V$1006:V1006),$V$1006:$AE$1006,0))&gt;=100000), " ",IF(INDEX($V$2:$AE$1001,MATCH(ROWS($O$2:O762),$O$2:$O$1001,0),MATCH(COLUMNS($V$1006:V1006),$V$1006:$AE$1006,0)), HYPERLINK("#",""), HYPERLINK(CONCATENATE("#Metadata!", ADDRESS(INDEX($Q$2:$Q$1001,MATCH(ROWS($O$2:O762),$O$2:$O$1001,0),0), INDEX($V$1004:$AE$1004,1,MATCH(COLUMNS($V$1006:V1006),$V$1006:$AE$1006,0)))),"Fix")))</f>
        <v>0</v>
      </c>
      <c r="C762" s="3">
        <f>IF(OR(INDEX($P$2:$P$1001,MATCH(ROWS($O$2:O762),$O$2:$O$1001,0),1)&gt;=100000,INDEX($V$1005:$AE$1005,1,MATCH(COLUMNS($V$1006:W1006),$V$1006:$AE$1006,0))&gt;=100000), " ",IF(INDEX($V$2:$AE$1001,MATCH(ROWS($O$2:O762),$O$2:$O$1001,0),MATCH(COLUMNS($V$1006:W1006),$V$1006:$AE$1006,0)), HYPERLINK("#",""), HYPERLINK(CONCATENATE("#Metadata!", ADDRESS(INDEX($Q$2:$Q$1001,MATCH(ROWS($O$2:O762),$O$2:$O$1001,0),0), INDEX($V$1004:$AE$1004,1,MATCH(COLUMNS($V$1006:W1006),$V$1006:$AE$1006,0)))),"Fix")))</f>
        <v>0</v>
      </c>
      <c r="D762" s="3">
        <f>IF(OR(INDEX($P$2:$P$1001,MATCH(ROWS($O$2:O762),$O$2:$O$1001,0),1)&gt;=100000,INDEX($V$1005:$AE$1005,1,MATCH(COLUMNS($V$1006:X1006),$V$1006:$AE$1006,0))&gt;=100000), " ",IF(INDEX($V$2:$AE$1001,MATCH(ROWS($O$2:O762),$O$2:$O$1001,0),MATCH(COLUMNS($V$1006:X1006),$V$1006:$AE$1006,0)), HYPERLINK("#",""), HYPERLINK(CONCATENATE("#Metadata!", ADDRESS(INDEX($Q$2:$Q$1001,MATCH(ROWS($O$2:O762),$O$2:$O$1001,0),0), INDEX($V$1004:$AE$1004,1,MATCH(COLUMNS($V$1006:X1006),$V$1006:$AE$1006,0)))),"Fix")))</f>
        <v>0</v>
      </c>
      <c r="E762" s="3">
        <f>IF(OR(INDEX($P$2:$P$1001,MATCH(ROWS($O$2:O762),$O$2:$O$1001,0),1)&gt;=100000,INDEX($V$1005:$AE$1005,1,MATCH(COLUMNS($V$1006:Y1006),$V$1006:$AE$1006,0))&gt;=100000), " ",IF(INDEX($V$2:$AE$1001,MATCH(ROWS($O$2:O762),$O$2:$O$1001,0),MATCH(COLUMNS($V$1006:Y1006),$V$1006:$AE$1006,0)), HYPERLINK("#",""), HYPERLINK(CONCATENATE("#Metadata!", ADDRESS(INDEX($Q$2:$Q$1001,MATCH(ROWS($O$2:O762),$O$2:$O$1001,0),0), INDEX($V$1004:$AE$1004,1,MATCH(COLUMNS($V$1006:Y1006),$V$1006:$AE$1006,0)))),"Fix")))</f>
        <v>0</v>
      </c>
      <c r="F762" s="3">
        <f>IF(OR(INDEX($P$2:$P$1001,MATCH(ROWS($O$2:O762),$O$2:$O$1001,0),1)&gt;=100000,INDEX($V$1005:$AE$1005,1,MATCH(COLUMNS($V$1006:Z1006),$V$1006:$AE$1006,0))&gt;=100000), " ",IF(INDEX($V$2:$AE$1001,MATCH(ROWS($O$2:O762),$O$2:$O$1001,0),MATCH(COLUMNS($V$1006:Z1006),$V$1006:$AE$1006,0)), HYPERLINK("#",""), HYPERLINK(CONCATENATE("#Metadata!", ADDRESS(INDEX($Q$2:$Q$1001,MATCH(ROWS($O$2:O762),$O$2:$O$1001,0),0), INDEX($V$1004:$AE$1004,1,MATCH(COLUMNS($V$1006:Z1006),$V$1006:$AE$1006,0)))),"Fix")))</f>
        <v>0</v>
      </c>
      <c r="G762" s="3">
        <f>IF(OR(INDEX($P$2:$P$1001,MATCH(ROWS($O$2:O762),$O$2:$O$1001,0),1)&gt;=100000,INDEX($V$1005:$AE$1005,1,MATCH(COLUMNS($V$1006:AA1006),$V$1006:$AE$1006,0))&gt;=100000), " ",IF(INDEX($V$2:$AE$1001,MATCH(ROWS($O$2:O762),$O$2:$O$1001,0),MATCH(COLUMNS($V$1006:AA1006),$V$1006:$AE$1006,0)), HYPERLINK("#",""), HYPERLINK(CONCATENATE("#Metadata!", ADDRESS(INDEX($Q$2:$Q$1001,MATCH(ROWS($O$2:O762),$O$2:$O$1001,0),0), INDEX($V$1004:$AE$1004,1,MATCH(COLUMNS($V$1006:AA1006),$V$1006:$AE$1006,0)))),"Fix")))</f>
        <v>0</v>
      </c>
      <c r="H762" s="3">
        <f>IF(OR(INDEX($P$2:$P$1001,MATCH(ROWS($O$2:O762),$O$2:$O$1001,0),1)&gt;=100000,INDEX($V$1005:$AE$1005,1,MATCH(COLUMNS($V$1006:AB1006),$V$1006:$AE$1006,0))&gt;=100000), " ",IF(INDEX($V$2:$AE$1001,MATCH(ROWS($O$2:O762),$O$2:$O$1001,0),MATCH(COLUMNS($V$1006:AB1006),$V$1006:$AE$1006,0)), HYPERLINK("#",""), HYPERLINK(CONCATENATE("#Metadata!", ADDRESS(INDEX($Q$2:$Q$1001,MATCH(ROWS($O$2:O762),$O$2:$O$1001,0),0), INDEX($V$1004:$AE$1004,1,MATCH(COLUMNS($V$1006:AB1006),$V$1006:$AE$1006,0)))),"Fix")))</f>
        <v>0</v>
      </c>
      <c r="I762" s="3">
        <f>IF(OR(INDEX($P$2:$P$1001,MATCH(ROWS($O$2:O762),$O$2:$O$1001,0),1)&gt;=100000,INDEX($V$1005:$AE$1005,1,MATCH(COLUMNS($V$1006:AC1006),$V$1006:$AE$1006,0))&gt;=100000), " ",IF(INDEX($V$2:$AE$1001,MATCH(ROWS($O$2:O762),$O$2:$O$1001,0),MATCH(COLUMNS($V$1006:AC1006),$V$1006:$AE$1006,0)), HYPERLINK("#",""), HYPERLINK(CONCATENATE("#Metadata!", ADDRESS(INDEX($Q$2:$Q$1001,MATCH(ROWS($O$2:O762),$O$2:$O$1001,0),0), INDEX($V$1004:$AE$1004,1,MATCH(COLUMNS($V$1006:AC1006),$V$1006:$AE$1006,0)))),"Fix")))</f>
        <v>0</v>
      </c>
      <c r="J762" s="3">
        <f>IF(OR(INDEX($P$2:$P$1001,MATCH(ROWS($O$2:O762),$O$2:$O$1001,0),1)&gt;=100000,INDEX($V$1005:$AE$1005,1,MATCH(COLUMNS($V$1006:AD1006),$V$1006:$AE$1006,0))&gt;=100000), " ",IF(INDEX($V$2:$AE$1001,MATCH(ROWS($O$2:O762),$O$2:$O$1001,0),MATCH(COLUMNS($V$1006:AD1006),$V$1006:$AE$1006,0)), HYPERLINK("#",""), HYPERLINK(CONCATENATE("#Metadata!", ADDRESS(INDEX($Q$2:$Q$1001,MATCH(ROWS($O$2:O762),$O$2:$O$1001,0),0), INDEX($V$1004:$AE$1004,1,MATCH(COLUMNS($V$1006:AD1006),$V$1006:$AE$1006,0)))),"Fix")))</f>
        <v>0</v>
      </c>
      <c r="K762" s="3">
        <f>IF(OR(INDEX($P$2:$P$1001,MATCH(ROWS($O$2:O762),$O$2:$O$1001,0),1)&gt;=100000,INDEX($V$1005:$AE$1005,1,MATCH(COLUMNS($V$1006:AE1006),$V$1006:$AE$1006,0))&gt;=100000), " ",IF(INDEX($V$2:$AE$1001,MATCH(ROWS($O$2:O762),$O$2:$O$1001,0),MATCH(COLUMNS($V$1006:AE1006),$V$1006:$AE$1006,0)), HYPERLINK("#",""), HYPERLINK(CONCATENATE("#Metadata!", ADDRESS(INDEX($Q$2:$Q$1001,MATCH(ROWS($O$2:O762),$O$2:$O$1001,0),0), INDEX($V$1004:$AE$1004,1,MATCH(COLUMNS($V$1006:AE1006),$V$1006:$AE$1006,0)))),"Fix")))</f>
        <v>0</v>
      </c>
      <c r="O762">
        <v>0</v>
      </c>
      <c r="P762">
        <v>0</v>
      </c>
      <c r="Q762">
        <v>0</v>
      </c>
      <c r="R762">
        <f>IF(S762,TRUE,AND(V762:AE762))</f>
        <v>0</v>
      </c>
      <c r="S762">
        <f>COUNTBLANK(Metadata!B762:K762)=COLUMNS(Metadata!B762:K762)</f>
        <v>0</v>
      </c>
      <c r="T762">
        <v>0</v>
      </c>
      <c r="V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W762">
        <f>AND(IF(Metadata!C762="",FALSE,TRUE),exact(Metadata!C762,"animal secretion"))</f>
        <v>0</v>
      </c>
      <c r="X762">
        <f>AND(IF(Metadata!D762="",FALSE,TRUE),exact(Metadata!D762,"saliva"))</f>
        <v>0</v>
      </c>
      <c r="Y762">
        <f>AND(IF(Metadata!E762="",FALSE,TRUE),exact(Metadata!E762,"human-oral"))</f>
        <v>0</v>
      </c>
      <c r="Z762">
        <f>AND(IF(Metadata!F762="",FALSE,TRUE),exact(Metadata!F762,"UBERON:oral cavity"))</f>
        <v>0</v>
      </c>
      <c r="AA762">
        <f>AND(IF(Metadata!G762="",FALSE,TRUE),exact(Metadata!G762,"UBERON:saliva"))</f>
        <v>0</v>
      </c>
      <c r="AB762">
        <f>AND(IF(Metadata!H762="",FALSE,TRUE),exact(Metadata!H762,"UBERON:tongue"))</f>
        <v>0</v>
      </c>
      <c r="AC762">
        <f>AND(IF(Metadata!I762="",FALSE,TRUE),exact(Metadata!I762,"tongue"))</f>
        <v>0</v>
      </c>
      <c r="AD762">
        <f>AND(IF(Metadata!J762="",FALSE,TRUE),exact(Metadata!J762,"human oral metagenome"))</f>
        <v>0</v>
      </c>
      <c r="AE762">
        <f>AND(IF(Metadata!K762="",FALSE,TRUE),exact(Metadata!K762,"447426"))</f>
        <v>0</v>
      </c>
    </row>
    <row r="763" spans="1:31">
      <c r="A763" s="4">
        <f>IF(B763=" "," ",HYPERLINK(CONCATENATE("#metadata!",ADDRESS(INDEX($Q$2:$Q$1001,MATCH(ROWS($O$2:O763),$O$2:$O$1001,0),0),1)),INDEX($T$2:$T$1001,MATCH(ROWS($O$2:O763),$O$2:$O$1001,0),0)))</f>
        <v>0</v>
      </c>
      <c r="B763" s="3">
        <f>IF(OR(INDEX($P$2:$P$1001,MATCH(ROWS($O$2:O763),$O$2:$O$1001,0),1)&gt;=100000,INDEX($V$1005:$AE$1005,1,MATCH(COLUMNS($V$1006:V1006),$V$1006:$AE$1006,0))&gt;=100000), " ",IF(INDEX($V$2:$AE$1001,MATCH(ROWS($O$2:O763),$O$2:$O$1001,0),MATCH(COLUMNS($V$1006:V1006),$V$1006:$AE$1006,0)), HYPERLINK("#",""), HYPERLINK(CONCATENATE("#Metadata!", ADDRESS(INDEX($Q$2:$Q$1001,MATCH(ROWS($O$2:O763),$O$2:$O$1001,0),0), INDEX($V$1004:$AE$1004,1,MATCH(COLUMNS($V$1006:V1006),$V$1006:$AE$1006,0)))),"Fix")))</f>
        <v>0</v>
      </c>
      <c r="C763" s="3">
        <f>IF(OR(INDEX($P$2:$P$1001,MATCH(ROWS($O$2:O763),$O$2:$O$1001,0),1)&gt;=100000,INDEX($V$1005:$AE$1005,1,MATCH(COLUMNS($V$1006:W1006),$V$1006:$AE$1006,0))&gt;=100000), " ",IF(INDEX($V$2:$AE$1001,MATCH(ROWS($O$2:O763),$O$2:$O$1001,0),MATCH(COLUMNS($V$1006:W1006),$V$1006:$AE$1006,0)), HYPERLINK("#",""), HYPERLINK(CONCATENATE("#Metadata!", ADDRESS(INDEX($Q$2:$Q$1001,MATCH(ROWS($O$2:O763),$O$2:$O$1001,0),0), INDEX($V$1004:$AE$1004,1,MATCH(COLUMNS($V$1006:W1006),$V$1006:$AE$1006,0)))),"Fix")))</f>
        <v>0</v>
      </c>
      <c r="D763" s="3">
        <f>IF(OR(INDEX($P$2:$P$1001,MATCH(ROWS($O$2:O763),$O$2:$O$1001,0),1)&gt;=100000,INDEX($V$1005:$AE$1005,1,MATCH(COLUMNS($V$1006:X1006),$V$1006:$AE$1006,0))&gt;=100000), " ",IF(INDEX($V$2:$AE$1001,MATCH(ROWS($O$2:O763),$O$2:$O$1001,0),MATCH(COLUMNS($V$1006:X1006),$V$1006:$AE$1006,0)), HYPERLINK("#",""), HYPERLINK(CONCATENATE("#Metadata!", ADDRESS(INDEX($Q$2:$Q$1001,MATCH(ROWS($O$2:O763),$O$2:$O$1001,0),0), INDEX($V$1004:$AE$1004,1,MATCH(COLUMNS($V$1006:X1006),$V$1006:$AE$1006,0)))),"Fix")))</f>
        <v>0</v>
      </c>
      <c r="E763" s="3">
        <f>IF(OR(INDEX($P$2:$P$1001,MATCH(ROWS($O$2:O763),$O$2:$O$1001,0),1)&gt;=100000,INDEX($V$1005:$AE$1005,1,MATCH(COLUMNS($V$1006:Y1006),$V$1006:$AE$1006,0))&gt;=100000), " ",IF(INDEX($V$2:$AE$1001,MATCH(ROWS($O$2:O763),$O$2:$O$1001,0),MATCH(COLUMNS($V$1006:Y1006),$V$1006:$AE$1006,0)), HYPERLINK("#",""), HYPERLINK(CONCATENATE("#Metadata!", ADDRESS(INDEX($Q$2:$Q$1001,MATCH(ROWS($O$2:O763),$O$2:$O$1001,0),0), INDEX($V$1004:$AE$1004,1,MATCH(COLUMNS($V$1006:Y1006),$V$1006:$AE$1006,0)))),"Fix")))</f>
        <v>0</v>
      </c>
      <c r="F763" s="3">
        <f>IF(OR(INDEX($P$2:$P$1001,MATCH(ROWS($O$2:O763),$O$2:$O$1001,0),1)&gt;=100000,INDEX($V$1005:$AE$1005,1,MATCH(COLUMNS($V$1006:Z1006),$V$1006:$AE$1006,0))&gt;=100000), " ",IF(INDEX($V$2:$AE$1001,MATCH(ROWS($O$2:O763),$O$2:$O$1001,0),MATCH(COLUMNS($V$1006:Z1006),$V$1006:$AE$1006,0)), HYPERLINK("#",""), HYPERLINK(CONCATENATE("#Metadata!", ADDRESS(INDEX($Q$2:$Q$1001,MATCH(ROWS($O$2:O763),$O$2:$O$1001,0),0), INDEX($V$1004:$AE$1004,1,MATCH(COLUMNS($V$1006:Z1006),$V$1006:$AE$1006,0)))),"Fix")))</f>
        <v>0</v>
      </c>
      <c r="G763" s="3">
        <f>IF(OR(INDEX($P$2:$P$1001,MATCH(ROWS($O$2:O763),$O$2:$O$1001,0),1)&gt;=100000,INDEX($V$1005:$AE$1005,1,MATCH(COLUMNS($V$1006:AA1006),$V$1006:$AE$1006,0))&gt;=100000), " ",IF(INDEX($V$2:$AE$1001,MATCH(ROWS($O$2:O763),$O$2:$O$1001,0),MATCH(COLUMNS($V$1006:AA1006),$V$1006:$AE$1006,0)), HYPERLINK("#",""), HYPERLINK(CONCATENATE("#Metadata!", ADDRESS(INDEX($Q$2:$Q$1001,MATCH(ROWS($O$2:O763),$O$2:$O$1001,0),0), INDEX($V$1004:$AE$1004,1,MATCH(COLUMNS($V$1006:AA1006),$V$1006:$AE$1006,0)))),"Fix")))</f>
        <v>0</v>
      </c>
      <c r="H763" s="3">
        <f>IF(OR(INDEX($P$2:$P$1001,MATCH(ROWS($O$2:O763),$O$2:$O$1001,0),1)&gt;=100000,INDEX($V$1005:$AE$1005,1,MATCH(COLUMNS($V$1006:AB1006),$V$1006:$AE$1006,0))&gt;=100000), " ",IF(INDEX($V$2:$AE$1001,MATCH(ROWS($O$2:O763),$O$2:$O$1001,0),MATCH(COLUMNS($V$1006:AB1006),$V$1006:$AE$1006,0)), HYPERLINK("#",""), HYPERLINK(CONCATENATE("#Metadata!", ADDRESS(INDEX($Q$2:$Q$1001,MATCH(ROWS($O$2:O763),$O$2:$O$1001,0),0), INDEX($V$1004:$AE$1004,1,MATCH(COLUMNS($V$1006:AB1006),$V$1006:$AE$1006,0)))),"Fix")))</f>
        <v>0</v>
      </c>
      <c r="I763" s="3">
        <f>IF(OR(INDEX($P$2:$P$1001,MATCH(ROWS($O$2:O763),$O$2:$O$1001,0),1)&gt;=100000,INDEX($V$1005:$AE$1005,1,MATCH(COLUMNS($V$1006:AC1006),$V$1006:$AE$1006,0))&gt;=100000), " ",IF(INDEX($V$2:$AE$1001,MATCH(ROWS($O$2:O763),$O$2:$O$1001,0),MATCH(COLUMNS($V$1006:AC1006),$V$1006:$AE$1006,0)), HYPERLINK("#",""), HYPERLINK(CONCATENATE("#Metadata!", ADDRESS(INDEX($Q$2:$Q$1001,MATCH(ROWS($O$2:O763),$O$2:$O$1001,0),0), INDEX($V$1004:$AE$1004,1,MATCH(COLUMNS($V$1006:AC1006),$V$1006:$AE$1006,0)))),"Fix")))</f>
        <v>0</v>
      </c>
      <c r="J763" s="3">
        <f>IF(OR(INDEX($P$2:$P$1001,MATCH(ROWS($O$2:O763),$O$2:$O$1001,0),1)&gt;=100000,INDEX($V$1005:$AE$1005,1,MATCH(COLUMNS($V$1006:AD1006),$V$1006:$AE$1006,0))&gt;=100000), " ",IF(INDEX($V$2:$AE$1001,MATCH(ROWS($O$2:O763),$O$2:$O$1001,0),MATCH(COLUMNS($V$1006:AD1006),$V$1006:$AE$1006,0)), HYPERLINK("#",""), HYPERLINK(CONCATENATE("#Metadata!", ADDRESS(INDEX($Q$2:$Q$1001,MATCH(ROWS($O$2:O763),$O$2:$O$1001,0),0), INDEX($V$1004:$AE$1004,1,MATCH(COLUMNS($V$1006:AD1006),$V$1006:$AE$1006,0)))),"Fix")))</f>
        <v>0</v>
      </c>
      <c r="K763" s="3">
        <f>IF(OR(INDEX($P$2:$P$1001,MATCH(ROWS($O$2:O763),$O$2:$O$1001,0),1)&gt;=100000,INDEX($V$1005:$AE$1005,1,MATCH(COLUMNS($V$1006:AE1006),$V$1006:$AE$1006,0))&gt;=100000), " ",IF(INDEX($V$2:$AE$1001,MATCH(ROWS($O$2:O763),$O$2:$O$1001,0),MATCH(COLUMNS($V$1006:AE1006),$V$1006:$AE$1006,0)), HYPERLINK("#",""), HYPERLINK(CONCATENATE("#Metadata!", ADDRESS(INDEX($Q$2:$Q$1001,MATCH(ROWS($O$2:O763),$O$2:$O$1001,0),0), INDEX($V$1004:$AE$1004,1,MATCH(COLUMNS($V$1006:AE1006),$V$1006:$AE$1006,0)))),"Fix")))</f>
        <v>0</v>
      </c>
      <c r="O763">
        <v>0</v>
      </c>
      <c r="P763">
        <v>0</v>
      </c>
      <c r="Q763">
        <v>0</v>
      </c>
      <c r="R763">
        <f>IF(S763,TRUE,AND(V763:AE763))</f>
        <v>0</v>
      </c>
      <c r="S763">
        <f>COUNTBLANK(Metadata!B763:K763)=COLUMNS(Metadata!B763:K763)</f>
        <v>0</v>
      </c>
      <c r="T763">
        <v>0</v>
      </c>
      <c r="V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W763">
        <f>AND(IF(Metadata!C763="",FALSE,TRUE),exact(Metadata!C763,"animal secretion"))</f>
        <v>0</v>
      </c>
      <c r="X763">
        <f>AND(IF(Metadata!D763="",FALSE,TRUE),exact(Metadata!D763,"saliva"))</f>
        <v>0</v>
      </c>
      <c r="Y763">
        <f>AND(IF(Metadata!E763="",FALSE,TRUE),exact(Metadata!E763,"human-oral"))</f>
        <v>0</v>
      </c>
      <c r="Z763">
        <f>AND(IF(Metadata!F763="",FALSE,TRUE),exact(Metadata!F763,"UBERON:oral cavity"))</f>
        <v>0</v>
      </c>
      <c r="AA763">
        <f>AND(IF(Metadata!G763="",FALSE,TRUE),exact(Metadata!G763,"UBERON:saliva"))</f>
        <v>0</v>
      </c>
      <c r="AB763">
        <f>AND(IF(Metadata!H763="",FALSE,TRUE),exact(Metadata!H763,"UBERON:tongue"))</f>
        <v>0</v>
      </c>
      <c r="AC763">
        <f>AND(IF(Metadata!I763="",FALSE,TRUE),exact(Metadata!I763,"tongue"))</f>
        <v>0</v>
      </c>
      <c r="AD763">
        <f>AND(IF(Metadata!J763="",FALSE,TRUE),exact(Metadata!J763,"human oral metagenome"))</f>
        <v>0</v>
      </c>
      <c r="AE763">
        <f>AND(IF(Metadata!K763="",FALSE,TRUE),exact(Metadata!K763,"447426"))</f>
        <v>0</v>
      </c>
    </row>
    <row r="764" spans="1:31">
      <c r="A764" s="4">
        <f>IF(B764=" "," ",HYPERLINK(CONCATENATE("#metadata!",ADDRESS(INDEX($Q$2:$Q$1001,MATCH(ROWS($O$2:O764),$O$2:$O$1001,0),0),1)),INDEX($T$2:$T$1001,MATCH(ROWS($O$2:O764),$O$2:$O$1001,0),0)))</f>
        <v>0</v>
      </c>
      <c r="B764" s="3">
        <f>IF(OR(INDEX($P$2:$P$1001,MATCH(ROWS($O$2:O764),$O$2:$O$1001,0),1)&gt;=100000,INDEX($V$1005:$AE$1005,1,MATCH(COLUMNS($V$1006:V1006),$V$1006:$AE$1006,0))&gt;=100000), " ",IF(INDEX($V$2:$AE$1001,MATCH(ROWS($O$2:O764),$O$2:$O$1001,0),MATCH(COLUMNS($V$1006:V1006),$V$1006:$AE$1006,0)), HYPERLINK("#",""), HYPERLINK(CONCATENATE("#Metadata!", ADDRESS(INDEX($Q$2:$Q$1001,MATCH(ROWS($O$2:O764),$O$2:$O$1001,0),0), INDEX($V$1004:$AE$1004,1,MATCH(COLUMNS($V$1006:V1006),$V$1006:$AE$1006,0)))),"Fix")))</f>
        <v>0</v>
      </c>
      <c r="C764" s="3">
        <f>IF(OR(INDEX($P$2:$P$1001,MATCH(ROWS($O$2:O764),$O$2:$O$1001,0),1)&gt;=100000,INDEX($V$1005:$AE$1005,1,MATCH(COLUMNS($V$1006:W1006),$V$1006:$AE$1006,0))&gt;=100000), " ",IF(INDEX($V$2:$AE$1001,MATCH(ROWS($O$2:O764),$O$2:$O$1001,0),MATCH(COLUMNS($V$1006:W1006),$V$1006:$AE$1006,0)), HYPERLINK("#",""), HYPERLINK(CONCATENATE("#Metadata!", ADDRESS(INDEX($Q$2:$Q$1001,MATCH(ROWS($O$2:O764),$O$2:$O$1001,0),0), INDEX($V$1004:$AE$1004,1,MATCH(COLUMNS($V$1006:W1006),$V$1006:$AE$1006,0)))),"Fix")))</f>
        <v>0</v>
      </c>
      <c r="D764" s="3">
        <f>IF(OR(INDEX($P$2:$P$1001,MATCH(ROWS($O$2:O764),$O$2:$O$1001,0),1)&gt;=100000,INDEX($V$1005:$AE$1005,1,MATCH(COLUMNS($V$1006:X1006),$V$1006:$AE$1006,0))&gt;=100000), " ",IF(INDEX($V$2:$AE$1001,MATCH(ROWS($O$2:O764),$O$2:$O$1001,0),MATCH(COLUMNS($V$1006:X1006),$V$1006:$AE$1006,0)), HYPERLINK("#",""), HYPERLINK(CONCATENATE("#Metadata!", ADDRESS(INDEX($Q$2:$Q$1001,MATCH(ROWS($O$2:O764),$O$2:$O$1001,0),0), INDEX($V$1004:$AE$1004,1,MATCH(COLUMNS($V$1006:X1006),$V$1006:$AE$1006,0)))),"Fix")))</f>
        <v>0</v>
      </c>
      <c r="E764" s="3">
        <f>IF(OR(INDEX($P$2:$P$1001,MATCH(ROWS($O$2:O764),$O$2:$O$1001,0),1)&gt;=100000,INDEX($V$1005:$AE$1005,1,MATCH(COLUMNS($V$1006:Y1006),$V$1006:$AE$1006,0))&gt;=100000), " ",IF(INDEX($V$2:$AE$1001,MATCH(ROWS($O$2:O764),$O$2:$O$1001,0),MATCH(COLUMNS($V$1006:Y1006),$V$1006:$AE$1006,0)), HYPERLINK("#",""), HYPERLINK(CONCATENATE("#Metadata!", ADDRESS(INDEX($Q$2:$Q$1001,MATCH(ROWS($O$2:O764),$O$2:$O$1001,0),0), INDEX($V$1004:$AE$1004,1,MATCH(COLUMNS($V$1006:Y1006),$V$1006:$AE$1006,0)))),"Fix")))</f>
        <v>0</v>
      </c>
      <c r="F764" s="3">
        <f>IF(OR(INDEX($P$2:$P$1001,MATCH(ROWS($O$2:O764),$O$2:$O$1001,0),1)&gt;=100000,INDEX($V$1005:$AE$1005,1,MATCH(COLUMNS($V$1006:Z1006),$V$1006:$AE$1006,0))&gt;=100000), " ",IF(INDEX($V$2:$AE$1001,MATCH(ROWS($O$2:O764),$O$2:$O$1001,0),MATCH(COLUMNS($V$1006:Z1006),$V$1006:$AE$1006,0)), HYPERLINK("#",""), HYPERLINK(CONCATENATE("#Metadata!", ADDRESS(INDEX($Q$2:$Q$1001,MATCH(ROWS($O$2:O764),$O$2:$O$1001,0),0), INDEX($V$1004:$AE$1004,1,MATCH(COLUMNS($V$1006:Z1006),$V$1006:$AE$1006,0)))),"Fix")))</f>
        <v>0</v>
      </c>
      <c r="G764" s="3">
        <f>IF(OR(INDEX($P$2:$P$1001,MATCH(ROWS($O$2:O764),$O$2:$O$1001,0),1)&gt;=100000,INDEX($V$1005:$AE$1005,1,MATCH(COLUMNS($V$1006:AA1006),$V$1006:$AE$1006,0))&gt;=100000), " ",IF(INDEX($V$2:$AE$1001,MATCH(ROWS($O$2:O764),$O$2:$O$1001,0),MATCH(COLUMNS($V$1006:AA1006),$V$1006:$AE$1006,0)), HYPERLINK("#",""), HYPERLINK(CONCATENATE("#Metadata!", ADDRESS(INDEX($Q$2:$Q$1001,MATCH(ROWS($O$2:O764),$O$2:$O$1001,0),0), INDEX($V$1004:$AE$1004,1,MATCH(COLUMNS($V$1006:AA1006),$V$1006:$AE$1006,0)))),"Fix")))</f>
        <v>0</v>
      </c>
      <c r="H764" s="3">
        <f>IF(OR(INDEX($P$2:$P$1001,MATCH(ROWS($O$2:O764),$O$2:$O$1001,0),1)&gt;=100000,INDEX($V$1005:$AE$1005,1,MATCH(COLUMNS($V$1006:AB1006),$V$1006:$AE$1006,0))&gt;=100000), " ",IF(INDEX($V$2:$AE$1001,MATCH(ROWS($O$2:O764),$O$2:$O$1001,0),MATCH(COLUMNS($V$1006:AB1006),$V$1006:$AE$1006,0)), HYPERLINK("#",""), HYPERLINK(CONCATENATE("#Metadata!", ADDRESS(INDEX($Q$2:$Q$1001,MATCH(ROWS($O$2:O764),$O$2:$O$1001,0),0), INDEX($V$1004:$AE$1004,1,MATCH(COLUMNS($V$1006:AB1006),$V$1006:$AE$1006,0)))),"Fix")))</f>
        <v>0</v>
      </c>
      <c r="I764" s="3">
        <f>IF(OR(INDEX($P$2:$P$1001,MATCH(ROWS($O$2:O764),$O$2:$O$1001,0),1)&gt;=100000,INDEX($V$1005:$AE$1005,1,MATCH(COLUMNS($V$1006:AC1006),$V$1006:$AE$1006,0))&gt;=100000), " ",IF(INDEX($V$2:$AE$1001,MATCH(ROWS($O$2:O764),$O$2:$O$1001,0),MATCH(COLUMNS($V$1006:AC1006),$V$1006:$AE$1006,0)), HYPERLINK("#",""), HYPERLINK(CONCATENATE("#Metadata!", ADDRESS(INDEX($Q$2:$Q$1001,MATCH(ROWS($O$2:O764),$O$2:$O$1001,0),0), INDEX($V$1004:$AE$1004,1,MATCH(COLUMNS($V$1006:AC1006),$V$1006:$AE$1006,0)))),"Fix")))</f>
        <v>0</v>
      </c>
      <c r="J764" s="3">
        <f>IF(OR(INDEX($P$2:$P$1001,MATCH(ROWS($O$2:O764),$O$2:$O$1001,0),1)&gt;=100000,INDEX($V$1005:$AE$1005,1,MATCH(COLUMNS($V$1006:AD1006),$V$1006:$AE$1006,0))&gt;=100000), " ",IF(INDEX($V$2:$AE$1001,MATCH(ROWS($O$2:O764),$O$2:$O$1001,0),MATCH(COLUMNS($V$1006:AD1006),$V$1006:$AE$1006,0)), HYPERLINK("#",""), HYPERLINK(CONCATENATE("#Metadata!", ADDRESS(INDEX($Q$2:$Q$1001,MATCH(ROWS($O$2:O764),$O$2:$O$1001,0),0), INDEX($V$1004:$AE$1004,1,MATCH(COLUMNS($V$1006:AD1006),$V$1006:$AE$1006,0)))),"Fix")))</f>
        <v>0</v>
      </c>
      <c r="K764" s="3">
        <f>IF(OR(INDEX($P$2:$P$1001,MATCH(ROWS($O$2:O764),$O$2:$O$1001,0),1)&gt;=100000,INDEX($V$1005:$AE$1005,1,MATCH(COLUMNS($V$1006:AE1006),$V$1006:$AE$1006,0))&gt;=100000), " ",IF(INDEX($V$2:$AE$1001,MATCH(ROWS($O$2:O764),$O$2:$O$1001,0),MATCH(COLUMNS($V$1006:AE1006),$V$1006:$AE$1006,0)), HYPERLINK("#",""), HYPERLINK(CONCATENATE("#Metadata!", ADDRESS(INDEX($Q$2:$Q$1001,MATCH(ROWS($O$2:O764),$O$2:$O$1001,0),0), INDEX($V$1004:$AE$1004,1,MATCH(COLUMNS($V$1006:AE1006),$V$1006:$AE$1006,0)))),"Fix")))</f>
        <v>0</v>
      </c>
      <c r="O764">
        <v>0</v>
      </c>
      <c r="P764">
        <v>0</v>
      </c>
      <c r="Q764">
        <v>0</v>
      </c>
      <c r="R764">
        <f>IF(S764,TRUE,AND(V764:AE764))</f>
        <v>0</v>
      </c>
      <c r="S764">
        <f>COUNTBLANK(Metadata!B764:K764)=COLUMNS(Metadata!B764:K764)</f>
        <v>0</v>
      </c>
      <c r="T764">
        <v>0</v>
      </c>
      <c r="V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W764">
        <f>AND(IF(Metadata!C764="",FALSE,TRUE),exact(Metadata!C764,"animal secretion"))</f>
        <v>0</v>
      </c>
      <c r="X764">
        <f>AND(IF(Metadata!D764="",FALSE,TRUE),exact(Metadata!D764,"saliva"))</f>
        <v>0</v>
      </c>
      <c r="Y764">
        <f>AND(IF(Metadata!E764="",FALSE,TRUE),exact(Metadata!E764,"human-oral"))</f>
        <v>0</v>
      </c>
      <c r="Z764">
        <f>AND(IF(Metadata!F764="",FALSE,TRUE),exact(Metadata!F764,"UBERON:oral cavity"))</f>
        <v>0</v>
      </c>
      <c r="AA764">
        <f>AND(IF(Metadata!G764="",FALSE,TRUE),exact(Metadata!G764,"UBERON:saliva"))</f>
        <v>0</v>
      </c>
      <c r="AB764">
        <f>AND(IF(Metadata!H764="",FALSE,TRUE),exact(Metadata!H764,"UBERON:tongue"))</f>
        <v>0</v>
      </c>
      <c r="AC764">
        <f>AND(IF(Metadata!I764="",FALSE,TRUE),exact(Metadata!I764,"tongue"))</f>
        <v>0</v>
      </c>
      <c r="AD764">
        <f>AND(IF(Metadata!J764="",FALSE,TRUE),exact(Metadata!J764,"human oral metagenome"))</f>
        <v>0</v>
      </c>
      <c r="AE764">
        <f>AND(IF(Metadata!K764="",FALSE,TRUE),exact(Metadata!K764,"447426"))</f>
        <v>0</v>
      </c>
    </row>
    <row r="765" spans="1:31">
      <c r="A765" s="4">
        <f>IF(B765=" "," ",HYPERLINK(CONCATENATE("#metadata!",ADDRESS(INDEX($Q$2:$Q$1001,MATCH(ROWS($O$2:O765),$O$2:$O$1001,0),0),1)),INDEX($T$2:$T$1001,MATCH(ROWS($O$2:O765),$O$2:$O$1001,0),0)))</f>
        <v>0</v>
      </c>
      <c r="B765" s="3">
        <f>IF(OR(INDEX($P$2:$P$1001,MATCH(ROWS($O$2:O765),$O$2:$O$1001,0),1)&gt;=100000,INDEX($V$1005:$AE$1005,1,MATCH(COLUMNS($V$1006:V1006),$V$1006:$AE$1006,0))&gt;=100000), " ",IF(INDEX($V$2:$AE$1001,MATCH(ROWS($O$2:O765),$O$2:$O$1001,0),MATCH(COLUMNS($V$1006:V1006),$V$1006:$AE$1006,0)), HYPERLINK("#",""), HYPERLINK(CONCATENATE("#Metadata!", ADDRESS(INDEX($Q$2:$Q$1001,MATCH(ROWS($O$2:O765),$O$2:$O$1001,0),0), INDEX($V$1004:$AE$1004,1,MATCH(COLUMNS($V$1006:V1006),$V$1006:$AE$1006,0)))),"Fix")))</f>
        <v>0</v>
      </c>
      <c r="C765" s="3">
        <f>IF(OR(INDEX($P$2:$P$1001,MATCH(ROWS($O$2:O765),$O$2:$O$1001,0),1)&gt;=100000,INDEX($V$1005:$AE$1005,1,MATCH(COLUMNS($V$1006:W1006),$V$1006:$AE$1006,0))&gt;=100000), " ",IF(INDEX($V$2:$AE$1001,MATCH(ROWS($O$2:O765),$O$2:$O$1001,0),MATCH(COLUMNS($V$1006:W1006),$V$1006:$AE$1006,0)), HYPERLINK("#",""), HYPERLINK(CONCATENATE("#Metadata!", ADDRESS(INDEX($Q$2:$Q$1001,MATCH(ROWS($O$2:O765),$O$2:$O$1001,0),0), INDEX($V$1004:$AE$1004,1,MATCH(COLUMNS($V$1006:W1006),$V$1006:$AE$1006,0)))),"Fix")))</f>
        <v>0</v>
      </c>
      <c r="D765" s="3">
        <f>IF(OR(INDEX($P$2:$P$1001,MATCH(ROWS($O$2:O765),$O$2:$O$1001,0),1)&gt;=100000,INDEX($V$1005:$AE$1005,1,MATCH(COLUMNS($V$1006:X1006),$V$1006:$AE$1006,0))&gt;=100000), " ",IF(INDEX($V$2:$AE$1001,MATCH(ROWS($O$2:O765),$O$2:$O$1001,0),MATCH(COLUMNS($V$1006:X1006),$V$1006:$AE$1006,0)), HYPERLINK("#",""), HYPERLINK(CONCATENATE("#Metadata!", ADDRESS(INDEX($Q$2:$Q$1001,MATCH(ROWS($O$2:O765),$O$2:$O$1001,0),0), INDEX($V$1004:$AE$1004,1,MATCH(COLUMNS($V$1006:X1006),$V$1006:$AE$1006,0)))),"Fix")))</f>
        <v>0</v>
      </c>
      <c r="E765" s="3">
        <f>IF(OR(INDEX($P$2:$P$1001,MATCH(ROWS($O$2:O765),$O$2:$O$1001,0),1)&gt;=100000,INDEX($V$1005:$AE$1005,1,MATCH(COLUMNS($V$1006:Y1006),$V$1006:$AE$1006,0))&gt;=100000), " ",IF(INDEX($V$2:$AE$1001,MATCH(ROWS($O$2:O765),$O$2:$O$1001,0),MATCH(COLUMNS($V$1006:Y1006),$V$1006:$AE$1006,0)), HYPERLINK("#",""), HYPERLINK(CONCATENATE("#Metadata!", ADDRESS(INDEX($Q$2:$Q$1001,MATCH(ROWS($O$2:O765),$O$2:$O$1001,0),0), INDEX($V$1004:$AE$1004,1,MATCH(COLUMNS($V$1006:Y1006),$V$1006:$AE$1006,0)))),"Fix")))</f>
        <v>0</v>
      </c>
      <c r="F765" s="3">
        <f>IF(OR(INDEX($P$2:$P$1001,MATCH(ROWS($O$2:O765),$O$2:$O$1001,0),1)&gt;=100000,INDEX($V$1005:$AE$1005,1,MATCH(COLUMNS($V$1006:Z1006),$V$1006:$AE$1006,0))&gt;=100000), " ",IF(INDEX($V$2:$AE$1001,MATCH(ROWS($O$2:O765),$O$2:$O$1001,0),MATCH(COLUMNS($V$1006:Z1006),$V$1006:$AE$1006,0)), HYPERLINK("#",""), HYPERLINK(CONCATENATE("#Metadata!", ADDRESS(INDEX($Q$2:$Q$1001,MATCH(ROWS($O$2:O765),$O$2:$O$1001,0),0), INDEX($V$1004:$AE$1004,1,MATCH(COLUMNS($V$1006:Z1006),$V$1006:$AE$1006,0)))),"Fix")))</f>
        <v>0</v>
      </c>
      <c r="G765" s="3">
        <f>IF(OR(INDEX($P$2:$P$1001,MATCH(ROWS($O$2:O765),$O$2:$O$1001,0),1)&gt;=100000,INDEX($V$1005:$AE$1005,1,MATCH(COLUMNS($V$1006:AA1006),$V$1006:$AE$1006,0))&gt;=100000), " ",IF(INDEX($V$2:$AE$1001,MATCH(ROWS($O$2:O765),$O$2:$O$1001,0),MATCH(COLUMNS($V$1006:AA1006),$V$1006:$AE$1006,0)), HYPERLINK("#",""), HYPERLINK(CONCATENATE("#Metadata!", ADDRESS(INDEX($Q$2:$Q$1001,MATCH(ROWS($O$2:O765),$O$2:$O$1001,0),0), INDEX($V$1004:$AE$1004,1,MATCH(COLUMNS($V$1006:AA1006),$V$1006:$AE$1006,0)))),"Fix")))</f>
        <v>0</v>
      </c>
      <c r="H765" s="3">
        <f>IF(OR(INDEX($P$2:$P$1001,MATCH(ROWS($O$2:O765),$O$2:$O$1001,0),1)&gt;=100000,INDEX($V$1005:$AE$1005,1,MATCH(COLUMNS($V$1006:AB1006),$V$1006:$AE$1006,0))&gt;=100000), " ",IF(INDEX($V$2:$AE$1001,MATCH(ROWS($O$2:O765),$O$2:$O$1001,0),MATCH(COLUMNS($V$1006:AB1006),$V$1006:$AE$1006,0)), HYPERLINK("#",""), HYPERLINK(CONCATENATE("#Metadata!", ADDRESS(INDEX($Q$2:$Q$1001,MATCH(ROWS($O$2:O765),$O$2:$O$1001,0),0), INDEX($V$1004:$AE$1004,1,MATCH(COLUMNS($V$1006:AB1006),$V$1006:$AE$1006,0)))),"Fix")))</f>
        <v>0</v>
      </c>
      <c r="I765" s="3">
        <f>IF(OR(INDEX($P$2:$P$1001,MATCH(ROWS($O$2:O765),$O$2:$O$1001,0),1)&gt;=100000,INDEX($V$1005:$AE$1005,1,MATCH(COLUMNS($V$1006:AC1006),$V$1006:$AE$1006,0))&gt;=100000), " ",IF(INDEX($V$2:$AE$1001,MATCH(ROWS($O$2:O765),$O$2:$O$1001,0),MATCH(COLUMNS($V$1006:AC1006),$V$1006:$AE$1006,0)), HYPERLINK("#",""), HYPERLINK(CONCATENATE("#Metadata!", ADDRESS(INDEX($Q$2:$Q$1001,MATCH(ROWS($O$2:O765),$O$2:$O$1001,0),0), INDEX($V$1004:$AE$1004,1,MATCH(COLUMNS($V$1006:AC1006),$V$1006:$AE$1006,0)))),"Fix")))</f>
        <v>0</v>
      </c>
      <c r="J765" s="3">
        <f>IF(OR(INDEX($P$2:$P$1001,MATCH(ROWS($O$2:O765),$O$2:$O$1001,0),1)&gt;=100000,INDEX($V$1005:$AE$1005,1,MATCH(COLUMNS($V$1006:AD1006),$V$1006:$AE$1006,0))&gt;=100000), " ",IF(INDEX($V$2:$AE$1001,MATCH(ROWS($O$2:O765),$O$2:$O$1001,0),MATCH(COLUMNS($V$1006:AD1006),$V$1006:$AE$1006,0)), HYPERLINK("#",""), HYPERLINK(CONCATENATE("#Metadata!", ADDRESS(INDEX($Q$2:$Q$1001,MATCH(ROWS($O$2:O765),$O$2:$O$1001,0),0), INDEX($V$1004:$AE$1004,1,MATCH(COLUMNS($V$1006:AD1006),$V$1006:$AE$1006,0)))),"Fix")))</f>
        <v>0</v>
      </c>
      <c r="K765" s="3">
        <f>IF(OR(INDEX($P$2:$P$1001,MATCH(ROWS($O$2:O765),$O$2:$O$1001,0),1)&gt;=100000,INDEX($V$1005:$AE$1005,1,MATCH(COLUMNS($V$1006:AE1006),$V$1006:$AE$1006,0))&gt;=100000), " ",IF(INDEX($V$2:$AE$1001,MATCH(ROWS($O$2:O765),$O$2:$O$1001,0),MATCH(COLUMNS($V$1006:AE1006),$V$1006:$AE$1006,0)), HYPERLINK("#",""), HYPERLINK(CONCATENATE("#Metadata!", ADDRESS(INDEX($Q$2:$Q$1001,MATCH(ROWS($O$2:O765),$O$2:$O$1001,0),0), INDEX($V$1004:$AE$1004,1,MATCH(COLUMNS($V$1006:AE1006),$V$1006:$AE$1006,0)))),"Fix")))</f>
        <v>0</v>
      </c>
      <c r="O765">
        <v>0</v>
      </c>
      <c r="P765">
        <v>0</v>
      </c>
      <c r="Q765">
        <v>0</v>
      </c>
      <c r="R765">
        <f>IF(S765,TRUE,AND(V765:AE765))</f>
        <v>0</v>
      </c>
      <c r="S765">
        <f>COUNTBLANK(Metadata!B765:K765)=COLUMNS(Metadata!B765:K765)</f>
        <v>0</v>
      </c>
      <c r="T765">
        <v>0</v>
      </c>
      <c r="V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W765">
        <f>AND(IF(Metadata!C765="",FALSE,TRUE),exact(Metadata!C765,"animal secretion"))</f>
        <v>0</v>
      </c>
      <c r="X765">
        <f>AND(IF(Metadata!D765="",FALSE,TRUE),exact(Metadata!D765,"saliva"))</f>
        <v>0</v>
      </c>
      <c r="Y765">
        <f>AND(IF(Metadata!E765="",FALSE,TRUE),exact(Metadata!E765,"human-oral"))</f>
        <v>0</v>
      </c>
      <c r="Z765">
        <f>AND(IF(Metadata!F765="",FALSE,TRUE),exact(Metadata!F765,"UBERON:oral cavity"))</f>
        <v>0</v>
      </c>
      <c r="AA765">
        <f>AND(IF(Metadata!G765="",FALSE,TRUE),exact(Metadata!G765,"UBERON:saliva"))</f>
        <v>0</v>
      </c>
      <c r="AB765">
        <f>AND(IF(Metadata!H765="",FALSE,TRUE),exact(Metadata!H765,"UBERON:tongue"))</f>
        <v>0</v>
      </c>
      <c r="AC765">
        <f>AND(IF(Metadata!I765="",FALSE,TRUE),exact(Metadata!I765,"tongue"))</f>
        <v>0</v>
      </c>
      <c r="AD765">
        <f>AND(IF(Metadata!J765="",FALSE,TRUE),exact(Metadata!J765,"human oral metagenome"))</f>
        <v>0</v>
      </c>
      <c r="AE765">
        <f>AND(IF(Metadata!K765="",FALSE,TRUE),exact(Metadata!K765,"447426"))</f>
        <v>0</v>
      </c>
    </row>
    <row r="766" spans="1:31">
      <c r="A766" s="4">
        <f>IF(B766=" "," ",HYPERLINK(CONCATENATE("#metadata!",ADDRESS(INDEX($Q$2:$Q$1001,MATCH(ROWS($O$2:O766),$O$2:$O$1001,0),0),1)),INDEX($T$2:$T$1001,MATCH(ROWS($O$2:O766),$O$2:$O$1001,0),0)))</f>
        <v>0</v>
      </c>
      <c r="B766" s="3">
        <f>IF(OR(INDEX($P$2:$P$1001,MATCH(ROWS($O$2:O766),$O$2:$O$1001,0),1)&gt;=100000,INDEX($V$1005:$AE$1005,1,MATCH(COLUMNS($V$1006:V1006),$V$1006:$AE$1006,0))&gt;=100000), " ",IF(INDEX($V$2:$AE$1001,MATCH(ROWS($O$2:O766),$O$2:$O$1001,0),MATCH(COLUMNS($V$1006:V1006),$V$1006:$AE$1006,0)), HYPERLINK("#",""), HYPERLINK(CONCATENATE("#Metadata!", ADDRESS(INDEX($Q$2:$Q$1001,MATCH(ROWS($O$2:O766),$O$2:$O$1001,0),0), INDEX($V$1004:$AE$1004,1,MATCH(COLUMNS($V$1006:V1006),$V$1006:$AE$1006,0)))),"Fix")))</f>
        <v>0</v>
      </c>
      <c r="C766" s="3">
        <f>IF(OR(INDEX($P$2:$P$1001,MATCH(ROWS($O$2:O766),$O$2:$O$1001,0),1)&gt;=100000,INDEX($V$1005:$AE$1005,1,MATCH(COLUMNS($V$1006:W1006),$V$1006:$AE$1006,0))&gt;=100000), " ",IF(INDEX($V$2:$AE$1001,MATCH(ROWS($O$2:O766),$O$2:$O$1001,0),MATCH(COLUMNS($V$1006:W1006),$V$1006:$AE$1006,0)), HYPERLINK("#",""), HYPERLINK(CONCATENATE("#Metadata!", ADDRESS(INDEX($Q$2:$Q$1001,MATCH(ROWS($O$2:O766),$O$2:$O$1001,0),0), INDEX($V$1004:$AE$1004,1,MATCH(COLUMNS($V$1006:W1006),$V$1006:$AE$1006,0)))),"Fix")))</f>
        <v>0</v>
      </c>
      <c r="D766" s="3">
        <f>IF(OR(INDEX($P$2:$P$1001,MATCH(ROWS($O$2:O766),$O$2:$O$1001,0),1)&gt;=100000,INDEX($V$1005:$AE$1005,1,MATCH(COLUMNS($V$1006:X1006),$V$1006:$AE$1006,0))&gt;=100000), " ",IF(INDEX($V$2:$AE$1001,MATCH(ROWS($O$2:O766),$O$2:$O$1001,0),MATCH(COLUMNS($V$1006:X1006),$V$1006:$AE$1006,0)), HYPERLINK("#",""), HYPERLINK(CONCATENATE("#Metadata!", ADDRESS(INDEX($Q$2:$Q$1001,MATCH(ROWS($O$2:O766),$O$2:$O$1001,0),0), INDEX($V$1004:$AE$1004,1,MATCH(COLUMNS($V$1006:X1006),$V$1006:$AE$1006,0)))),"Fix")))</f>
        <v>0</v>
      </c>
      <c r="E766" s="3">
        <f>IF(OR(INDEX($P$2:$P$1001,MATCH(ROWS($O$2:O766),$O$2:$O$1001,0),1)&gt;=100000,INDEX($V$1005:$AE$1005,1,MATCH(COLUMNS($V$1006:Y1006),$V$1006:$AE$1006,0))&gt;=100000), " ",IF(INDEX($V$2:$AE$1001,MATCH(ROWS($O$2:O766),$O$2:$O$1001,0),MATCH(COLUMNS($V$1006:Y1006),$V$1006:$AE$1006,0)), HYPERLINK("#",""), HYPERLINK(CONCATENATE("#Metadata!", ADDRESS(INDEX($Q$2:$Q$1001,MATCH(ROWS($O$2:O766),$O$2:$O$1001,0),0), INDEX($V$1004:$AE$1004,1,MATCH(COLUMNS($V$1006:Y1006),$V$1006:$AE$1006,0)))),"Fix")))</f>
        <v>0</v>
      </c>
      <c r="F766" s="3">
        <f>IF(OR(INDEX($P$2:$P$1001,MATCH(ROWS($O$2:O766),$O$2:$O$1001,0),1)&gt;=100000,INDEX($V$1005:$AE$1005,1,MATCH(COLUMNS($V$1006:Z1006),$V$1006:$AE$1006,0))&gt;=100000), " ",IF(INDEX($V$2:$AE$1001,MATCH(ROWS($O$2:O766),$O$2:$O$1001,0),MATCH(COLUMNS($V$1006:Z1006),$V$1006:$AE$1006,0)), HYPERLINK("#",""), HYPERLINK(CONCATENATE("#Metadata!", ADDRESS(INDEX($Q$2:$Q$1001,MATCH(ROWS($O$2:O766),$O$2:$O$1001,0),0), INDEX($V$1004:$AE$1004,1,MATCH(COLUMNS($V$1006:Z1006),$V$1006:$AE$1006,0)))),"Fix")))</f>
        <v>0</v>
      </c>
      <c r="G766" s="3">
        <f>IF(OR(INDEX($P$2:$P$1001,MATCH(ROWS($O$2:O766),$O$2:$O$1001,0),1)&gt;=100000,INDEX($V$1005:$AE$1005,1,MATCH(COLUMNS($V$1006:AA1006),$V$1006:$AE$1006,0))&gt;=100000), " ",IF(INDEX($V$2:$AE$1001,MATCH(ROWS($O$2:O766),$O$2:$O$1001,0),MATCH(COLUMNS($V$1006:AA1006),$V$1006:$AE$1006,0)), HYPERLINK("#",""), HYPERLINK(CONCATENATE("#Metadata!", ADDRESS(INDEX($Q$2:$Q$1001,MATCH(ROWS($O$2:O766),$O$2:$O$1001,0),0), INDEX($V$1004:$AE$1004,1,MATCH(COLUMNS($V$1006:AA1006),$V$1006:$AE$1006,0)))),"Fix")))</f>
        <v>0</v>
      </c>
      <c r="H766" s="3">
        <f>IF(OR(INDEX($P$2:$P$1001,MATCH(ROWS($O$2:O766),$O$2:$O$1001,0),1)&gt;=100000,INDEX($V$1005:$AE$1005,1,MATCH(COLUMNS($V$1006:AB1006),$V$1006:$AE$1006,0))&gt;=100000), " ",IF(INDEX($V$2:$AE$1001,MATCH(ROWS($O$2:O766),$O$2:$O$1001,0),MATCH(COLUMNS($V$1006:AB1006),$V$1006:$AE$1006,0)), HYPERLINK("#",""), HYPERLINK(CONCATENATE("#Metadata!", ADDRESS(INDEX($Q$2:$Q$1001,MATCH(ROWS($O$2:O766),$O$2:$O$1001,0),0), INDEX($V$1004:$AE$1004,1,MATCH(COLUMNS($V$1006:AB1006),$V$1006:$AE$1006,0)))),"Fix")))</f>
        <v>0</v>
      </c>
      <c r="I766" s="3">
        <f>IF(OR(INDEX($P$2:$P$1001,MATCH(ROWS($O$2:O766),$O$2:$O$1001,0),1)&gt;=100000,INDEX($V$1005:$AE$1005,1,MATCH(COLUMNS($V$1006:AC1006),$V$1006:$AE$1006,0))&gt;=100000), " ",IF(INDEX($V$2:$AE$1001,MATCH(ROWS($O$2:O766),$O$2:$O$1001,0),MATCH(COLUMNS($V$1006:AC1006),$V$1006:$AE$1006,0)), HYPERLINK("#",""), HYPERLINK(CONCATENATE("#Metadata!", ADDRESS(INDEX($Q$2:$Q$1001,MATCH(ROWS($O$2:O766),$O$2:$O$1001,0),0), INDEX($V$1004:$AE$1004,1,MATCH(COLUMNS($V$1006:AC1006),$V$1006:$AE$1006,0)))),"Fix")))</f>
        <v>0</v>
      </c>
      <c r="J766" s="3">
        <f>IF(OR(INDEX($P$2:$P$1001,MATCH(ROWS($O$2:O766),$O$2:$O$1001,0),1)&gt;=100000,INDEX($V$1005:$AE$1005,1,MATCH(COLUMNS($V$1006:AD1006),$V$1006:$AE$1006,0))&gt;=100000), " ",IF(INDEX($V$2:$AE$1001,MATCH(ROWS($O$2:O766),$O$2:$O$1001,0),MATCH(COLUMNS($V$1006:AD1006),$V$1006:$AE$1006,0)), HYPERLINK("#",""), HYPERLINK(CONCATENATE("#Metadata!", ADDRESS(INDEX($Q$2:$Q$1001,MATCH(ROWS($O$2:O766),$O$2:$O$1001,0),0), INDEX($V$1004:$AE$1004,1,MATCH(COLUMNS($V$1006:AD1006),$V$1006:$AE$1006,0)))),"Fix")))</f>
        <v>0</v>
      </c>
      <c r="K766" s="3">
        <f>IF(OR(INDEX($P$2:$P$1001,MATCH(ROWS($O$2:O766),$O$2:$O$1001,0),1)&gt;=100000,INDEX($V$1005:$AE$1005,1,MATCH(COLUMNS($V$1006:AE1006),$V$1006:$AE$1006,0))&gt;=100000), " ",IF(INDEX($V$2:$AE$1001,MATCH(ROWS($O$2:O766),$O$2:$O$1001,0),MATCH(COLUMNS($V$1006:AE1006),$V$1006:$AE$1006,0)), HYPERLINK("#",""), HYPERLINK(CONCATENATE("#Metadata!", ADDRESS(INDEX($Q$2:$Q$1001,MATCH(ROWS($O$2:O766),$O$2:$O$1001,0),0), INDEX($V$1004:$AE$1004,1,MATCH(COLUMNS($V$1006:AE1006),$V$1006:$AE$1006,0)))),"Fix")))</f>
        <v>0</v>
      </c>
      <c r="O766">
        <v>0</v>
      </c>
      <c r="P766">
        <v>0</v>
      </c>
      <c r="Q766">
        <v>0</v>
      </c>
      <c r="R766">
        <f>IF(S766,TRUE,AND(V766:AE766))</f>
        <v>0</v>
      </c>
      <c r="S766">
        <f>COUNTBLANK(Metadata!B766:K766)=COLUMNS(Metadata!B766:K766)</f>
        <v>0</v>
      </c>
      <c r="T766">
        <v>0</v>
      </c>
      <c r="V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W766">
        <f>AND(IF(Metadata!C766="",FALSE,TRUE),exact(Metadata!C766,"animal secretion"))</f>
        <v>0</v>
      </c>
      <c r="X766">
        <f>AND(IF(Metadata!D766="",FALSE,TRUE),exact(Metadata!D766,"saliva"))</f>
        <v>0</v>
      </c>
      <c r="Y766">
        <f>AND(IF(Metadata!E766="",FALSE,TRUE),exact(Metadata!E766,"human-oral"))</f>
        <v>0</v>
      </c>
      <c r="Z766">
        <f>AND(IF(Metadata!F766="",FALSE,TRUE),exact(Metadata!F766,"UBERON:oral cavity"))</f>
        <v>0</v>
      </c>
      <c r="AA766">
        <f>AND(IF(Metadata!G766="",FALSE,TRUE),exact(Metadata!G766,"UBERON:saliva"))</f>
        <v>0</v>
      </c>
      <c r="AB766">
        <f>AND(IF(Metadata!H766="",FALSE,TRUE),exact(Metadata!H766,"UBERON:tongue"))</f>
        <v>0</v>
      </c>
      <c r="AC766">
        <f>AND(IF(Metadata!I766="",FALSE,TRUE),exact(Metadata!I766,"tongue"))</f>
        <v>0</v>
      </c>
      <c r="AD766">
        <f>AND(IF(Metadata!J766="",FALSE,TRUE),exact(Metadata!J766,"human oral metagenome"))</f>
        <v>0</v>
      </c>
      <c r="AE766">
        <f>AND(IF(Metadata!K766="",FALSE,TRUE),exact(Metadata!K766,"447426"))</f>
        <v>0</v>
      </c>
    </row>
    <row r="767" spans="1:31">
      <c r="A767" s="4">
        <f>IF(B767=" "," ",HYPERLINK(CONCATENATE("#metadata!",ADDRESS(INDEX($Q$2:$Q$1001,MATCH(ROWS($O$2:O767),$O$2:$O$1001,0),0),1)),INDEX($T$2:$T$1001,MATCH(ROWS($O$2:O767),$O$2:$O$1001,0),0)))</f>
        <v>0</v>
      </c>
      <c r="B767" s="3">
        <f>IF(OR(INDEX($P$2:$P$1001,MATCH(ROWS($O$2:O767),$O$2:$O$1001,0),1)&gt;=100000,INDEX($V$1005:$AE$1005,1,MATCH(COLUMNS($V$1006:V1006),$V$1006:$AE$1006,0))&gt;=100000), " ",IF(INDEX($V$2:$AE$1001,MATCH(ROWS($O$2:O767),$O$2:$O$1001,0),MATCH(COLUMNS($V$1006:V1006),$V$1006:$AE$1006,0)), HYPERLINK("#",""), HYPERLINK(CONCATENATE("#Metadata!", ADDRESS(INDEX($Q$2:$Q$1001,MATCH(ROWS($O$2:O767),$O$2:$O$1001,0),0), INDEX($V$1004:$AE$1004,1,MATCH(COLUMNS($V$1006:V1006),$V$1006:$AE$1006,0)))),"Fix")))</f>
        <v>0</v>
      </c>
      <c r="C767" s="3">
        <f>IF(OR(INDEX($P$2:$P$1001,MATCH(ROWS($O$2:O767),$O$2:$O$1001,0),1)&gt;=100000,INDEX($V$1005:$AE$1005,1,MATCH(COLUMNS($V$1006:W1006),$V$1006:$AE$1006,0))&gt;=100000), " ",IF(INDEX($V$2:$AE$1001,MATCH(ROWS($O$2:O767),$O$2:$O$1001,0),MATCH(COLUMNS($V$1006:W1006),$V$1006:$AE$1006,0)), HYPERLINK("#",""), HYPERLINK(CONCATENATE("#Metadata!", ADDRESS(INDEX($Q$2:$Q$1001,MATCH(ROWS($O$2:O767),$O$2:$O$1001,0),0), INDEX($V$1004:$AE$1004,1,MATCH(COLUMNS($V$1006:W1006),$V$1006:$AE$1006,0)))),"Fix")))</f>
        <v>0</v>
      </c>
      <c r="D767" s="3">
        <f>IF(OR(INDEX($P$2:$P$1001,MATCH(ROWS($O$2:O767),$O$2:$O$1001,0),1)&gt;=100000,INDEX($V$1005:$AE$1005,1,MATCH(COLUMNS($V$1006:X1006),$V$1006:$AE$1006,0))&gt;=100000), " ",IF(INDEX($V$2:$AE$1001,MATCH(ROWS($O$2:O767),$O$2:$O$1001,0),MATCH(COLUMNS($V$1006:X1006),$V$1006:$AE$1006,0)), HYPERLINK("#",""), HYPERLINK(CONCATENATE("#Metadata!", ADDRESS(INDEX($Q$2:$Q$1001,MATCH(ROWS($O$2:O767),$O$2:$O$1001,0),0), INDEX($V$1004:$AE$1004,1,MATCH(COLUMNS($V$1006:X1006),$V$1006:$AE$1006,0)))),"Fix")))</f>
        <v>0</v>
      </c>
      <c r="E767" s="3">
        <f>IF(OR(INDEX($P$2:$P$1001,MATCH(ROWS($O$2:O767),$O$2:$O$1001,0),1)&gt;=100000,INDEX($V$1005:$AE$1005,1,MATCH(COLUMNS($V$1006:Y1006),$V$1006:$AE$1006,0))&gt;=100000), " ",IF(INDEX($V$2:$AE$1001,MATCH(ROWS($O$2:O767),$O$2:$O$1001,0),MATCH(COLUMNS($V$1006:Y1006),$V$1006:$AE$1006,0)), HYPERLINK("#",""), HYPERLINK(CONCATENATE("#Metadata!", ADDRESS(INDEX($Q$2:$Q$1001,MATCH(ROWS($O$2:O767),$O$2:$O$1001,0),0), INDEX($V$1004:$AE$1004,1,MATCH(COLUMNS($V$1006:Y1006),$V$1006:$AE$1006,0)))),"Fix")))</f>
        <v>0</v>
      </c>
      <c r="F767" s="3">
        <f>IF(OR(INDEX($P$2:$P$1001,MATCH(ROWS($O$2:O767),$O$2:$O$1001,0),1)&gt;=100000,INDEX($V$1005:$AE$1005,1,MATCH(COLUMNS($V$1006:Z1006),$V$1006:$AE$1006,0))&gt;=100000), " ",IF(INDEX($V$2:$AE$1001,MATCH(ROWS($O$2:O767),$O$2:$O$1001,0),MATCH(COLUMNS($V$1006:Z1006),$V$1006:$AE$1006,0)), HYPERLINK("#",""), HYPERLINK(CONCATENATE("#Metadata!", ADDRESS(INDEX($Q$2:$Q$1001,MATCH(ROWS($O$2:O767),$O$2:$O$1001,0),0), INDEX($V$1004:$AE$1004,1,MATCH(COLUMNS($V$1006:Z1006),$V$1006:$AE$1006,0)))),"Fix")))</f>
        <v>0</v>
      </c>
      <c r="G767" s="3">
        <f>IF(OR(INDEX($P$2:$P$1001,MATCH(ROWS($O$2:O767),$O$2:$O$1001,0),1)&gt;=100000,INDEX($V$1005:$AE$1005,1,MATCH(COLUMNS($V$1006:AA1006),$V$1006:$AE$1006,0))&gt;=100000), " ",IF(INDEX($V$2:$AE$1001,MATCH(ROWS($O$2:O767),$O$2:$O$1001,0),MATCH(COLUMNS($V$1006:AA1006),$V$1006:$AE$1006,0)), HYPERLINK("#",""), HYPERLINK(CONCATENATE("#Metadata!", ADDRESS(INDEX($Q$2:$Q$1001,MATCH(ROWS($O$2:O767),$O$2:$O$1001,0),0), INDEX($V$1004:$AE$1004,1,MATCH(COLUMNS($V$1006:AA1006),$V$1006:$AE$1006,0)))),"Fix")))</f>
        <v>0</v>
      </c>
      <c r="H767" s="3">
        <f>IF(OR(INDEX($P$2:$P$1001,MATCH(ROWS($O$2:O767),$O$2:$O$1001,0),1)&gt;=100000,INDEX($V$1005:$AE$1005,1,MATCH(COLUMNS($V$1006:AB1006),$V$1006:$AE$1006,0))&gt;=100000), " ",IF(INDEX($V$2:$AE$1001,MATCH(ROWS($O$2:O767),$O$2:$O$1001,0),MATCH(COLUMNS($V$1006:AB1006),$V$1006:$AE$1006,0)), HYPERLINK("#",""), HYPERLINK(CONCATENATE("#Metadata!", ADDRESS(INDEX($Q$2:$Q$1001,MATCH(ROWS($O$2:O767),$O$2:$O$1001,0),0), INDEX($V$1004:$AE$1004,1,MATCH(COLUMNS($V$1006:AB1006),$V$1006:$AE$1006,0)))),"Fix")))</f>
        <v>0</v>
      </c>
      <c r="I767" s="3">
        <f>IF(OR(INDEX($P$2:$P$1001,MATCH(ROWS($O$2:O767),$O$2:$O$1001,0),1)&gt;=100000,INDEX($V$1005:$AE$1005,1,MATCH(COLUMNS($V$1006:AC1006),$V$1006:$AE$1006,0))&gt;=100000), " ",IF(INDEX($V$2:$AE$1001,MATCH(ROWS($O$2:O767),$O$2:$O$1001,0),MATCH(COLUMNS($V$1006:AC1006),$V$1006:$AE$1006,0)), HYPERLINK("#",""), HYPERLINK(CONCATENATE("#Metadata!", ADDRESS(INDEX($Q$2:$Q$1001,MATCH(ROWS($O$2:O767),$O$2:$O$1001,0),0), INDEX($V$1004:$AE$1004,1,MATCH(COLUMNS($V$1006:AC1006),$V$1006:$AE$1006,0)))),"Fix")))</f>
        <v>0</v>
      </c>
      <c r="J767" s="3">
        <f>IF(OR(INDEX($P$2:$P$1001,MATCH(ROWS($O$2:O767),$O$2:$O$1001,0),1)&gt;=100000,INDEX($V$1005:$AE$1005,1,MATCH(COLUMNS($V$1006:AD1006),$V$1006:$AE$1006,0))&gt;=100000), " ",IF(INDEX($V$2:$AE$1001,MATCH(ROWS($O$2:O767),$O$2:$O$1001,0),MATCH(COLUMNS($V$1006:AD1006),$V$1006:$AE$1006,0)), HYPERLINK("#",""), HYPERLINK(CONCATENATE("#Metadata!", ADDRESS(INDEX($Q$2:$Q$1001,MATCH(ROWS($O$2:O767),$O$2:$O$1001,0),0), INDEX($V$1004:$AE$1004,1,MATCH(COLUMNS($V$1006:AD1006),$V$1006:$AE$1006,0)))),"Fix")))</f>
        <v>0</v>
      </c>
      <c r="K767" s="3">
        <f>IF(OR(INDEX($P$2:$P$1001,MATCH(ROWS($O$2:O767),$O$2:$O$1001,0),1)&gt;=100000,INDEX($V$1005:$AE$1005,1,MATCH(COLUMNS($V$1006:AE1006),$V$1006:$AE$1006,0))&gt;=100000), " ",IF(INDEX($V$2:$AE$1001,MATCH(ROWS($O$2:O767),$O$2:$O$1001,0),MATCH(COLUMNS($V$1006:AE1006),$V$1006:$AE$1006,0)), HYPERLINK("#",""), HYPERLINK(CONCATENATE("#Metadata!", ADDRESS(INDEX($Q$2:$Q$1001,MATCH(ROWS($O$2:O767),$O$2:$O$1001,0),0), INDEX($V$1004:$AE$1004,1,MATCH(COLUMNS($V$1006:AE1006),$V$1006:$AE$1006,0)))),"Fix")))</f>
        <v>0</v>
      </c>
      <c r="O767">
        <v>0</v>
      </c>
      <c r="P767">
        <v>0</v>
      </c>
      <c r="Q767">
        <v>0</v>
      </c>
      <c r="R767">
        <f>IF(S767,TRUE,AND(V767:AE767))</f>
        <v>0</v>
      </c>
      <c r="S767">
        <f>COUNTBLANK(Metadata!B767:K767)=COLUMNS(Metadata!B767:K767)</f>
        <v>0</v>
      </c>
      <c r="T767">
        <v>0</v>
      </c>
      <c r="V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W767">
        <f>AND(IF(Metadata!C767="",FALSE,TRUE),exact(Metadata!C767,"animal secretion"))</f>
        <v>0</v>
      </c>
      <c r="X767">
        <f>AND(IF(Metadata!D767="",FALSE,TRUE),exact(Metadata!D767,"saliva"))</f>
        <v>0</v>
      </c>
      <c r="Y767">
        <f>AND(IF(Metadata!E767="",FALSE,TRUE),exact(Metadata!E767,"human-oral"))</f>
        <v>0</v>
      </c>
      <c r="Z767">
        <f>AND(IF(Metadata!F767="",FALSE,TRUE),exact(Metadata!F767,"UBERON:oral cavity"))</f>
        <v>0</v>
      </c>
      <c r="AA767">
        <f>AND(IF(Metadata!G767="",FALSE,TRUE),exact(Metadata!G767,"UBERON:saliva"))</f>
        <v>0</v>
      </c>
      <c r="AB767">
        <f>AND(IF(Metadata!H767="",FALSE,TRUE),exact(Metadata!H767,"UBERON:tongue"))</f>
        <v>0</v>
      </c>
      <c r="AC767">
        <f>AND(IF(Metadata!I767="",FALSE,TRUE),exact(Metadata!I767,"tongue"))</f>
        <v>0</v>
      </c>
      <c r="AD767">
        <f>AND(IF(Metadata!J767="",FALSE,TRUE),exact(Metadata!J767,"human oral metagenome"))</f>
        <v>0</v>
      </c>
      <c r="AE767">
        <f>AND(IF(Metadata!K767="",FALSE,TRUE),exact(Metadata!K767,"447426"))</f>
        <v>0</v>
      </c>
    </row>
    <row r="768" spans="1:31">
      <c r="A768" s="4">
        <f>IF(B768=" "," ",HYPERLINK(CONCATENATE("#metadata!",ADDRESS(INDEX($Q$2:$Q$1001,MATCH(ROWS($O$2:O768),$O$2:$O$1001,0),0),1)),INDEX($T$2:$T$1001,MATCH(ROWS($O$2:O768),$O$2:$O$1001,0),0)))</f>
        <v>0</v>
      </c>
      <c r="B768" s="3">
        <f>IF(OR(INDEX($P$2:$P$1001,MATCH(ROWS($O$2:O768),$O$2:$O$1001,0),1)&gt;=100000,INDEX($V$1005:$AE$1005,1,MATCH(COLUMNS($V$1006:V1006),$V$1006:$AE$1006,0))&gt;=100000), " ",IF(INDEX($V$2:$AE$1001,MATCH(ROWS($O$2:O768),$O$2:$O$1001,0),MATCH(COLUMNS($V$1006:V1006),$V$1006:$AE$1006,0)), HYPERLINK("#",""), HYPERLINK(CONCATENATE("#Metadata!", ADDRESS(INDEX($Q$2:$Q$1001,MATCH(ROWS($O$2:O768),$O$2:$O$1001,0),0), INDEX($V$1004:$AE$1004,1,MATCH(COLUMNS($V$1006:V1006),$V$1006:$AE$1006,0)))),"Fix")))</f>
        <v>0</v>
      </c>
      <c r="C768" s="3">
        <f>IF(OR(INDEX($P$2:$P$1001,MATCH(ROWS($O$2:O768),$O$2:$O$1001,0),1)&gt;=100000,INDEX($V$1005:$AE$1005,1,MATCH(COLUMNS($V$1006:W1006),$V$1006:$AE$1006,0))&gt;=100000), " ",IF(INDEX($V$2:$AE$1001,MATCH(ROWS($O$2:O768),$O$2:$O$1001,0),MATCH(COLUMNS($V$1006:W1006),$V$1006:$AE$1006,0)), HYPERLINK("#",""), HYPERLINK(CONCATENATE("#Metadata!", ADDRESS(INDEX($Q$2:$Q$1001,MATCH(ROWS($O$2:O768),$O$2:$O$1001,0),0), INDEX($V$1004:$AE$1004,1,MATCH(COLUMNS($V$1006:W1006),$V$1006:$AE$1006,0)))),"Fix")))</f>
        <v>0</v>
      </c>
      <c r="D768" s="3">
        <f>IF(OR(INDEX($P$2:$P$1001,MATCH(ROWS($O$2:O768),$O$2:$O$1001,0),1)&gt;=100000,INDEX($V$1005:$AE$1005,1,MATCH(COLUMNS($V$1006:X1006),$V$1006:$AE$1006,0))&gt;=100000), " ",IF(INDEX($V$2:$AE$1001,MATCH(ROWS($O$2:O768),$O$2:$O$1001,0),MATCH(COLUMNS($V$1006:X1006),$V$1006:$AE$1006,0)), HYPERLINK("#",""), HYPERLINK(CONCATENATE("#Metadata!", ADDRESS(INDEX($Q$2:$Q$1001,MATCH(ROWS($O$2:O768),$O$2:$O$1001,0),0), INDEX($V$1004:$AE$1004,1,MATCH(COLUMNS($V$1006:X1006),$V$1006:$AE$1006,0)))),"Fix")))</f>
        <v>0</v>
      </c>
      <c r="E768" s="3">
        <f>IF(OR(INDEX($P$2:$P$1001,MATCH(ROWS($O$2:O768),$O$2:$O$1001,0),1)&gt;=100000,INDEX($V$1005:$AE$1005,1,MATCH(COLUMNS($V$1006:Y1006),$V$1006:$AE$1006,0))&gt;=100000), " ",IF(INDEX($V$2:$AE$1001,MATCH(ROWS($O$2:O768),$O$2:$O$1001,0),MATCH(COLUMNS($V$1006:Y1006),$V$1006:$AE$1006,0)), HYPERLINK("#",""), HYPERLINK(CONCATENATE("#Metadata!", ADDRESS(INDEX($Q$2:$Q$1001,MATCH(ROWS($O$2:O768),$O$2:$O$1001,0),0), INDEX($V$1004:$AE$1004,1,MATCH(COLUMNS($V$1006:Y1006),$V$1006:$AE$1006,0)))),"Fix")))</f>
        <v>0</v>
      </c>
      <c r="F768" s="3">
        <f>IF(OR(INDEX($P$2:$P$1001,MATCH(ROWS($O$2:O768),$O$2:$O$1001,0),1)&gt;=100000,INDEX($V$1005:$AE$1005,1,MATCH(COLUMNS($V$1006:Z1006),$V$1006:$AE$1006,0))&gt;=100000), " ",IF(INDEX($V$2:$AE$1001,MATCH(ROWS($O$2:O768),$O$2:$O$1001,0),MATCH(COLUMNS($V$1006:Z1006),$V$1006:$AE$1006,0)), HYPERLINK("#",""), HYPERLINK(CONCATENATE("#Metadata!", ADDRESS(INDEX($Q$2:$Q$1001,MATCH(ROWS($O$2:O768),$O$2:$O$1001,0),0), INDEX($V$1004:$AE$1004,1,MATCH(COLUMNS($V$1006:Z1006),$V$1006:$AE$1006,0)))),"Fix")))</f>
        <v>0</v>
      </c>
      <c r="G768" s="3">
        <f>IF(OR(INDEX($P$2:$P$1001,MATCH(ROWS($O$2:O768),$O$2:$O$1001,0),1)&gt;=100000,INDEX($V$1005:$AE$1005,1,MATCH(COLUMNS($V$1006:AA1006),$V$1006:$AE$1006,0))&gt;=100000), " ",IF(INDEX($V$2:$AE$1001,MATCH(ROWS($O$2:O768),$O$2:$O$1001,0),MATCH(COLUMNS($V$1006:AA1006),$V$1006:$AE$1006,0)), HYPERLINK("#",""), HYPERLINK(CONCATENATE("#Metadata!", ADDRESS(INDEX($Q$2:$Q$1001,MATCH(ROWS($O$2:O768),$O$2:$O$1001,0),0), INDEX($V$1004:$AE$1004,1,MATCH(COLUMNS($V$1006:AA1006),$V$1006:$AE$1006,0)))),"Fix")))</f>
        <v>0</v>
      </c>
      <c r="H768" s="3">
        <f>IF(OR(INDEX($P$2:$P$1001,MATCH(ROWS($O$2:O768),$O$2:$O$1001,0),1)&gt;=100000,INDEX($V$1005:$AE$1005,1,MATCH(COLUMNS($V$1006:AB1006),$V$1006:$AE$1006,0))&gt;=100000), " ",IF(INDEX($V$2:$AE$1001,MATCH(ROWS($O$2:O768),$O$2:$O$1001,0),MATCH(COLUMNS($V$1006:AB1006),$V$1006:$AE$1006,0)), HYPERLINK("#",""), HYPERLINK(CONCATENATE("#Metadata!", ADDRESS(INDEX($Q$2:$Q$1001,MATCH(ROWS($O$2:O768),$O$2:$O$1001,0),0), INDEX($V$1004:$AE$1004,1,MATCH(COLUMNS($V$1006:AB1006),$V$1006:$AE$1006,0)))),"Fix")))</f>
        <v>0</v>
      </c>
      <c r="I768" s="3">
        <f>IF(OR(INDEX($P$2:$P$1001,MATCH(ROWS($O$2:O768),$O$2:$O$1001,0),1)&gt;=100000,INDEX($V$1005:$AE$1005,1,MATCH(COLUMNS($V$1006:AC1006),$V$1006:$AE$1006,0))&gt;=100000), " ",IF(INDEX($V$2:$AE$1001,MATCH(ROWS($O$2:O768),$O$2:$O$1001,0),MATCH(COLUMNS($V$1006:AC1006),$V$1006:$AE$1006,0)), HYPERLINK("#",""), HYPERLINK(CONCATENATE("#Metadata!", ADDRESS(INDEX($Q$2:$Q$1001,MATCH(ROWS($O$2:O768),$O$2:$O$1001,0),0), INDEX($V$1004:$AE$1004,1,MATCH(COLUMNS($V$1006:AC1006),$V$1006:$AE$1006,0)))),"Fix")))</f>
        <v>0</v>
      </c>
      <c r="J768" s="3">
        <f>IF(OR(INDEX($P$2:$P$1001,MATCH(ROWS($O$2:O768),$O$2:$O$1001,0),1)&gt;=100000,INDEX($V$1005:$AE$1005,1,MATCH(COLUMNS($V$1006:AD1006),$V$1006:$AE$1006,0))&gt;=100000), " ",IF(INDEX($V$2:$AE$1001,MATCH(ROWS($O$2:O768),$O$2:$O$1001,0),MATCH(COLUMNS($V$1006:AD1006),$V$1006:$AE$1006,0)), HYPERLINK("#",""), HYPERLINK(CONCATENATE("#Metadata!", ADDRESS(INDEX($Q$2:$Q$1001,MATCH(ROWS($O$2:O768),$O$2:$O$1001,0),0), INDEX($V$1004:$AE$1004,1,MATCH(COLUMNS($V$1006:AD1006),$V$1006:$AE$1006,0)))),"Fix")))</f>
        <v>0</v>
      </c>
      <c r="K768" s="3">
        <f>IF(OR(INDEX($P$2:$P$1001,MATCH(ROWS($O$2:O768),$O$2:$O$1001,0),1)&gt;=100000,INDEX($V$1005:$AE$1005,1,MATCH(COLUMNS($V$1006:AE1006),$V$1006:$AE$1006,0))&gt;=100000), " ",IF(INDEX($V$2:$AE$1001,MATCH(ROWS($O$2:O768),$O$2:$O$1001,0),MATCH(COLUMNS($V$1006:AE1006),$V$1006:$AE$1006,0)), HYPERLINK("#",""), HYPERLINK(CONCATENATE("#Metadata!", ADDRESS(INDEX($Q$2:$Q$1001,MATCH(ROWS($O$2:O768),$O$2:$O$1001,0),0), INDEX($V$1004:$AE$1004,1,MATCH(COLUMNS($V$1006:AE1006),$V$1006:$AE$1006,0)))),"Fix")))</f>
        <v>0</v>
      </c>
      <c r="O768">
        <v>0</v>
      </c>
      <c r="P768">
        <v>0</v>
      </c>
      <c r="Q768">
        <v>0</v>
      </c>
      <c r="R768">
        <f>IF(S768,TRUE,AND(V768:AE768))</f>
        <v>0</v>
      </c>
      <c r="S768">
        <f>COUNTBLANK(Metadata!B768:K768)=COLUMNS(Metadata!B768:K768)</f>
        <v>0</v>
      </c>
      <c r="T768">
        <v>0</v>
      </c>
      <c r="V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W768">
        <f>AND(IF(Metadata!C768="",FALSE,TRUE),exact(Metadata!C768,"animal secretion"))</f>
        <v>0</v>
      </c>
      <c r="X768">
        <f>AND(IF(Metadata!D768="",FALSE,TRUE),exact(Metadata!D768,"saliva"))</f>
        <v>0</v>
      </c>
      <c r="Y768">
        <f>AND(IF(Metadata!E768="",FALSE,TRUE),exact(Metadata!E768,"human-oral"))</f>
        <v>0</v>
      </c>
      <c r="Z768">
        <f>AND(IF(Metadata!F768="",FALSE,TRUE),exact(Metadata!F768,"UBERON:oral cavity"))</f>
        <v>0</v>
      </c>
      <c r="AA768">
        <f>AND(IF(Metadata!G768="",FALSE,TRUE),exact(Metadata!G768,"UBERON:saliva"))</f>
        <v>0</v>
      </c>
      <c r="AB768">
        <f>AND(IF(Metadata!H768="",FALSE,TRUE),exact(Metadata!H768,"UBERON:tongue"))</f>
        <v>0</v>
      </c>
      <c r="AC768">
        <f>AND(IF(Metadata!I768="",FALSE,TRUE),exact(Metadata!I768,"tongue"))</f>
        <v>0</v>
      </c>
      <c r="AD768">
        <f>AND(IF(Metadata!J768="",FALSE,TRUE),exact(Metadata!J768,"human oral metagenome"))</f>
        <v>0</v>
      </c>
      <c r="AE768">
        <f>AND(IF(Metadata!K768="",FALSE,TRUE),exact(Metadata!K768,"447426"))</f>
        <v>0</v>
      </c>
    </row>
    <row r="769" spans="1:31">
      <c r="A769" s="4">
        <f>IF(B769=" "," ",HYPERLINK(CONCATENATE("#metadata!",ADDRESS(INDEX($Q$2:$Q$1001,MATCH(ROWS($O$2:O769),$O$2:$O$1001,0),0),1)),INDEX($T$2:$T$1001,MATCH(ROWS($O$2:O769),$O$2:$O$1001,0),0)))</f>
        <v>0</v>
      </c>
      <c r="B769" s="3">
        <f>IF(OR(INDEX($P$2:$P$1001,MATCH(ROWS($O$2:O769),$O$2:$O$1001,0),1)&gt;=100000,INDEX($V$1005:$AE$1005,1,MATCH(COLUMNS($V$1006:V1006),$V$1006:$AE$1006,0))&gt;=100000), " ",IF(INDEX($V$2:$AE$1001,MATCH(ROWS($O$2:O769),$O$2:$O$1001,0),MATCH(COLUMNS($V$1006:V1006),$V$1006:$AE$1006,0)), HYPERLINK("#",""), HYPERLINK(CONCATENATE("#Metadata!", ADDRESS(INDEX($Q$2:$Q$1001,MATCH(ROWS($O$2:O769),$O$2:$O$1001,0),0), INDEX($V$1004:$AE$1004,1,MATCH(COLUMNS($V$1006:V1006),$V$1006:$AE$1006,0)))),"Fix")))</f>
        <v>0</v>
      </c>
      <c r="C769" s="3">
        <f>IF(OR(INDEX($P$2:$P$1001,MATCH(ROWS($O$2:O769),$O$2:$O$1001,0),1)&gt;=100000,INDEX($V$1005:$AE$1005,1,MATCH(COLUMNS($V$1006:W1006),$V$1006:$AE$1006,0))&gt;=100000), " ",IF(INDEX($V$2:$AE$1001,MATCH(ROWS($O$2:O769),$O$2:$O$1001,0),MATCH(COLUMNS($V$1006:W1006),$V$1006:$AE$1006,0)), HYPERLINK("#",""), HYPERLINK(CONCATENATE("#Metadata!", ADDRESS(INDEX($Q$2:$Q$1001,MATCH(ROWS($O$2:O769),$O$2:$O$1001,0),0), INDEX($V$1004:$AE$1004,1,MATCH(COLUMNS($V$1006:W1006),$V$1006:$AE$1006,0)))),"Fix")))</f>
        <v>0</v>
      </c>
      <c r="D769" s="3">
        <f>IF(OR(INDEX($P$2:$P$1001,MATCH(ROWS($O$2:O769),$O$2:$O$1001,0),1)&gt;=100000,INDEX($V$1005:$AE$1005,1,MATCH(COLUMNS($V$1006:X1006),$V$1006:$AE$1006,0))&gt;=100000), " ",IF(INDEX($V$2:$AE$1001,MATCH(ROWS($O$2:O769),$O$2:$O$1001,0),MATCH(COLUMNS($V$1006:X1006),$V$1006:$AE$1006,0)), HYPERLINK("#",""), HYPERLINK(CONCATENATE("#Metadata!", ADDRESS(INDEX($Q$2:$Q$1001,MATCH(ROWS($O$2:O769),$O$2:$O$1001,0),0), INDEX($V$1004:$AE$1004,1,MATCH(COLUMNS($V$1006:X1006),$V$1006:$AE$1006,0)))),"Fix")))</f>
        <v>0</v>
      </c>
      <c r="E769" s="3">
        <f>IF(OR(INDEX($P$2:$P$1001,MATCH(ROWS($O$2:O769),$O$2:$O$1001,0),1)&gt;=100000,INDEX($V$1005:$AE$1005,1,MATCH(COLUMNS($V$1006:Y1006),$V$1006:$AE$1006,0))&gt;=100000), " ",IF(INDEX($V$2:$AE$1001,MATCH(ROWS($O$2:O769),$O$2:$O$1001,0),MATCH(COLUMNS($V$1006:Y1006),$V$1006:$AE$1006,0)), HYPERLINK("#",""), HYPERLINK(CONCATENATE("#Metadata!", ADDRESS(INDEX($Q$2:$Q$1001,MATCH(ROWS($O$2:O769),$O$2:$O$1001,0),0), INDEX($V$1004:$AE$1004,1,MATCH(COLUMNS($V$1006:Y1006),$V$1006:$AE$1006,0)))),"Fix")))</f>
        <v>0</v>
      </c>
      <c r="F769" s="3">
        <f>IF(OR(INDEX($P$2:$P$1001,MATCH(ROWS($O$2:O769),$O$2:$O$1001,0),1)&gt;=100000,INDEX($V$1005:$AE$1005,1,MATCH(COLUMNS($V$1006:Z1006),$V$1006:$AE$1006,0))&gt;=100000), " ",IF(INDEX($V$2:$AE$1001,MATCH(ROWS($O$2:O769),$O$2:$O$1001,0),MATCH(COLUMNS($V$1006:Z1006),$V$1006:$AE$1006,0)), HYPERLINK("#",""), HYPERLINK(CONCATENATE("#Metadata!", ADDRESS(INDEX($Q$2:$Q$1001,MATCH(ROWS($O$2:O769),$O$2:$O$1001,0),0), INDEX($V$1004:$AE$1004,1,MATCH(COLUMNS($V$1006:Z1006),$V$1006:$AE$1006,0)))),"Fix")))</f>
        <v>0</v>
      </c>
      <c r="G769" s="3">
        <f>IF(OR(INDEX($P$2:$P$1001,MATCH(ROWS($O$2:O769),$O$2:$O$1001,0),1)&gt;=100000,INDEX($V$1005:$AE$1005,1,MATCH(COLUMNS($V$1006:AA1006),$V$1006:$AE$1006,0))&gt;=100000), " ",IF(INDEX($V$2:$AE$1001,MATCH(ROWS($O$2:O769),$O$2:$O$1001,0),MATCH(COLUMNS($V$1006:AA1006),$V$1006:$AE$1006,0)), HYPERLINK("#",""), HYPERLINK(CONCATENATE("#Metadata!", ADDRESS(INDEX($Q$2:$Q$1001,MATCH(ROWS($O$2:O769),$O$2:$O$1001,0),0), INDEX($V$1004:$AE$1004,1,MATCH(COLUMNS($V$1006:AA1006),$V$1006:$AE$1006,0)))),"Fix")))</f>
        <v>0</v>
      </c>
      <c r="H769" s="3">
        <f>IF(OR(INDEX($P$2:$P$1001,MATCH(ROWS($O$2:O769),$O$2:$O$1001,0),1)&gt;=100000,INDEX($V$1005:$AE$1005,1,MATCH(COLUMNS($V$1006:AB1006),$V$1006:$AE$1006,0))&gt;=100000), " ",IF(INDEX($V$2:$AE$1001,MATCH(ROWS($O$2:O769),$O$2:$O$1001,0),MATCH(COLUMNS($V$1006:AB1006),$V$1006:$AE$1006,0)), HYPERLINK("#",""), HYPERLINK(CONCATENATE("#Metadata!", ADDRESS(INDEX($Q$2:$Q$1001,MATCH(ROWS($O$2:O769),$O$2:$O$1001,0),0), INDEX($V$1004:$AE$1004,1,MATCH(COLUMNS($V$1006:AB1006),$V$1006:$AE$1006,0)))),"Fix")))</f>
        <v>0</v>
      </c>
      <c r="I769" s="3">
        <f>IF(OR(INDEX($P$2:$P$1001,MATCH(ROWS($O$2:O769),$O$2:$O$1001,0),1)&gt;=100000,INDEX($V$1005:$AE$1005,1,MATCH(COLUMNS($V$1006:AC1006),$V$1006:$AE$1006,0))&gt;=100000), " ",IF(INDEX($V$2:$AE$1001,MATCH(ROWS($O$2:O769),$O$2:$O$1001,0),MATCH(COLUMNS($V$1006:AC1006),$V$1006:$AE$1006,0)), HYPERLINK("#",""), HYPERLINK(CONCATENATE("#Metadata!", ADDRESS(INDEX($Q$2:$Q$1001,MATCH(ROWS($O$2:O769),$O$2:$O$1001,0),0), INDEX($V$1004:$AE$1004,1,MATCH(COLUMNS($V$1006:AC1006),$V$1006:$AE$1006,0)))),"Fix")))</f>
        <v>0</v>
      </c>
      <c r="J769" s="3">
        <f>IF(OR(INDEX($P$2:$P$1001,MATCH(ROWS($O$2:O769),$O$2:$O$1001,0),1)&gt;=100000,INDEX($V$1005:$AE$1005,1,MATCH(COLUMNS($V$1006:AD1006),$V$1006:$AE$1006,0))&gt;=100000), " ",IF(INDEX($V$2:$AE$1001,MATCH(ROWS($O$2:O769),$O$2:$O$1001,0),MATCH(COLUMNS($V$1006:AD1006),$V$1006:$AE$1006,0)), HYPERLINK("#",""), HYPERLINK(CONCATENATE("#Metadata!", ADDRESS(INDEX($Q$2:$Q$1001,MATCH(ROWS($O$2:O769),$O$2:$O$1001,0),0), INDEX($V$1004:$AE$1004,1,MATCH(COLUMNS($V$1006:AD1006),$V$1006:$AE$1006,0)))),"Fix")))</f>
        <v>0</v>
      </c>
      <c r="K769" s="3">
        <f>IF(OR(INDEX($P$2:$P$1001,MATCH(ROWS($O$2:O769),$O$2:$O$1001,0),1)&gt;=100000,INDEX($V$1005:$AE$1005,1,MATCH(COLUMNS($V$1006:AE1006),$V$1006:$AE$1006,0))&gt;=100000), " ",IF(INDEX($V$2:$AE$1001,MATCH(ROWS($O$2:O769),$O$2:$O$1001,0),MATCH(COLUMNS($V$1006:AE1006),$V$1006:$AE$1006,0)), HYPERLINK("#",""), HYPERLINK(CONCATENATE("#Metadata!", ADDRESS(INDEX($Q$2:$Q$1001,MATCH(ROWS($O$2:O769),$O$2:$O$1001,0),0), INDEX($V$1004:$AE$1004,1,MATCH(COLUMNS($V$1006:AE1006),$V$1006:$AE$1006,0)))),"Fix")))</f>
        <v>0</v>
      </c>
      <c r="O769">
        <v>0</v>
      </c>
      <c r="P769">
        <v>0</v>
      </c>
      <c r="Q769">
        <v>0</v>
      </c>
      <c r="R769">
        <f>IF(S769,TRUE,AND(V769:AE769))</f>
        <v>0</v>
      </c>
      <c r="S769">
        <f>COUNTBLANK(Metadata!B769:K769)=COLUMNS(Metadata!B769:K769)</f>
        <v>0</v>
      </c>
      <c r="T769">
        <v>0</v>
      </c>
      <c r="V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W769">
        <f>AND(IF(Metadata!C769="",FALSE,TRUE),exact(Metadata!C769,"animal secretion"))</f>
        <v>0</v>
      </c>
      <c r="X769">
        <f>AND(IF(Metadata!D769="",FALSE,TRUE),exact(Metadata!D769,"saliva"))</f>
        <v>0</v>
      </c>
      <c r="Y769">
        <f>AND(IF(Metadata!E769="",FALSE,TRUE),exact(Metadata!E769,"human-oral"))</f>
        <v>0</v>
      </c>
      <c r="Z769">
        <f>AND(IF(Metadata!F769="",FALSE,TRUE),exact(Metadata!F769,"UBERON:oral cavity"))</f>
        <v>0</v>
      </c>
      <c r="AA769">
        <f>AND(IF(Metadata!G769="",FALSE,TRUE),exact(Metadata!G769,"UBERON:saliva"))</f>
        <v>0</v>
      </c>
      <c r="AB769">
        <f>AND(IF(Metadata!H769="",FALSE,TRUE),exact(Metadata!H769,"UBERON:tongue"))</f>
        <v>0</v>
      </c>
      <c r="AC769">
        <f>AND(IF(Metadata!I769="",FALSE,TRUE),exact(Metadata!I769,"tongue"))</f>
        <v>0</v>
      </c>
      <c r="AD769">
        <f>AND(IF(Metadata!J769="",FALSE,TRUE),exact(Metadata!J769,"human oral metagenome"))</f>
        <v>0</v>
      </c>
      <c r="AE769">
        <f>AND(IF(Metadata!K769="",FALSE,TRUE),exact(Metadata!K769,"447426"))</f>
        <v>0</v>
      </c>
    </row>
    <row r="770" spans="1:31">
      <c r="A770" s="4">
        <f>IF(B770=" "," ",HYPERLINK(CONCATENATE("#metadata!",ADDRESS(INDEX($Q$2:$Q$1001,MATCH(ROWS($O$2:O770),$O$2:$O$1001,0),0),1)),INDEX($T$2:$T$1001,MATCH(ROWS($O$2:O770),$O$2:$O$1001,0),0)))</f>
        <v>0</v>
      </c>
      <c r="B770" s="3">
        <f>IF(OR(INDEX($P$2:$P$1001,MATCH(ROWS($O$2:O770),$O$2:$O$1001,0),1)&gt;=100000,INDEX($V$1005:$AE$1005,1,MATCH(COLUMNS($V$1006:V1006),$V$1006:$AE$1006,0))&gt;=100000), " ",IF(INDEX($V$2:$AE$1001,MATCH(ROWS($O$2:O770),$O$2:$O$1001,0),MATCH(COLUMNS($V$1006:V1006),$V$1006:$AE$1006,0)), HYPERLINK("#",""), HYPERLINK(CONCATENATE("#Metadata!", ADDRESS(INDEX($Q$2:$Q$1001,MATCH(ROWS($O$2:O770),$O$2:$O$1001,0),0), INDEX($V$1004:$AE$1004,1,MATCH(COLUMNS($V$1006:V1006),$V$1006:$AE$1006,0)))),"Fix")))</f>
        <v>0</v>
      </c>
      <c r="C770" s="3">
        <f>IF(OR(INDEX($P$2:$P$1001,MATCH(ROWS($O$2:O770),$O$2:$O$1001,0),1)&gt;=100000,INDEX($V$1005:$AE$1005,1,MATCH(COLUMNS($V$1006:W1006),$V$1006:$AE$1006,0))&gt;=100000), " ",IF(INDEX($V$2:$AE$1001,MATCH(ROWS($O$2:O770),$O$2:$O$1001,0),MATCH(COLUMNS($V$1006:W1006),$V$1006:$AE$1006,0)), HYPERLINK("#",""), HYPERLINK(CONCATENATE("#Metadata!", ADDRESS(INDEX($Q$2:$Q$1001,MATCH(ROWS($O$2:O770),$O$2:$O$1001,0),0), INDEX($V$1004:$AE$1004,1,MATCH(COLUMNS($V$1006:W1006),$V$1006:$AE$1006,0)))),"Fix")))</f>
        <v>0</v>
      </c>
      <c r="D770" s="3">
        <f>IF(OR(INDEX($P$2:$P$1001,MATCH(ROWS($O$2:O770),$O$2:$O$1001,0),1)&gt;=100000,INDEX($V$1005:$AE$1005,1,MATCH(COLUMNS($V$1006:X1006),$V$1006:$AE$1006,0))&gt;=100000), " ",IF(INDEX($V$2:$AE$1001,MATCH(ROWS($O$2:O770),$O$2:$O$1001,0),MATCH(COLUMNS($V$1006:X1006),$V$1006:$AE$1006,0)), HYPERLINK("#",""), HYPERLINK(CONCATENATE("#Metadata!", ADDRESS(INDEX($Q$2:$Q$1001,MATCH(ROWS($O$2:O770),$O$2:$O$1001,0),0), INDEX($V$1004:$AE$1004,1,MATCH(COLUMNS($V$1006:X1006),$V$1006:$AE$1006,0)))),"Fix")))</f>
        <v>0</v>
      </c>
      <c r="E770" s="3">
        <f>IF(OR(INDEX($P$2:$P$1001,MATCH(ROWS($O$2:O770),$O$2:$O$1001,0),1)&gt;=100000,INDEX($V$1005:$AE$1005,1,MATCH(COLUMNS($V$1006:Y1006),$V$1006:$AE$1006,0))&gt;=100000), " ",IF(INDEX($V$2:$AE$1001,MATCH(ROWS($O$2:O770),$O$2:$O$1001,0),MATCH(COLUMNS($V$1006:Y1006),$V$1006:$AE$1006,0)), HYPERLINK("#",""), HYPERLINK(CONCATENATE("#Metadata!", ADDRESS(INDEX($Q$2:$Q$1001,MATCH(ROWS($O$2:O770),$O$2:$O$1001,0),0), INDEX($V$1004:$AE$1004,1,MATCH(COLUMNS($V$1006:Y1006),$V$1006:$AE$1006,0)))),"Fix")))</f>
        <v>0</v>
      </c>
      <c r="F770" s="3">
        <f>IF(OR(INDEX($P$2:$P$1001,MATCH(ROWS($O$2:O770),$O$2:$O$1001,0),1)&gt;=100000,INDEX($V$1005:$AE$1005,1,MATCH(COLUMNS($V$1006:Z1006),$V$1006:$AE$1006,0))&gt;=100000), " ",IF(INDEX($V$2:$AE$1001,MATCH(ROWS($O$2:O770),$O$2:$O$1001,0),MATCH(COLUMNS($V$1006:Z1006),$V$1006:$AE$1006,0)), HYPERLINK("#",""), HYPERLINK(CONCATENATE("#Metadata!", ADDRESS(INDEX($Q$2:$Q$1001,MATCH(ROWS($O$2:O770),$O$2:$O$1001,0),0), INDEX($V$1004:$AE$1004,1,MATCH(COLUMNS($V$1006:Z1006),$V$1006:$AE$1006,0)))),"Fix")))</f>
        <v>0</v>
      </c>
      <c r="G770" s="3">
        <f>IF(OR(INDEX($P$2:$P$1001,MATCH(ROWS($O$2:O770),$O$2:$O$1001,0),1)&gt;=100000,INDEX($V$1005:$AE$1005,1,MATCH(COLUMNS($V$1006:AA1006),$V$1006:$AE$1006,0))&gt;=100000), " ",IF(INDEX($V$2:$AE$1001,MATCH(ROWS($O$2:O770),$O$2:$O$1001,0),MATCH(COLUMNS($V$1006:AA1006),$V$1006:$AE$1006,0)), HYPERLINK("#",""), HYPERLINK(CONCATENATE("#Metadata!", ADDRESS(INDEX($Q$2:$Q$1001,MATCH(ROWS($O$2:O770),$O$2:$O$1001,0),0), INDEX($V$1004:$AE$1004,1,MATCH(COLUMNS($V$1006:AA1006),$V$1006:$AE$1006,0)))),"Fix")))</f>
        <v>0</v>
      </c>
      <c r="H770" s="3">
        <f>IF(OR(INDEX($P$2:$P$1001,MATCH(ROWS($O$2:O770),$O$2:$O$1001,0),1)&gt;=100000,INDEX($V$1005:$AE$1005,1,MATCH(COLUMNS($V$1006:AB1006),$V$1006:$AE$1006,0))&gt;=100000), " ",IF(INDEX($V$2:$AE$1001,MATCH(ROWS($O$2:O770),$O$2:$O$1001,0),MATCH(COLUMNS($V$1006:AB1006),$V$1006:$AE$1006,0)), HYPERLINK("#",""), HYPERLINK(CONCATENATE("#Metadata!", ADDRESS(INDEX($Q$2:$Q$1001,MATCH(ROWS($O$2:O770),$O$2:$O$1001,0),0), INDEX($V$1004:$AE$1004,1,MATCH(COLUMNS($V$1006:AB1006),$V$1006:$AE$1006,0)))),"Fix")))</f>
        <v>0</v>
      </c>
      <c r="I770" s="3">
        <f>IF(OR(INDEX($P$2:$P$1001,MATCH(ROWS($O$2:O770),$O$2:$O$1001,0),1)&gt;=100000,INDEX($V$1005:$AE$1005,1,MATCH(COLUMNS($V$1006:AC1006),$V$1006:$AE$1006,0))&gt;=100000), " ",IF(INDEX($V$2:$AE$1001,MATCH(ROWS($O$2:O770),$O$2:$O$1001,0),MATCH(COLUMNS($V$1006:AC1006),$V$1006:$AE$1006,0)), HYPERLINK("#",""), HYPERLINK(CONCATENATE("#Metadata!", ADDRESS(INDEX($Q$2:$Q$1001,MATCH(ROWS($O$2:O770),$O$2:$O$1001,0),0), INDEX($V$1004:$AE$1004,1,MATCH(COLUMNS($V$1006:AC1006),$V$1006:$AE$1006,0)))),"Fix")))</f>
        <v>0</v>
      </c>
      <c r="J770" s="3">
        <f>IF(OR(INDEX($P$2:$P$1001,MATCH(ROWS($O$2:O770),$O$2:$O$1001,0),1)&gt;=100000,INDEX($V$1005:$AE$1005,1,MATCH(COLUMNS($V$1006:AD1006),$V$1006:$AE$1006,0))&gt;=100000), " ",IF(INDEX($V$2:$AE$1001,MATCH(ROWS($O$2:O770),$O$2:$O$1001,0),MATCH(COLUMNS($V$1006:AD1006),$V$1006:$AE$1006,0)), HYPERLINK("#",""), HYPERLINK(CONCATENATE("#Metadata!", ADDRESS(INDEX($Q$2:$Q$1001,MATCH(ROWS($O$2:O770),$O$2:$O$1001,0),0), INDEX($V$1004:$AE$1004,1,MATCH(COLUMNS($V$1006:AD1006),$V$1006:$AE$1006,0)))),"Fix")))</f>
        <v>0</v>
      </c>
      <c r="K770" s="3">
        <f>IF(OR(INDEX($P$2:$P$1001,MATCH(ROWS($O$2:O770),$O$2:$O$1001,0),1)&gt;=100000,INDEX($V$1005:$AE$1005,1,MATCH(COLUMNS($V$1006:AE1006),$V$1006:$AE$1006,0))&gt;=100000), " ",IF(INDEX($V$2:$AE$1001,MATCH(ROWS($O$2:O770),$O$2:$O$1001,0),MATCH(COLUMNS($V$1006:AE1006),$V$1006:$AE$1006,0)), HYPERLINK("#",""), HYPERLINK(CONCATENATE("#Metadata!", ADDRESS(INDEX($Q$2:$Q$1001,MATCH(ROWS($O$2:O770),$O$2:$O$1001,0),0), INDEX($V$1004:$AE$1004,1,MATCH(COLUMNS($V$1006:AE1006),$V$1006:$AE$1006,0)))),"Fix")))</f>
        <v>0</v>
      </c>
      <c r="O770">
        <v>0</v>
      </c>
      <c r="P770">
        <v>0</v>
      </c>
      <c r="Q770">
        <v>0</v>
      </c>
      <c r="R770">
        <f>IF(S770,TRUE,AND(V770:AE770))</f>
        <v>0</v>
      </c>
      <c r="S770">
        <f>COUNTBLANK(Metadata!B770:K770)=COLUMNS(Metadata!B770:K770)</f>
        <v>0</v>
      </c>
      <c r="T770">
        <v>0</v>
      </c>
      <c r="V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W770">
        <f>AND(IF(Metadata!C770="",FALSE,TRUE),exact(Metadata!C770,"animal secretion"))</f>
        <v>0</v>
      </c>
      <c r="X770">
        <f>AND(IF(Metadata!D770="",FALSE,TRUE),exact(Metadata!D770,"saliva"))</f>
        <v>0</v>
      </c>
      <c r="Y770">
        <f>AND(IF(Metadata!E770="",FALSE,TRUE),exact(Metadata!E770,"human-oral"))</f>
        <v>0</v>
      </c>
      <c r="Z770">
        <f>AND(IF(Metadata!F770="",FALSE,TRUE),exact(Metadata!F770,"UBERON:oral cavity"))</f>
        <v>0</v>
      </c>
      <c r="AA770">
        <f>AND(IF(Metadata!G770="",FALSE,TRUE),exact(Metadata!G770,"UBERON:saliva"))</f>
        <v>0</v>
      </c>
      <c r="AB770">
        <f>AND(IF(Metadata!H770="",FALSE,TRUE),exact(Metadata!H770,"UBERON:tongue"))</f>
        <v>0</v>
      </c>
      <c r="AC770">
        <f>AND(IF(Metadata!I770="",FALSE,TRUE),exact(Metadata!I770,"tongue"))</f>
        <v>0</v>
      </c>
      <c r="AD770">
        <f>AND(IF(Metadata!J770="",FALSE,TRUE),exact(Metadata!J770,"human oral metagenome"))</f>
        <v>0</v>
      </c>
      <c r="AE770">
        <f>AND(IF(Metadata!K770="",FALSE,TRUE),exact(Metadata!K770,"447426"))</f>
        <v>0</v>
      </c>
    </row>
    <row r="771" spans="1:31">
      <c r="A771" s="4">
        <f>IF(B771=" "," ",HYPERLINK(CONCATENATE("#metadata!",ADDRESS(INDEX($Q$2:$Q$1001,MATCH(ROWS($O$2:O771),$O$2:$O$1001,0),0),1)),INDEX($T$2:$T$1001,MATCH(ROWS($O$2:O771),$O$2:$O$1001,0),0)))</f>
        <v>0</v>
      </c>
      <c r="B771" s="3">
        <f>IF(OR(INDEX($P$2:$P$1001,MATCH(ROWS($O$2:O771),$O$2:$O$1001,0),1)&gt;=100000,INDEX($V$1005:$AE$1005,1,MATCH(COLUMNS($V$1006:V1006),$V$1006:$AE$1006,0))&gt;=100000), " ",IF(INDEX($V$2:$AE$1001,MATCH(ROWS($O$2:O771),$O$2:$O$1001,0),MATCH(COLUMNS($V$1006:V1006),$V$1006:$AE$1006,0)), HYPERLINK("#",""), HYPERLINK(CONCATENATE("#Metadata!", ADDRESS(INDEX($Q$2:$Q$1001,MATCH(ROWS($O$2:O771),$O$2:$O$1001,0),0), INDEX($V$1004:$AE$1004,1,MATCH(COLUMNS($V$1006:V1006),$V$1006:$AE$1006,0)))),"Fix")))</f>
        <v>0</v>
      </c>
      <c r="C771" s="3">
        <f>IF(OR(INDEX($P$2:$P$1001,MATCH(ROWS($O$2:O771),$O$2:$O$1001,0),1)&gt;=100000,INDEX($V$1005:$AE$1005,1,MATCH(COLUMNS($V$1006:W1006),$V$1006:$AE$1006,0))&gt;=100000), " ",IF(INDEX($V$2:$AE$1001,MATCH(ROWS($O$2:O771),$O$2:$O$1001,0),MATCH(COLUMNS($V$1006:W1006),$V$1006:$AE$1006,0)), HYPERLINK("#",""), HYPERLINK(CONCATENATE("#Metadata!", ADDRESS(INDEX($Q$2:$Q$1001,MATCH(ROWS($O$2:O771),$O$2:$O$1001,0),0), INDEX($V$1004:$AE$1004,1,MATCH(COLUMNS($V$1006:W1006),$V$1006:$AE$1006,0)))),"Fix")))</f>
        <v>0</v>
      </c>
      <c r="D771" s="3">
        <f>IF(OR(INDEX($P$2:$P$1001,MATCH(ROWS($O$2:O771),$O$2:$O$1001,0),1)&gt;=100000,INDEX($V$1005:$AE$1005,1,MATCH(COLUMNS($V$1006:X1006),$V$1006:$AE$1006,0))&gt;=100000), " ",IF(INDEX($V$2:$AE$1001,MATCH(ROWS($O$2:O771),$O$2:$O$1001,0),MATCH(COLUMNS($V$1006:X1006),$V$1006:$AE$1006,0)), HYPERLINK("#",""), HYPERLINK(CONCATENATE("#Metadata!", ADDRESS(INDEX($Q$2:$Q$1001,MATCH(ROWS($O$2:O771),$O$2:$O$1001,0),0), INDEX($V$1004:$AE$1004,1,MATCH(COLUMNS($V$1006:X1006),$V$1006:$AE$1006,0)))),"Fix")))</f>
        <v>0</v>
      </c>
      <c r="E771" s="3">
        <f>IF(OR(INDEX($P$2:$P$1001,MATCH(ROWS($O$2:O771),$O$2:$O$1001,0),1)&gt;=100000,INDEX($V$1005:$AE$1005,1,MATCH(COLUMNS($V$1006:Y1006),$V$1006:$AE$1006,0))&gt;=100000), " ",IF(INDEX($V$2:$AE$1001,MATCH(ROWS($O$2:O771),$O$2:$O$1001,0),MATCH(COLUMNS($V$1006:Y1006),$V$1006:$AE$1006,0)), HYPERLINK("#",""), HYPERLINK(CONCATENATE("#Metadata!", ADDRESS(INDEX($Q$2:$Q$1001,MATCH(ROWS($O$2:O771),$O$2:$O$1001,0),0), INDEX($V$1004:$AE$1004,1,MATCH(COLUMNS($V$1006:Y1006),$V$1006:$AE$1006,0)))),"Fix")))</f>
        <v>0</v>
      </c>
      <c r="F771" s="3">
        <f>IF(OR(INDEX($P$2:$P$1001,MATCH(ROWS($O$2:O771),$O$2:$O$1001,0),1)&gt;=100000,INDEX($V$1005:$AE$1005,1,MATCH(COLUMNS($V$1006:Z1006),$V$1006:$AE$1006,0))&gt;=100000), " ",IF(INDEX($V$2:$AE$1001,MATCH(ROWS($O$2:O771),$O$2:$O$1001,0),MATCH(COLUMNS($V$1006:Z1006),$V$1006:$AE$1006,0)), HYPERLINK("#",""), HYPERLINK(CONCATENATE("#Metadata!", ADDRESS(INDEX($Q$2:$Q$1001,MATCH(ROWS($O$2:O771),$O$2:$O$1001,0),0), INDEX($V$1004:$AE$1004,1,MATCH(COLUMNS($V$1006:Z1006),$V$1006:$AE$1006,0)))),"Fix")))</f>
        <v>0</v>
      </c>
      <c r="G771" s="3">
        <f>IF(OR(INDEX($P$2:$P$1001,MATCH(ROWS($O$2:O771),$O$2:$O$1001,0),1)&gt;=100000,INDEX($V$1005:$AE$1005,1,MATCH(COLUMNS($V$1006:AA1006),$V$1006:$AE$1006,0))&gt;=100000), " ",IF(INDEX($V$2:$AE$1001,MATCH(ROWS($O$2:O771),$O$2:$O$1001,0),MATCH(COLUMNS($V$1006:AA1006),$V$1006:$AE$1006,0)), HYPERLINK("#",""), HYPERLINK(CONCATENATE("#Metadata!", ADDRESS(INDEX($Q$2:$Q$1001,MATCH(ROWS($O$2:O771),$O$2:$O$1001,0),0), INDEX($V$1004:$AE$1004,1,MATCH(COLUMNS($V$1006:AA1006),$V$1006:$AE$1006,0)))),"Fix")))</f>
        <v>0</v>
      </c>
      <c r="H771" s="3">
        <f>IF(OR(INDEX($P$2:$P$1001,MATCH(ROWS($O$2:O771),$O$2:$O$1001,0),1)&gt;=100000,INDEX($V$1005:$AE$1005,1,MATCH(COLUMNS($V$1006:AB1006),$V$1006:$AE$1006,0))&gt;=100000), " ",IF(INDEX($V$2:$AE$1001,MATCH(ROWS($O$2:O771),$O$2:$O$1001,0),MATCH(COLUMNS($V$1006:AB1006),$V$1006:$AE$1006,0)), HYPERLINK("#",""), HYPERLINK(CONCATENATE("#Metadata!", ADDRESS(INDEX($Q$2:$Q$1001,MATCH(ROWS($O$2:O771),$O$2:$O$1001,0),0), INDEX($V$1004:$AE$1004,1,MATCH(COLUMNS($V$1006:AB1006),$V$1006:$AE$1006,0)))),"Fix")))</f>
        <v>0</v>
      </c>
      <c r="I771" s="3">
        <f>IF(OR(INDEX($P$2:$P$1001,MATCH(ROWS($O$2:O771),$O$2:$O$1001,0),1)&gt;=100000,INDEX($V$1005:$AE$1005,1,MATCH(COLUMNS($V$1006:AC1006),$V$1006:$AE$1006,0))&gt;=100000), " ",IF(INDEX($V$2:$AE$1001,MATCH(ROWS($O$2:O771),$O$2:$O$1001,0),MATCH(COLUMNS($V$1006:AC1006),$V$1006:$AE$1006,0)), HYPERLINK("#",""), HYPERLINK(CONCATENATE("#Metadata!", ADDRESS(INDEX($Q$2:$Q$1001,MATCH(ROWS($O$2:O771),$O$2:$O$1001,0),0), INDEX($V$1004:$AE$1004,1,MATCH(COLUMNS($V$1006:AC1006),$V$1006:$AE$1006,0)))),"Fix")))</f>
        <v>0</v>
      </c>
      <c r="J771" s="3">
        <f>IF(OR(INDEX($P$2:$P$1001,MATCH(ROWS($O$2:O771),$O$2:$O$1001,0),1)&gt;=100000,INDEX($V$1005:$AE$1005,1,MATCH(COLUMNS($V$1006:AD1006),$V$1006:$AE$1006,0))&gt;=100000), " ",IF(INDEX($V$2:$AE$1001,MATCH(ROWS($O$2:O771),$O$2:$O$1001,0),MATCH(COLUMNS($V$1006:AD1006),$V$1006:$AE$1006,0)), HYPERLINK("#",""), HYPERLINK(CONCATENATE("#Metadata!", ADDRESS(INDEX($Q$2:$Q$1001,MATCH(ROWS($O$2:O771),$O$2:$O$1001,0),0), INDEX($V$1004:$AE$1004,1,MATCH(COLUMNS($V$1006:AD1006),$V$1006:$AE$1006,0)))),"Fix")))</f>
        <v>0</v>
      </c>
      <c r="K771" s="3">
        <f>IF(OR(INDEX($P$2:$P$1001,MATCH(ROWS($O$2:O771),$O$2:$O$1001,0),1)&gt;=100000,INDEX($V$1005:$AE$1005,1,MATCH(COLUMNS($V$1006:AE1006),$V$1006:$AE$1006,0))&gt;=100000), " ",IF(INDEX($V$2:$AE$1001,MATCH(ROWS($O$2:O771),$O$2:$O$1001,0),MATCH(COLUMNS($V$1006:AE1006),$V$1006:$AE$1006,0)), HYPERLINK("#",""), HYPERLINK(CONCATENATE("#Metadata!", ADDRESS(INDEX($Q$2:$Q$1001,MATCH(ROWS($O$2:O771),$O$2:$O$1001,0),0), INDEX($V$1004:$AE$1004,1,MATCH(COLUMNS($V$1006:AE1006),$V$1006:$AE$1006,0)))),"Fix")))</f>
        <v>0</v>
      </c>
      <c r="O771">
        <v>0</v>
      </c>
      <c r="P771">
        <v>0</v>
      </c>
      <c r="Q771">
        <v>0</v>
      </c>
      <c r="R771">
        <f>IF(S771,TRUE,AND(V771:AE771))</f>
        <v>0</v>
      </c>
      <c r="S771">
        <f>COUNTBLANK(Metadata!B771:K771)=COLUMNS(Metadata!B771:K771)</f>
        <v>0</v>
      </c>
      <c r="T771">
        <v>0</v>
      </c>
      <c r="V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W771">
        <f>AND(IF(Metadata!C771="",FALSE,TRUE),exact(Metadata!C771,"animal secretion"))</f>
        <v>0</v>
      </c>
      <c r="X771">
        <f>AND(IF(Metadata!D771="",FALSE,TRUE),exact(Metadata!D771,"saliva"))</f>
        <v>0</v>
      </c>
      <c r="Y771">
        <f>AND(IF(Metadata!E771="",FALSE,TRUE),exact(Metadata!E771,"human-oral"))</f>
        <v>0</v>
      </c>
      <c r="Z771">
        <f>AND(IF(Metadata!F771="",FALSE,TRUE),exact(Metadata!F771,"UBERON:oral cavity"))</f>
        <v>0</v>
      </c>
      <c r="AA771">
        <f>AND(IF(Metadata!G771="",FALSE,TRUE),exact(Metadata!G771,"UBERON:saliva"))</f>
        <v>0</v>
      </c>
      <c r="AB771">
        <f>AND(IF(Metadata!H771="",FALSE,TRUE),exact(Metadata!H771,"UBERON:tongue"))</f>
        <v>0</v>
      </c>
      <c r="AC771">
        <f>AND(IF(Metadata!I771="",FALSE,TRUE),exact(Metadata!I771,"tongue"))</f>
        <v>0</v>
      </c>
      <c r="AD771">
        <f>AND(IF(Metadata!J771="",FALSE,TRUE),exact(Metadata!J771,"human oral metagenome"))</f>
        <v>0</v>
      </c>
      <c r="AE771">
        <f>AND(IF(Metadata!K771="",FALSE,TRUE),exact(Metadata!K771,"447426"))</f>
        <v>0</v>
      </c>
    </row>
    <row r="772" spans="1:31">
      <c r="A772" s="4">
        <f>IF(B772=" "," ",HYPERLINK(CONCATENATE("#metadata!",ADDRESS(INDEX($Q$2:$Q$1001,MATCH(ROWS($O$2:O772),$O$2:$O$1001,0),0),1)),INDEX($T$2:$T$1001,MATCH(ROWS($O$2:O772),$O$2:$O$1001,0),0)))</f>
        <v>0</v>
      </c>
      <c r="B772" s="3">
        <f>IF(OR(INDEX($P$2:$P$1001,MATCH(ROWS($O$2:O772),$O$2:$O$1001,0),1)&gt;=100000,INDEX($V$1005:$AE$1005,1,MATCH(COLUMNS($V$1006:V1006),$V$1006:$AE$1006,0))&gt;=100000), " ",IF(INDEX($V$2:$AE$1001,MATCH(ROWS($O$2:O772),$O$2:$O$1001,0),MATCH(COLUMNS($V$1006:V1006),$V$1006:$AE$1006,0)), HYPERLINK("#",""), HYPERLINK(CONCATENATE("#Metadata!", ADDRESS(INDEX($Q$2:$Q$1001,MATCH(ROWS($O$2:O772),$O$2:$O$1001,0),0), INDEX($V$1004:$AE$1004,1,MATCH(COLUMNS($V$1006:V1006),$V$1006:$AE$1006,0)))),"Fix")))</f>
        <v>0</v>
      </c>
      <c r="C772" s="3">
        <f>IF(OR(INDEX($P$2:$P$1001,MATCH(ROWS($O$2:O772),$O$2:$O$1001,0),1)&gt;=100000,INDEX($V$1005:$AE$1005,1,MATCH(COLUMNS($V$1006:W1006),$V$1006:$AE$1006,0))&gt;=100000), " ",IF(INDEX($V$2:$AE$1001,MATCH(ROWS($O$2:O772),$O$2:$O$1001,0),MATCH(COLUMNS($V$1006:W1006),$V$1006:$AE$1006,0)), HYPERLINK("#",""), HYPERLINK(CONCATENATE("#Metadata!", ADDRESS(INDEX($Q$2:$Q$1001,MATCH(ROWS($O$2:O772),$O$2:$O$1001,0),0), INDEX($V$1004:$AE$1004,1,MATCH(COLUMNS($V$1006:W1006),$V$1006:$AE$1006,0)))),"Fix")))</f>
        <v>0</v>
      </c>
      <c r="D772" s="3">
        <f>IF(OR(INDEX($P$2:$P$1001,MATCH(ROWS($O$2:O772),$O$2:$O$1001,0),1)&gt;=100000,INDEX($V$1005:$AE$1005,1,MATCH(COLUMNS($V$1006:X1006),$V$1006:$AE$1006,0))&gt;=100000), " ",IF(INDEX($V$2:$AE$1001,MATCH(ROWS($O$2:O772),$O$2:$O$1001,0),MATCH(COLUMNS($V$1006:X1006),$V$1006:$AE$1006,0)), HYPERLINK("#",""), HYPERLINK(CONCATENATE("#Metadata!", ADDRESS(INDEX($Q$2:$Q$1001,MATCH(ROWS($O$2:O772),$O$2:$O$1001,0),0), INDEX($V$1004:$AE$1004,1,MATCH(COLUMNS($V$1006:X1006),$V$1006:$AE$1006,0)))),"Fix")))</f>
        <v>0</v>
      </c>
      <c r="E772" s="3">
        <f>IF(OR(INDEX($P$2:$P$1001,MATCH(ROWS($O$2:O772),$O$2:$O$1001,0),1)&gt;=100000,INDEX($V$1005:$AE$1005,1,MATCH(COLUMNS($V$1006:Y1006),$V$1006:$AE$1006,0))&gt;=100000), " ",IF(INDEX($V$2:$AE$1001,MATCH(ROWS($O$2:O772),$O$2:$O$1001,0),MATCH(COLUMNS($V$1006:Y1006),$V$1006:$AE$1006,0)), HYPERLINK("#",""), HYPERLINK(CONCATENATE("#Metadata!", ADDRESS(INDEX($Q$2:$Q$1001,MATCH(ROWS($O$2:O772),$O$2:$O$1001,0),0), INDEX($V$1004:$AE$1004,1,MATCH(COLUMNS($V$1006:Y1006),$V$1006:$AE$1006,0)))),"Fix")))</f>
        <v>0</v>
      </c>
      <c r="F772" s="3">
        <f>IF(OR(INDEX($P$2:$P$1001,MATCH(ROWS($O$2:O772),$O$2:$O$1001,0),1)&gt;=100000,INDEX($V$1005:$AE$1005,1,MATCH(COLUMNS($V$1006:Z1006),$V$1006:$AE$1006,0))&gt;=100000), " ",IF(INDEX($V$2:$AE$1001,MATCH(ROWS($O$2:O772),$O$2:$O$1001,0),MATCH(COLUMNS($V$1006:Z1006),$V$1006:$AE$1006,0)), HYPERLINK("#",""), HYPERLINK(CONCATENATE("#Metadata!", ADDRESS(INDEX($Q$2:$Q$1001,MATCH(ROWS($O$2:O772),$O$2:$O$1001,0),0), INDEX($V$1004:$AE$1004,1,MATCH(COLUMNS($V$1006:Z1006),$V$1006:$AE$1006,0)))),"Fix")))</f>
        <v>0</v>
      </c>
      <c r="G772" s="3">
        <f>IF(OR(INDEX($P$2:$P$1001,MATCH(ROWS($O$2:O772),$O$2:$O$1001,0),1)&gt;=100000,INDEX($V$1005:$AE$1005,1,MATCH(COLUMNS($V$1006:AA1006),$V$1006:$AE$1006,0))&gt;=100000), " ",IF(INDEX($V$2:$AE$1001,MATCH(ROWS($O$2:O772),$O$2:$O$1001,0),MATCH(COLUMNS($V$1006:AA1006),$V$1006:$AE$1006,0)), HYPERLINK("#",""), HYPERLINK(CONCATENATE("#Metadata!", ADDRESS(INDEX($Q$2:$Q$1001,MATCH(ROWS($O$2:O772),$O$2:$O$1001,0),0), INDEX($V$1004:$AE$1004,1,MATCH(COLUMNS($V$1006:AA1006),$V$1006:$AE$1006,0)))),"Fix")))</f>
        <v>0</v>
      </c>
      <c r="H772" s="3">
        <f>IF(OR(INDEX($P$2:$P$1001,MATCH(ROWS($O$2:O772),$O$2:$O$1001,0),1)&gt;=100000,INDEX($V$1005:$AE$1005,1,MATCH(COLUMNS($V$1006:AB1006),$V$1006:$AE$1006,0))&gt;=100000), " ",IF(INDEX($V$2:$AE$1001,MATCH(ROWS($O$2:O772),$O$2:$O$1001,0),MATCH(COLUMNS($V$1006:AB1006),$V$1006:$AE$1006,0)), HYPERLINK("#",""), HYPERLINK(CONCATENATE("#Metadata!", ADDRESS(INDEX($Q$2:$Q$1001,MATCH(ROWS($O$2:O772),$O$2:$O$1001,0),0), INDEX($V$1004:$AE$1004,1,MATCH(COLUMNS($V$1006:AB1006),$V$1006:$AE$1006,0)))),"Fix")))</f>
        <v>0</v>
      </c>
      <c r="I772" s="3">
        <f>IF(OR(INDEX($P$2:$P$1001,MATCH(ROWS($O$2:O772),$O$2:$O$1001,0),1)&gt;=100000,INDEX($V$1005:$AE$1005,1,MATCH(COLUMNS($V$1006:AC1006),$V$1006:$AE$1006,0))&gt;=100000), " ",IF(INDEX($V$2:$AE$1001,MATCH(ROWS($O$2:O772),$O$2:$O$1001,0),MATCH(COLUMNS($V$1006:AC1006),$V$1006:$AE$1006,0)), HYPERLINK("#",""), HYPERLINK(CONCATENATE("#Metadata!", ADDRESS(INDEX($Q$2:$Q$1001,MATCH(ROWS($O$2:O772),$O$2:$O$1001,0),0), INDEX($V$1004:$AE$1004,1,MATCH(COLUMNS($V$1006:AC1006),$V$1006:$AE$1006,0)))),"Fix")))</f>
        <v>0</v>
      </c>
      <c r="J772" s="3">
        <f>IF(OR(INDEX($P$2:$P$1001,MATCH(ROWS($O$2:O772),$O$2:$O$1001,0),1)&gt;=100000,INDEX($V$1005:$AE$1005,1,MATCH(COLUMNS($V$1006:AD1006),$V$1006:$AE$1006,0))&gt;=100000), " ",IF(INDEX($V$2:$AE$1001,MATCH(ROWS($O$2:O772),$O$2:$O$1001,0),MATCH(COLUMNS($V$1006:AD1006),$V$1006:$AE$1006,0)), HYPERLINK("#",""), HYPERLINK(CONCATENATE("#Metadata!", ADDRESS(INDEX($Q$2:$Q$1001,MATCH(ROWS($O$2:O772),$O$2:$O$1001,0),0), INDEX($V$1004:$AE$1004,1,MATCH(COLUMNS($V$1006:AD1006),$V$1006:$AE$1006,0)))),"Fix")))</f>
        <v>0</v>
      </c>
      <c r="K772" s="3">
        <f>IF(OR(INDEX($P$2:$P$1001,MATCH(ROWS($O$2:O772),$O$2:$O$1001,0),1)&gt;=100000,INDEX($V$1005:$AE$1005,1,MATCH(COLUMNS($V$1006:AE1006),$V$1006:$AE$1006,0))&gt;=100000), " ",IF(INDEX($V$2:$AE$1001,MATCH(ROWS($O$2:O772),$O$2:$O$1001,0),MATCH(COLUMNS($V$1006:AE1006),$V$1006:$AE$1006,0)), HYPERLINK("#",""), HYPERLINK(CONCATENATE("#Metadata!", ADDRESS(INDEX($Q$2:$Q$1001,MATCH(ROWS($O$2:O772),$O$2:$O$1001,0),0), INDEX($V$1004:$AE$1004,1,MATCH(COLUMNS($V$1006:AE1006),$V$1006:$AE$1006,0)))),"Fix")))</f>
        <v>0</v>
      </c>
      <c r="O772">
        <v>0</v>
      </c>
      <c r="P772">
        <v>0</v>
      </c>
      <c r="Q772">
        <v>0</v>
      </c>
      <c r="R772">
        <f>IF(S772,TRUE,AND(V772:AE772))</f>
        <v>0</v>
      </c>
      <c r="S772">
        <f>COUNTBLANK(Metadata!B772:K772)=COLUMNS(Metadata!B772:K772)</f>
        <v>0</v>
      </c>
      <c r="T772">
        <v>0</v>
      </c>
      <c r="V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W772">
        <f>AND(IF(Metadata!C772="",FALSE,TRUE),exact(Metadata!C772,"animal secretion"))</f>
        <v>0</v>
      </c>
      <c r="X772">
        <f>AND(IF(Metadata!D772="",FALSE,TRUE),exact(Metadata!D772,"saliva"))</f>
        <v>0</v>
      </c>
      <c r="Y772">
        <f>AND(IF(Metadata!E772="",FALSE,TRUE),exact(Metadata!E772,"human-oral"))</f>
        <v>0</v>
      </c>
      <c r="Z772">
        <f>AND(IF(Metadata!F772="",FALSE,TRUE),exact(Metadata!F772,"UBERON:oral cavity"))</f>
        <v>0</v>
      </c>
      <c r="AA772">
        <f>AND(IF(Metadata!G772="",FALSE,TRUE),exact(Metadata!G772,"UBERON:saliva"))</f>
        <v>0</v>
      </c>
      <c r="AB772">
        <f>AND(IF(Metadata!H772="",FALSE,TRUE),exact(Metadata!H772,"UBERON:tongue"))</f>
        <v>0</v>
      </c>
      <c r="AC772">
        <f>AND(IF(Metadata!I772="",FALSE,TRUE),exact(Metadata!I772,"tongue"))</f>
        <v>0</v>
      </c>
      <c r="AD772">
        <f>AND(IF(Metadata!J772="",FALSE,TRUE),exact(Metadata!J772,"human oral metagenome"))</f>
        <v>0</v>
      </c>
      <c r="AE772">
        <f>AND(IF(Metadata!K772="",FALSE,TRUE),exact(Metadata!K772,"447426"))</f>
        <v>0</v>
      </c>
    </row>
    <row r="773" spans="1:31">
      <c r="A773" s="4">
        <f>IF(B773=" "," ",HYPERLINK(CONCATENATE("#metadata!",ADDRESS(INDEX($Q$2:$Q$1001,MATCH(ROWS($O$2:O773),$O$2:$O$1001,0),0),1)),INDEX($T$2:$T$1001,MATCH(ROWS($O$2:O773),$O$2:$O$1001,0),0)))</f>
        <v>0</v>
      </c>
      <c r="B773" s="3">
        <f>IF(OR(INDEX($P$2:$P$1001,MATCH(ROWS($O$2:O773),$O$2:$O$1001,0),1)&gt;=100000,INDEX($V$1005:$AE$1005,1,MATCH(COLUMNS($V$1006:V1006),$V$1006:$AE$1006,0))&gt;=100000), " ",IF(INDEX($V$2:$AE$1001,MATCH(ROWS($O$2:O773),$O$2:$O$1001,0),MATCH(COLUMNS($V$1006:V1006),$V$1006:$AE$1006,0)), HYPERLINK("#",""), HYPERLINK(CONCATENATE("#Metadata!", ADDRESS(INDEX($Q$2:$Q$1001,MATCH(ROWS($O$2:O773),$O$2:$O$1001,0),0), INDEX($V$1004:$AE$1004,1,MATCH(COLUMNS($V$1006:V1006),$V$1006:$AE$1006,0)))),"Fix")))</f>
        <v>0</v>
      </c>
      <c r="C773" s="3">
        <f>IF(OR(INDEX($P$2:$P$1001,MATCH(ROWS($O$2:O773),$O$2:$O$1001,0),1)&gt;=100000,INDEX($V$1005:$AE$1005,1,MATCH(COLUMNS($V$1006:W1006),$V$1006:$AE$1006,0))&gt;=100000), " ",IF(INDEX($V$2:$AE$1001,MATCH(ROWS($O$2:O773),$O$2:$O$1001,0),MATCH(COLUMNS($V$1006:W1006),$V$1006:$AE$1006,0)), HYPERLINK("#",""), HYPERLINK(CONCATENATE("#Metadata!", ADDRESS(INDEX($Q$2:$Q$1001,MATCH(ROWS($O$2:O773),$O$2:$O$1001,0),0), INDEX($V$1004:$AE$1004,1,MATCH(COLUMNS($V$1006:W1006),$V$1006:$AE$1006,0)))),"Fix")))</f>
        <v>0</v>
      </c>
      <c r="D773" s="3">
        <f>IF(OR(INDEX($P$2:$P$1001,MATCH(ROWS($O$2:O773),$O$2:$O$1001,0),1)&gt;=100000,INDEX($V$1005:$AE$1005,1,MATCH(COLUMNS($V$1006:X1006),$V$1006:$AE$1006,0))&gt;=100000), " ",IF(INDEX($V$2:$AE$1001,MATCH(ROWS($O$2:O773),$O$2:$O$1001,0),MATCH(COLUMNS($V$1006:X1006),$V$1006:$AE$1006,0)), HYPERLINK("#",""), HYPERLINK(CONCATENATE("#Metadata!", ADDRESS(INDEX($Q$2:$Q$1001,MATCH(ROWS($O$2:O773),$O$2:$O$1001,0),0), INDEX($V$1004:$AE$1004,1,MATCH(COLUMNS($V$1006:X1006),$V$1006:$AE$1006,0)))),"Fix")))</f>
        <v>0</v>
      </c>
      <c r="E773" s="3">
        <f>IF(OR(INDEX($P$2:$P$1001,MATCH(ROWS($O$2:O773),$O$2:$O$1001,0),1)&gt;=100000,INDEX($V$1005:$AE$1005,1,MATCH(COLUMNS($V$1006:Y1006),$V$1006:$AE$1006,0))&gt;=100000), " ",IF(INDEX($V$2:$AE$1001,MATCH(ROWS($O$2:O773),$O$2:$O$1001,0),MATCH(COLUMNS($V$1006:Y1006),$V$1006:$AE$1006,0)), HYPERLINK("#",""), HYPERLINK(CONCATENATE("#Metadata!", ADDRESS(INDEX($Q$2:$Q$1001,MATCH(ROWS($O$2:O773),$O$2:$O$1001,0),0), INDEX($V$1004:$AE$1004,1,MATCH(COLUMNS($V$1006:Y1006),$V$1006:$AE$1006,0)))),"Fix")))</f>
        <v>0</v>
      </c>
      <c r="F773" s="3">
        <f>IF(OR(INDEX($P$2:$P$1001,MATCH(ROWS($O$2:O773),$O$2:$O$1001,0),1)&gt;=100000,INDEX($V$1005:$AE$1005,1,MATCH(COLUMNS($V$1006:Z1006),$V$1006:$AE$1006,0))&gt;=100000), " ",IF(INDEX($V$2:$AE$1001,MATCH(ROWS($O$2:O773),$O$2:$O$1001,0),MATCH(COLUMNS($V$1006:Z1006),$V$1006:$AE$1006,0)), HYPERLINK("#",""), HYPERLINK(CONCATENATE("#Metadata!", ADDRESS(INDEX($Q$2:$Q$1001,MATCH(ROWS($O$2:O773),$O$2:$O$1001,0),0), INDEX($V$1004:$AE$1004,1,MATCH(COLUMNS($V$1006:Z1006),$V$1006:$AE$1006,0)))),"Fix")))</f>
        <v>0</v>
      </c>
      <c r="G773" s="3">
        <f>IF(OR(INDEX($P$2:$P$1001,MATCH(ROWS($O$2:O773),$O$2:$O$1001,0),1)&gt;=100000,INDEX($V$1005:$AE$1005,1,MATCH(COLUMNS($V$1006:AA1006),$V$1006:$AE$1006,0))&gt;=100000), " ",IF(INDEX($V$2:$AE$1001,MATCH(ROWS($O$2:O773),$O$2:$O$1001,0),MATCH(COLUMNS($V$1006:AA1006),$V$1006:$AE$1006,0)), HYPERLINK("#",""), HYPERLINK(CONCATENATE("#Metadata!", ADDRESS(INDEX($Q$2:$Q$1001,MATCH(ROWS($O$2:O773),$O$2:$O$1001,0),0), INDEX($V$1004:$AE$1004,1,MATCH(COLUMNS($V$1006:AA1006),$V$1006:$AE$1006,0)))),"Fix")))</f>
        <v>0</v>
      </c>
      <c r="H773" s="3">
        <f>IF(OR(INDEX($P$2:$P$1001,MATCH(ROWS($O$2:O773),$O$2:$O$1001,0),1)&gt;=100000,INDEX($V$1005:$AE$1005,1,MATCH(COLUMNS($V$1006:AB1006),$V$1006:$AE$1006,0))&gt;=100000), " ",IF(INDEX($V$2:$AE$1001,MATCH(ROWS($O$2:O773),$O$2:$O$1001,0),MATCH(COLUMNS($V$1006:AB1006),$V$1006:$AE$1006,0)), HYPERLINK("#",""), HYPERLINK(CONCATENATE("#Metadata!", ADDRESS(INDEX($Q$2:$Q$1001,MATCH(ROWS($O$2:O773),$O$2:$O$1001,0),0), INDEX($V$1004:$AE$1004,1,MATCH(COLUMNS($V$1006:AB1006),$V$1006:$AE$1006,0)))),"Fix")))</f>
        <v>0</v>
      </c>
      <c r="I773" s="3">
        <f>IF(OR(INDEX($P$2:$P$1001,MATCH(ROWS($O$2:O773),$O$2:$O$1001,0),1)&gt;=100000,INDEX($V$1005:$AE$1005,1,MATCH(COLUMNS($V$1006:AC1006),$V$1006:$AE$1006,0))&gt;=100000), " ",IF(INDEX($V$2:$AE$1001,MATCH(ROWS($O$2:O773),$O$2:$O$1001,0),MATCH(COLUMNS($V$1006:AC1006),$V$1006:$AE$1006,0)), HYPERLINK("#",""), HYPERLINK(CONCATENATE("#Metadata!", ADDRESS(INDEX($Q$2:$Q$1001,MATCH(ROWS($O$2:O773),$O$2:$O$1001,0),0), INDEX($V$1004:$AE$1004,1,MATCH(COLUMNS($V$1006:AC1006),$V$1006:$AE$1006,0)))),"Fix")))</f>
        <v>0</v>
      </c>
      <c r="J773" s="3">
        <f>IF(OR(INDEX($P$2:$P$1001,MATCH(ROWS($O$2:O773),$O$2:$O$1001,0),1)&gt;=100000,INDEX($V$1005:$AE$1005,1,MATCH(COLUMNS($V$1006:AD1006),$V$1006:$AE$1006,0))&gt;=100000), " ",IF(INDEX($V$2:$AE$1001,MATCH(ROWS($O$2:O773),$O$2:$O$1001,0),MATCH(COLUMNS($V$1006:AD1006),$V$1006:$AE$1006,0)), HYPERLINK("#",""), HYPERLINK(CONCATENATE("#Metadata!", ADDRESS(INDEX($Q$2:$Q$1001,MATCH(ROWS($O$2:O773),$O$2:$O$1001,0),0), INDEX($V$1004:$AE$1004,1,MATCH(COLUMNS($V$1006:AD1006),$V$1006:$AE$1006,0)))),"Fix")))</f>
        <v>0</v>
      </c>
      <c r="K773" s="3">
        <f>IF(OR(INDEX($P$2:$P$1001,MATCH(ROWS($O$2:O773),$O$2:$O$1001,0),1)&gt;=100000,INDEX($V$1005:$AE$1005,1,MATCH(COLUMNS($V$1006:AE1006),$V$1006:$AE$1006,0))&gt;=100000), " ",IF(INDEX($V$2:$AE$1001,MATCH(ROWS($O$2:O773),$O$2:$O$1001,0),MATCH(COLUMNS($V$1006:AE1006),$V$1006:$AE$1006,0)), HYPERLINK("#",""), HYPERLINK(CONCATENATE("#Metadata!", ADDRESS(INDEX($Q$2:$Q$1001,MATCH(ROWS($O$2:O773),$O$2:$O$1001,0),0), INDEX($V$1004:$AE$1004,1,MATCH(COLUMNS($V$1006:AE1006),$V$1006:$AE$1006,0)))),"Fix")))</f>
        <v>0</v>
      </c>
      <c r="O773">
        <v>0</v>
      </c>
      <c r="P773">
        <v>0</v>
      </c>
      <c r="Q773">
        <v>0</v>
      </c>
      <c r="R773">
        <f>IF(S773,TRUE,AND(V773:AE773))</f>
        <v>0</v>
      </c>
      <c r="S773">
        <f>COUNTBLANK(Metadata!B773:K773)=COLUMNS(Metadata!B773:K773)</f>
        <v>0</v>
      </c>
      <c r="T773">
        <v>0</v>
      </c>
      <c r="V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W773">
        <f>AND(IF(Metadata!C773="",FALSE,TRUE),exact(Metadata!C773,"animal secretion"))</f>
        <v>0</v>
      </c>
      <c r="X773">
        <f>AND(IF(Metadata!D773="",FALSE,TRUE),exact(Metadata!D773,"saliva"))</f>
        <v>0</v>
      </c>
      <c r="Y773">
        <f>AND(IF(Metadata!E773="",FALSE,TRUE),exact(Metadata!E773,"human-oral"))</f>
        <v>0</v>
      </c>
      <c r="Z773">
        <f>AND(IF(Metadata!F773="",FALSE,TRUE),exact(Metadata!F773,"UBERON:oral cavity"))</f>
        <v>0</v>
      </c>
      <c r="AA773">
        <f>AND(IF(Metadata!G773="",FALSE,TRUE),exact(Metadata!G773,"UBERON:saliva"))</f>
        <v>0</v>
      </c>
      <c r="AB773">
        <f>AND(IF(Metadata!H773="",FALSE,TRUE),exact(Metadata!H773,"UBERON:tongue"))</f>
        <v>0</v>
      </c>
      <c r="AC773">
        <f>AND(IF(Metadata!I773="",FALSE,TRUE),exact(Metadata!I773,"tongue"))</f>
        <v>0</v>
      </c>
      <c r="AD773">
        <f>AND(IF(Metadata!J773="",FALSE,TRUE),exact(Metadata!J773,"human oral metagenome"))</f>
        <v>0</v>
      </c>
      <c r="AE773">
        <f>AND(IF(Metadata!K773="",FALSE,TRUE),exact(Metadata!K773,"447426"))</f>
        <v>0</v>
      </c>
    </row>
    <row r="774" spans="1:31">
      <c r="A774" s="4">
        <f>IF(B774=" "," ",HYPERLINK(CONCATENATE("#metadata!",ADDRESS(INDEX($Q$2:$Q$1001,MATCH(ROWS($O$2:O774),$O$2:$O$1001,0),0),1)),INDEX($T$2:$T$1001,MATCH(ROWS($O$2:O774),$O$2:$O$1001,0),0)))</f>
        <v>0</v>
      </c>
      <c r="B774" s="3">
        <f>IF(OR(INDEX($P$2:$P$1001,MATCH(ROWS($O$2:O774),$O$2:$O$1001,0),1)&gt;=100000,INDEX($V$1005:$AE$1005,1,MATCH(COLUMNS($V$1006:V1006),$V$1006:$AE$1006,0))&gt;=100000), " ",IF(INDEX($V$2:$AE$1001,MATCH(ROWS($O$2:O774),$O$2:$O$1001,0),MATCH(COLUMNS($V$1006:V1006),$V$1006:$AE$1006,0)), HYPERLINK("#",""), HYPERLINK(CONCATENATE("#Metadata!", ADDRESS(INDEX($Q$2:$Q$1001,MATCH(ROWS($O$2:O774),$O$2:$O$1001,0),0), INDEX($V$1004:$AE$1004,1,MATCH(COLUMNS($V$1006:V1006),$V$1006:$AE$1006,0)))),"Fix")))</f>
        <v>0</v>
      </c>
      <c r="C774" s="3">
        <f>IF(OR(INDEX($P$2:$P$1001,MATCH(ROWS($O$2:O774),$O$2:$O$1001,0),1)&gt;=100000,INDEX($V$1005:$AE$1005,1,MATCH(COLUMNS($V$1006:W1006),$V$1006:$AE$1006,0))&gt;=100000), " ",IF(INDEX($V$2:$AE$1001,MATCH(ROWS($O$2:O774),$O$2:$O$1001,0),MATCH(COLUMNS($V$1006:W1006),$V$1006:$AE$1006,0)), HYPERLINK("#",""), HYPERLINK(CONCATENATE("#Metadata!", ADDRESS(INDEX($Q$2:$Q$1001,MATCH(ROWS($O$2:O774),$O$2:$O$1001,0),0), INDEX($V$1004:$AE$1004,1,MATCH(COLUMNS($V$1006:W1006),$V$1006:$AE$1006,0)))),"Fix")))</f>
        <v>0</v>
      </c>
      <c r="D774" s="3">
        <f>IF(OR(INDEX($P$2:$P$1001,MATCH(ROWS($O$2:O774),$O$2:$O$1001,0),1)&gt;=100000,INDEX($V$1005:$AE$1005,1,MATCH(COLUMNS($V$1006:X1006),$V$1006:$AE$1006,0))&gt;=100000), " ",IF(INDEX($V$2:$AE$1001,MATCH(ROWS($O$2:O774),$O$2:$O$1001,0),MATCH(COLUMNS($V$1006:X1006),$V$1006:$AE$1006,0)), HYPERLINK("#",""), HYPERLINK(CONCATENATE("#Metadata!", ADDRESS(INDEX($Q$2:$Q$1001,MATCH(ROWS($O$2:O774),$O$2:$O$1001,0),0), INDEX($V$1004:$AE$1004,1,MATCH(COLUMNS($V$1006:X1006),$V$1006:$AE$1006,0)))),"Fix")))</f>
        <v>0</v>
      </c>
      <c r="E774" s="3">
        <f>IF(OR(INDEX($P$2:$P$1001,MATCH(ROWS($O$2:O774),$O$2:$O$1001,0),1)&gt;=100000,INDEX($V$1005:$AE$1005,1,MATCH(COLUMNS($V$1006:Y1006),$V$1006:$AE$1006,0))&gt;=100000), " ",IF(INDEX($V$2:$AE$1001,MATCH(ROWS($O$2:O774),$O$2:$O$1001,0),MATCH(COLUMNS($V$1006:Y1006),$V$1006:$AE$1006,0)), HYPERLINK("#",""), HYPERLINK(CONCATENATE("#Metadata!", ADDRESS(INDEX($Q$2:$Q$1001,MATCH(ROWS($O$2:O774),$O$2:$O$1001,0),0), INDEX($V$1004:$AE$1004,1,MATCH(COLUMNS($V$1006:Y1006),$V$1006:$AE$1006,0)))),"Fix")))</f>
        <v>0</v>
      </c>
      <c r="F774" s="3">
        <f>IF(OR(INDEX($P$2:$P$1001,MATCH(ROWS($O$2:O774),$O$2:$O$1001,0),1)&gt;=100000,INDEX($V$1005:$AE$1005,1,MATCH(COLUMNS($V$1006:Z1006),$V$1006:$AE$1006,0))&gt;=100000), " ",IF(INDEX($V$2:$AE$1001,MATCH(ROWS($O$2:O774),$O$2:$O$1001,0),MATCH(COLUMNS($V$1006:Z1006),$V$1006:$AE$1006,0)), HYPERLINK("#",""), HYPERLINK(CONCATENATE("#Metadata!", ADDRESS(INDEX($Q$2:$Q$1001,MATCH(ROWS($O$2:O774),$O$2:$O$1001,0),0), INDEX($V$1004:$AE$1004,1,MATCH(COLUMNS($V$1006:Z1006),$V$1006:$AE$1006,0)))),"Fix")))</f>
        <v>0</v>
      </c>
      <c r="G774" s="3">
        <f>IF(OR(INDEX($P$2:$P$1001,MATCH(ROWS($O$2:O774),$O$2:$O$1001,0),1)&gt;=100000,INDEX($V$1005:$AE$1005,1,MATCH(COLUMNS($V$1006:AA1006),$V$1006:$AE$1006,0))&gt;=100000), " ",IF(INDEX($V$2:$AE$1001,MATCH(ROWS($O$2:O774),$O$2:$O$1001,0),MATCH(COLUMNS($V$1006:AA1006),$V$1006:$AE$1006,0)), HYPERLINK("#",""), HYPERLINK(CONCATENATE("#Metadata!", ADDRESS(INDEX($Q$2:$Q$1001,MATCH(ROWS($O$2:O774),$O$2:$O$1001,0),0), INDEX($V$1004:$AE$1004,1,MATCH(COLUMNS($V$1006:AA1006),$V$1006:$AE$1006,0)))),"Fix")))</f>
        <v>0</v>
      </c>
      <c r="H774" s="3">
        <f>IF(OR(INDEX($P$2:$P$1001,MATCH(ROWS($O$2:O774),$O$2:$O$1001,0),1)&gt;=100000,INDEX($V$1005:$AE$1005,1,MATCH(COLUMNS($V$1006:AB1006),$V$1006:$AE$1006,0))&gt;=100000), " ",IF(INDEX($V$2:$AE$1001,MATCH(ROWS($O$2:O774),$O$2:$O$1001,0),MATCH(COLUMNS($V$1006:AB1006),$V$1006:$AE$1006,0)), HYPERLINK("#",""), HYPERLINK(CONCATENATE("#Metadata!", ADDRESS(INDEX($Q$2:$Q$1001,MATCH(ROWS($O$2:O774),$O$2:$O$1001,0),0), INDEX($V$1004:$AE$1004,1,MATCH(COLUMNS($V$1006:AB1006),$V$1006:$AE$1006,0)))),"Fix")))</f>
        <v>0</v>
      </c>
      <c r="I774" s="3">
        <f>IF(OR(INDEX($P$2:$P$1001,MATCH(ROWS($O$2:O774),$O$2:$O$1001,0),1)&gt;=100000,INDEX($V$1005:$AE$1005,1,MATCH(COLUMNS($V$1006:AC1006),$V$1006:$AE$1006,0))&gt;=100000), " ",IF(INDEX($V$2:$AE$1001,MATCH(ROWS($O$2:O774),$O$2:$O$1001,0),MATCH(COLUMNS($V$1006:AC1006),$V$1006:$AE$1006,0)), HYPERLINK("#",""), HYPERLINK(CONCATENATE("#Metadata!", ADDRESS(INDEX($Q$2:$Q$1001,MATCH(ROWS($O$2:O774),$O$2:$O$1001,0),0), INDEX($V$1004:$AE$1004,1,MATCH(COLUMNS($V$1006:AC1006),$V$1006:$AE$1006,0)))),"Fix")))</f>
        <v>0</v>
      </c>
      <c r="J774" s="3">
        <f>IF(OR(INDEX($P$2:$P$1001,MATCH(ROWS($O$2:O774),$O$2:$O$1001,0),1)&gt;=100000,INDEX($V$1005:$AE$1005,1,MATCH(COLUMNS($V$1006:AD1006),$V$1006:$AE$1006,0))&gt;=100000), " ",IF(INDEX($V$2:$AE$1001,MATCH(ROWS($O$2:O774),$O$2:$O$1001,0),MATCH(COLUMNS($V$1006:AD1006),$V$1006:$AE$1006,0)), HYPERLINK("#",""), HYPERLINK(CONCATENATE("#Metadata!", ADDRESS(INDEX($Q$2:$Q$1001,MATCH(ROWS($O$2:O774),$O$2:$O$1001,0),0), INDEX($V$1004:$AE$1004,1,MATCH(COLUMNS($V$1006:AD1006),$V$1006:$AE$1006,0)))),"Fix")))</f>
        <v>0</v>
      </c>
      <c r="K774" s="3">
        <f>IF(OR(INDEX($P$2:$P$1001,MATCH(ROWS($O$2:O774),$O$2:$O$1001,0),1)&gt;=100000,INDEX($V$1005:$AE$1005,1,MATCH(COLUMNS($V$1006:AE1006),$V$1006:$AE$1006,0))&gt;=100000), " ",IF(INDEX($V$2:$AE$1001,MATCH(ROWS($O$2:O774),$O$2:$O$1001,0),MATCH(COLUMNS($V$1006:AE1006),$V$1006:$AE$1006,0)), HYPERLINK("#",""), HYPERLINK(CONCATENATE("#Metadata!", ADDRESS(INDEX($Q$2:$Q$1001,MATCH(ROWS($O$2:O774),$O$2:$O$1001,0),0), INDEX($V$1004:$AE$1004,1,MATCH(COLUMNS($V$1006:AE1006),$V$1006:$AE$1006,0)))),"Fix")))</f>
        <v>0</v>
      </c>
      <c r="O774">
        <v>0</v>
      </c>
      <c r="P774">
        <v>0</v>
      </c>
      <c r="Q774">
        <v>0</v>
      </c>
      <c r="R774">
        <f>IF(S774,TRUE,AND(V774:AE774))</f>
        <v>0</v>
      </c>
      <c r="S774">
        <f>COUNTBLANK(Metadata!B774:K774)=COLUMNS(Metadata!B774:K774)</f>
        <v>0</v>
      </c>
      <c r="T774">
        <v>0</v>
      </c>
      <c r="V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W774">
        <f>AND(IF(Metadata!C774="",FALSE,TRUE),exact(Metadata!C774,"animal secretion"))</f>
        <v>0</v>
      </c>
      <c r="X774">
        <f>AND(IF(Metadata!D774="",FALSE,TRUE),exact(Metadata!D774,"saliva"))</f>
        <v>0</v>
      </c>
      <c r="Y774">
        <f>AND(IF(Metadata!E774="",FALSE,TRUE),exact(Metadata!E774,"human-oral"))</f>
        <v>0</v>
      </c>
      <c r="Z774">
        <f>AND(IF(Metadata!F774="",FALSE,TRUE),exact(Metadata!F774,"UBERON:oral cavity"))</f>
        <v>0</v>
      </c>
      <c r="AA774">
        <f>AND(IF(Metadata!G774="",FALSE,TRUE),exact(Metadata!G774,"UBERON:saliva"))</f>
        <v>0</v>
      </c>
      <c r="AB774">
        <f>AND(IF(Metadata!H774="",FALSE,TRUE),exact(Metadata!H774,"UBERON:tongue"))</f>
        <v>0</v>
      </c>
      <c r="AC774">
        <f>AND(IF(Metadata!I774="",FALSE,TRUE),exact(Metadata!I774,"tongue"))</f>
        <v>0</v>
      </c>
      <c r="AD774">
        <f>AND(IF(Metadata!J774="",FALSE,TRUE),exact(Metadata!J774,"human oral metagenome"))</f>
        <v>0</v>
      </c>
      <c r="AE774">
        <f>AND(IF(Metadata!K774="",FALSE,TRUE),exact(Metadata!K774,"447426"))</f>
        <v>0</v>
      </c>
    </row>
    <row r="775" spans="1:31">
      <c r="A775" s="4">
        <f>IF(B775=" "," ",HYPERLINK(CONCATENATE("#metadata!",ADDRESS(INDEX($Q$2:$Q$1001,MATCH(ROWS($O$2:O775),$O$2:$O$1001,0),0),1)),INDEX($T$2:$T$1001,MATCH(ROWS($O$2:O775),$O$2:$O$1001,0),0)))</f>
        <v>0</v>
      </c>
      <c r="B775" s="3">
        <f>IF(OR(INDEX($P$2:$P$1001,MATCH(ROWS($O$2:O775),$O$2:$O$1001,0),1)&gt;=100000,INDEX($V$1005:$AE$1005,1,MATCH(COLUMNS($V$1006:V1006),$V$1006:$AE$1006,0))&gt;=100000), " ",IF(INDEX($V$2:$AE$1001,MATCH(ROWS($O$2:O775),$O$2:$O$1001,0),MATCH(COLUMNS($V$1006:V1006),$V$1006:$AE$1006,0)), HYPERLINK("#",""), HYPERLINK(CONCATENATE("#Metadata!", ADDRESS(INDEX($Q$2:$Q$1001,MATCH(ROWS($O$2:O775),$O$2:$O$1001,0),0), INDEX($V$1004:$AE$1004,1,MATCH(COLUMNS($V$1006:V1006),$V$1006:$AE$1006,0)))),"Fix")))</f>
        <v>0</v>
      </c>
      <c r="C775" s="3">
        <f>IF(OR(INDEX($P$2:$P$1001,MATCH(ROWS($O$2:O775),$O$2:$O$1001,0),1)&gt;=100000,INDEX($V$1005:$AE$1005,1,MATCH(COLUMNS($V$1006:W1006),$V$1006:$AE$1006,0))&gt;=100000), " ",IF(INDEX($V$2:$AE$1001,MATCH(ROWS($O$2:O775),$O$2:$O$1001,0),MATCH(COLUMNS($V$1006:W1006),$V$1006:$AE$1006,0)), HYPERLINK("#",""), HYPERLINK(CONCATENATE("#Metadata!", ADDRESS(INDEX($Q$2:$Q$1001,MATCH(ROWS($O$2:O775),$O$2:$O$1001,0),0), INDEX($V$1004:$AE$1004,1,MATCH(COLUMNS($V$1006:W1006),$V$1006:$AE$1006,0)))),"Fix")))</f>
        <v>0</v>
      </c>
      <c r="D775" s="3">
        <f>IF(OR(INDEX($P$2:$P$1001,MATCH(ROWS($O$2:O775),$O$2:$O$1001,0),1)&gt;=100000,INDEX($V$1005:$AE$1005,1,MATCH(COLUMNS($V$1006:X1006),$V$1006:$AE$1006,0))&gt;=100000), " ",IF(INDEX($V$2:$AE$1001,MATCH(ROWS($O$2:O775),$O$2:$O$1001,0),MATCH(COLUMNS($V$1006:X1006),$V$1006:$AE$1006,0)), HYPERLINK("#",""), HYPERLINK(CONCATENATE("#Metadata!", ADDRESS(INDEX($Q$2:$Q$1001,MATCH(ROWS($O$2:O775),$O$2:$O$1001,0),0), INDEX($V$1004:$AE$1004,1,MATCH(COLUMNS($V$1006:X1006),$V$1006:$AE$1006,0)))),"Fix")))</f>
        <v>0</v>
      </c>
      <c r="E775" s="3">
        <f>IF(OR(INDEX($P$2:$P$1001,MATCH(ROWS($O$2:O775),$O$2:$O$1001,0),1)&gt;=100000,INDEX($V$1005:$AE$1005,1,MATCH(COLUMNS($V$1006:Y1006),$V$1006:$AE$1006,0))&gt;=100000), " ",IF(INDEX($V$2:$AE$1001,MATCH(ROWS($O$2:O775),$O$2:$O$1001,0),MATCH(COLUMNS($V$1006:Y1006),$V$1006:$AE$1006,0)), HYPERLINK("#",""), HYPERLINK(CONCATENATE("#Metadata!", ADDRESS(INDEX($Q$2:$Q$1001,MATCH(ROWS($O$2:O775),$O$2:$O$1001,0),0), INDEX($V$1004:$AE$1004,1,MATCH(COLUMNS($V$1006:Y1006),$V$1006:$AE$1006,0)))),"Fix")))</f>
        <v>0</v>
      </c>
      <c r="F775" s="3">
        <f>IF(OR(INDEX($P$2:$P$1001,MATCH(ROWS($O$2:O775),$O$2:$O$1001,0),1)&gt;=100000,INDEX($V$1005:$AE$1005,1,MATCH(COLUMNS($V$1006:Z1006),$V$1006:$AE$1006,0))&gt;=100000), " ",IF(INDEX($V$2:$AE$1001,MATCH(ROWS($O$2:O775),$O$2:$O$1001,0),MATCH(COLUMNS($V$1006:Z1006),$V$1006:$AE$1006,0)), HYPERLINK("#",""), HYPERLINK(CONCATENATE("#Metadata!", ADDRESS(INDEX($Q$2:$Q$1001,MATCH(ROWS($O$2:O775),$O$2:$O$1001,0),0), INDEX($V$1004:$AE$1004,1,MATCH(COLUMNS($V$1006:Z1006),$V$1006:$AE$1006,0)))),"Fix")))</f>
        <v>0</v>
      </c>
      <c r="G775" s="3">
        <f>IF(OR(INDEX($P$2:$P$1001,MATCH(ROWS($O$2:O775),$O$2:$O$1001,0),1)&gt;=100000,INDEX($V$1005:$AE$1005,1,MATCH(COLUMNS($V$1006:AA1006),$V$1006:$AE$1006,0))&gt;=100000), " ",IF(INDEX($V$2:$AE$1001,MATCH(ROWS($O$2:O775),$O$2:$O$1001,0),MATCH(COLUMNS($V$1006:AA1006),$V$1006:$AE$1006,0)), HYPERLINK("#",""), HYPERLINK(CONCATENATE("#Metadata!", ADDRESS(INDEX($Q$2:$Q$1001,MATCH(ROWS($O$2:O775),$O$2:$O$1001,0),0), INDEX($V$1004:$AE$1004,1,MATCH(COLUMNS($V$1006:AA1006),$V$1006:$AE$1006,0)))),"Fix")))</f>
        <v>0</v>
      </c>
      <c r="H775" s="3">
        <f>IF(OR(INDEX($P$2:$P$1001,MATCH(ROWS($O$2:O775),$O$2:$O$1001,0),1)&gt;=100000,INDEX($V$1005:$AE$1005,1,MATCH(COLUMNS($V$1006:AB1006),$V$1006:$AE$1006,0))&gt;=100000), " ",IF(INDEX($V$2:$AE$1001,MATCH(ROWS($O$2:O775),$O$2:$O$1001,0),MATCH(COLUMNS($V$1006:AB1006),$V$1006:$AE$1006,0)), HYPERLINK("#",""), HYPERLINK(CONCATENATE("#Metadata!", ADDRESS(INDEX($Q$2:$Q$1001,MATCH(ROWS($O$2:O775),$O$2:$O$1001,0),0), INDEX($V$1004:$AE$1004,1,MATCH(COLUMNS($V$1006:AB1006),$V$1006:$AE$1006,0)))),"Fix")))</f>
        <v>0</v>
      </c>
      <c r="I775" s="3">
        <f>IF(OR(INDEX($P$2:$P$1001,MATCH(ROWS($O$2:O775),$O$2:$O$1001,0),1)&gt;=100000,INDEX($V$1005:$AE$1005,1,MATCH(COLUMNS($V$1006:AC1006),$V$1006:$AE$1006,0))&gt;=100000), " ",IF(INDEX($V$2:$AE$1001,MATCH(ROWS($O$2:O775),$O$2:$O$1001,0),MATCH(COLUMNS($V$1006:AC1006),$V$1006:$AE$1006,0)), HYPERLINK("#",""), HYPERLINK(CONCATENATE("#Metadata!", ADDRESS(INDEX($Q$2:$Q$1001,MATCH(ROWS($O$2:O775),$O$2:$O$1001,0),0), INDEX($V$1004:$AE$1004,1,MATCH(COLUMNS($V$1006:AC1006),$V$1006:$AE$1006,0)))),"Fix")))</f>
        <v>0</v>
      </c>
      <c r="J775" s="3">
        <f>IF(OR(INDEX($P$2:$P$1001,MATCH(ROWS($O$2:O775),$O$2:$O$1001,0),1)&gt;=100000,INDEX($V$1005:$AE$1005,1,MATCH(COLUMNS($V$1006:AD1006),$V$1006:$AE$1006,0))&gt;=100000), " ",IF(INDEX($V$2:$AE$1001,MATCH(ROWS($O$2:O775),$O$2:$O$1001,0),MATCH(COLUMNS($V$1006:AD1006),$V$1006:$AE$1006,0)), HYPERLINK("#",""), HYPERLINK(CONCATENATE("#Metadata!", ADDRESS(INDEX($Q$2:$Q$1001,MATCH(ROWS($O$2:O775),$O$2:$O$1001,0),0), INDEX($V$1004:$AE$1004,1,MATCH(COLUMNS($V$1006:AD1006),$V$1006:$AE$1006,0)))),"Fix")))</f>
        <v>0</v>
      </c>
      <c r="K775" s="3">
        <f>IF(OR(INDEX($P$2:$P$1001,MATCH(ROWS($O$2:O775),$O$2:$O$1001,0),1)&gt;=100000,INDEX($V$1005:$AE$1005,1,MATCH(COLUMNS($V$1006:AE1006),$V$1006:$AE$1006,0))&gt;=100000), " ",IF(INDEX($V$2:$AE$1001,MATCH(ROWS($O$2:O775),$O$2:$O$1001,0),MATCH(COLUMNS($V$1006:AE1006),$V$1006:$AE$1006,0)), HYPERLINK("#",""), HYPERLINK(CONCATENATE("#Metadata!", ADDRESS(INDEX($Q$2:$Q$1001,MATCH(ROWS($O$2:O775),$O$2:$O$1001,0),0), INDEX($V$1004:$AE$1004,1,MATCH(COLUMNS($V$1006:AE1006),$V$1006:$AE$1006,0)))),"Fix")))</f>
        <v>0</v>
      </c>
      <c r="O775">
        <v>0</v>
      </c>
      <c r="P775">
        <v>0</v>
      </c>
      <c r="Q775">
        <v>0</v>
      </c>
      <c r="R775">
        <f>IF(S775,TRUE,AND(V775:AE775))</f>
        <v>0</v>
      </c>
      <c r="S775">
        <f>COUNTBLANK(Metadata!B775:K775)=COLUMNS(Metadata!B775:K775)</f>
        <v>0</v>
      </c>
      <c r="T775">
        <v>0</v>
      </c>
      <c r="V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W775">
        <f>AND(IF(Metadata!C775="",FALSE,TRUE),exact(Metadata!C775,"animal secretion"))</f>
        <v>0</v>
      </c>
      <c r="X775">
        <f>AND(IF(Metadata!D775="",FALSE,TRUE),exact(Metadata!D775,"saliva"))</f>
        <v>0</v>
      </c>
      <c r="Y775">
        <f>AND(IF(Metadata!E775="",FALSE,TRUE),exact(Metadata!E775,"human-oral"))</f>
        <v>0</v>
      </c>
      <c r="Z775">
        <f>AND(IF(Metadata!F775="",FALSE,TRUE),exact(Metadata!F775,"UBERON:oral cavity"))</f>
        <v>0</v>
      </c>
      <c r="AA775">
        <f>AND(IF(Metadata!G775="",FALSE,TRUE),exact(Metadata!G775,"UBERON:saliva"))</f>
        <v>0</v>
      </c>
      <c r="AB775">
        <f>AND(IF(Metadata!H775="",FALSE,TRUE),exact(Metadata!H775,"UBERON:tongue"))</f>
        <v>0</v>
      </c>
      <c r="AC775">
        <f>AND(IF(Metadata!I775="",FALSE,TRUE),exact(Metadata!I775,"tongue"))</f>
        <v>0</v>
      </c>
      <c r="AD775">
        <f>AND(IF(Metadata!J775="",FALSE,TRUE),exact(Metadata!J775,"human oral metagenome"))</f>
        <v>0</v>
      </c>
      <c r="AE775">
        <f>AND(IF(Metadata!K775="",FALSE,TRUE),exact(Metadata!K775,"447426"))</f>
        <v>0</v>
      </c>
    </row>
    <row r="776" spans="1:31">
      <c r="A776" s="4">
        <f>IF(B776=" "," ",HYPERLINK(CONCATENATE("#metadata!",ADDRESS(INDEX($Q$2:$Q$1001,MATCH(ROWS($O$2:O776),$O$2:$O$1001,0),0),1)),INDEX($T$2:$T$1001,MATCH(ROWS($O$2:O776),$O$2:$O$1001,0),0)))</f>
        <v>0</v>
      </c>
      <c r="B776" s="3">
        <f>IF(OR(INDEX($P$2:$P$1001,MATCH(ROWS($O$2:O776),$O$2:$O$1001,0),1)&gt;=100000,INDEX($V$1005:$AE$1005,1,MATCH(COLUMNS($V$1006:V1006),$V$1006:$AE$1006,0))&gt;=100000), " ",IF(INDEX($V$2:$AE$1001,MATCH(ROWS($O$2:O776),$O$2:$O$1001,0),MATCH(COLUMNS($V$1006:V1006),$V$1006:$AE$1006,0)), HYPERLINK("#",""), HYPERLINK(CONCATENATE("#Metadata!", ADDRESS(INDEX($Q$2:$Q$1001,MATCH(ROWS($O$2:O776),$O$2:$O$1001,0),0), INDEX($V$1004:$AE$1004,1,MATCH(COLUMNS($V$1006:V1006),$V$1006:$AE$1006,0)))),"Fix")))</f>
        <v>0</v>
      </c>
      <c r="C776" s="3">
        <f>IF(OR(INDEX($P$2:$P$1001,MATCH(ROWS($O$2:O776),$O$2:$O$1001,0),1)&gt;=100000,INDEX($V$1005:$AE$1005,1,MATCH(COLUMNS($V$1006:W1006),$V$1006:$AE$1006,0))&gt;=100000), " ",IF(INDEX($V$2:$AE$1001,MATCH(ROWS($O$2:O776),$O$2:$O$1001,0),MATCH(COLUMNS($V$1006:W1006),$V$1006:$AE$1006,0)), HYPERLINK("#",""), HYPERLINK(CONCATENATE("#Metadata!", ADDRESS(INDEX($Q$2:$Q$1001,MATCH(ROWS($O$2:O776),$O$2:$O$1001,0),0), INDEX($V$1004:$AE$1004,1,MATCH(COLUMNS($V$1006:W1006),$V$1006:$AE$1006,0)))),"Fix")))</f>
        <v>0</v>
      </c>
      <c r="D776" s="3">
        <f>IF(OR(INDEX($P$2:$P$1001,MATCH(ROWS($O$2:O776),$O$2:$O$1001,0),1)&gt;=100000,INDEX($V$1005:$AE$1005,1,MATCH(COLUMNS($V$1006:X1006),$V$1006:$AE$1006,0))&gt;=100000), " ",IF(INDEX($V$2:$AE$1001,MATCH(ROWS($O$2:O776),$O$2:$O$1001,0),MATCH(COLUMNS($V$1006:X1006),$V$1006:$AE$1006,0)), HYPERLINK("#",""), HYPERLINK(CONCATENATE("#Metadata!", ADDRESS(INDEX($Q$2:$Q$1001,MATCH(ROWS($O$2:O776),$O$2:$O$1001,0),0), INDEX($V$1004:$AE$1004,1,MATCH(COLUMNS($V$1006:X1006),$V$1006:$AE$1006,0)))),"Fix")))</f>
        <v>0</v>
      </c>
      <c r="E776" s="3">
        <f>IF(OR(INDEX($P$2:$P$1001,MATCH(ROWS($O$2:O776),$O$2:$O$1001,0),1)&gt;=100000,INDEX($V$1005:$AE$1005,1,MATCH(COLUMNS($V$1006:Y1006),$V$1006:$AE$1006,0))&gt;=100000), " ",IF(INDEX($V$2:$AE$1001,MATCH(ROWS($O$2:O776),$O$2:$O$1001,0),MATCH(COLUMNS($V$1006:Y1006),$V$1006:$AE$1006,0)), HYPERLINK("#",""), HYPERLINK(CONCATENATE("#Metadata!", ADDRESS(INDEX($Q$2:$Q$1001,MATCH(ROWS($O$2:O776),$O$2:$O$1001,0),0), INDEX($V$1004:$AE$1004,1,MATCH(COLUMNS($V$1006:Y1006),$V$1006:$AE$1006,0)))),"Fix")))</f>
        <v>0</v>
      </c>
      <c r="F776" s="3">
        <f>IF(OR(INDEX($P$2:$P$1001,MATCH(ROWS($O$2:O776),$O$2:$O$1001,0),1)&gt;=100000,INDEX($V$1005:$AE$1005,1,MATCH(COLUMNS($V$1006:Z1006),$V$1006:$AE$1006,0))&gt;=100000), " ",IF(INDEX($V$2:$AE$1001,MATCH(ROWS($O$2:O776),$O$2:$O$1001,0),MATCH(COLUMNS($V$1006:Z1006),$V$1006:$AE$1006,0)), HYPERLINK("#",""), HYPERLINK(CONCATENATE("#Metadata!", ADDRESS(INDEX($Q$2:$Q$1001,MATCH(ROWS($O$2:O776),$O$2:$O$1001,0),0), INDEX($V$1004:$AE$1004,1,MATCH(COLUMNS($V$1006:Z1006),$V$1006:$AE$1006,0)))),"Fix")))</f>
        <v>0</v>
      </c>
      <c r="G776" s="3">
        <f>IF(OR(INDEX($P$2:$P$1001,MATCH(ROWS($O$2:O776),$O$2:$O$1001,0),1)&gt;=100000,INDEX($V$1005:$AE$1005,1,MATCH(COLUMNS($V$1006:AA1006),$V$1006:$AE$1006,0))&gt;=100000), " ",IF(INDEX($V$2:$AE$1001,MATCH(ROWS($O$2:O776),$O$2:$O$1001,0),MATCH(COLUMNS($V$1006:AA1006),$V$1006:$AE$1006,0)), HYPERLINK("#",""), HYPERLINK(CONCATENATE("#Metadata!", ADDRESS(INDEX($Q$2:$Q$1001,MATCH(ROWS($O$2:O776),$O$2:$O$1001,0),0), INDEX($V$1004:$AE$1004,1,MATCH(COLUMNS($V$1006:AA1006),$V$1006:$AE$1006,0)))),"Fix")))</f>
        <v>0</v>
      </c>
      <c r="H776" s="3">
        <f>IF(OR(INDEX($P$2:$P$1001,MATCH(ROWS($O$2:O776),$O$2:$O$1001,0),1)&gt;=100000,INDEX($V$1005:$AE$1005,1,MATCH(COLUMNS($V$1006:AB1006),$V$1006:$AE$1006,0))&gt;=100000), " ",IF(INDEX($V$2:$AE$1001,MATCH(ROWS($O$2:O776),$O$2:$O$1001,0),MATCH(COLUMNS($V$1006:AB1006),$V$1006:$AE$1006,0)), HYPERLINK("#",""), HYPERLINK(CONCATENATE("#Metadata!", ADDRESS(INDEX($Q$2:$Q$1001,MATCH(ROWS($O$2:O776),$O$2:$O$1001,0),0), INDEX($V$1004:$AE$1004,1,MATCH(COLUMNS($V$1006:AB1006),$V$1006:$AE$1006,0)))),"Fix")))</f>
        <v>0</v>
      </c>
      <c r="I776" s="3">
        <f>IF(OR(INDEX($P$2:$P$1001,MATCH(ROWS($O$2:O776),$O$2:$O$1001,0),1)&gt;=100000,INDEX($V$1005:$AE$1005,1,MATCH(COLUMNS($V$1006:AC1006),$V$1006:$AE$1006,0))&gt;=100000), " ",IF(INDEX($V$2:$AE$1001,MATCH(ROWS($O$2:O776),$O$2:$O$1001,0),MATCH(COLUMNS($V$1006:AC1006),$V$1006:$AE$1006,0)), HYPERLINK("#",""), HYPERLINK(CONCATENATE("#Metadata!", ADDRESS(INDEX($Q$2:$Q$1001,MATCH(ROWS($O$2:O776),$O$2:$O$1001,0),0), INDEX($V$1004:$AE$1004,1,MATCH(COLUMNS($V$1006:AC1006),$V$1006:$AE$1006,0)))),"Fix")))</f>
        <v>0</v>
      </c>
      <c r="J776" s="3">
        <f>IF(OR(INDEX($P$2:$P$1001,MATCH(ROWS($O$2:O776),$O$2:$O$1001,0),1)&gt;=100000,INDEX($V$1005:$AE$1005,1,MATCH(COLUMNS($V$1006:AD1006),$V$1006:$AE$1006,0))&gt;=100000), " ",IF(INDEX($V$2:$AE$1001,MATCH(ROWS($O$2:O776),$O$2:$O$1001,0),MATCH(COLUMNS($V$1006:AD1006),$V$1006:$AE$1006,0)), HYPERLINK("#",""), HYPERLINK(CONCATENATE("#Metadata!", ADDRESS(INDEX($Q$2:$Q$1001,MATCH(ROWS($O$2:O776),$O$2:$O$1001,0),0), INDEX($V$1004:$AE$1004,1,MATCH(COLUMNS($V$1006:AD1006),$V$1006:$AE$1006,0)))),"Fix")))</f>
        <v>0</v>
      </c>
      <c r="K776" s="3">
        <f>IF(OR(INDEX($P$2:$P$1001,MATCH(ROWS($O$2:O776),$O$2:$O$1001,0),1)&gt;=100000,INDEX($V$1005:$AE$1005,1,MATCH(COLUMNS($V$1006:AE1006),$V$1006:$AE$1006,0))&gt;=100000), " ",IF(INDEX($V$2:$AE$1001,MATCH(ROWS($O$2:O776),$O$2:$O$1001,0),MATCH(COLUMNS($V$1006:AE1006),$V$1006:$AE$1006,0)), HYPERLINK("#",""), HYPERLINK(CONCATENATE("#Metadata!", ADDRESS(INDEX($Q$2:$Q$1001,MATCH(ROWS($O$2:O776),$O$2:$O$1001,0),0), INDEX($V$1004:$AE$1004,1,MATCH(COLUMNS($V$1006:AE1006),$V$1006:$AE$1006,0)))),"Fix")))</f>
        <v>0</v>
      </c>
      <c r="O776">
        <v>0</v>
      </c>
      <c r="P776">
        <v>0</v>
      </c>
      <c r="Q776">
        <v>0</v>
      </c>
      <c r="R776">
        <f>IF(S776,TRUE,AND(V776:AE776))</f>
        <v>0</v>
      </c>
      <c r="S776">
        <f>COUNTBLANK(Metadata!B776:K776)=COLUMNS(Metadata!B776:K776)</f>
        <v>0</v>
      </c>
      <c r="T776">
        <v>0</v>
      </c>
      <c r="V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W776">
        <f>AND(IF(Metadata!C776="",FALSE,TRUE),exact(Metadata!C776,"animal secretion"))</f>
        <v>0</v>
      </c>
      <c r="X776">
        <f>AND(IF(Metadata!D776="",FALSE,TRUE),exact(Metadata!D776,"saliva"))</f>
        <v>0</v>
      </c>
      <c r="Y776">
        <f>AND(IF(Metadata!E776="",FALSE,TRUE),exact(Metadata!E776,"human-oral"))</f>
        <v>0</v>
      </c>
      <c r="Z776">
        <f>AND(IF(Metadata!F776="",FALSE,TRUE),exact(Metadata!F776,"UBERON:oral cavity"))</f>
        <v>0</v>
      </c>
      <c r="AA776">
        <f>AND(IF(Metadata!G776="",FALSE,TRUE),exact(Metadata!G776,"UBERON:saliva"))</f>
        <v>0</v>
      </c>
      <c r="AB776">
        <f>AND(IF(Metadata!H776="",FALSE,TRUE),exact(Metadata!H776,"UBERON:tongue"))</f>
        <v>0</v>
      </c>
      <c r="AC776">
        <f>AND(IF(Metadata!I776="",FALSE,TRUE),exact(Metadata!I776,"tongue"))</f>
        <v>0</v>
      </c>
      <c r="AD776">
        <f>AND(IF(Metadata!J776="",FALSE,TRUE),exact(Metadata!J776,"human oral metagenome"))</f>
        <v>0</v>
      </c>
      <c r="AE776">
        <f>AND(IF(Metadata!K776="",FALSE,TRUE),exact(Metadata!K776,"447426"))</f>
        <v>0</v>
      </c>
    </row>
    <row r="777" spans="1:31">
      <c r="A777" s="4">
        <f>IF(B777=" "," ",HYPERLINK(CONCATENATE("#metadata!",ADDRESS(INDEX($Q$2:$Q$1001,MATCH(ROWS($O$2:O777),$O$2:$O$1001,0),0),1)),INDEX($T$2:$T$1001,MATCH(ROWS($O$2:O777),$O$2:$O$1001,0),0)))</f>
        <v>0</v>
      </c>
      <c r="B777" s="3">
        <f>IF(OR(INDEX($P$2:$P$1001,MATCH(ROWS($O$2:O777),$O$2:$O$1001,0),1)&gt;=100000,INDEX($V$1005:$AE$1005,1,MATCH(COLUMNS($V$1006:V1006),$V$1006:$AE$1006,0))&gt;=100000), " ",IF(INDEX($V$2:$AE$1001,MATCH(ROWS($O$2:O777),$O$2:$O$1001,0),MATCH(COLUMNS($V$1006:V1006),$V$1006:$AE$1006,0)), HYPERLINK("#",""), HYPERLINK(CONCATENATE("#Metadata!", ADDRESS(INDEX($Q$2:$Q$1001,MATCH(ROWS($O$2:O777),$O$2:$O$1001,0),0), INDEX($V$1004:$AE$1004,1,MATCH(COLUMNS($V$1006:V1006),$V$1006:$AE$1006,0)))),"Fix")))</f>
        <v>0</v>
      </c>
      <c r="C777" s="3">
        <f>IF(OR(INDEX($P$2:$P$1001,MATCH(ROWS($O$2:O777),$O$2:$O$1001,0),1)&gt;=100000,INDEX($V$1005:$AE$1005,1,MATCH(COLUMNS($V$1006:W1006),$V$1006:$AE$1006,0))&gt;=100000), " ",IF(INDEX($V$2:$AE$1001,MATCH(ROWS($O$2:O777),$O$2:$O$1001,0),MATCH(COLUMNS($V$1006:W1006),$V$1006:$AE$1006,0)), HYPERLINK("#",""), HYPERLINK(CONCATENATE("#Metadata!", ADDRESS(INDEX($Q$2:$Q$1001,MATCH(ROWS($O$2:O777),$O$2:$O$1001,0),0), INDEX($V$1004:$AE$1004,1,MATCH(COLUMNS($V$1006:W1006),$V$1006:$AE$1006,0)))),"Fix")))</f>
        <v>0</v>
      </c>
      <c r="D777" s="3">
        <f>IF(OR(INDEX($P$2:$P$1001,MATCH(ROWS($O$2:O777),$O$2:$O$1001,0),1)&gt;=100000,INDEX($V$1005:$AE$1005,1,MATCH(COLUMNS($V$1006:X1006),$V$1006:$AE$1006,0))&gt;=100000), " ",IF(INDEX($V$2:$AE$1001,MATCH(ROWS($O$2:O777),$O$2:$O$1001,0),MATCH(COLUMNS($V$1006:X1006),$V$1006:$AE$1006,0)), HYPERLINK("#",""), HYPERLINK(CONCATENATE("#Metadata!", ADDRESS(INDEX($Q$2:$Q$1001,MATCH(ROWS($O$2:O777),$O$2:$O$1001,0),0), INDEX($V$1004:$AE$1004,1,MATCH(COLUMNS($V$1006:X1006),$V$1006:$AE$1006,0)))),"Fix")))</f>
        <v>0</v>
      </c>
      <c r="E777" s="3">
        <f>IF(OR(INDEX($P$2:$P$1001,MATCH(ROWS($O$2:O777),$O$2:$O$1001,0),1)&gt;=100000,INDEX($V$1005:$AE$1005,1,MATCH(COLUMNS($V$1006:Y1006),$V$1006:$AE$1006,0))&gt;=100000), " ",IF(INDEX($V$2:$AE$1001,MATCH(ROWS($O$2:O777),$O$2:$O$1001,0),MATCH(COLUMNS($V$1006:Y1006),$V$1006:$AE$1006,0)), HYPERLINK("#",""), HYPERLINK(CONCATENATE("#Metadata!", ADDRESS(INDEX($Q$2:$Q$1001,MATCH(ROWS($O$2:O777),$O$2:$O$1001,0),0), INDEX($V$1004:$AE$1004,1,MATCH(COLUMNS($V$1006:Y1006),$V$1006:$AE$1006,0)))),"Fix")))</f>
        <v>0</v>
      </c>
      <c r="F777" s="3">
        <f>IF(OR(INDEX($P$2:$P$1001,MATCH(ROWS($O$2:O777),$O$2:$O$1001,0),1)&gt;=100000,INDEX($V$1005:$AE$1005,1,MATCH(COLUMNS($V$1006:Z1006),$V$1006:$AE$1006,0))&gt;=100000), " ",IF(INDEX($V$2:$AE$1001,MATCH(ROWS($O$2:O777),$O$2:$O$1001,0),MATCH(COLUMNS($V$1006:Z1006),$V$1006:$AE$1006,0)), HYPERLINK("#",""), HYPERLINK(CONCATENATE("#Metadata!", ADDRESS(INDEX($Q$2:$Q$1001,MATCH(ROWS($O$2:O777),$O$2:$O$1001,0),0), INDEX($V$1004:$AE$1004,1,MATCH(COLUMNS($V$1006:Z1006),$V$1006:$AE$1006,0)))),"Fix")))</f>
        <v>0</v>
      </c>
      <c r="G777" s="3">
        <f>IF(OR(INDEX($P$2:$P$1001,MATCH(ROWS($O$2:O777),$O$2:$O$1001,0),1)&gt;=100000,INDEX($V$1005:$AE$1005,1,MATCH(COLUMNS($V$1006:AA1006),$V$1006:$AE$1006,0))&gt;=100000), " ",IF(INDEX($V$2:$AE$1001,MATCH(ROWS($O$2:O777),$O$2:$O$1001,0),MATCH(COLUMNS($V$1006:AA1006),$V$1006:$AE$1006,0)), HYPERLINK("#",""), HYPERLINK(CONCATENATE("#Metadata!", ADDRESS(INDEX($Q$2:$Q$1001,MATCH(ROWS($O$2:O777),$O$2:$O$1001,0),0), INDEX($V$1004:$AE$1004,1,MATCH(COLUMNS($V$1006:AA1006),$V$1006:$AE$1006,0)))),"Fix")))</f>
        <v>0</v>
      </c>
      <c r="H777" s="3">
        <f>IF(OR(INDEX($P$2:$P$1001,MATCH(ROWS($O$2:O777),$O$2:$O$1001,0),1)&gt;=100000,INDEX($V$1005:$AE$1005,1,MATCH(COLUMNS($V$1006:AB1006),$V$1006:$AE$1006,0))&gt;=100000), " ",IF(INDEX($V$2:$AE$1001,MATCH(ROWS($O$2:O777),$O$2:$O$1001,0),MATCH(COLUMNS($V$1006:AB1006),$V$1006:$AE$1006,0)), HYPERLINK("#",""), HYPERLINK(CONCATENATE("#Metadata!", ADDRESS(INDEX($Q$2:$Q$1001,MATCH(ROWS($O$2:O777),$O$2:$O$1001,0),0), INDEX($V$1004:$AE$1004,1,MATCH(COLUMNS($V$1006:AB1006),$V$1006:$AE$1006,0)))),"Fix")))</f>
        <v>0</v>
      </c>
      <c r="I777" s="3">
        <f>IF(OR(INDEX($P$2:$P$1001,MATCH(ROWS($O$2:O777),$O$2:$O$1001,0),1)&gt;=100000,INDEX($V$1005:$AE$1005,1,MATCH(COLUMNS($V$1006:AC1006),$V$1006:$AE$1006,0))&gt;=100000), " ",IF(INDEX($V$2:$AE$1001,MATCH(ROWS($O$2:O777),$O$2:$O$1001,0),MATCH(COLUMNS($V$1006:AC1006),$V$1006:$AE$1006,0)), HYPERLINK("#",""), HYPERLINK(CONCATENATE("#Metadata!", ADDRESS(INDEX($Q$2:$Q$1001,MATCH(ROWS($O$2:O777),$O$2:$O$1001,0),0), INDEX($V$1004:$AE$1004,1,MATCH(COLUMNS($V$1006:AC1006),$V$1006:$AE$1006,0)))),"Fix")))</f>
        <v>0</v>
      </c>
      <c r="J777" s="3">
        <f>IF(OR(INDEX($P$2:$P$1001,MATCH(ROWS($O$2:O777),$O$2:$O$1001,0),1)&gt;=100000,INDEX($V$1005:$AE$1005,1,MATCH(COLUMNS($V$1006:AD1006),$V$1006:$AE$1006,0))&gt;=100000), " ",IF(INDEX($V$2:$AE$1001,MATCH(ROWS($O$2:O777),$O$2:$O$1001,0),MATCH(COLUMNS($V$1006:AD1006),$V$1006:$AE$1006,0)), HYPERLINK("#",""), HYPERLINK(CONCATENATE("#Metadata!", ADDRESS(INDEX($Q$2:$Q$1001,MATCH(ROWS($O$2:O777),$O$2:$O$1001,0),0), INDEX($V$1004:$AE$1004,1,MATCH(COLUMNS($V$1006:AD1006),$V$1006:$AE$1006,0)))),"Fix")))</f>
        <v>0</v>
      </c>
      <c r="K777" s="3">
        <f>IF(OR(INDEX($P$2:$P$1001,MATCH(ROWS($O$2:O777),$O$2:$O$1001,0),1)&gt;=100000,INDEX($V$1005:$AE$1005,1,MATCH(COLUMNS($V$1006:AE1006),$V$1006:$AE$1006,0))&gt;=100000), " ",IF(INDEX($V$2:$AE$1001,MATCH(ROWS($O$2:O777),$O$2:$O$1001,0),MATCH(COLUMNS($V$1006:AE1006),$V$1006:$AE$1006,0)), HYPERLINK("#",""), HYPERLINK(CONCATENATE("#Metadata!", ADDRESS(INDEX($Q$2:$Q$1001,MATCH(ROWS($O$2:O777),$O$2:$O$1001,0),0), INDEX($V$1004:$AE$1004,1,MATCH(COLUMNS($V$1006:AE1006),$V$1006:$AE$1006,0)))),"Fix")))</f>
        <v>0</v>
      </c>
      <c r="O777">
        <v>0</v>
      </c>
      <c r="P777">
        <v>0</v>
      </c>
      <c r="Q777">
        <v>0</v>
      </c>
      <c r="R777">
        <f>IF(S777,TRUE,AND(V777:AE777))</f>
        <v>0</v>
      </c>
      <c r="S777">
        <f>COUNTBLANK(Metadata!B777:K777)=COLUMNS(Metadata!B777:K777)</f>
        <v>0</v>
      </c>
      <c r="T777">
        <v>0</v>
      </c>
      <c r="V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W777">
        <f>AND(IF(Metadata!C777="",FALSE,TRUE),exact(Metadata!C777,"animal secretion"))</f>
        <v>0</v>
      </c>
      <c r="X777">
        <f>AND(IF(Metadata!D777="",FALSE,TRUE),exact(Metadata!D777,"saliva"))</f>
        <v>0</v>
      </c>
      <c r="Y777">
        <f>AND(IF(Metadata!E777="",FALSE,TRUE),exact(Metadata!E777,"human-oral"))</f>
        <v>0</v>
      </c>
      <c r="Z777">
        <f>AND(IF(Metadata!F777="",FALSE,TRUE),exact(Metadata!F777,"UBERON:oral cavity"))</f>
        <v>0</v>
      </c>
      <c r="AA777">
        <f>AND(IF(Metadata!G777="",FALSE,TRUE),exact(Metadata!G777,"UBERON:saliva"))</f>
        <v>0</v>
      </c>
      <c r="AB777">
        <f>AND(IF(Metadata!H777="",FALSE,TRUE),exact(Metadata!H777,"UBERON:tongue"))</f>
        <v>0</v>
      </c>
      <c r="AC777">
        <f>AND(IF(Metadata!I777="",FALSE,TRUE),exact(Metadata!I777,"tongue"))</f>
        <v>0</v>
      </c>
      <c r="AD777">
        <f>AND(IF(Metadata!J777="",FALSE,TRUE),exact(Metadata!J777,"human oral metagenome"))</f>
        <v>0</v>
      </c>
      <c r="AE777">
        <f>AND(IF(Metadata!K777="",FALSE,TRUE),exact(Metadata!K777,"447426"))</f>
        <v>0</v>
      </c>
    </row>
    <row r="778" spans="1:31">
      <c r="A778" s="4">
        <f>IF(B778=" "," ",HYPERLINK(CONCATENATE("#metadata!",ADDRESS(INDEX($Q$2:$Q$1001,MATCH(ROWS($O$2:O778),$O$2:$O$1001,0),0),1)),INDEX($T$2:$T$1001,MATCH(ROWS($O$2:O778),$O$2:$O$1001,0),0)))</f>
        <v>0</v>
      </c>
      <c r="B778" s="3">
        <f>IF(OR(INDEX($P$2:$P$1001,MATCH(ROWS($O$2:O778),$O$2:$O$1001,0),1)&gt;=100000,INDEX($V$1005:$AE$1005,1,MATCH(COLUMNS($V$1006:V1006),$V$1006:$AE$1006,0))&gt;=100000), " ",IF(INDEX($V$2:$AE$1001,MATCH(ROWS($O$2:O778),$O$2:$O$1001,0),MATCH(COLUMNS($V$1006:V1006),$V$1006:$AE$1006,0)), HYPERLINK("#",""), HYPERLINK(CONCATENATE("#Metadata!", ADDRESS(INDEX($Q$2:$Q$1001,MATCH(ROWS($O$2:O778),$O$2:$O$1001,0),0), INDEX($V$1004:$AE$1004,1,MATCH(COLUMNS($V$1006:V1006),$V$1006:$AE$1006,0)))),"Fix")))</f>
        <v>0</v>
      </c>
      <c r="C778" s="3">
        <f>IF(OR(INDEX($P$2:$P$1001,MATCH(ROWS($O$2:O778),$O$2:$O$1001,0),1)&gt;=100000,INDEX($V$1005:$AE$1005,1,MATCH(COLUMNS($V$1006:W1006),$V$1006:$AE$1006,0))&gt;=100000), " ",IF(INDEX($V$2:$AE$1001,MATCH(ROWS($O$2:O778),$O$2:$O$1001,0),MATCH(COLUMNS($V$1006:W1006),$V$1006:$AE$1006,0)), HYPERLINK("#",""), HYPERLINK(CONCATENATE("#Metadata!", ADDRESS(INDEX($Q$2:$Q$1001,MATCH(ROWS($O$2:O778),$O$2:$O$1001,0),0), INDEX($V$1004:$AE$1004,1,MATCH(COLUMNS($V$1006:W1006),$V$1006:$AE$1006,0)))),"Fix")))</f>
        <v>0</v>
      </c>
      <c r="D778" s="3">
        <f>IF(OR(INDEX($P$2:$P$1001,MATCH(ROWS($O$2:O778),$O$2:$O$1001,0),1)&gt;=100000,INDEX($V$1005:$AE$1005,1,MATCH(COLUMNS($V$1006:X1006),$V$1006:$AE$1006,0))&gt;=100000), " ",IF(INDEX($V$2:$AE$1001,MATCH(ROWS($O$2:O778),$O$2:$O$1001,0),MATCH(COLUMNS($V$1006:X1006),$V$1006:$AE$1006,0)), HYPERLINK("#",""), HYPERLINK(CONCATENATE("#Metadata!", ADDRESS(INDEX($Q$2:$Q$1001,MATCH(ROWS($O$2:O778),$O$2:$O$1001,0),0), INDEX($V$1004:$AE$1004,1,MATCH(COLUMNS($V$1006:X1006),$V$1006:$AE$1006,0)))),"Fix")))</f>
        <v>0</v>
      </c>
      <c r="E778" s="3">
        <f>IF(OR(INDEX($P$2:$P$1001,MATCH(ROWS($O$2:O778),$O$2:$O$1001,0),1)&gt;=100000,INDEX($V$1005:$AE$1005,1,MATCH(COLUMNS($V$1006:Y1006),$V$1006:$AE$1006,0))&gt;=100000), " ",IF(INDEX($V$2:$AE$1001,MATCH(ROWS($O$2:O778),$O$2:$O$1001,0),MATCH(COLUMNS($V$1006:Y1006),$V$1006:$AE$1006,0)), HYPERLINK("#",""), HYPERLINK(CONCATENATE("#Metadata!", ADDRESS(INDEX($Q$2:$Q$1001,MATCH(ROWS($O$2:O778),$O$2:$O$1001,0),0), INDEX($V$1004:$AE$1004,1,MATCH(COLUMNS($V$1006:Y1006),$V$1006:$AE$1006,0)))),"Fix")))</f>
        <v>0</v>
      </c>
      <c r="F778" s="3">
        <f>IF(OR(INDEX($P$2:$P$1001,MATCH(ROWS($O$2:O778),$O$2:$O$1001,0),1)&gt;=100000,INDEX($V$1005:$AE$1005,1,MATCH(COLUMNS($V$1006:Z1006),$V$1006:$AE$1006,0))&gt;=100000), " ",IF(INDEX($V$2:$AE$1001,MATCH(ROWS($O$2:O778),$O$2:$O$1001,0),MATCH(COLUMNS($V$1006:Z1006),$V$1006:$AE$1006,0)), HYPERLINK("#",""), HYPERLINK(CONCATENATE("#Metadata!", ADDRESS(INDEX($Q$2:$Q$1001,MATCH(ROWS($O$2:O778),$O$2:$O$1001,0),0), INDEX($V$1004:$AE$1004,1,MATCH(COLUMNS($V$1006:Z1006),$V$1006:$AE$1006,0)))),"Fix")))</f>
        <v>0</v>
      </c>
      <c r="G778" s="3">
        <f>IF(OR(INDEX($P$2:$P$1001,MATCH(ROWS($O$2:O778),$O$2:$O$1001,0),1)&gt;=100000,INDEX($V$1005:$AE$1005,1,MATCH(COLUMNS($V$1006:AA1006),$V$1006:$AE$1006,0))&gt;=100000), " ",IF(INDEX($V$2:$AE$1001,MATCH(ROWS($O$2:O778),$O$2:$O$1001,0),MATCH(COLUMNS($V$1006:AA1006),$V$1006:$AE$1006,0)), HYPERLINK("#",""), HYPERLINK(CONCATENATE("#Metadata!", ADDRESS(INDEX($Q$2:$Q$1001,MATCH(ROWS($O$2:O778),$O$2:$O$1001,0),0), INDEX($V$1004:$AE$1004,1,MATCH(COLUMNS($V$1006:AA1006),$V$1006:$AE$1006,0)))),"Fix")))</f>
        <v>0</v>
      </c>
      <c r="H778" s="3">
        <f>IF(OR(INDEX($P$2:$P$1001,MATCH(ROWS($O$2:O778),$O$2:$O$1001,0),1)&gt;=100000,INDEX($V$1005:$AE$1005,1,MATCH(COLUMNS($V$1006:AB1006),$V$1006:$AE$1006,0))&gt;=100000), " ",IF(INDEX($V$2:$AE$1001,MATCH(ROWS($O$2:O778),$O$2:$O$1001,0),MATCH(COLUMNS($V$1006:AB1006),$V$1006:$AE$1006,0)), HYPERLINK("#",""), HYPERLINK(CONCATENATE("#Metadata!", ADDRESS(INDEX($Q$2:$Q$1001,MATCH(ROWS($O$2:O778),$O$2:$O$1001,0),0), INDEX($V$1004:$AE$1004,1,MATCH(COLUMNS($V$1006:AB1006),$V$1006:$AE$1006,0)))),"Fix")))</f>
        <v>0</v>
      </c>
      <c r="I778" s="3">
        <f>IF(OR(INDEX($P$2:$P$1001,MATCH(ROWS($O$2:O778),$O$2:$O$1001,0),1)&gt;=100000,INDEX($V$1005:$AE$1005,1,MATCH(COLUMNS($V$1006:AC1006),$V$1006:$AE$1006,0))&gt;=100000), " ",IF(INDEX($V$2:$AE$1001,MATCH(ROWS($O$2:O778),$O$2:$O$1001,0),MATCH(COLUMNS($V$1006:AC1006),$V$1006:$AE$1006,0)), HYPERLINK("#",""), HYPERLINK(CONCATENATE("#Metadata!", ADDRESS(INDEX($Q$2:$Q$1001,MATCH(ROWS($O$2:O778),$O$2:$O$1001,0),0), INDEX($V$1004:$AE$1004,1,MATCH(COLUMNS($V$1006:AC1006),$V$1006:$AE$1006,0)))),"Fix")))</f>
        <v>0</v>
      </c>
      <c r="J778" s="3">
        <f>IF(OR(INDEX($P$2:$P$1001,MATCH(ROWS($O$2:O778),$O$2:$O$1001,0),1)&gt;=100000,INDEX($V$1005:$AE$1005,1,MATCH(COLUMNS($V$1006:AD1006),$V$1006:$AE$1006,0))&gt;=100000), " ",IF(INDEX($V$2:$AE$1001,MATCH(ROWS($O$2:O778),$O$2:$O$1001,0),MATCH(COLUMNS($V$1006:AD1006),$V$1006:$AE$1006,0)), HYPERLINK("#",""), HYPERLINK(CONCATENATE("#Metadata!", ADDRESS(INDEX($Q$2:$Q$1001,MATCH(ROWS($O$2:O778),$O$2:$O$1001,0),0), INDEX($V$1004:$AE$1004,1,MATCH(COLUMNS($V$1006:AD1006),$V$1006:$AE$1006,0)))),"Fix")))</f>
        <v>0</v>
      </c>
      <c r="K778" s="3">
        <f>IF(OR(INDEX($P$2:$P$1001,MATCH(ROWS($O$2:O778),$O$2:$O$1001,0),1)&gt;=100000,INDEX($V$1005:$AE$1005,1,MATCH(COLUMNS($V$1006:AE1006),$V$1006:$AE$1006,0))&gt;=100000), " ",IF(INDEX($V$2:$AE$1001,MATCH(ROWS($O$2:O778),$O$2:$O$1001,0),MATCH(COLUMNS($V$1006:AE1006),$V$1006:$AE$1006,0)), HYPERLINK("#",""), HYPERLINK(CONCATENATE("#Metadata!", ADDRESS(INDEX($Q$2:$Q$1001,MATCH(ROWS($O$2:O778),$O$2:$O$1001,0),0), INDEX($V$1004:$AE$1004,1,MATCH(COLUMNS($V$1006:AE1006),$V$1006:$AE$1006,0)))),"Fix")))</f>
        <v>0</v>
      </c>
      <c r="O778">
        <v>0</v>
      </c>
      <c r="P778">
        <v>0</v>
      </c>
      <c r="Q778">
        <v>0</v>
      </c>
      <c r="R778">
        <f>IF(S778,TRUE,AND(V778:AE778))</f>
        <v>0</v>
      </c>
      <c r="S778">
        <f>COUNTBLANK(Metadata!B778:K778)=COLUMNS(Metadata!B778:K778)</f>
        <v>0</v>
      </c>
      <c r="T778">
        <v>0</v>
      </c>
      <c r="V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W778">
        <f>AND(IF(Metadata!C778="",FALSE,TRUE),exact(Metadata!C778,"animal secretion"))</f>
        <v>0</v>
      </c>
      <c r="X778">
        <f>AND(IF(Metadata!D778="",FALSE,TRUE),exact(Metadata!D778,"saliva"))</f>
        <v>0</v>
      </c>
      <c r="Y778">
        <f>AND(IF(Metadata!E778="",FALSE,TRUE),exact(Metadata!E778,"human-oral"))</f>
        <v>0</v>
      </c>
      <c r="Z778">
        <f>AND(IF(Metadata!F778="",FALSE,TRUE),exact(Metadata!F778,"UBERON:oral cavity"))</f>
        <v>0</v>
      </c>
      <c r="AA778">
        <f>AND(IF(Metadata!G778="",FALSE,TRUE),exact(Metadata!G778,"UBERON:saliva"))</f>
        <v>0</v>
      </c>
      <c r="AB778">
        <f>AND(IF(Metadata!H778="",FALSE,TRUE),exact(Metadata!H778,"UBERON:tongue"))</f>
        <v>0</v>
      </c>
      <c r="AC778">
        <f>AND(IF(Metadata!I778="",FALSE,TRUE),exact(Metadata!I778,"tongue"))</f>
        <v>0</v>
      </c>
      <c r="AD778">
        <f>AND(IF(Metadata!J778="",FALSE,TRUE),exact(Metadata!J778,"human oral metagenome"))</f>
        <v>0</v>
      </c>
      <c r="AE778">
        <f>AND(IF(Metadata!K778="",FALSE,TRUE),exact(Metadata!K778,"447426"))</f>
        <v>0</v>
      </c>
    </row>
    <row r="779" spans="1:31">
      <c r="A779" s="4">
        <f>IF(B779=" "," ",HYPERLINK(CONCATENATE("#metadata!",ADDRESS(INDEX($Q$2:$Q$1001,MATCH(ROWS($O$2:O779),$O$2:$O$1001,0),0),1)),INDEX($T$2:$T$1001,MATCH(ROWS($O$2:O779),$O$2:$O$1001,0),0)))</f>
        <v>0</v>
      </c>
      <c r="B779" s="3">
        <f>IF(OR(INDEX($P$2:$P$1001,MATCH(ROWS($O$2:O779),$O$2:$O$1001,0),1)&gt;=100000,INDEX($V$1005:$AE$1005,1,MATCH(COLUMNS($V$1006:V1006),$V$1006:$AE$1006,0))&gt;=100000), " ",IF(INDEX($V$2:$AE$1001,MATCH(ROWS($O$2:O779),$O$2:$O$1001,0),MATCH(COLUMNS($V$1006:V1006),$V$1006:$AE$1006,0)), HYPERLINK("#",""), HYPERLINK(CONCATENATE("#Metadata!", ADDRESS(INDEX($Q$2:$Q$1001,MATCH(ROWS($O$2:O779),$O$2:$O$1001,0),0), INDEX($V$1004:$AE$1004,1,MATCH(COLUMNS($V$1006:V1006),$V$1006:$AE$1006,0)))),"Fix")))</f>
        <v>0</v>
      </c>
      <c r="C779" s="3">
        <f>IF(OR(INDEX($P$2:$P$1001,MATCH(ROWS($O$2:O779),$O$2:$O$1001,0),1)&gt;=100000,INDEX($V$1005:$AE$1005,1,MATCH(COLUMNS($V$1006:W1006),$V$1006:$AE$1006,0))&gt;=100000), " ",IF(INDEX($V$2:$AE$1001,MATCH(ROWS($O$2:O779),$O$2:$O$1001,0),MATCH(COLUMNS($V$1006:W1006),$V$1006:$AE$1006,0)), HYPERLINK("#",""), HYPERLINK(CONCATENATE("#Metadata!", ADDRESS(INDEX($Q$2:$Q$1001,MATCH(ROWS($O$2:O779),$O$2:$O$1001,0),0), INDEX($V$1004:$AE$1004,1,MATCH(COLUMNS($V$1006:W1006),$V$1006:$AE$1006,0)))),"Fix")))</f>
        <v>0</v>
      </c>
      <c r="D779" s="3">
        <f>IF(OR(INDEX($P$2:$P$1001,MATCH(ROWS($O$2:O779),$O$2:$O$1001,0),1)&gt;=100000,INDEX($V$1005:$AE$1005,1,MATCH(COLUMNS($V$1006:X1006),$V$1006:$AE$1006,0))&gt;=100000), " ",IF(INDEX($V$2:$AE$1001,MATCH(ROWS($O$2:O779),$O$2:$O$1001,0),MATCH(COLUMNS($V$1006:X1006),$V$1006:$AE$1006,0)), HYPERLINK("#",""), HYPERLINK(CONCATENATE("#Metadata!", ADDRESS(INDEX($Q$2:$Q$1001,MATCH(ROWS($O$2:O779),$O$2:$O$1001,0),0), INDEX($V$1004:$AE$1004,1,MATCH(COLUMNS($V$1006:X1006),$V$1006:$AE$1006,0)))),"Fix")))</f>
        <v>0</v>
      </c>
      <c r="E779" s="3">
        <f>IF(OR(INDEX($P$2:$P$1001,MATCH(ROWS($O$2:O779),$O$2:$O$1001,0),1)&gt;=100000,INDEX($V$1005:$AE$1005,1,MATCH(COLUMNS($V$1006:Y1006),$V$1006:$AE$1006,0))&gt;=100000), " ",IF(INDEX($V$2:$AE$1001,MATCH(ROWS($O$2:O779),$O$2:$O$1001,0),MATCH(COLUMNS($V$1006:Y1006),$V$1006:$AE$1006,0)), HYPERLINK("#",""), HYPERLINK(CONCATENATE("#Metadata!", ADDRESS(INDEX($Q$2:$Q$1001,MATCH(ROWS($O$2:O779),$O$2:$O$1001,0),0), INDEX($V$1004:$AE$1004,1,MATCH(COLUMNS($V$1006:Y1006),$V$1006:$AE$1006,0)))),"Fix")))</f>
        <v>0</v>
      </c>
      <c r="F779" s="3">
        <f>IF(OR(INDEX($P$2:$P$1001,MATCH(ROWS($O$2:O779),$O$2:$O$1001,0),1)&gt;=100000,INDEX($V$1005:$AE$1005,1,MATCH(COLUMNS($V$1006:Z1006),$V$1006:$AE$1006,0))&gt;=100000), " ",IF(INDEX($V$2:$AE$1001,MATCH(ROWS($O$2:O779),$O$2:$O$1001,0),MATCH(COLUMNS($V$1006:Z1006),$V$1006:$AE$1006,0)), HYPERLINK("#",""), HYPERLINK(CONCATENATE("#Metadata!", ADDRESS(INDEX($Q$2:$Q$1001,MATCH(ROWS($O$2:O779),$O$2:$O$1001,0),0), INDEX($V$1004:$AE$1004,1,MATCH(COLUMNS($V$1006:Z1006),$V$1006:$AE$1006,0)))),"Fix")))</f>
        <v>0</v>
      </c>
      <c r="G779" s="3">
        <f>IF(OR(INDEX($P$2:$P$1001,MATCH(ROWS($O$2:O779),$O$2:$O$1001,0),1)&gt;=100000,INDEX($V$1005:$AE$1005,1,MATCH(COLUMNS($V$1006:AA1006),$V$1006:$AE$1006,0))&gt;=100000), " ",IF(INDEX($V$2:$AE$1001,MATCH(ROWS($O$2:O779),$O$2:$O$1001,0),MATCH(COLUMNS($V$1006:AA1006),$V$1006:$AE$1006,0)), HYPERLINK("#",""), HYPERLINK(CONCATENATE("#Metadata!", ADDRESS(INDEX($Q$2:$Q$1001,MATCH(ROWS($O$2:O779),$O$2:$O$1001,0),0), INDEX($V$1004:$AE$1004,1,MATCH(COLUMNS($V$1006:AA1006),$V$1006:$AE$1006,0)))),"Fix")))</f>
        <v>0</v>
      </c>
      <c r="H779" s="3">
        <f>IF(OR(INDEX($P$2:$P$1001,MATCH(ROWS($O$2:O779),$O$2:$O$1001,0),1)&gt;=100000,INDEX($V$1005:$AE$1005,1,MATCH(COLUMNS($V$1006:AB1006),$V$1006:$AE$1006,0))&gt;=100000), " ",IF(INDEX($V$2:$AE$1001,MATCH(ROWS($O$2:O779),$O$2:$O$1001,0),MATCH(COLUMNS($V$1006:AB1006),$V$1006:$AE$1006,0)), HYPERLINK("#",""), HYPERLINK(CONCATENATE("#Metadata!", ADDRESS(INDEX($Q$2:$Q$1001,MATCH(ROWS($O$2:O779),$O$2:$O$1001,0),0), INDEX($V$1004:$AE$1004,1,MATCH(COLUMNS($V$1006:AB1006),$V$1006:$AE$1006,0)))),"Fix")))</f>
        <v>0</v>
      </c>
      <c r="I779" s="3">
        <f>IF(OR(INDEX($P$2:$P$1001,MATCH(ROWS($O$2:O779),$O$2:$O$1001,0),1)&gt;=100000,INDEX($V$1005:$AE$1005,1,MATCH(COLUMNS($V$1006:AC1006),$V$1006:$AE$1006,0))&gt;=100000), " ",IF(INDEX($V$2:$AE$1001,MATCH(ROWS($O$2:O779),$O$2:$O$1001,0),MATCH(COLUMNS($V$1006:AC1006),$V$1006:$AE$1006,0)), HYPERLINK("#",""), HYPERLINK(CONCATENATE("#Metadata!", ADDRESS(INDEX($Q$2:$Q$1001,MATCH(ROWS($O$2:O779),$O$2:$O$1001,0),0), INDEX($V$1004:$AE$1004,1,MATCH(COLUMNS($V$1006:AC1006),$V$1006:$AE$1006,0)))),"Fix")))</f>
        <v>0</v>
      </c>
      <c r="J779" s="3">
        <f>IF(OR(INDEX($P$2:$P$1001,MATCH(ROWS($O$2:O779),$O$2:$O$1001,0),1)&gt;=100000,INDEX($V$1005:$AE$1005,1,MATCH(COLUMNS($V$1006:AD1006),$V$1006:$AE$1006,0))&gt;=100000), " ",IF(INDEX($V$2:$AE$1001,MATCH(ROWS($O$2:O779),$O$2:$O$1001,0),MATCH(COLUMNS($V$1006:AD1006),$V$1006:$AE$1006,0)), HYPERLINK("#",""), HYPERLINK(CONCATENATE("#Metadata!", ADDRESS(INDEX($Q$2:$Q$1001,MATCH(ROWS($O$2:O779),$O$2:$O$1001,0),0), INDEX($V$1004:$AE$1004,1,MATCH(COLUMNS($V$1006:AD1006),$V$1006:$AE$1006,0)))),"Fix")))</f>
        <v>0</v>
      </c>
      <c r="K779" s="3">
        <f>IF(OR(INDEX($P$2:$P$1001,MATCH(ROWS($O$2:O779),$O$2:$O$1001,0),1)&gt;=100000,INDEX($V$1005:$AE$1005,1,MATCH(COLUMNS($V$1006:AE1006),$V$1006:$AE$1006,0))&gt;=100000), " ",IF(INDEX($V$2:$AE$1001,MATCH(ROWS($O$2:O779),$O$2:$O$1001,0),MATCH(COLUMNS($V$1006:AE1006),$V$1006:$AE$1006,0)), HYPERLINK("#",""), HYPERLINK(CONCATENATE("#Metadata!", ADDRESS(INDEX($Q$2:$Q$1001,MATCH(ROWS($O$2:O779),$O$2:$O$1001,0),0), INDEX($V$1004:$AE$1004,1,MATCH(COLUMNS($V$1006:AE1006),$V$1006:$AE$1006,0)))),"Fix")))</f>
        <v>0</v>
      </c>
      <c r="O779">
        <v>0</v>
      </c>
      <c r="P779">
        <v>0</v>
      </c>
      <c r="Q779">
        <v>0</v>
      </c>
      <c r="R779">
        <f>IF(S779,TRUE,AND(V779:AE779))</f>
        <v>0</v>
      </c>
      <c r="S779">
        <f>COUNTBLANK(Metadata!B779:K779)=COLUMNS(Metadata!B779:K779)</f>
        <v>0</v>
      </c>
      <c r="T779">
        <v>0</v>
      </c>
      <c r="V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W779">
        <f>AND(IF(Metadata!C779="",FALSE,TRUE),exact(Metadata!C779,"animal secretion"))</f>
        <v>0</v>
      </c>
      <c r="X779">
        <f>AND(IF(Metadata!D779="",FALSE,TRUE),exact(Metadata!D779,"saliva"))</f>
        <v>0</v>
      </c>
      <c r="Y779">
        <f>AND(IF(Metadata!E779="",FALSE,TRUE),exact(Metadata!E779,"human-oral"))</f>
        <v>0</v>
      </c>
      <c r="Z779">
        <f>AND(IF(Metadata!F779="",FALSE,TRUE),exact(Metadata!F779,"UBERON:oral cavity"))</f>
        <v>0</v>
      </c>
      <c r="AA779">
        <f>AND(IF(Metadata!G779="",FALSE,TRUE),exact(Metadata!G779,"UBERON:saliva"))</f>
        <v>0</v>
      </c>
      <c r="AB779">
        <f>AND(IF(Metadata!H779="",FALSE,TRUE),exact(Metadata!H779,"UBERON:tongue"))</f>
        <v>0</v>
      </c>
      <c r="AC779">
        <f>AND(IF(Metadata!I779="",FALSE,TRUE),exact(Metadata!I779,"tongue"))</f>
        <v>0</v>
      </c>
      <c r="AD779">
        <f>AND(IF(Metadata!J779="",FALSE,TRUE),exact(Metadata!J779,"human oral metagenome"))</f>
        <v>0</v>
      </c>
      <c r="AE779">
        <f>AND(IF(Metadata!K779="",FALSE,TRUE),exact(Metadata!K779,"447426"))</f>
        <v>0</v>
      </c>
    </row>
    <row r="780" spans="1:31">
      <c r="A780" s="4">
        <f>IF(B780=" "," ",HYPERLINK(CONCATENATE("#metadata!",ADDRESS(INDEX($Q$2:$Q$1001,MATCH(ROWS($O$2:O780),$O$2:$O$1001,0),0),1)),INDEX($T$2:$T$1001,MATCH(ROWS($O$2:O780),$O$2:$O$1001,0),0)))</f>
        <v>0</v>
      </c>
      <c r="B780" s="3">
        <f>IF(OR(INDEX($P$2:$P$1001,MATCH(ROWS($O$2:O780),$O$2:$O$1001,0),1)&gt;=100000,INDEX($V$1005:$AE$1005,1,MATCH(COLUMNS($V$1006:V1006),$V$1006:$AE$1006,0))&gt;=100000), " ",IF(INDEX($V$2:$AE$1001,MATCH(ROWS($O$2:O780),$O$2:$O$1001,0),MATCH(COLUMNS($V$1006:V1006),$V$1006:$AE$1006,0)), HYPERLINK("#",""), HYPERLINK(CONCATENATE("#Metadata!", ADDRESS(INDEX($Q$2:$Q$1001,MATCH(ROWS($O$2:O780),$O$2:$O$1001,0),0), INDEX($V$1004:$AE$1004,1,MATCH(COLUMNS($V$1006:V1006),$V$1006:$AE$1006,0)))),"Fix")))</f>
        <v>0</v>
      </c>
      <c r="C780" s="3">
        <f>IF(OR(INDEX($P$2:$P$1001,MATCH(ROWS($O$2:O780),$O$2:$O$1001,0),1)&gt;=100000,INDEX($V$1005:$AE$1005,1,MATCH(COLUMNS($V$1006:W1006),$V$1006:$AE$1006,0))&gt;=100000), " ",IF(INDEX($V$2:$AE$1001,MATCH(ROWS($O$2:O780),$O$2:$O$1001,0),MATCH(COLUMNS($V$1006:W1006),$V$1006:$AE$1006,0)), HYPERLINK("#",""), HYPERLINK(CONCATENATE("#Metadata!", ADDRESS(INDEX($Q$2:$Q$1001,MATCH(ROWS($O$2:O780),$O$2:$O$1001,0),0), INDEX($V$1004:$AE$1004,1,MATCH(COLUMNS($V$1006:W1006),$V$1006:$AE$1006,0)))),"Fix")))</f>
        <v>0</v>
      </c>
      <c r="D780" s="3">
        <f>IF(OR(INDEX($P$2:$P$1001,MATCH(ROWS($O$2:O780),$O$2:$O$1001,0),1)&gt;=100000,INDEX($V$1005:$AE$1005,1,MATCH(COLUMNS($V$1006:X1006),$V$1006:$AE$1006,0))&gt;=100000), " ",IF(INDEX($V$2:$AE$1001,MATCH(ROWS($O$2:O780),$O$2:$O$1001,0),MATCH(COLUMNS($V$1006:X1006),$V$1006:$AE$1006,0)), HYPERLINK("#",""), HYPERLINK(CONCATENATE("#Metadata!", ADDRESS(INDEX($Q$2:$Q$1001,MATCH(ROWS($O$2:O780),$O$2:$O$1001,0),0), INDEX($V$1004:$AE$1004,1,MATCH(COLUMNS($V$1006:X1006),$V$1006:$AE$1006,0)))),"Fix")))</f>
        <v>0</v>
      </c>
      <c r="E780" s="3">
        <f>IF(OR(INDEX($P$2:$P$1001,MATCH(ROWS($O$2:O780),$O$2:$O$1001,0),1)&gt;=100000,INDEX($V$1005:$AE$1005,1,MATCH(COLUMNS($V$1006:Y1006),$V$1006:$AE$1006,0))&gt;=100000), " ",IF(INDEX($V$2:$AE$1001,MATCH(ROWS($O$2:O780),$O$2:$O$1001,0),MATCH(COLUMNS($V$1006:Y1006),$V$1006:$AE$1006,0)), HYPERLINK("#",""), HYPERLINK(CONCATENATE("#Metadata!", ADDRESS(INDEX($Q$2:$Q$1001,MATCH(ROWS($O$2:O780),$O$2:$O$1001,0),0), INDEX($V$1004:$AE$1004,1,MATCH(COLUMNS($V$1006:Y1006),$V$1006:$AE$1006,0)))),"Fix")))</f>
        <v>0</v>
      </c>
      <c r="F780" s="3">
        <f>IF(OR(INDEX($P$2:$P$1001,MATCH(ROWS($O$2:O780),$O$2:$O$1001,0),1)&gt;=100000,INDEX($V$1005:$AE$1005,1,MATCH(COLUMNS($V$1006:Z1006),$V$1006:$AE$1006,0))&gt;=100000), " ",IF(INDEX($V$2:$AE$1001,MATCH(ROWS($O$2:O780),$O$2:$O$1001,0),MATCH(COLUMNS($V$1006:Z1006),$V$1006:$AE$1006,0)), HYPERLINK("#",""), HYPERLINK(CONCATENATE("#Metadata!", ADDRESS(INDEX($Q$2:$Q$1001,MATCH(ROWS($O$2:O780),$O$2:$O$1001,0),0), INDEX($V$1004:$AE$1004,1,MATCH(COLUMNS($V$1006:Z1006),$V$1006:$AE$1006,0)))),"Fix")))</f>
        <v>0</v>
      </c>
      <c r="G780" s="3">
        <f>IF(OR(INDEX($P$2:$P$1001,MATCH(ROWS($O$2:O780),$O$2:$O$1001,0),1)&gt;=100000,INDEX($V$1005:$AE$1005,1,MATCH(COLUMNS($V$1006:AA1006),$V$1006:$AE$1006,0))&gt;=100000), " ",IF(INDEX($V$2:$AE$1001,MATCH(ROWS($O$2:O780),$O$2:$O$1001,0),MATCH(COLUMNS($V$1006:AA1006),$V$1006:$AE$1006,0)), HYPERLINK("#",""), HYPERLINK(CONCATENATE("#Metadata!", ADDRESS(INDEX($Q$2:$Q$1001,MATCH(ROWS($O$2:O780),$O$2:$O$1001,0),0), INDEX($V$1004:$AE$1004,1,MATCH(COLUMNS($V$1006:AA1006),$V$1006:$AE$1006,0)))),"Fix")))</f>
        <v>0</v>
      </c>
      <c r="H780" s="3">
        <f>IF(OR(INDEX($P$2:$P$1001,MATCH(ROWS($O$2:O780),$O$2:$O$1001,0),1)&gt;=100000,INDEX($V$1005:$AE$1005,1,MATCH(COLUMNS($V$1006:AB1006),$V$1006:$AE$1006,0))&gt;=100000), " ",IF(INDEX($V$2:$AE$1001,MATCH(ROWS($O$2:O780),$O$2:$O$1001,0),MATCH(COLUMNS($V$1006:AB1006),$V$1006:$AE$1006,0)), HYPERLINK("#",""), HYPERLINK(CONCATENATE("#Metadata!", ADDRESS(INDEX($Q$2:$Q$1001,MATCH(ROWS($O$2:O780),$O$2:$O$1001,0),0), INDEX($V$1004:$AE$1004,1,MATCH(COLUMNS($V$1006:AB1006),$V$1006:$AE$1006,0)))),"Fix")))</f>
        <v>0</v>
      </c>
      <c r="I780" s="3">
        <f>IF(OR(INDEX($P$2:$P$1001,MATCH(ROWS($O$2:O780),$O$2:$O$1001,0),1)&gt;=100000,INDEX($V$1005:$AE$1005,1,MATCH(COLUMNS($V$1006:AC1006),$V$1006:$AE$1006,0))&gt;=100000), " ",IF(INDEX($V$2:$AE$1001,MATCH(ROWS($O$2:O780),$O$2:$O$1001,0),MATCH(COLUMNS($V$1006:AC1006),$V$1006:$AE$1006,0)), HYPERLINK("#",""), HYPERLINK(CONCATENATE("#Metadata!", ADDRESS(INDEX($Q$2:$Q$1001,MATCH(ROWS($O$2:O780),$O$2:$O$1001,0),0), INDEX($V$1004:$AE$1004,1,MATCH(COLUMNS($V$1006:AC1006),$V$1006:$AE$1006,0)))),"Fix")))</f>
        <v>0</v>
      </c>
      <c r="J780" s="3">
        <f>IF(OR(INDEX($P$2:$P$1001,MATCH(ROWS($O$2:O780),$O$2:$O$1001,0),1)&gt;=100000,INDEX($V$1005:$AE$1005,1,MATCH(COLUMNS($V$1006:AD1006),$V$1006:$AE$1006,0))&gt;=100000), " ",IF(INDEX($V$2:$AE$1001,MATCH(ROWS($O$2:O780),$O$2:$O$1001,0),MATCH(COLUMNS($V$1006:AD1006),$V$1006:$AE$1006,0)), HYPERLINK("#",""), HYPERLINK(CONCATENATE("#Metadata!", ADDRESS(INDEX($Q$2:$Q$1001,MATCH(ROWS($O$2:O780),$O$2:$O$1001,0),0), INDEX($V$1004:$AE$1004,1,MATCH(COLUMNS($V$1006:AD1006),$V$1006:$AE$1006,0)))),"Fix")))</f>
        <v>0</v>
      </c>
      <c r="K780" s="3">
        <f>IF(OR(INDEX($P$2:$P$1001,MATCH(ROWS($O$2:O780),$O$2:$O$1001,0),1)&gt;=100000,INDEX($V$1005:$AE$1005,1,MATCH(COLUMNS($V$1006:AE1006),$V$1006:$AE$1006,0))&gt;=100000), " ",IF(INDEX($V$2:$AE$1001,MATCH(ROWS($O$2:O780),$O$2:$O$1001,0),MATCH(COLUMNS($V$1006:AE1006),$V$1006:$AE$1006,0)), HYPERLINK("#",""), HYPERLINK(CONCATENATE("#Metadata!", ADDRESS(INDEX($Q$2:$Q$1001,MATCH(ROWS($O$2:O780),$O$2:$O$1001,0),0), INDEX($V$1004:$AE$1004,1,MATCH(COLUMNS($V$1006:AE1006),$V$1006:$AE$1006,0)))),"Fix")))</f>
        <v>0</v>
      </c>
      <c r="O780">
        <v>0</v>
      </c>
      <c r="P780">
        <v>0</v>
      </c>
      <c r="Q780">
        <v>0</v>
      </c>
      <c r="R780">
        <f>IF(S780,TRUE,AND(V780:AE780))</f>
        <v>0</v>
      </c>
      <c r="S780">
        <f>COUNTBLANK(Metadata!B780:K780)=COLUMNS(Metadata!B780:K780)</f>
        <v>0</v>
      </c>
      <c r="T780">
        <v>0</v>
      </c>
      <c r="V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W780">
        <f>AND(IF(Metadata!C780="",FALSE,TRUE),exact(Metadata!C780,"animal secretion"))</f>
        <v>0</v>
      </c>
      <c r="X780">
        <f>AND(IF(Metadata!D780="",FALSE,TRUE),exact(Metadata!D780,"saliva"))</f>
        <v>0</v>
      </c>
      <c r="Y780">
        <f>AND(IF(Metadata!E780="",FALSE,TRUE),exact(Metadata!E780,"human-oral"))</f>
        <v>0</v>
      </c>
      <c r="Z780">
        <f>AND(IF(Metadata!F780="",FALSE,TRUE),exact(Metadata!F780,"UBERON:oral cavity"))</f>
        <v>0</v>
      </c>
      <c r="AA780">
        <f>AND(IF(Metadata!G780="",FALSE,TRUE),exact(Metadata!G780,"UBERON:saliva"))</f>
        <v>0</v>
      </c>
      <c r="AB780">
        <f>AND(IF(Metadata!H780="",FALSE,TRUE),exact(Metadata!H780,"UBERON:tongue"))</f>
        <v>0</v>
      </c>
      <c r="AC780">
        <f>AND(IF(Metadata!I780="",FALSE,TRUE),exact(Metadata!I780,"tongue"))</f>
        <v>0</v>
      </c>
      <c r="AD780">
        <f>AND(IF(Metadata!J780="",FALSE,TRUE),exact(Metadata!J780,"human oral metagenome"))</f>
        <v>0</v>
      </c>
      <c r="AE780">
        <f>AND(IF(Metadata!K780="",FALSE,TRUE),exact(Metadata!K780,"447426"))</f>
        <v>0</v>
      </c>
    </row>
    <row r="781" spans="1:31">
      <c r="A781" s="4">
        <f>IF(B781=" "," ",HYPERLINK(CONCATENATE("#metadata!",ADDRESS(INDEX($Q$2:$Q$1001,MATCH(ROWS($O$2:O781),$O$2:$O$1001,0),0),1)),INDEX($T$2:$T$1001,MATCH(ROWS($O$2:O781),$O$2:$O$1001,0),0)))</f>
        <v>0</v>
      </c>
      <c r="B781" s="3">
        <f>IF(OR(INDEX($P$2:$P$1001,MATCH(ROWS($O$2:O781),$O$2:$O$1001,0),1)&gt;=100000,INDEX($V$1005:$AE$1005,1,MATCH(COLUMNS($V$1006:V1006),$V$1006:$AE$1006,0))&gt;=100000), " ",IF(INDEX($V$2:$AE$1001,MATCH(ROWS($O$2:O781),$O$2:$O$1001,0),MATCH(COLUMNS($V$1006:V1006),$V$1006:$AE$1006,0)), HYPERLINK("#",""), HYPERLINK(CONCATENATE("#Metadata!", ADDRESS(INDEX($Q$2:$Q$1001,MATCH(ROWS($O$2:O781),$O$2:$O$1001,0),0), INDEX($V$1004:$AE$1004,1,MATCH(COLUMNS($V$1006:V1006),$V$1006:$AE$1006,0)))),"Fix")))</f>
        <v>0</v>
      </c>
      <c r="C781" s="3">
        <f>IF(OR(INDEX($P$2:$P$1001,MATCH(ROWS($O$2:O781),$O$2:$O$1001,0),1)&gt;=100000,INDEX($V$1005:$AE$1005,1,MATCH(COLUMNS($V$1006:W1006),$V$1006:$AE$1006,0))&gt;=100000), " ",IF(INDEX($V$2:$AE$1001,MATCH(ROWS($O$2:O781),$O$2:$O$1001,0),MATCH(COLUMNS($V$1006:W1006),$V$1006:$AE$1006,0)), HYPERLINK("#",""), HYPERLINK(CONCATENATE("#Metadata!", ADDRESS(INDEX($Q$2:$Q$1001,MATCH(ROWS($O$2:O781),$O$2:$O$1001,0),0), INDEX($V$1004:$AE$1004,1,MATCH(COLUMNS($V$1006:W1006),$V$1006:$AE$1006,0)))),"Fix")))</f>
        <v>0</v>
      </c>
      <c r="D781" s="3">
        <f>IF(OR(INDEX($P$2:$P$1001,MATCH(ROWS($O$2:O781),$O$2:$O$1001,0),1)&gt;=100000,INDEX($V$1005:$AE$1005,1,MATCH(COLUMNS($V$1006:X1006),$V$1006:$AE$1006,0))&gt;=100000), " ",IF(INDEX($V$2:$AE$1001,MATCH(ROWS($O$2:O781),$O$2:$O$1001,0),MATCH(COLUMNS($V$1006:X1006),$V$1006:$AE$1006,0)), HYPERLINK("#",""), HYPERLINK(CONCATENATE("#Metadata!", ADDRESS(INDEX($Q$2:$Q$1001,MATCH(ROWS($O$2:O781),$O$2:$O$1001,0),0), INDEX($V$1004:$AE$1004,1,MATCH(COLUMNS($V$1006:X1006),$V$1006:$AE$1006,0)))),"Fix")))</f>
        <v>0</v>
      </c>
      <c r="E781" s="3">
        <f>IF(OR(INDEX($P$2:$P$1001,MATCH(ROWS($O$2:O781),$O$2:$O$1001,0),1)&gt;=100000,INDEX($V$1005:$AE$1005,1,MATCH(COLUMNS($V$1006:Y1006),$V$1006:$AE$1006,0))&gt;=100000), " ",IF(INDEX($V$2:$AE$1001,MATCH(ROWS($O$2:O781),$O$2:$O$1001,0),MATCH(COLUMNS($V$1006:Y1006),$V$1006:$AE$1006,0)), HYPERLINK("#",""), HYPERLINK(CONCATENATE("#Metadata!", ADDRESS(INDEX($Q$2:$Q$1001,MATCH(ROWS($O$2:O781),$O$2:$O$1001,0),0), INDEX($V$1004:$AE$1004,1,MATCH(COLUMNS($V$1006:Y1006),$V$1006:$AE$1006,0)))),"Fix")))</f>
        <v>0</v>
      </c>
      <c r="F781" s="3">
        <f>IF(OR(INDEX($P$2:$P$1001,MATCH(ROWS($O$2:O781),$O$2:$O$1001,0),1)&gt;=100000,INDEX($V$1005:$AE$1005,1,MATCH(COLUMNS($V$1006:Z1006),$V$1006:$AE$1006,0))&gt;=100000), " ",IF(INDEX($V$2:$AE$1001,MATCH(ROWS($O$2:O781),$O$2:$O$1001,0),MATCH(COLUMNS($V$1006:Z1006),$V$1006:$AE$1006,0)), HYPERLINK("#",""), HYPERLINK(CONCATENATE("#Metadata!", ADDRESS(INDEX($Q$2:$Q$1001,MATCH(ROWS($O$2:O781),$O$2:$O$1001,0),0), INDEX($V$1004:$AE$1004,1,MATCH(COLUMNS($V$1006:Z1006),$V$1006:$AE$1006,0)))),"Fix")))</f>
        <v>0</v>
      </c>
      <c r="G781" s="3">
        <f>IF(OR(INDEX($P$2:$P$1001,MATCH(ROWS($O$2:O781),$O$2:$O$1001,0),1)&gt;=100000,INDEX($V$1005:$AE$1005,1,MATCH(COLUMNS($V$1006:AA1006),$V$1006:$AE$1006,0))&gt;=100000), " ",IF(INDEX($V$2:$AE$1001,MATCH(ROWS($O$2:O781),$O$2:$O$1001,0),MATCH(COLUMNS($V$1006:AA1006),$V$1006:$AE$1006,0)), HYPERLINK("#",""), HYPERLINK(CONCATENATE("#Metadata!", ADDRESS(INDEX($Q$2:$Q$1001,MATCH(ROWS($O$2:O781),$O$2:$O$1001,0),0), INDEX($V$1004:$AE$1004,1,MATCH(COLUMNS($V$1006:AA1006),$V$1006:$AE$1006,0)))),"Fix")))</f>
        <v>0</v>
      </c>
      <c r="H781" s="3">
        <f>IF(OR(INDEX($P$2:$P$1001,MATCH(ROWS($O$2:O781),$O$2:$O$1001,0),1)&gt;=100000,INDEX($V$1005:$AE$1005,1,MATCH(COLUMNS($V$1006:AB1006),$V$1006:$AE$1006,0))&gt;=100000), " ",IF(INDEX($V$2:$AE$1001,MATCH(ROWS($O$2:O781),$O$2:$O$1001,0),MATCH(COLUMNS($V$1006:AB1006),$V$1006:$AE$1006,0)), HYPERLINK("#",""), HYPERLINK(CONCATENATE("#Metadata!", ADDRESS(INDEX($Q$2:$Q$1001,MATCH(ROWS($O$2:O781),$O$2:$O$1001,0),0), INDEX($V$1004:$AE$1004,1,MATCH(COLUMNS($V$1006:AB1006),$V$1006:$AE$1006,0)))),"Fix")))</f>
        <v>0</v>
      </c>
      <c r="I781" s="3">
        <f>IF(OR(INDEX($P$2:$P$1001,MATCH(ROWS($O$2:O781),$O$2:$O$1001,0),1)&gt;=100000,INDEX($V$1005:$AE$1005,1,MATCH(COLUMNS($V$1006:AC1006),$V$1006:$AE$1006,0))&gt;=100000), " ",IF(INDEX($V$2:$AE$1001,MATCH(ROWS($O$2:O781),$O$2:$O$1001,0),MATCH(COLUMNS($V$1006:AC1006),$V$1006:$AE$1006,0)), HYPERLINK("#",""), HYPERLINK(CONCATENATE("#Metadata!", ADDRESS(INDEX($Q$2:$Q$1001,MATCH(ROWS($O$2:O781),$O$2:$O$1001,0),0), INDEX($V$1004:$AE$1004,1,MATCH(COLUMNS($V$1006:AC1006),$V$1006:$AE$1006,0)))),"Fix")))</f>
        <v>0</v>
      </c>
      <c r="J781" s="3">
        <f>IF(OR(INDEX($P$2:$P$1001,MATCH(ROWS($O$2:O781),$O$2:$O$1001,0),1)&gt;=100000,INDEX($V$1005:$AE$1005,1,MATCH(COLUMNS($V$1006:AD1006),$V$1006:$AE$1006,0))&gt;=100000), " ",IF(INDEX($V$2:$AE$1001,MATCH(ROWS($O$2:O781),$O$2:$O$1001,0),MATCH(COLUMNS($V$1006:AD1006),$V$1006:$AE$1006,0)), HYPERLINK("#",""), HYPERLINK(CONCATENATE("#Metadata!", ADDRESS(INDEX($Q$2:$Q$1001,MATCH(ROWS($O$2:O781),$O$2:$O$1001,0),0), INDEX($V$1004:$AE$1004,1,MATCH(COLUMNS($V$1006:AD1006),$V$1006:$AE$1006,0)))),"Fix")))</f>
        <v>0</v>
      </c>
      <c r="K781" s="3">
        <f>IF(OR(INDEX($P$2:$P$1001,MATCH(ROWS($O$2:O781),$O$2:$O$1001,0),1)&gt;=100000,INDEX($V$1005:$AE$1005,1,MATCH(COLUMNS($V$1006:AE1006),$V$1006:$AE$1006,0))&gt;=100000), " ",IF(INDEX($V$2:$AE$1001,MATCH(ROWS($O$2:O781),$O$2:$O$1001,0),MATCH(COLUMNS($V$1006:AE1006),$V$1006:$AE$1006,0)), HYPERLINK("#",""), HYPERLINK(CONCATENATE("#Metadata!", ADDRESS(INDEX($Q$2:$Q$1001,MATCH(ROWS($O$2:O781),$O$2:$O$1001,0),0), INDEX($V$1004:$AE$1004,1,MATCH(COLUMNS($V$1006:AE1006),$V$1006:$AE$1006,0)))),"Fix")))</f>
        <v>0</v>
      </c>
      <c r="O781">
        <v>0</v>
      </c>
      <c r="P781">
        <v>0</v>
      </c>
      <c r="Q781">
        <v>0</v>
      </c>
      <c r="R781">
        <f>IF(S781,TRUE,AND(V781:AE781))</f>
        <v>0</v>
      </c>
      <c r="S781">
        <f>COUNTBLANK(Metadata!B781:K781)=COLUMNS(Metadata!B781:K781)</f>
        <v>0</v>
      </c>
      <c r="T781">
        <v>0</v>
      </c>
      <c r="V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W781">
        <f>AND(IF(Metadata!C781="",FALSE,TRUE),exact(Metadata!C781,"animal secretion"))</f>
        <v>0</v>
      </c>
      <c r="X781">
        <f>AND(IF(Metadata!D781="",FALSE,TRUE),exact(Metadata!D781,"saliva"))</f>
        <v>0</v>
      </c>
      <c r="Y781">
        <f>AND(IF(Metadata!E781="",FALSE,TRUE),exact(Metadata!E781,"human-oral"))</f>
        <v>0</v>
      </c>
      <c r="Z781">
        <f>AND(IF(Metadata!F781="",FALSE,TRUE),exact(Metadata!F781,"UBERON:oral cavity"))</f>
        <v>0</v>
      </c>
      <c r="AA781">
        <f>AND(IF(Metadata!G781="",FALSE,TRUE),exact(Metadata!G781,"UBERON:saliva"))</f>
        <v>0</v>
      </c>
      <c r="AB781">
        <f>AND(IF(Metadata!H781="",FALSE,TRUE),exact(Metadata!H781,"UBERON:tongue"))</f>
        <v>0</v>
      </c>
      <c r="AC781">
        <f>AND(IF(Metadata!I781="",FALSE,TRUE),exact(Metadata!I781,"tongue"))</f>
        <v>0</v>
      </c>
      <c r="AD781">
        <f>AND(IF(Metadata!J781="",FALSE,TRUE),exact(Metadata!J781,"human oral metagenome"))</f>
        <v>0</v>
      </c>
      <c r="AE781">
        <f>AND(IF(Metadata!K781="",FALSE,TRUE),exact(Metadata!K781,"447426"))</f>
        <v>0</v>
      </c>
    </row>
    <row r="782" spans="1:31">
      <c r="A782" s="4">
        <f>IF(B782=" "," ",HYPERLINK(CONCATENATE("#metadata!",ADDRESS(INDEX($Q$2:$Q$1001,MATCH(ROWS($O$2:O782),$O$2:$O$1001,0),0),1)),INDEX($T$2:$T$1001,MATCH(ROWS($O$2:O782),$O$2:$O$1001,0),0)))</f>
        <v>0</v>
      </c>
      <c r="B782" s="3">
        <f>IF(OR(INDEX($P$2:$P$1001,MATCH(ROWS($O$2:O782),$O$2:$O$1001,0),1)&gt;=100000,INDEX($V$1005:$AE$1005,1,MATCH(COLUMNS($V$1006:V1006),$V$1006:$AE$1006,0))&gt;=100000), " ",IF(INDEX($V$2:$AE$1001,MATCH(ROWS($O$2:O782),$O$2:$O$1001,0),MATCH(COLUMNS($V$1006:V1006),$V$1006:$AE$1006,0)), HYPERLINK("#",""), HYPERLINK(CONCATENATE("#Metadata!", ADDRESS(INDEX($Q$2:$Q$1001,MATCH(ROWS($O$2:O782),$O$2:$O$1001,0),0), INDEX($V$1004:$AE$1004,1,MATCH(COLUMNS($V$1006:V1006),$V$1006:$AE$1006,0)))),"Fix")))</f>
        <v>0</v>
      </c>
      <c r="C782" s="3">
        <f>IF(OR(INDEX($P$2:$P$1001,MATCH(ROWS($O$2:O782),$O$2:$O$1001,0),1)&gt;=100000,INDEX($V$1005:$AE$1005,1,MATCH(COLUMNS($V$1006:W1006),$V$1006:$AE$1006,0))&gt;=100000), " ",IF(INDEX($V$2:$AE$1001,MATCH(ROWS($O$2:O782),$O$2:$O$1001,0),MATCH(COLUMNS($V$1006:W1006),$V$1006:$AE$1006,0)), HYPERLINK("#",""), HYPERLINK(CONCATENATE("#Metadata!", ADDRESS(INDEX($Q$2:$Q$1001,MATCH(ROWS($O$2:O782),$O$2:$O$1001,0),0), INDEX($V$1004:$AE$1004,1,MATCH(COLUMNS($V$1006:W1006),$V$1006:$AE$1006,0)))),"Fix")))</f>
        <v>0</v>
      </c>
      <c r="D782" s="3">
        <f>IF(OR(INDEX($P$2:$P$1001,MATCH(ROWS($O$2:O782),$O$2:$O$1001,0),1)&gt;=100000,INDEX($V$1005:$AE$1005,1,MATCH(COLUMNS($V$1006:X1006),$V$1006:$AE$1006,0))&gt;=100000), " ",IF(INDEX($V$2:$AE$1001,MATCH(ROWS($O$2:O782),$O$2:$O$1001,0),MATCH(COLUMNS($V$1006:X1006),$V$1006:$AE$1006,0)), HYPERLINK("#",""), HYPERLINK(CONCATENATE("#Metadata!", ADDRESS(INDEX($Q$2:$Q$1001,MATCH(ROWS($O$2:O782),$O$2:$O$1001,0),0), INDEX($V$1004:$AE$1004,1,MATCH(COLUMNS($V$1006:X1006),$V$1006:$AE$1006,0)))),"Fix")))</f>
        <v>0</v>
      </c>
      <c r="E782" s="3">
        <f>IF(OR(INDEX($P$2:$P$1001,MATCH(ROWS($O$2:O782),$O$2:$O$1001,0),1)&gt;=100000,INDEX($V$1005:$AE$1005,1,MATCH(COLUMNS($V$1006:Y1006),$V$1006:$AE$1006,0))&gt;=100000), " ",IF(INDEX($V$2:$AE$1001,MATCH(ROWS($O$2:O782),$O$2:$O$1001,0),MATCH(COLUMNS($V$1006:Y1006),$V$1006:$AE$1006,0)), HYPERLINK("#",""), HYPERLINK(CONCATENATE("#Metadata!", ADDRESS(INDEX($Q$2:$Q$1001,MATCH(ROWS($O$2:O782),$O$2:$O$1001,0),0), INDEX($V$1004:$AE$1004,1,MATCH(COLUMNS($V$1006:Y1006),$V$1006:$AE$1006,0)))),"Fix")))</f>
        <v>0</v>
      </c>
      <c r="F782" s="3">
        <f>IF(OR(INDEX($P$2:$P$1001,MATCH(ROWS($O$2:O782),$O$2:$O$1001,0),1)&gt;=100000,INDEX($V$1005:$AE$1005,1,MATCH(COLUMNS($V$1006:Z1006),$V$1006:$AE$1006,0))&gt;=100000), " ",IF(INDEX($V$2:$AE$1001,MATCH(ROWS($O$2:O782),$O$2:$O$1001,0),MATCH(COLUMNS($V$1006:Z1006),$V$1006:$AE$1006,0)), HYPERLINK("#",""), HYPERLINK(CONCATENATE("#Metadata!", ADDRESS(INDEX($Q$2:$Q$1001,MATCH(ROWS($O$2:O782),$O$2:$O$1001,0),0), INDEX($V$1004:$AE$1004,1,MATCH(COLUMNS($V$1006:Z1006),$V$1006:$AE$1006,0)))),"Fix")))</f>
        <v>0</v>
      </c>
      <c r="G782" s="3">
        <f>IF(OR(INDEX($P$2:$P$1001,MATCH(ROWS($O$2:O782),$O$2:$O$1001,0),1)&gt;=100000,INDEX($V$1005:$AE$1005,1,MATCH(COLUMNS($V$1006:AA1006),$V$1006:$AE$1006,0))&gt;=100000), " ",IF(INDEX($V$2:$AE$1001,MATCH(ROWS($O$2:O782),$O$2:$O$1001,0),MATCH(COLUMNS($V$1006:AA1006),$V$1006:$AE$1006,0)), HYPERLINK("#",""), HYPERLINK(CONCATENATE("#Metadata!", ADDRESS(INDEX($Q$2:$Q$1001,MATCH(ROWS($O$2:O782),$O$2:$O$1001,0),0), INDEX($V$1004:$AE$1004,1,MATCH(COLUMNS($V$1006:AA1006),$V$1006:$AE$1006,0)))),"Fix")))</f>
        <v>0</v>
      </c>
      <c r="H782" s="3">
        <f>IF(OR(INDEX($P$2:$P$1001,MATCH(ROWS($O$2:O782),$O$2:$O$1001,0),1)&gt;=100000,INDEX($V$1005:$AE$1005,1,MATCH(COLUMNS($V$1006:AB1006),$V$1006:$AE$1006,0))&gt;=100000), " ",IF(INDEX($V$2:$AE$1001,MATCH(ROWS($O$2:O782),$O$2:$O$1001,0),MATCH(COLUMNS($V$1006:AB1006),$V$1006:$AE$1006,0)), HYPERLINK("#",""), HYPERLINK(CONCATENATE("#Metadata!", ADDRESS(INDEX($Q$2:$Q$1001,MATCH(ROWS($O$2:O782),$O$2:$O$1001,0),0), INDEX($V$1004:$AE$1004,1,MATCH(COLUMNS($V$1006:AB1006),$V$1006:$AE$1006,0)))),"Fix")))</f>
        <v>0</v>
      </c>
      <c r="I782" s="3">
        <f>IF(OR(INDEX($P$2:$P$1001,MATCH(ROWS($O$2:O782),$O$2:$O$1001,0),1)&gt;=100000,INDEX($V$1005:$AE$1005,1,MATCH(COLUMNS($V$1006:AC1006),$V$1006:$AE$1006,0))&gt;=100000), " ",IF(INDEX($V$2:$AE$1001,MATCH(ROWS($O$2:O782),$O$2:$O$1001,0),MATCH(COLUMNS($V$1006:AC1006),$V$1006:$AE$1006,0)), HYPERLINK("#",""), HYPERLINK(CONCATENATE("#Metadata!", ADDRESS(INDEX($Q$2:$Q$1001,MATCH(ROWS($O$2:O782),$O$2:$O$1001,0),0), INDEX($V$1004:$AE$1004,1,MATCH(COLUMNS($V$1006:AC1006),$V$1006:$AE$1006,0)))),"Fix")))</f>
        <v>0</v>
      </c>
      <c r="J782" s="3">
        <f>IF(OR(INDEX($P$2:$P$1001,MATCH(ROWS($O$2:O782),$O$2:$O$1001,0),1)&gt;=100000,INDEX($V$1005:$AE$1005,1,MATCH(COLUMNS($V$1006:AD1006),$V$1006:$AE$1006,0))&gt;=100000), " ",IF(INDEX($V$2:$AE$1001,MATCH(ROWS($O$2:O782),$O$2:$O$1001,0),MATCH(COLUMNS($V$1006:AD1006),$V$1006:$AE$1006,0)), HYPERLINK("#",""), HYPERLINK(CONCATENATE("#Metadata!", ADDRESS(INDEX($Q$2:$Q$1001,MATCH(ROWS($O$2:O782),$O$2:$O$1001,0),0), INDEX($V$1004:$AE$1004,1,MATCH(COLUMNS($V$1006:AD1006),$V$1006:$AE$1006,0)))),"Fix")))</f>
        <v>0</v>
      </c>
      <c r="K782" s="3">
        <f>IF(OR(INDEX($P$2:$P$1001,MATCH(ROWS($O$2:O782),$O$2:$O$1001,0),1)&gt;=100000,INDEX($V$1005:$AE$1005,1,MATCH(COLUMNS($V$1006:AE1006),$V$1006:$AE$1006,0))&gt;=100000), " ",IF(INDEX($V$2:$AE$1001,MATCH(ROWS($O$2:O782),$O$2:$O$1001,0),MATCH(COLUMNS($V$1006:AE1006),$V$1006:$AE$1006,0)), HYPERLINK("#",""), HYPERLINK(CONCATENATE("#Metadata!", ADDRESS(INDEX($Q$2:$Q$1001,MATCH(ROWS($O$2:O782),$O$2:$O$1001,0),0), INDEX($V$1004:$AE$1004,1,MATCH(COLUMNS($V$1006:AE1006),$V$1006:$AE$1006,0)))),"Fix")))</f>
        <v>0</v>
      </c>
      <c r="O782">
        <v>0</v>
      </c>
      <c r="P782">
        <v>0</v>
      </c>
      <c r="Q782">
        <v>0</v>
      </c>
      <c r="R782">
        <f>IF(S782,TRUE,AND(V782:AE782))</f>
        <v>0</v>
      </c>
      <c r="S782">
        <f>COUNTBLANK(Metadata!B782:K782)=COLUMNS(Metadata!B782:K782)</f>
        <v>0</v>
      </c>
      <c r="T782">
        <v>0</v>
      </c>
      <c r="V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W782">
        <f>AND(IF(Metadata!C782="",FALSE,TRUE),exact(Metadata!C782,"animal secretion"))</f>
        <v>0</v>
      </c>
      <c r="X782">
        <f>AND(IF(Metadata!D782="",FALSE,TRUE),exact(Metadata!D782,"saliva"))</f>
        <v>0</v>
      </c>
      <c r="Y782">
        <f>AND(IF(Metadata!E782="",FALSE,TRUE),exact(Metadata!E782,"human-oral"))</f>
        <v>0</v>
      </c>
      <c r="Z782">
        <f>AND(IF(Metadata!F782="",FALSE,TRUE),exact(Metadata!F782,"UBERON:oral cavity"))</f>
        <v>0</v>
      </c>
      <c r="AA782">
        <f>AND(IF(Metadata!G782="",FALSE,TRUE),exact(Metadata!G782,"UBERON:saliva"))</f>
        <v>0</v>
      </c>
      <c r="AB782">
        <f>AND(IF(Metadata!H782="",FALSE,TRUE),exact(Metadata!H782,"UBERON:tongue"))</f>
        <v>0</v>
      </c>
      <c r="AC782">
        <f>AND(IF(Metadata!I782="",FALSE,TRUE),exact(Metadata!I782,"tongue"))</f>
        <v>0</v>
      </c>
      <c r="AD782">
        <f>AND(IF(Metadata!J782="",FALSE,TRUE),exact(Metadata!J782,"human oral metagenome"))</f>
        <v>0</v>
      </c>
      <c r="AE782">
        <f>AND(IF(Metadata!K782="",FALSE,TRUE),exact(Metadata!K782,"447426"))</f>
        <v>0</v>
      </c>
    </row>
    <row r="783" spans="1:31">
      <c r="A783" s="4">
        <f>IF(B783=" "," ",HYPERLINK(CONCATENATE("#metadata!",ADDRESS(INDEX($Q$2:$Q$1001,MATCH(ROWS($O$2:O783),$O$2:$O$1001,0),0),1)),INDEX($T$2:$T$1001,MATCH(ROWS($O$2:O783),$O$2:$O$1001,0),0)))</f>
        <v>0</v>
      </c>
      <c r="B783" s="3">
        <f>IF(OR(INDEX($P$2:$P$1001,MATCH(ROWS($O$2:O783),$O$2:$O$1001,0),1)&gt;=100000,INDEX($V$1005:$AE$1005,1,MATCH(COLUMNS($V$1006:V1006),$V$1006:$AE$1006,0))&gt;=100000), " ",IF(INDEX($V$2:$AE$1001,MATCH(ROWS($O$2:O783),$O$2:$O$1001,0),MATCH(COLUMNS($V$1006:V1006),$V$1006:$AE$1006,0)), HYPERLINK("#",""), HYPERLINK(CONCATENATE("#Metadata!", ADDRESS(INDEX($Q$2:$Q$1001,MATCH(ROWS($O$2:O783),$O$2:$O$1001,0),0), INDEX($V$1004:$AE$1004,1,MATCH(COLUMNS($V$1006:V1006),$V$1006:$AE$1006,0)))),"Fix")))</f>
        <v>0</v>
      </c>
      <c r="C783" s="3">
        <f>IF(OR(INDEX($P$2:$P$1001,MATCH(ROWS($O$2:O783),$O$2:$O$1001,0),1)&gt;=100000,INDEX($V$1005:$AE$1005,1,MATCH(COLUMNS($V$1006:W1006),$V$1006:$AE$1006,0))&gt;=100000), " ",IF(INDEX($V$2:$AE$1001,MATCH(ROWS($O$2:O783),$O$2:$O$1001,0),MATCH(COLUMNS($V$1006:W1006),$V$1006:$AE$1006,0)), HYPERLINK("#",""), HYPERLINK(CONCATENATE("#Metadata!", ADDRESS(INDEX($Q$2:$Q$1001,MATCH(ROWS($O$2:O783),$O$2:$O$1001,0),0), INDEX($V$1004:$AE$1004,1,MATCH(COLUMNS($V$1006:W1006),$V$1006:$AE$1006,0)))),"Fix")))</f>
        <v>0</v>
      </c>
      <c r="D783" s="3">
        <f>IF(OR(INDEX($P$2:$P$1001,MATCH(ROWS($O$2:O783),$O$2:$O$1001,0),1)&gt;=100000,INDEX($V$1005:$AE$1005,1,MATCH(COLUMNS($V$1006:X1006),$V$1006:$AE$1006,0))&gt;=100000), " ",IF(INDEX($V$2:$AE$1001,MATCH(ROWS($O$2:O783),$O$2:$O$1001,0),MATCH(COLUMNS($V$1006:X1006),$V$1006:$AE$1006,0)), HYPERLINK("#",""), HYPERLINK(CONCATENATE("#Metadata!", ADDRESS(INDEX($Q$2:$Q$1001,MATCH(ROWS($O$2:O783),$O$2:$O$1001,0),0), INDEX($V$1004:$AE$1004,1,MATCH(COLUMNS($V$1006:X1006),$V$1006:$AE$1006,0)))),"Fix")))</f>
        <v>0</v>
      </c>
      <c r="E783" s="3">
        <f>IF(OR(INDEX($P$2:$P$1001,MATCH(ROWS($O$2:O783),$O$2:$O$1001,0),1)&gt;=100000,INDEX($V$1005:$AE$1005,1,MATCH(COLUMNS($V$1006:Y1006),$V$1006:$AE$1006,0))&gt;=100000), " ",IF(INDEX($V$2:$AE$1001,MATCH(ROWS($O$2:O783),$O$2:$O$1001,0),MATCH(COLUMNS($V$1006:Y1006),$V$1006:$AE$1006,0)), HYPERLINK("#",""), HYPERLINK(CONCATENATE("#Metadata!", ADDRESS(INDEX($Q$2:$Q$1001,MATCH(ROWS($O$2:O783),$O$2:$O$1001,0),0), INDEX($V$1004:$AE$1004,1,MATCH(COLUMNS($V$1006:Y1006),$V$1006:$AE$1006,0)))),"Fix")))</f>
        <v>0</v>
      </c>
      <c r="F783" s="3">
        <f>IF(OR(INDEX($P$2:$P$1001,MATCH(ROWS($O$2:O783),$O$2:$O$1001,0),1)&gt;=100000,INDEX($V$1005:$AE$1005,1,MATCH(COLUMNS($V$1006:Z1006),$V$1006:$AE$1006,0))&gt;=100000), " ",IF(INDEX($V$2:$AE$1001,MATCH(ROWS($O$2:O783),$O$2:$O$1001,0),MATCH(COLUMNS($V$1006:Z1006),$V$1006:$AE$1006,0)), HYPERLINK("#",""), HYPERLINK(CONCATENATE("#Metadata!", ADDRESS(INDEX($Q$2:$Q$1001,MATCH(ROWS($O$2:O783),$O$2:$O$1001,0),0), INDEX($V$1004:$AE$1004,1,MATCH(COLUMNS($V$1006:Z1006),$V$1006:$AE$1006,0)))),"Fix")))</f>
        <v>0</v>
      </c>
      <c r="G783" s="3">
        <f>IF(OR(INDEX($P$2:$P$1001,MATCH(ROWS($O$2:O783),$O$2:$O$1001,0),1)&gt;=100000,INDEX($V$1005:$AE$1005,1,MATCH(COLUMNS($V$1006:AA1006),$V$1006:$AE$1006,0))&gt;=100000), " ",IF(INDEX($V$2:$AE$1001,MATCH(ROWS($O$2:O783),$O$2:$O$1001,0),MATCH(COLUMNS($V$1006:AA1006),$V$1006:$AE$1006,0)), HYPERLINK("#",""), HYPERLINK(CONCATENATE("#Metadata!", ADDRESS(INDEX($Q$2:$Q$1001,MATCH(ROWS($O$2:O783),$O$2:$O$1001,0),0), INDEX($V$1004:$AE$1004,1,MATCH(COLUMNS($V$1006:AA1006),$V$1006:$AE$1006,0)))),"Fix")))</f>
        <v>0</v>
      </c>
      <c r="H783" s="3">
        <f>IF(OR(INDEX($P$2:$P$1001,MATCH(ROWS($O$2:O783),$O$2:$O$1001,0),1)&gt;=100000,INDEX($V$1005:$AE$1005,1,MATCH(COLUMNS($V$1006:AB1006),$V$1006:$AE$1006,0))&gt;=100000), " ",IF(INDEX($V$2:$AE$1001,MATCH(ROWS($O$2:O783),$O$2:$O$1001,0),MATCH(COLUMNS($V$1006:AB1006),$V$1006:$AE$1006,0)), HYPERLINK("#",""), HYPERLINK(CONCATENATE("#Metadata!", ADDRESS(INDEX($Q$2:$Q$1001,MATCH(ROWS($O$2:O783),$O$2:$O$1001,0),0), INDEX($V$1004:$AE$1004,1,MATCH(COLUMNS($V$1006:AB1006),$V$1006:$AE$1006,0)))),"Fix")))</f>
        <v>0</v>
      </c>
      <c r="I783" s="3">
        <f>IF(OR(INDEX($P$2:$P$1001,MATCH(ROWS($O$2:O783),$O$2:$O$1001,0),1)&gt;=100000,INDEX($V$1005:$AE$1005,1,MATCH(COLUMNS($V$1006:AC1006),$V$1006:$AE$1006,0))&gt;=100000), " ",IF(INDEX($V$2:$AE$1001,MATCH(ROWS($O$2:O783),$O$2:$O$1001,0),MATCH(COLUMNS($V$1006:AC1006),$V$1006:$AE$1006,0)), HYPERLINK("#",""), HYPERLINK(CONCATENATE("#Metadata!", ADDRESS(INDEX($Q$2:$Q$1001,MATCH(ROWS($O$2:O783),$O$2:$O$1001,0),0), INDEX($V$1004:$AE$1004,1,MATCH(COLUMNS($V$1006:AC1006),$V$1006:$AE$1006,0)))),"Fix")))</f>
        <v>0</v>
      </c>
      <c r="J783" s="3">
        <f>IF(OR(INDEX($P$2:$P$1001,MATCH(ROWS($O$2:O783),$O$2:$O$1001,0),1)&gt;=100000,INDEX($V$1005:$AE$1005,1,MATCH(COLUMNS($V$1006:AD1006),$V$1006:$AE$1006,0))&gt;=100000), " ",IF(INDEX($V$2:$AE$1001,MATCH(ROWS($O$2:O783),$O$2:$O$1001,0),MATCH(COLUMNS($V$1006:AD1006),$V$1006:$AE$1006,0)), HYPERLINK("#",""), HYPERLINK(CONCATENATE("#Metadata!", ADDRESS(INDEX($Q$2:$Q$1001,MATCH(ROWS($O$2:O783),$O$2:$O$1001,0),0), INDEX($V$1004:$AE$1004,1,MATCH(COLUMNS($V$1006:AD1006),$V$1006:$AE$1006,0)))),"Fix")))</f>
        <v>0</v>
      </c>
      <c r="K783" s="3">
        <f>IF(OR(INDEX($P$2:$P$1001,MATCH(ROWS($O$2:O783),$O$2:$O$1001,0),1)&gt;=100000,INDEX($V$1005:$AE$1005,1,MATCH(COLUMNS($V$1006:AE1006),$V$1006:$AE$1006,0))&gt;=100000), " ",IF(INDEX($V$2:$AE$1001,MATCH(ROWS($O$2:O783),$O$2:$O$1001,0),MATCH(COLUMNS($V$1006:AE1006),$V$1006:$AE$1006,0)), HYPERLINK("#",""), HYPERLINK(CONCATENATE("#Metadata!", ADDRESS(INDEX($Q$2:$Q$1001,MATCH(ROWS($O$2:O783),$O$2:$O$1001,0),0), INDEX($V$1004:$AE$1004,1,MATCH(COLUMNS($V$1006:AE1006),$V$1006:$AE$1006,0)))),"Fix")))</f>
        <v>0</v>
      </c>
      <c r="O783">
        <v>0</v>
      </c>
      <c r="P783">
        <v>0</v>
      </c>
      <c r="Q783">
        <v>0</v>
      </c>
      <c r="R783">
        <f>IF(S783,TRUE,AND(V783:AE783))</f>
        <v>0</v>
      </c>
      <c r="S783">
        <f>COUNTBLANK(Metadata!B783:K783)=COLUMNS(Metadata!B783:K783)</f>
        <v>0</v>
      </c>
      <c r="T783">
        <v>0</v>
      </c>
      <c r="V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W783">
        <f>AND(IF(Metadata!C783="",FALSE,TRUE),exact(Metadata!C783,"animal secretion"))</f>
        <v>0</v>
      </c>
      <c r="X783">
        <f>AND(IF(Metadata!D783="",FALSE,TRUE),exact(Metadata!D783,"saliva"))</f>
        <v>0</v>
      </c>
      <c r="Y783">
        <f>AND(IF(Metadata!E783="",FALSE,TRUE),exact(Metadata!E783,"human-oral"))</f>
        <v>0</v>
      </c>
      <c r="Z783">
        <f>AND(IF(Metadata!F783="",FALSE,TRUE),exact(Metadata!F783,"UBERON:oral cavity"))</f>
        <v>0</v>
      </c>
      <c r="AA783">
        <f>AND(IF(Metadata!G783="",FALSE,TRUE),exact(Metadata!G783,"UBERON:saliva"))</f>
        <v>0</v>
      </c>
      <c r="AB783">
        <f>AND(IF(Metadata!H783="",FALSE,TRUE),exact(Metadata!H783,"UBERON:tongue"))</f>
        <v>0</v>
      </c>
      <c r="AC783">
        <f>AND(IF(Metadata!I783="",FALSE,TRUE),exact(Metadata!I783,"tongue"))</f>
        <v>0</v>
      </c>
      <c r="AD783">
        <f>AND(IF(Metadata!J783="",FALSE,TRUE),exact(Metadata!J783,"human oral metagenome"))</f>
        <v>0</v>
      </c>
      <c r="AE783">
        <f>AND(IF(Metadata!K783="",FALSE,TRUE),exact(Metadata!K783,"447426"))</f>
        <v>0</v>
      </c>
    </row>
    <row r="784" spans="1:31">
      <c r="A784" s="4">
        <f>IF(B784=" "," ",HYPERLINK(CONCATENATE("#metadata!",ADDRESS(INDEX($Q$2:$Q$1001,MATCH(ROWS($O$2:O784),$O$2:$O$1001,0),0),1)),INDEX($T$2:$T$1001,MATCH(ROWS($O$2:O784),$O$2:$O$1001,0),0)))</f>
        <v>0</v>
      </c>
      <c r="B784" s="3">
        <f>IF(OR(INDEX($P$2:$P$1001,MATCH(ROWS($O$2:O784),$O$2:$O$1001,0),1)&gt;=100000,INDEX($V$1005:$AE$1005,1,MATCH(COLUMNS($V$1006:V1006),$V$1006:$AE$1006,0))&gt;=100000), " ",IF(INDEX($V$2:$AE$1001,MATCH(ROWS($O$2:O784),$O$2:$O$1001,0),MATCH(COLUMNS($V$1006:V1006),$V$1006:$AE$1006,0)), HYPERLINK("#",""), HYPERLINK(CONCATENATE("#Metadata!", ADDRESS(INDEX($Q$2:$Q$1001,MATCH(ROWS($O$2:O784),$O$2:$O$1001,0),0), INDEX($V$1004:$AE$1004,1,MATCH(COLUMNS($V$1006:V1006),$V$1006:$AE$1006,0)))),"Fix")))</f>
        <v>0</v>
      </c>
      <c r="C784" s="3">
        <f>IF(OR(INDEX($P$2:$P$1001,MATCH(ROWS($O$2:O784),$O$2:$O$1001,0),1)&gt;=100000,INDEX($V$1005:$AE$1005,1,MATCH(COLUMNS($V$1006:W1006),$V$1006:$AE$1006,0))&gt;=100000), " ",IF(INDEX($V$2:$AE$1001,MATCH(ROWS($O$2:O784),$O$2:$O$1001,0),MATCH(COLUMNS($V$1006:W1006),$V$1006:$AE$1006,0)), HYPERLINK("#",""), HYPERLINK(CONCATENATE("#Metadata!", ADDRESS(INDEX($Q$2:$Q$1001,MATCH(ROWS($O$2:O784),$O$2:$O$1001,0),0), INDEX($V$1004:$AE$1004,1,MATCH(COLUMNS($V$1006:W1006),$V$1006:$AE$1006,0)))),"Fix")))</f>
        <v>0</v>
      </c>
      <c r="D784" s="3">
        <f>IF(OR(INDEX($P$2:$P$1001,MATCH(ROWS($O$2:O784),$O$2:$O$1001,0),1)&gt;=100000,INDEX($V$1005:$AE$1005,1,MATCH(COLUMNS($V$1006:X1006),$V$1006:$AE$1006,0))&gt;=100000), " ",IF(INDEX($V$2:$AE$1001,MATCH(ROWS($O$2:O784),$O$2:$O$1001,0),MATCH(COLUMNS($V$1006:X1006),$V$1006:$AE$1006,0)), HYPERLINK("#",""), HYPERLINK(CONCATENATE("#Metadata!", ADDRESS(INDEX($Q$2:$Q$1001,MATCH(ROWS($O$2:O784),$O$2:$O$1001,0),0), INDEX($V$1004:$AE$1004,1,MATCH(COLUMNS($V$1006:X1006),$V$1006:$AE$1006,0)))),"Fix")))</f>
        <v>0</v>
      </c>
      <c r="E784" s="3">
        <f>IF(OR(INDEX($P$2:$P$1001,MATCH(ROWS($O$2:O784),$O$2:$O$1001,0),1)&gt;=100000,INDEX($V$1005:$AE$1005,1,MATCH(COLUMNS($V$1006:Y1006),$V$1006:$AE$1006,0))&gt;=100000), " ",IF(INDEX($V$2:$AE$1001,MATCH(ROWS($O$2:O784),$O$2:$O$1001,0),MATCH(COLUMNS($V$1006:Y1006),$V$1006:$AE$1006,0)), HYPERLINK("#",""), HYPERLINK(CONCATENATE("#Metadata!", ADDRESS(INDEX($Q$2:$Q$1001,MATCH(ROWS($O$2:O784),$O$2:$O$1001,0),0), INDEX($V$1004:$AE$1004,1,MATCH(COLUMNS($V$1006:Y1006),$V$1006:$AE$1006,0)))),"Fix")))</f>
        <v>0</v>
      </c>
      <c r="F784" s="3">
        <f>IF(OR(INDEX($P$2:$P$1001,MATCH(ROWS($O$2:O784),$O$2:$O$1001,0),1)&gt;=100000,INDEX($V$1005:$AE$1005,1,MATCH(COLUMNS($V$1006:Z1006),$V$1006:$AE$1006,0))&gt;=100000), " ",IF(INDEX($V$2:$AE$1001,MATCH(ROWS($O$2:O784),$O$2:$O$1001,0),MATCH(COLUMNS($V$1006:Z1006),$V$1006:$AE$1006,0)), HYPERLINK("#",""), HYPERLINK(CONCATENATE("#Metadata!", ADDRESS(INDEX($Q$2:$Q$1001,MATCH(ROWS($O$2:O784),$O$2:$O$1001,0),0), INDEX($V$1004:$AE$1004,1,MATCH(COLUMNS($V$1006:Z1006),$V$1006:$AE$1006,0)))),"Fix")))</f>
        <v>0</v>
      </c>
      <c r="G784" s="3">
        <f>IF(OR(INDEX($P$2:$P$1001,MATCH(ROWS($O$2:O784),$O$2:$O$1001,0),1)&gt;=100000,INDEX($V$1005:$AE$1005,1,MATCH(COLUMNS($V$1006:AA1006),$V$1006:$AE$1006,0))&gt;=100000), " ",IF(INDEX($V$2:$AE$1001,MATCH(ROWS($O$2:O784),$O$2:$O$1001,0),MATCH(COLUMNS($V$1006:AA1006),$V$1006:$AE$1006,0)), HYPERLINK("#",""), HYPERLINK(CONCATENATE("#Metadata!", ADDRESS(INDEX($Q$2:$Q$1001,MATCH(ROWS($O$2:O784),$O$2:$O$1001,0),0), INDEX($V$1004:$AE$1004,1,MATCH(COLUMNS($V$1006:AA1006),$V$1006:$AE$1006,0)))),"Fix")))</f>
        <v>0</v>
      </c>
      <c r="H784" s="3">
        <f>IF(OR(INDEX($P$2:$P$1001,MATCH(ROWS($O$2:O784),$O$2:$O$1001,0),1)&gt;=100000,INDEX($V$1005:$AE$1005,1,MATCH(COLUMNS($V$1006:AB1006),$V$1006:$AE$1006,0))&gt;=100000), " ",IF(INDEX($V$2:$AE$1001,MATCH(ROWS($O$2:O784),$O$2:$O$1001,0),MATCH(COLUMNS($V$1006:AB1006),$V$1006:$AE$1006,0)), HYPERLINK("#",""), HYPERLINK(CONCATENATE("#Metadata!", ADDRESS(INDEX($Q$2:$Q$1001,MATCH(ROWS($O$2:O784),$O$2:$O$1001,0),0), INDEX($V$1004:$AE$1004,1,MATCH(COLUMNS($V$1006:AB1006),$V$1006:$AE$1006,0)))),"Fix")))</f>
        <v>0</v>
      </c>
      <c r="I784" s="3">
        <f>IF(OR(INDEX($P$2:$P$1001,MATCH(ROWS($O$2:O784),$O$2:$O$1001,0),1)&gt;=100000,INDEX($V$1005:$AE$1005,1,MATCH(COLUMNS($V$1006:AC1006),$V$1006:$AE$1006,0))&gt;=100000), " ",IF(INDEX($V$2:$AE$1001,MATCH(ROWS($O$2:O784),$O$2:$O$1001,0),MATCH(COLUMNS($V$1006:AC1006),$V$1006:$AE$1006,0)), HYPERLINK("#",""), HYPERLINK(CONCATENATE("#Metadata!", ADDRESS(INDEX($Q$2:$Q$1001,MATCH(ROWS($O$2:O784),$O$2:$O$1001,0),0), INDEX($V$1004:$AE$1004,1,MATCH(COLUMNS($V$1006:AC1006),$V$1006:$AE$1006,0)))),"Fix")))</f>
        <v>0</v>
      </c>
      <c r="J784" s="3">
        <f>IF(OR(INDEX($P$2:$P$1001,MATCH(ROWS($O$2:O784),$O$2:$O$1001,0),1)&gt;=100000,INDEX($V$1005:$AE$1005,1,MATCH(COLUMNS($V$1006:AD1006),$V$1006:$AE$1006,0))&gt;=100000), " ",IF(INDEX($V$2:$AE$1001,MATCH(ROWS($O$2:O784),$O$2:$O$1001,0),MATCH(COLUMNS($V$1006:AD1006),$V$1006:$AE$1006,0)), HYPERLINK("#",""), HYPERLINK(CONCATENATE("#Metadata!", ADDRESS(INDEX($Q$2:$Q$1001,MATCH(ROWS($O$2:O784),$O$2:$O$1001,0),0), INDEX($V$1004:$AE$1004,1,MATCH(COLUMNS($V$1006:AD1006),$V$1006:$AE$1006,0)))),"Fix")))</f>
        <v>0</v>
      </c>
      <c r="K784" s="3">
        <f>IF(OR(INDEX($P$2:$P$1001,MATCH(ROWS($O$2:O784),$O$2:$O$1001,0),1)&gt;=100000,INDEX($V$1005:$AE$1005,1,MATCH(COLUMNS($V$1006:AE1006),$V$1006:$AE$1006,0))&gt;=100000), " ",IF(INDEX($V$2:$AE$1001,MATCH(ROWS($O$2:O784),$O$2:$O$1001,0),MATCH(COLUMNS($V$1006:AE1006),$V$1006:$AE$1006,0)), HYPERLINK("#",""), HYPERLINK(CONCATENATE("#Metadata!", ADDRESS(INDEX($Q$2:$Q$1001,MATCH(ROWS($O$2:O784),$O$2:$O$1001,0),0), INDEX($V$1004:$AE$1004,1,MATCH(COLUMNS($V$1006:AE1006),$V$1006:$AE$1006,0)))),"Fix")))</f>
        <v>0</v>
      </c>
      <c r="O784">
        <v>0</v>
      </c>
      <c r="P784">
        <v>0</v>
      </c>
      <c r="Q784">
        <v>0</v>
      </c>
      <c r="R784">
        <f>IF(S784,TRUE,AND(V784:AE784))</f>
        <v>0</v>
      </c>
      <c r="S784">
        <f>COUNTBLANK(Metadata!B784:K784)=COLUMNS(Metadata!B784:K784)</f>
        <v>0</v>
      </c>
      <c r="T784">
        <v>0</v>
      </c>
      <c r="V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W784">
        <f>AND(IF(Metadata!C784="",FALSE,TRUE),exact(Metadata!C784,"animal secretion"))</f>
        <v>0</v>
      </c>
      <c r="X784">
        <f>AND(IF(Metadata!D784="",FALSE,TRUE),exact(Metadata!D784,"saliva"))</f>
        <v>0</v>
      </c>
      <c r="Y784">
        <f>AND(IF(Metadata!E784="",FALSE,TRUE),exact(Metadata!E784,"human-oral"))</f>
        <v>0</v>
      </c>
      <c r="Z784">
        <f>AND(IF(Metadata!F784="",FALSE,TRUE),exact(Metadata!F784,"UBERON:oral cavity"))</f>
        <v>0</v>
      </c>
      <c r="AA784">
        <f>AND(IF(Metadata!G784="",FALSE,TRUE),exact(Metadata!G784,"UBERON:saliva"))</f>
        <v>0</v>
      </c>
      <c r="AB784">
        <f>AND(IF(Metadata!H784="",FALSE,TRUE),exact(Metadata!H784,"UBERON:tongue"))</f>
        <v>0</v>
      </c>
      <c r="AC784">
        <f>AND(IF(Metadata!I784="",FALSE,TRUE),exact(Metadata!I784,"tongue"))</f>
        <v>0</v>
      </c>
      <c r="AD784">
        <f>AND(IF(Metadata!J784="",FALSE,TRUE),exact(Metadata!J784,"human oral metagenome"))</f>
        <v>0</v>
      </c>
      <c r="AE784">
        <f>AND(IF(Metadata!K784="",FALSE,TRUE),exact(Metadata!K784,"447426"))</f>
        <v>0</v>
      </c>
    </row>
    <row r="785" spans="1:31">
      <c r="A785" s="4">
        <f>IF(B785=" "," ",HYPERLINK(CONCATENATE("#metadata!",ADDRESS(INDEX($Q$2:$Q$1001,MATCH(ROWS($O$2:O785),$O$2:$O$1001,0),0),1)),INDEX($T$2:$T$1001,MATCH(ROWS($O$2:O785),$O$2:$O$1001,0),0)))</f>
        <v>0</v>
      </c>
      <c r="B785" s="3">
        <f>IF(OR(INDEX($P$2:$P$1001,MATCH(ROWS($O$2:O785),$O$2:$O$1001,0),1)&gt;=100000,INDEX($V$1005:$AE$1005,1,MATCH(COLUMNS($V$1006:V1006),$V$1006:$AE$1006,0))&gt;=100000), " ",IF(INDEX($V$2:$AE$1001,MATCH(ROWS($O$2:O785),$O$2:$O$1001,0),MATCH(COLUMNS($V$1006:V1006),$V$1006:$AE$1006,0)), HYPERLINK("#",""), HYPERLINK(CONCATENATE("#Metadata!", ADDRESS(INDEX($Q$2:$Q$1001,MATCH(ROWS($O$2:O785),$O$2:$O$1001,0),0), INDEX($V$1004:$AE$1004,1,MATCH(COLUMNS($V$1006:V1006),$V$1006:$AE$1006,0)))),"Fix")))</f>
        <v>0</v>
      </c>
      <c r="C785" s="3">
        <f>IF(OR(INDEX($P$2:$P$1001,MATCH(ROWS($O$2:O785),$O$2:$O$1001,0),1)&gt;=100000,INDEX($V$1005:$AE$1005,1,MATCH(COLUMNS($V$1006:W1006),$V$1006:$AE$1006,0))&gt;=100000), " ",IF(INDEX($V$2:$AE$1001,MATCH(ROWS($O$2:O785),$O$2:$O$1001,0),MATCH(COLUMNS($V$1006:W1006),$V$1006:$AE$1006,0)), HYPERLINK("#",""), HYPERLINK(CONCATENATE("#Metadata!", ADDRESS(INDEX($Q$2:$Q$1001,MATCH(ROWS($O$2:O785),$O$2:$O$1001,0),0), INDEX($V$1004:$AE$1004,1,MATCH(COLUMNS($V$1006:W1006),$V$1006:$AE$1006,0)))),"Fix")))</f>
        <v>0</v>
      </c>
      <c r="D785" s="3">
        <f>IF(OR(INDEX($P$2:$P$1001,MATCH(ROWS($O$2:O785),$O$2:$O$1001,0),1)&gt;=100000,INDEX($V$1005:$AE$1005,1,MATCH(COLUMNS($V$1006:X1006),$V$1006:$AE$1006,0))&gt;=100000), " ",IF(INDEX($V$2:$AE$1001,MATCH(ROWS($O$2:O785),$O$2:$O$1001,0),MATCH(COLUMNS($V$1006:X1006),$V$1006:$AE$1006,0)), HYPERLINK("#",""), HYPERLINK(CONCATENATE("#Metadata!", ADDRESS(INDEX($Q$2:$Q$1001,MATCH(ROWS($O$2:O785),$O$2:$O$1001,0),0), INDEX($V$1004:$AE$1004,1,MATCH(COLUMNS($V$1006:X1006),$V$1006:$AE$1006,0)))),"Fix")))</f>
        <v>0</v>
      </c>
      <c r="E785" s="3">
        <f>IF(OR(INDEX($P$2:$P$1001,MATCH(ROWS($O$2:O785),$O$2:$O$1001,0),1)&gt;=100000,INDEX($V$1005:$AE$1005,1,MATCH(COLUMNS($V$1006:Y1006),$V$1006:$AE$1006,0))&gt;=100000), " ",IF(INDEX($V$2:$AE$1001,MATCH(ROWS($O$2:O785),$O$2:$O$1001,0),MATCH(COLUMNS($V$1006:Y1006),$V$1006:$AE$1006,0)), HYPERLINK("#",""), HYPERLINK(CONCATENATE("#Metadata!", ADDRESS(INDEX($Q$2:$Q$1001,MATCH(ROWS($O$2:O785),$O$2:$O$1001,0),0), INDEX($V$1004:$AE$1004,1,MATCH(COLUMNS($V$1006:Y1006),$V$1006:$AE$1006,0)))),"Fix")))</f>
        <v>0</v>
      </c>
      <c r="F785" s="3">
        <f>IF(OR(INDEX($P$2:$P$1001,MATCH(ROWS($O$2:O785),$O$2:$O$1001,0),1)&gt;=100000,INDEX($V$1005:$AE$1005,1,MATCH(COLUMNS($V$1006:Z1006),$V$1006:$AE$1006,0))&gt;=100000), " ",IF(INDEX($V$2:$AE$1001,MATCH(ROWS($O$2:O785),$O$2:$O$1001,0),MATCH(COLUMNS($V$1006:Z1006),$V$1006:$AE$1006,0)), HYPERLINK("#",""), HYPERLINK(CONCATENATE("#Metadata!", ADDRESS(INDEX($Q$2:$Q$1001,MATCH(ROWS($O$2:O785),$O$2:$O$1001,0),0), INDEX($V$1004:$AE$1004,1,MATCH(COLUMNS($V$1006:Z1006),$V$1006:$AE$1006,0)))),"Fix")))</f>
        <v>0</v>
      </c>
      <c r="G785" s="3">
        <f>IF(OR(INDEX($P$2:$P$1001,MATCH(ROWS($O$2:O785),$O$2:$O$1001,0),1)&gt;=100000,INDEX($V$1005:$AE$1005,1,MATCH(COLUMNS($V$1006:AA1006),$V$1006:$AE$1006,0))&gt;=100000), " ",IF(INDEX($V$2:$AE$1001,MATCH(ROWS($O$2:O785),$O$2:$O$1001,0),MATCH(COLUMNS($V$1006:AA1006),$V$1006:$AE$1006,0)), HYPERLINK("#",""), HYPERLINK(CONCATENATE("#Metadata!", ADDRESS(INDEX($Q$2:$Q$1001,MATCH(ROWS($O$2:O785),$O$2:$O$1001,0),0), INDEX($V$1004:$AE$1004,1,MATCH(COLUMNS($V$1006:AA1006),$V$1006:$AE$1006,0)))),"Fix")))</f>
        <v>0</v>
      </c>
      <c r="H785" s="3">
        <f>IF(OR(INDEX($P$2:$P$1001,MATCH(ROWS($O$2:O785),$O$2:$O$1001,0),1)&gt;=100000,INDEX($V$1005:$AE$1005,1,MATCH(COLUMNS($V$1006:AB1006),$V$1006:$AE$1006,0))&gt;=100000), " ",IF(INDEX($V$2:$AE$1001,MATCH(ROWS($O$2:O785),$O$2:$O$1001,0),MATCH(COLUMNS($V$1006:AB1006),$V$1006:$AE$1006,0)), HYPERLINK("#",""), HYPERLINK(CONCATENATE("#Metadata!", ADDRESS(INDEX($Q$2:$Q$1001,MATCH(ROWS($O$2:O785),$O$2:$O$1001,0),0), INDEX($V$1004:$AE$1004,1,MATCH(COLUMNS($V$1006:AB1006),$V$1006:$AE$1006,0)))),"Fix")))</f>
        <v>0</v>
      </c>
      <c r="I785" s="3">
        <f>IF(OR(INDEX($P$2:$P$1001,MATCH(ROWS($O$2:O785),$O$2:$O$1001,0),1)&gt;=100000,INDEX($V$1005:$AE$1005,1,MATCH(COLUMNS($V$1006:AC1006),$V$1006:$AE$1006,0))&gt;=100000), " ",IF(INDEX($V$2:$AE$1001,MATCH(ROWS($O$2:O785),$O$2:$O$1001,0),MATCH(COLUMNS($V$1006:AC1006),$V$1006:$AE$1006,0)), HYPERLINK("#",""), HYPERLINK(CONCATENATE("#Metadata!", ADDRESS(INDEX($Q$2:$Q$1001,MATCH(ROWS($O$2:O785),$O$2:$O$1001,0),0), INDEX($V$1004:$AE$1004,1,MATCH(COLUMNS($V$1006:AC1006),$V$1006:$AE$1006,0)))),"Fix")))</f>
        <v>0</v>
      </c>
      <c r="J785" s="3">
        <f>IF(OR(INDEX($P$2:$P$1001,MATCH(ROWS($O$2:O785),$O$2:$O$1001,0),1)&gt;=100000,INDEX($V$1005:$AE$1005,1,MATCH(COLUMNS($V$1006:AD1006),$V$1006:$AE$1006,0))&gt;=100000), " ",IF(INDEX($V$2:$AE$1001,MATCH(ROWS($O$2:O785),$O$2:$O$1001,0),MATCH(COLUMNS($V$1006:AD1006),$V$1006:$AE$1006,0)), HYPERLINK("#",""), HYPERLINK(CONCATENATE("#Metadata!", ADDRESS(INDEX($Q$2:$Q$1001,MATCH(ROWS($O$2:O785),$O$2:$O$1001,0),0), INDEX($V$1004:$AE$1004,1,MATCH(COLUMNS($V$1006:AD1006),$V$1006:$AE$1006,0)))),"Fix")))</f>
        <v>0</v>
      </c>
      <c r="K785" s="3">
        <f>IF(OR(INDEX($P$2:$P$1001,MATCH(ROWS($O$2:O785),$O$2:$O$1001,0),1)&gt;=100000,INDEX($V$1005:$AE$1005,1,MATCH(COLUMNS($V$1006:AE1006),$V$1006:$AE$1006,0))&gt;=100000), " ",IF(INDEX($V$2:$AE$1001,MATCH(ROWS($O$2:O785),$O$2:$O$1001,0),MATCH(COLUMNS($V$1006:AE1006),$V$1006:$AE$1006,0)), HYPERLINK("#",""), HYPERLINK(CONCATENATE("#Metadata!", ADDRESS(INDEX($Q$2:$Q$1001,MATCH(ROWS($O$2:O785),$O$2:$O$1001,0),0), INDEX($V$1004:$AE$1004,1,MATCH(COLUMNS($V$1006:AE1006),$V$1006:$AE$1006,0)))),"Fix")))</f>
        <v>0</v>
      </c>
      <c r="O785">
        <v>0</v>
      </c>
      <c r="P785">
        <v>0</v>
      </c>
      <c r="Q785">
        <v>0</v>
      </c>
      <c r="R785">
        <f>IF(S785,TRUE,AND(V785:AE785))</f>
        <v>0</v>
      </c>
      <c r="S785">
        <f>COUNTBLANK(Metadata!B785:K785)=COLUMNS(Metadata!B785:K785)</f>
        <v>0</v>
      </c>
      <c r="T785">
        <v>0</v>
      </c>
      <c r="V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W785">
        <f>AND(IF(Metadata!C785="",FALSE,TRUE),exact(Metadata!C785,"animal secretion"))</f>
        <v>0</v>
      </c>
      <c r="X785">
        <f>AND(IF(Metadata!D785="",FALSE,TRUE),exact(Metadata!D785,"saliva"))</f>
        <v>0</v>
      </c>
      <c r="Y785">
        <f>AND(IF(Metadata!E785="",FALSE,TRUE),exact(Metadata!E785,"human-oral"))</f>
        <v>0</v>
      </c>
      <c r="Z785">
        <f>AND(IF(Metadata!F785="",FALSE,TRUE),exact(Metadata!F785,"UBERON:oral cavity"))</f>
        <v>0</v>
      </c>
      <c r="AA785">
        <f>AND(IF(Metadata!G785="",FALSE,TRUE),exact(Metadata!G785,"UBERON:saliva"))</f>
        <v>0</v>
      </c>
      <c r="AB785">
        <f>AND(IF(Metadata!H785="",FALSE,TRUE),exact(Metadata!H785,"UBERON:tongue"))</f>
        <v>0</v>
      </c>
      <c r="AC785">
        <f>AND(IF(Metadata!I785="",FALSE,TRUE),exact(Metadata!I785,"tongue"))</f>
        <v>0</v>
      </c>
      <c r="AD785">
        <f>AND(IF(Metadata!J785="",FALSE,TRUE),exact(Metadata!J785,"human oral metagenome"))</f>
        <v>0</v>
      </c>
      <c r="AE785">
        <f>AND(IF(Metadata!K785="",FALSE,TRUE),exact(Metadata!K785,"447426"))</f>
        <v>0</v>
      </c>
    </row>
    <row r="786" spans="1:31">
      <c r="A786" s="4">
        <f>IF(B786=" "," ",HYPERLINK(CONCATENATE("#metadata!",ADDRESS(INDEX($Q$2:$Q$1001,MATCH(ROWS($O$2:O786),$O$2:$O$1001,0),0),1)),INDEX($T$2:$T$1001,MATCH(ROWS($O$2:O786),$O$2:$O$1001,0),0)))</f>
        <v>0</v>
      </c>
      <c r="B786" s="3">
        <f>IF(OR(INDEX($P$2:$P$1001,MATCH(ROWS($O$2:O786),$O$2:$O$1001,0),1)&gt;=100000,INDEX($V$1005:$AE$1005,1,MATCH(COLUMNS($V$1006:V1006),$V$1006:$AE$1006,0))&gt;=100000), " ",IF(INDEX($V$2:$AE$1001,MATCH(ROWS($O$2:O786),$O$2:$O$1001,0),MATCH(COLUMNS($V$1006:V1006),$V$1006:$AE$1006,0)), HYPERLINK("#",""), HYPERLINK(CONCATENATE("#Metadata!", ADDRESS(INDEX($Q$2:$Q$1001,MATCH(ROWS($O$2:O786),$O$2:$O$1001,0),0), INDEX($V$1004:$AE$1004,1,MATCH(COLUMNS($V$1006:V1006),$V$1006:$AE$1006,0)))),"Fix")))</f>
        <v>0</v>
      </c>
      <c r="C786" s="3">
        <f>IF(OR(INDEX($P$2:$P$1001,MATCH(ROWS($O$2:O786),$O$2:$O$1001,0),1)&gt;=100000,INDEX($V$1005:$AE$1005,1,MATCH(COLUMNS($V$1006:W1006),$V$1006:$AE$1006,0))&gt;=100000), " ",IF(INDEX($V$2:$AE$1001,MATCH(ROWS($O$2:O786),$O$2:$O$1001,0),MATCH(COLUMNS($V$1006:W1006),$V$1006:$AE$1006,0)), HYPERLINK("#",""), HYPERLINK(CONCATENATE("#Metadata!", ADDRESS(INDEX($Q$2:$Q$1001,MATCH(ROWS($O$2:O786),$O$2:$O$1001,0),0), INDEX($V$1004:$AE$1004,1,MATCH(COLUMNS($V$1006:W1006),$V$1006:$AE$1006,0)))),"Fix")))</f>
        <v>0</v>
      </c>
      <c r="D786" s="3">
        <f>IF(OR(INDEX($P$2:$P$1001,MATCH(ROWS($O$2:O786),$O$2:$O$1001,0),1)&gt;=100000,INDEX($V$1005:$AE$1005,1,MATCH(COLUMNS($V$1006:X1006),$V$1006:$AE$1006,0))&gt;=100000), " ",IF(INDEX($V$2:$AE$1001,MATCH(ROWS($O$2:O786),$O$2:$O$1001,0),MATCH(COLUMNS($V$1006:X1006),$V$1006:$AE$1006,0)), HYPERLINK("#",""), HYPERLINK(CONCATENATE("#Metadata!", ADDRESS(INDEX($Q$2:$Q$1001,MATCH(ROWS($O$2:O786),$O$2:$O$1001,0),0), INDEX($V$1004:$AE$1004,1,MATCH(COLUMNS($V$1006:X1006),$V$1006:$AE$1006,0)))),"Fix")))</f>
        <v>0</v>
      </c>
      <c r="E786" s="3">
        <f>IF(OR(INDEX($P$2:$P$1001,MATCH(ROWS($O$2:O786),$O$2:$O$1001,0),1)&gt;=100000,INDEX($V$1005:$AE$1005,1,MATCH(COLUMNS($V$1006:Y1006),$V$1006:$AE$1006,0))&gt;=100000), " ",IF(INDEX($V$2:$AE$1001,MATCH(ROWS($O$2:O786),$O$2:$O$1001,0),MATCH(COLUMNS($V$1006:Y1006),$V$1006:$AE$1006,0)), HYPERLINK("#",""), HYPERLINK(CONCATENATE("#Metadata!", ADDRESS(INDEX($Q$2:$Q$1001,MATCH(ROWS($O$2:O786),$O$2:$O$1001,0),0), INDEX($V$1004:$AE$1004,1,MATCH(COLUMNS($V$1006:Y1006),$V$1006:$AE$1006,0)))),"Fix")))</f>
        <v>0</v>
      </c>
      <c r="F786" s="3">
        <f>IF(OR(INDEX($P$2:$P$1001,MATCH(ROWS($O$2:O786),$O$2:$O$1001,0),1)&gt;=100000,INDEX($V$1005:$AE$1005,1,MATCH(COLUMNS($V$1006:Z1006),$V$1006:$AE$1006,0))&gt;=100000), " ",IF(INDEX($V$2:$AE$1001,MATCH(ROWS($O$2:O786),$O$2:$O$1001,0),MATCH(COLUMNS($V$1006:Z1006),$V$1006:$AE$1006,0)), HYPERLINK("#",""), HYPERLINK(CONCATENATE("#Metadata!", ADDRESS(INDEX($Q$2:$Q$1001,MATCH(ROWS($O$2:O786),$O$2:$O$1001,0),0), INDEX($V$1004:$AE$1004,1,MATCH(COLUMNS($V$1006:Z1006),$V$1006:$AE$1006,0)))),"Fix")))</f>
        <v>0</v>
      </c>
      <c r="G786" s="3">
        <f>IF(OR(INDEX($P$2:$P$1001,MATCH(ROWS($O$2:O786),$O$2:$O$1001,0),1)&gt;=100000,INDEX($V$1005:$AE$1005,1,MATCH(COLUMNS($V$1006:AA1006),$V$1006:$AE$1006,0))&gt;=100000), " ",IF(INDEX($V$2:$AE$1001,MATCH(ROWS($O$2:O786),$O$2:$O$1001,0),MATCH(COLUMNS($V$1006:AA1006),$V$1006:$AE$1006,0)), HYPERLINK("#",""), HYPERLINK(CONCATENATE("#Metadata!", ADDRESS(INDEX($Q$2:$Q$1001,MATCH(ROWS($O$2:O786),$O$2:$O$1001,0),0), INDEX($V$1004:$AE$1004,1,MATCH(COLUMNS($V$1006:AA1006),$V$1006:$AE$1006,0)))),"Fix")))</f>
        <v>0</v>
      </c>
      <c r="H786" s="3">
        <f>IF(OR(INDEX($P$2:$P$1001,MATCH(ROWS($O$2:O786),$O$2:$O$1001,0),1)&gt;=100000,INDEX($V$1005:$AE$1005,1,MATCH(COLUMNS($V$1006:AB1006),$V$1006:$AE$1006,0))&gt;=100000), " ",IF(INDEX($V$2:$AE$1001,MATCH(ROWS($O$2:O786),$O$2:$O$1001,0),MATCH(COLUMNS($V$1006:AB1006),$V$1006:$AE$1006,0)), HYPERLINK("#",""), HYPERLINK(CONCATENATE("#Metadata!", ADDRESS(INDEX($Q$2:$Q$1001,MATCH(ROWS($O$2:O786),$O$2:$O$1001,0),0), INDEX($V$1004:$AE$1004,1,MATCH(COLUMNS($V$1006:AB1006),$V$1006:$AE$1006,0)))),"Fix")))</f>
        <v>0</v>
      </c>
      <c r="I786" s="3">
        <f>IF(OR(INDEX($P$2:$P$1001,MATCH(ROWS($O$2:O786),$O$2:$O$1001,0),1)&gt;=100000,INDEX($V$1005:$AE$1005,1,MATCH(COLUMNS($V$1006:AC1006),$V$1006:$AE$1006,0))&gt;=100000), " ",IF(INDEX($V$2:$AE$1001,MATCH(ROWS($O$2:O786),$O$2:$O$1001,0),MATCH(COLUMNS($V$1006:AC1006),$V$1006:$AE$1006,0)), HYPERLINK("#",""), HYPERLINK(CONCATENATE("#Metadata!", ADDRESS(INDEX($Q$2:$Q$1001,MATCH(ROWS($O$2:O786),$O$2:$O$1001,0),0), INDEX($V$1004:$AE$1004,1,MATCH(COLUMNS($V$1006:AC1006),$V$1006:$AE$1006,0)))),"Fix")))</f>
        <v>0</v>
      </c>
      <c r="J786" s="3">
        <f>IF(OR(INDEX($P$2:$P$1001,MATCH(ROWS($O$2:O786),$O$2:$O$1001,0),1)&gt;=100000,INDEX($V$1005:$AE$1005,1,MATCH(COLUMNS($V$1006:AD1006),$V$1006:$AE$1006,0))&gt;=100000), " ",IF(INDEX($V$2:$AE$1001,MATCH(ROWS($O$2:O786),$O$2:$O$1001,0),MATCH(COLUMNS($V$1006:AD1006),$V$1006:$AE$1006,0)), HYPERLINK("#",""), HYPERLINK(CONCATENATE("#Metadata!", ADDRESS(INDEX($Q$2:$Q$1001,MATCH(ROWS($O$2:O786),$O$2:$O$1001,0),0), INDEX($V$1004:$AE$1004,1,MATCH(COLUMNS($V$1006:AD1006),$V$1006:$AE$1006,0)))),"Fix")))</f>
        <v>0</v>
      </c>
      <c r="K786" s="3">
        <f>IF(OR(INDEX($P$2:$P$1001,MATCH(ROWS($O$2:O786),$O$2:$O$1001,0),1)&gt;=100000,INDEX($V$1005:$AE$1005,1,MATCH(COLUMNS($V$1006:AE1006),$V$1006:$AE$1006,0))&gt;=100000), " ",IF(INDEX($V$2:$AE$1001,MATCH(ROWS($O$2:O786),$O$2:$O$1001,0),MATCH(COLUMNS($V$1006:AE1006),$V$1006:$AE$1006,0)), HYPERLINK("#",""), HYPERLINK(CONCATENATE("#Metadata!", ADDRESS(INDEX($Q$2:$Q$1001,MATCH(ROWS($O$2:O786),$O$2:$O$1001,0),0), INDEX($V$1004:$AE$1004,1,MATCH(COLUMNS($V$1006:AE1006),$V$1006:$AE$1006,0)))),"Fix")))</f>
        <v>0</v>
      </c>
      <c r="O786">
        <v>0</v>
      </c>
      <c r="P786">
        <v>0</v>
      </c>
      <c r="Q786">
        <v>0</v>
      </c>
      <c r="R786">
        <f>IF(S786,TRUE,AND(V786:AE786))</f>
        <v>0</v>
      </c>
      <c r="S786">
        <f>COUNTBLANK(Metadata!B786:K786)=COLUMNS(Metadata!B786:K786)</f>
        <v>0</v>
      </c>
      <c r="T786">
        <v>0</v>
      </c>
      <c r="V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W786">
        <f>AND(IF(Metadata!C786="",FALSE,TRUE),exact(Metadata!C786,"animal secretion"))</f>
        <v>0</v>
      </c>
      <c r="X786">
        <f>AND(IF(Metadata!D786="",FALSE,TRUE),exact(Metadata!D786,"saliva"))</f>
        <v>0</v>
      </c>
      <c r="Y786">
        <f>AND(IF(Metadata!E786="",FALSE,TRUE),exact(Metadata!E786,"human-oral"))</f>
        <v>0</v>
      </c>
      <c r="Z786">
        <f>AND(IF(Metadata!F786="",FALSE,TRUE),exact(Metadata!F786,"UBERON:oral cavity"))</f>
        <v>0</v>
      </c>
      <c r="AA786">
        <f>AND(IF(Metadata!G786="",FALSE,TRUE),exact(Metadata!G786,"UBERON:saliva"))</f>
        <v>0</v>
      </c>
      <c r="AB786">
        <f>AND(IF(Metadata!H786="",FALSE,TRUE),exact(Metadata!H786,"UBERON:tongue"))</f>
        <v>0</v>
      </c>
      <c r="AC786">
        <f>AND(IF(Metadata!I786="",FALSE,TRUE),exact(Metadata!I786,"tongue"))</f>
        <v>0</v>
      </c>
      <c r="AD786">
        <f>AND(IF(Metadata!J786="",FALSE,TRUE),exact(Metadata!J786,"human oral metagenome"))</f>
        <v>0</v>
      </c>
      <c r="AE786">
        <f>AND(IF(Metadata!K786="",FALSE,TRUE),exact(Metadata!K786,"447426"))</f>
        <v>0</v>
      </c>
    </row>
    <row r="787" spans="1:31">
      <c r="A787" s="4">
        <f>IF(B787=" "," ",HYPERLINK(CONCATENATE("#metadata!",ADDRESS(INDEX($Q$2:$Q$1001,MATCH(ROWS($O$2:O787),$O$2:$O$1001,0),0),1)),INDEX($T$2:$T$1001,MATCH(ROWS($O$2:O787),$O$2:$O$1001,0),0)))</f>
        <v>0</v>
      </c>
      <c r="B787" s="3">
        <f>IF(OR(INDEX($P$2:$P$1001,MATCH(ROWS($O$2:O787),$O$2:$O$1001,0),1)&gt;=100000,INDEX($V$1005:$AE$1005,1,MATCH(COLUMNS($V$1006:V1006),$V$1006:$AE$1006,0))&gt;=100000), " ",IF(INDEX($V$2:$AE$1001,MATCH(ROWS($O$2:O787),$O$2:$O$1001,0),MATCH(COLUMNS($V$1006:V1006),$V$1006:$AE$1006,0)), HYPERLINK("#",""), HYPERLINK(CONCATENATE("#Metadata!", ADDRESS(INDEX($Q$2:$Q$1001,MATCH(ROWS($O$2:O787),$O$2:$O$1001,0),0), INDEX($V$1004:$AE$1004,1,MATCH(COLUMNS($V$1006:V1006),$V$1006:$AE$1006,0)))),"Fix")))</f>
        <v>0</v>
      </c>
      <c r="C787" s="3">
        <f>IF(OR(INDEX($P$2:$P$1001,MATCH(ROWS($O$2:O787),$O$2:$O$1001,0),1)&gt;=100000,INDEX($V$1005:$AE$1005,1,MATCH(COLUMNS($V$1006:W1006),$V$1006:$AE$1006,0))&gt;=100000), " ",IF(INDEX($V$2:$AE$1001,MATCH(ROWS($O$2:O787),$O$2:$O$1001,0),MATCH(COLUMNS($V$1006:W1006),$V$1006:$AE$1006,0)), HYPERLINK("#",""), HYPERLINK(CONCATENATE("#Metadata!", ADDRESS(INDEX($Q$2:$Q$1001,MATCH(ROWS($O$2:O787),$O$2:$O$1001,0),0), INDEX($V$1004:$AE$1004,1,MATCH(COLUMNS($V$1006:W1006),$V$1006:$AE$1006,0)))),"Fix")))</f>
        <v>0</v>
      </c>
      <c r="D787" s="3">
        <f>IF(OR(INDEX($P$2:$P$1001,MATCH(ROWS($O$2:O787),$O$2:$O$1001,0),1)&gt;=100000,INDEX($V$1005:$AE$1005,1,MATCH(COLUMNS($V$1006:X1006),$V$1006:$AE$1006,0))&gt;=100000), " ",IF(INDEX($V$2:$AE$1001,MATCH(ROWS($O$2:O787),$O$2:$O$1001,0),MATCH(COLUMNS($V$1006:X1006),$V$1006:$AE$1006,0)), HYPERLINK("#",""), HYPERLINK(CONCATENATE("#Metadata!", ADDRESS(INDEX($Q$2:$Q$1001,MATCH(ROWS($O$2:O787),$O$2:$O$1001,0),0), INDEX($V$1004:$AE$1004,1,MATCH(COLUMNS($V$1006:X1006),$V$1006:$AE$1006,0)))),"Fix")))</f>
        <v>0</v>
      </c>
      <c r="E787" s="3">
        <f>IF(OR(INDEX($P$2:$P$1001,MATCH(ROWS($O$2:O787),$O$2:$O$1001,0),1)&gt;=100000,INDEX($V$1005:$AE$1005,1,MATCH(COLUMNS($V$1006:Y1006),$V$1006:$AE$1006,0))&gt;=100000), " ",IF(INDEX($V$2:$AE$1001,MATCH(ROWS($O$2:O787),$O$2:$O$1001,0),MATCH(COLUMNS($V$1006:Y1006),$V$1006:$AE$1006,0)), HYPERLINK("#",""), HYPERLINK(CONCATENATE("#Metadata!", ADDRESS(INDEX($Q$2:$Q$1001,MATCH(ROWS($O$2:O787),$O$2:$O$1001,0),0), INDEX($V$1004:$AE$1004,1,MATCH(COLUMNS($V$1006:Y1006),$V$1006:$AE$1006,0)))),"Fix")))</f>
        <v>0</v>
      </c>
      <c r="F787" s="3">
        <f>IF(OR(INDEX($P$2:$P$1001,MATCH(ROWS($O$2:O787),$O$2:$O$1001,0),1)&gt;=100000,INDEX($V$1005:$AE$1005,1,MATCH(COLUMNS($V$1006:Z1006),$V$1006:$AE$1006,0))&gt;=100000), " ",IF(INDEX($V$2:$AE$1001,MATCH(ROWS($O$2:O787),$O$2:$O$1001,0),MATCH(COLUMNS($V$1006:Z1006),$V$1006:$AE$1006,0)), HYPERLINK("#",""), HYPERLINK(CONCATENATE("#Metadata!", ADDRESS(INDEX($Q$2:$Q$1001,MATCH(ROWS($O$2:O787),$O$2:$O$1001,0),0), INDEX($V$1004:$AE$1004,1,MATCH(COLUMNS($V$1006:Z1006),$V$1006:$AE$1006,0)))),"Fix")))</f>
        <v>0</v>
      </c>
      <c r="G787" s="3">
        <f>IF(OR(INDEX($P$2:$P$1001,MATCH(ROWS($O$2:O787),$O$2:$O$1001,0),1)&gt;=100000,INDEX($V$1005:$AE$1005,1,MATCH(COLUMNS($V$1006:AA1006),$V$1006:$AE$1006,0))&gt;=100000), " ",IF(INDEX($V$2:$AE$1001,MATCH(ROWS($O$2:O787),$O$2:$O$1001,0),MATCH(COLUMNS($V$1006:AA1006),$V$1006:$AE$1006,0)), HYPERLINK("#",""), HYPERLINK(CONCATENATE("#Metadata!", ADDRESS(INDEX($Q$2:$Q$1001,MATCH(ROWS($O$2:O787),$O$2:$O$1001,0),0), INDEX($V$1004:$AE$1004,1,MATCH(COLUMNS($V$1006:AA1006),$V$1006:$AE$1006,0)))),"Fix")))</f>
        <v>0</v>
      </c>
      <c r="H787" s="3">
        <f>IF(OR(INDEX($P$2:$P$1001,MATCH(ROWS($O$2:O787),$O$2:$O$1001,0),1)&gt;=100000,INDEX($V$1005:$AE$1005,1,MATCH(COLUMNS($V$1006:AB1006),$V$1006:$AE$1006,0))&gt;=100000), " ",IF(INDEX($V$2:$AE$1001,MATCH(ROWS($O$2:O787),$O$2:$O$1001,0),MATCH(COLUMNS($V$1006:AB1006),$V$1006:$AE$1006,0)), HYPERLINK("#",""), HYPERLINK(CONCATENATE("#Metadata!", ADDRESS(INDEX($Q$2:$Q$1001,MATCH(ROWS($O$2:O787),$O$2:$O$1001,0),0), INDEX($V$1004:$AE$1004,1,MATCH(COLUMNS($V$1006:AB1006),$V$1006:$AE$1006,0)))),"Fix")))</f>
        <v>0</v>
      </c>
      <c r="I787" s="3">
        <f>IF(OR(INDEX($P$2:$P$1001,MATCH(ROWS($O$2:O787),$O$2:$O$1001,0),1)&gt;=100000,INDEX($V$1005:$AE$1005,1,MATCH(COLUMNS($V$1006:AC1006),$V$1006:$AE$1006,0))&gt;=100000), " ",IF(INDEX($V$2:$AE$1001,MATCH(ROWS($O$2:O787),$O$2:$O$1001,0),MATCH(COLUMNS($V$1006:AC1006),$V$1006:$AE$1006,0)), HYPERLINK("#",""), HYPERLINK(CONCATENATE("#Metadata!", ADDRESS(INDEX($Q$2:$Q$1001,MATCH(ROWS($O$2:O787),$O$2:$O$1001,0),0), INDEX($V$1004:$AE$1004,1,MATCH(COLUMNS($V$1006:AC1006),$V$1006:$AE$1006,0)))),"Fix")))</f>
        <v>0</v>
      </c>
      <c r="J787" s="3">
        <f>IF(OR(INDEX($P$2:$P$1001,MATCH(ROWS($O$2:O787),$O$2:$O$1001,0),1)&gt;=100000,INDEX($V$1005:$AE$1005,1,MATCH(COLUMNS($V$1006:AD1006),$V$1006:$AE$1006,0))&gt;=100000), " ",IF(INDEX($V$2:$AE$1001,MATCH(ROWS($O$2:O787),$O$2:$O$1001,0),MATCH(COLUMNS($V$1006:AD1006),$V$1006:$AE$1006,0)), HYPERLINK("#",""), HYPERLINK(CONCATENATE("#Metadata!", ADDRESS(INDEX($Q$2:$Q$1001,MATCH(ROWS($O$2:O787),$O$2:$O$1001,0),0), INDEX($V$1004:$AE$1004,1,MATCH(COLUMNS($V$1006:AD1006),$V$1006:$AE$1006,0)))),"Fix")))</f>
        <v>0</v>
      </c>
      <c r="K787" s="3">
        <f>IF(OR(INDEX($P$2:$P$1001,MATCH(ROWS($O$2:O787),$O$2:$O$1001,0),1)&gt;=100000,INDEX($V$1005:$AE$1005,1,MATCH(COLUMNS($V$1006:AE1006),$V$1006:$AE$1006,0))&gt;=100000), " ",IF(INDEX($V$2:$AE$1001,MATCH(ROWS($O$2:O787),$O$2:$O$1001,0),MATCH(COLUMNS($V$1006:AE1006),$V$1006:$AE$1006,0)), HYPERLINK("#",""), HYPERLINK(CONCATENATE("#Metadata!", ADDRESS(INDEX($Q$2:$Q$1001,MATCH(ROWS($O$2:O787),$O$2:$O$1001,0),0), INDEX($V$1004:$AE$1004,1,MATCH(COLUMNS($V$1006:AE1006),$V$1006:$AE$1006,0)))),"Fix")))</f>
        <v>0</v>
      </c>
      <c r="O787">
        <v>0</v>
      </c>
      <c r="P787">
        <v>0</v>
      </c>
      <c r="Q787">
        <v>0</v>
      </c>
      <c r="R787">
        <f>IF(S787,TRUE,AND(V787:AE787))</f>
        <v>0</v>
      </c>
      <c r="S787">
        <f>COUNTBLANK(Metadata!B787:K787)=COLUMNS(Metadata!B787:K787)</f>
        <v>0</v>
      </c>
      <c r="T787">
        <v>0</v>
      </c>
      <c r="V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W787">
        <f>AND(IF(Metadata!C787="",FALSE,TRUE),exact(Metadata!C787,"animal secretion"))</f>
        <v>0</v>
      </c>
      <c r="X787">
        <f>AND(IF(Metadata!D787="",FALSE,TRUE),exact(Metadata!D787,"saliva"))</f>
        <v>0</v>
      </c>
      <c r="Y787">
        <f>AND(IF(Metadata!E787="",FALSE,TRUE),exact(Metadata!E787,"human-oral"))</f>
        <v>0</v>
      </c>
      <c r="Z787">
        <f>AND(IF(Metadata!F787="",FALSE,TRUE),exact(Metadata!F787,"UBERON:oral cavity"))</f>
        <v>0</v>
      </c>
      <c r="AA787">
        <f>AND(IF(Metadata!G787="",FALSE,TRUE),exact(Metadata!G787,"UBERON:saliva"))</f>
        <v>0</v>
      </c>
      <c r="AB787">
        <f>AND(IF(Metadata!H787="",FALSE,TRUE),exact(Metadata!H787,"UBERON:tongue"))</f>
        <v>0</v>
      </c>
      <c r="AC787">
        <f>AND(IF(Metadata!I787="",FALSE,TRUE),exact(Metadata!I787,"tongue"))</f>
        <v>0</v>
      </c>
      <c r="AD787">
        <f>AND(IF(Metadata!J787="",FALSE,TRUE),exact(Metadata!J787,"human oral metagenome"))</f>
        <v>0</v>
      </c>
      <c r="AE787">
        <f>AND(IF(Metadata!K787="",FALSE,TRUE),exact(Metadata!K787,"447426"))</f>
        <v>0</v>
      </c>
    </row>
    <row r="788" spans="1:31">
      <c r="A788" s="4">
        <f>IF(B788=" "," ",HYPERLINK(CONCATENATE("#metadata!",ADDRESS(INDEX($Q$2:$Q$1001,MATCH(ROWS($O$2:O788),$O$2:$O$1001,0),0),1)),INDEX($T$2:$T$1001,MATCH(ROWS($O$2:O788),$O$2:$O$1001,0),0)))</f>
        <v>0</v>
      </c>
      <c r="B788" s="3">
        <f>IF(OR(INDEX($P$2:$P$1001,MATCH(ROWS($O$2:O788),$O$2:$O$1001,0),1)&gt;=100000,INDEX($V$1005:$AE$1005,1,MATCH(COLUMNS($V$1006:V1006),$V$1006:$AE$1006,0))&gt;=100000), " ",IF(INDEX($V$2:$AE$1001,MATCH(ROWS($O$2:O788),$O$2:$O$1001,0),MATCH(COLUMNS($V$1006:V1006),$V$1006:$AE$1006,0)), HYPERLINK("#",""), HYPERLINK(CONCATENATE("#Metadata!", ADDRESS(INDEX($Q$2:$Q$1001,MATCH(ROWS($O$2:O788),$O$2:$O$1001,0),0), INDEX($V$1004:$AE$1004,1,MATCH(COLUMNS($V$1006:V1006),$V$1006:$AE$1006,0)))),"Fix")))</f>
        <v>0</v>
      </c>
      <c r="C788" s="3">
        <f>IF(OR(INDEX($P$2:$P$1001,MATCH(ROWS($O$2:O788),$O$2:$O$1001,0),1)&gt;=100000,INDEX($V$1005:$AE$1005,1,MATCH(COLUMNS($V$1006:W1006),$V$1006:$AE$1006,0))&gt;=100000), " ",IF(INDEX($V$2:$AE$1001,MATCH(ROWS($O$2:O788),$O$2:$O$1001,0),MATCH(COLUMNS($V$1006:W1006),$V$1006:$AE$1006,0)), HYPERLINK("#",""), HYPERLINK(CONCATENATE("#Metadata!", ADDRESS(INDEX($Q$2:$Q$1001,MATCH(ROWS($O$2:O788),$O$2:$O$1001,0),0), INDEX($V$1004:$AE$1004,1,MATCH(COLUMNS($V$1006:W1006),$V$1006:$AE$1006,0)))),"Fix")))</f>
        <v>0</v>
      </c>
      <c r="D788" s="3">
        <f>IF(OR(INDEX($P$2:$P$1001,MATCH(ROWS($O$2:O788),$O$2:$O$1001,0),1)&gt;=100000,INDEX($V$1005:$AE$1005,1,MATCH(COLUMNS($V$1006:X1006),$V$1006:$AE$1006,0))&gt;=100000), " ",IF(INDEX($V$2:$AE$1001,MATCH(ROWS($O$2:O788),$O$2:$O$1001,0),MATCH(COLUMNS($V$1006:X1006),$V$1006:$AE$1006,0)), HYPERLINK("#",""), HYPERLINK(CONCATENATE("#Metadata!", ADDRESS(INDEX($Q$2:$Q$1001,MATCH(ROWS($O$2:O788),$O$2:$O$1001,0),0), INDEX($V$1004:$AE$1004,1,MATCH(COLUMNS($V$1006:X1006),$V$1006:$AE$1006,0)))),"Fix")))</f>
        <v>0</v>
      </c>
      <c r="E788" s="3">
        <f>IF(OR(INDEX($P$2:$P$1001,MATCH(ROWS($O$2:O788),$O$2:$O$1001,0),1)&gt;=100000,INDEX($V$1005:$AE$1005,1,MATCH(COLUMNS($V$1006:Y1006),$V$1006:$AE$1006,0))&gt;=100000), " ",IF(INDEX($V$2:$AE$1001,MATCH(ROWS($O$2:O788),$O$2:$O$1001,0),MATCH(COLUMNS($V$1006:Y1006),$V$1006:$AE$1006,0)), HYPERLINK("#",""), HYPERLINK(CONCATENATE("#Metadata!", ADDRESS(INDEX($Q$2:$Q$1001,MATCH(ROWS($O$2:O788),$O$2:$O$1001,0),0), INDEX($V$1004:$AE$1004,1,MATCH(COLUMNS($V$1006:Y1006),$V$1006:$AE$1006,0)))),"Fix")))</f>
        <v>0</v>
      </c>
      <c r="F788" s="3">
        <f>IF(OR(INDEX($P$2:$P$1001,MATCH(ROWS($O$2:O788),$O$2:$O$1001,0),1)&gt;=100000,INDEX($V$1005:$AE$1005,1,MATCH(COLUMNS($V$1006:Z1006),$V$1006:$AE$1006,0))&gt;=100000), " ",IF(INDEX($V$2:$AE$1001,MATCH(ROWS($O$2:O788),$O$2:$O$1001,0),MATCH(COLUMNS($V$1006:Z1006),$V$1006:$AE$1006,0)), HYPERLINK("#",""), HYPERLINK(CONCATENATE("#Metadata!", ADDRESS(INDEX($Q$2:$Q$1001,MATCH(ROWS($O$2:O788),$O$2:$O$1001,0),0), INDEX($V$1004:$AE$1004,1,MATCH(COLUMNS($V$1006:Z1006),$V$1006:$AE$1006,0)))),"Fix")))</f>
        <v>0</v>
      </c>
      <c r="G788" s="3">
        <f>IF(OR(INDEX($P$2:$P$1001,MATCH(ROWS($O$2:O788),$O$2:$O$1001,0),1)&gt;=100000,INDEX($V$1005:$AE$1005,1,MATCH(COLUMNS($V$1006:AA1006),$V$1006:$AE$1006,0))&gt;=100000), " ",IF(INDEX($V$2:$AE$1001,MATCH(ROWS($O$2:O788),$O$2:$O$1001,0),MATCH(COLUMNS($V$1006:AA1006),$V$1006:$AE$1006,0)), HYPERLINK("#",""), HYPERLINK(CONCATENATE("#Metadata!", ADDRESS(INDEX($Q$2:$Q$1001,MATCH(ROWS($O$2:O788),$O$2:$O$1001,0),0), INDEX($V$1004:$AE$1004,1,MATCH(COLUMNS($V$1006:AA1006),$V$1006:$AE$1006,0)))),"Fix")))</f>
        <v>0</v>
      </c>
      <c r="H788" s="3">
        <f>IF(OR(INDEX($P$2:$P$1001,MATCH(ROWS($O$2:O788),$O$2:$O$1001,0),1)&gt;=100000,INDEX($V$1005:$AE$1005,1,MATCH(COLUMNS($V$1006:AB1006),$V$1006:$AE$1006,0))&gt;=100000), " ",IF(INDEX($V$2:$AE$1001,MATCH(ROWS($O$2:O788),$O$2:$O$1001,0),MATCH(COLUMNS($V$1006:AB1006),$V$1006:$AE$1006,0)), HYPERLINK("#",""), HYPERLINK(CONCATENATE("#Metadata!", ADDRESS(INDEX($Q$2:$Q$1001,MATCH(ROWS($O$2:O788),$O$2:$O$1001,0),0), INDEX($V$1004:$AE$1004,1,MATCH(COLUMNS($V$1006:AB1006),$V$1006:$AE$1006,0)))),"Fix")))</f>
        <v>0</v>
      </c>
      <c r="I788" s="3">
        <f>IF(OR(INDEX($P$2:$P$1001,MATCH(ROWS($O$2:O788),$O$2:$O$1001,0),1)&gt;=100000,INDEX($V$1005:$AE$1005,1,MATCH(COLUMNS($V$1006:AC1006),$V$1006:$AE$1006,0))&gt;=100000), " ",IF(INDEX($V$2:$AE$1001,MATCH(ROWS($O$2:O788),$O$2:$O$1001,0),MATCH(COLUMNS($V$1006:AC1006),$V$1006:$AE$1006,0)), HYPERLINK("#",""), HYPERLINK(CONCATENATE("#Metadata!", ADDRESS(INDEX($Q$2:$Q$1001,MATCH(ROWS($O$2:O788),$O$2:$O$1001,0),0), INDEX($V$1004:$AE$1004,1,MATCH(COLUMNS($V$1006:AC1006),$V$1006:$AE$1006,0)))),"Fix")))</f>
        <v>0</v>
      </c>
      <c r="J788" s="3">
        <f>IF(OR(INDEX($P$2:$P$1001,MATCH(ROWS($O$2:O788),$O$2:$O$1001,0),1)&gt;=100000,INDEX($V$1005:$AE$1005,1,MATCH(COLUMNS($V$1006:AD1006),$V$1006:$AE$1006,0))&gt;=100000), " ",IF(INDEX($V$2:$AE$1001,MATCH(ROWS($O$2:O788),$O$2:$O$1001,0),MATCH(COLUMNS($V$1006:AD1006),$V$1006:$AE$1006,0)), HYPERLINK("#",""), HYPERLINK(CONCATENATE("#Metadata!", ADDRESS(INDEX($Q$2:$Q$1001,MATCH(ROWS($O$2:O788),$O$2:$O$1001,0),0), INDEX($V$1004:$AE$1004,1,MATCH(COLUMNS($V$1006:AD1006),$V$1006:$AE$1006,0)))),"Fix")))</f>
        <v>0</v>
      </c>
      <c r="K788" s="3">
        <f>IF(OR(INDEX($P$2:$P$1001,MATCH(ROWS($O$2:O788),$O$2:$O$1001,0),1)&gt;=100000,INDEX($V$1005:$AE$1005,1,MATCH(COLUMNS($V$1006:AE1006),$V$1006:$AE$1006,0))&gt;=100000), " ",IF(INDEX($V$2:$AE$1001,MATCH(ROWS($O$2:O788),$O$2:$O$1001,0),MATCH(COLUMNS($V$1006:AE1006),$V$1006:$AE$1006,0)), HYPERLINK("#",""), HYPERLINK(CONCATENATE("#Metadata!", ADDRESS(INDEX($Q$2:$Q$1001,MATCH(ROWS($O$2:O788),$O$2:$O$1001,0),0), INDEX($V$1004:$AE$1004,1,MATCH(COLUMNS($V$1006:AE1006),$V$1006:$AE$1006,0)))),"Fix")))</f>
        <v>0</v>
      </c>
      <c r="O788">
        <v>0</v>
      </c>
      <c r="P788">
        <v>0</v>
      </c>
      <c r="Q788">
        <v>0</v>
      </c>
      <c r="R788">
        <f>IF(S788,TRUE,AND(V788:AE788))</f>
        <v>0</v>
      </c>
      <c r="S788">
        <f>COUNTBLANK(Metadata!B788:K788)=COLUMNS(Metadata!B788:K788)</f>
        <v>0</v>
      </c>
      <c r="T788">
        <v>0</v>
      </c>
      <c r="V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W788">
        <f>AND(IF(Metadata!C788="",FALSE,TRUE),exact(Metadata!C788,"animal secretion"))</f>
        <v>0</v>
      </c>
      <c r="X788">
        <f>AND(IF(Metadata!D788="",FALSE,TRUE),exact(Metadata!D788,"saliva"))</f>
        <v>0</v>
      </c>
      <c r="Y788">
        <f>AND(IF(Metadata!E788="",FALSE,TRUE),exact(Metadata!E788,"human-oral"))</f>
        <v>0</v>
      </c>
      <c r="Z788">
        <f>AND(IF(Metadata!F788="",FALSE,TRUE),exact(Metadata!F788,"UBERON:oral cavity"))</f>
        <v>0</v>
      </c>
      <c r="AA788">
        <f>AND(IF(Metadata!G788="",FALSE,TRUE),exact(Metadata!G788,"UBERON:saliva"))</f>
        <v>0</v>
      </c>
      <c r="AB788">
        <f>AND(IF(Metadata!H788="",FALSE,TRUE),exact(Metadata!H788,"UBERON:tongue"))</f>
        <v>0</v>
      </c>
      <c r="AC788">
        <f>AND(IF(Metadata!I788="",FALSE,TRUE),exact(Metadata!I788,"tongue"))</f>
        <v>0</v>
      </c>
      <c r="AD788">
        <f>AND(IF(Metadata!J788="",FALSE,TRUE),exact(Metadata!J788,"human oral metagenome"))</f>
        <v>0</v>
      </c>
      <c r="AE788">
        <f>AND(IF(Metadata!K788="",FALSE,TRUE),exact(Metadata!K788,"447426"))</f>
        <v>0</v>
      </c>
    </row>
    <row r="789" spans="1:31">
      <c r="A789" s="4">
        <f>IF(B789=" "," ",HYPERLINK(CONCATENATE("#metadata!",ADDRESS(INDEX($Q$2:$Q$1001,MATCH(ROWS($O$2:O789),$O$2:$O$1001,0),0),1)),INDEX($T$2:$T$1001,MATCH(ROWS($O$2:O789),$O$2:$O$1001,0),0)))</f>
        <v>0</v>
      </c>
      <c r="B789" s="3">
        <f>IF(OR(INDEX($P$2:$P$1001,MATCH(ROWS($O$2:O789),$O$2:$O$1001,0),1)&gt;=100000,INDEX($V$1005:$AE$1005,1,MATCH(COLUMNS($V$1006:V1006),$V$1006:$AE$1006,0))&gt;=100000), " ",IF(INDEX($V$2:$AE$1001,MATCH(ROWS($O$2:O789),$O$2:$O$1001,0),MATCH(COLUMNS($V$1006:V1006),$V$1006:$AE$1006,0)), HYPERLINK("#",""), HYPERLINK(CONCATENATE("#Metadata!", ADDRESS(INDEX($Q$2:$Q$1001,MATCH(ROWS($O$2:O789),$O$2:$O$1001,0),0), INDEX($V$1004:$AE$1004,1,MATCH(COLUMNS($V$1006:V1006),$V$1006:$AE$1006,0)))),"Fix")))</f>
        <v>0</v>
      </c>
      <c r="C789" s="3">
        <f>IF(OR(INDEX($P$2:$P$1001,MATCH(ROWS($O$2:O789),$O$2:$O$1001,0),1)&gt;=100000,INDEX($V$1005:$AE$1005,1,MATCH(COLUMNS($V$1006:W1006),$V$1006:$AE$1006,0))&gt;=100000), " ",IF(INDEX($V$2:$AE$1001,MATCH(ROWS($O$2:O789),$O$2:$O$1001,0),MATCH(COLUMNS($V$1006:W1006),$V$1006:$AE$1006,0)), HYPERLINK("#",""), HYPERLINK(CONCATENATE("#Metadata!", ADDRESS(INDEX($Q$2:$Q$1001,MATCH(ROWS($O$2:O789),$O$2:$O$1001,0),0), INDEX($V$1004:$AE$1004,1,MATCH(COLUMNS($V$1006:W1006),$V$1006:$AE$1006,0)))),"Fix")))</f>
        <v>0</v>
      </c>
      <c r="D789" s="3">
        <f>IF(OR(INDEX($P$2:$P$1001,MATCH(ROWS($O$2:O789),$O$2:$O$1001,0),1)&gt;=100000,INDEX($V$1005:$AE$1005,1,MATCH(COLUMNS($V$1006:X1006),$V$1006:$AE$1006,0))&gt;=100000), " ",IF(INDEX($V$2:$AE$1001,MATCH(ROWS($O$2:O789),$O$2:$O$1001,0),MATCH(COLUMNS($V$1006:X1006),$V$1006:$AE$1006,0)), HYPERLINK("#",""), HYPERLINK(CONCATENATE("#Metadata!", ADDRESS(INDEX($Q$2:$Q$1001,MATCH(ROWS($O$2:O789),$O$2:$O$1001,0),0), INDEX($V$1004:$AE$1004,1,MATCH(COLUMNS($V$1006:X1006),$V$1006:$AE$1006,0)))),"Fix")))</f>
        <v>0</v>
      </c>
      <c r="E789" s="3">
        <f>IF(OR(INDEX($P$2:$P$1001,MATCH(ROWS($O$2:O789),$O$2:$O$1001,0),1)&gt;=100000,INDEX($V$1005:$AE$1005,1,MATCH(COLUMNS($V$1006:Y1006),$V$1006:$AE$1006,0))&gt;=100000), " ",IF(INDEX($V$2:$AE$1001,MATCH(ROWS($O$2:O789),$O$2:$O$1001,0),MATCH(COLUMNS($V$1006:Y1006),$V$1006:$AE$1006,0)), HYPERLINK("#",""), HYPERLINK(CONCATENATE("#Metadata!", ADDRESS(INDEX($Q$2:$Q$1001,MATCH(ROWS($O$2:O789),$O$2:$O$1001,0),0), INDEX($V$1004:$AE$1004,1,MATCH(COLUMNS($V$1006:Y1006),$V$1006:$AE$1006,0)))),"Fix")))</f>
        <v>0</v>
      </c>
      <c r="F789" s="3">
        <f>IF(OR(INDEX($P$2:$P$1001,MATCH(ROWS($O$2:O789),$O$2:$O$1001,0),1)&gt;=100000,INDEX($V$1005:$AE$1005,1,MATCH(COLUMNS($V$1006:Z1006),$V$1006:$AE$1006,0))&gt;=100000), " ",IF(INDEX($V$2:$AE$1001,MATCH(ROWS($O$2:O789),$O$2:$O$1001,0),MATCH(COLUMNS($V$1006:Z1006),$V$1006:$AE$1006,0)), HYPERLINK("#",""), HYPERLINK(CONCATENATE("#Metadata!", ADDRESS(INDEX($Q$2:$Q$1001,MATCH(ROWS($O$2:O789),$O$2:$O$1001,0),0), INDEX($V$1004:$AE$1004,1,MATCH(COLUMNS($V$1006:Z1006),$V$1006:$AE$1006,0)))),"Fix")))</f>
        <v>0</v>
      </c>
      <c r="G789" s="3">
        <f>IF(OR(INDEX($P$2:$P$1001,MATCH(ROWS($O$2:O789),$O$2:$O$1001,0),1)&gt;=100000,INDEX($V$1005:$AE$1005,1,MATCH(COLUMNS($V$1006:AA1006),$V$1006:$AE$1006,0))&gt;=100000), " ",IF(INDEX($V$2:$AE$1001,MATCH(ROWS($O$2:O789),$O$2:$O$1001,0),MATCH(COLUMNS($V$1006:AA1006),$V$1006:$AE$1006,0)), HYPERLINK("#",""), HYPERLINK(CONCATENATE("#Metadata!", ADDRESS(INDEX($Q$2:$Q$1001,MATCH(ROWS($O$2:O789),$O$2:$O$1001,0),0), INDEX($V$1004:$AE$1004,1,MATCH(COLUMNS($V$1006:AA1006),$V$1006:$AE$1006,0)))),"Fix")))</f>
        <v>0</v>
      </c>
      <c r="H789" s="3">
        <f>IF(OR(INDEX($P$2:$P$1001,MATCH(ROWS($O$2:O789),$O$2:$O$1001,0),1)&gt;=100000,INDEX($V$1005:$AE$1005,1,MATCH(COLUMNS($V$1006:AB1006),$V$1006:$AE$1006,0))&gt;=100000), " ",IF(INDEX($V$2:$AE$1001,MATCH(ROWS($O$2:O789),$O$2:$O$1001,0),MATCH(COLUMNS($V$1006:AB1006),$V$1006:$AE$1006,0)), HYPERLINK("#",""), HYPERLINK(CONCATENATE("#Metadata!", ADDRESS(INDEX($Q$2:$Q$1001,MATCH(ROWS($O$2:O789),$O$2:$O$1001,0),0), INDEX($V$1004:$AE$1004,1,MATCH(COLUMNS($V$1006:AB1006),$V$1006:$AE$1006,0)))),"Fix")))</f>
        <v>0</v>
      </c>
      <c r="I789" s="3">
        <f>IF(OR(INDEX($P$2:$P$1001,MATCH(ROWS($O$2:O789),$O$2:$O$1001,0),1)&gt;=100000,INDEX($V$1005:$AE$1005,1,MATCH(COLUMNS($V$1006:AC1006),$V$1006:$AE$1006,0))&gt;=100000), " ",IF(INDEX($V$2:$AE$1001,MATCH(ROWS($O$2:O789),$O$2:$O$1001,0),MATCH(COLUMNS($V$1006:AC1006),$V$1006:$AE$1006,0)), HYPERLINK("#",""), HYPERLINK(CONCATENATE("#Metadata!", ADDRESS(INDEX($Q$2:$Q$1001,MATCH(ROWS($O$2:O789),$O$2:$O$1001,0),0), INDEX($V$1004:$AE$1004,1,MATCH(COLUMNS($V$1006:AC1006),$V$1006:$AE$1006,0)))),"Fix")))</f>
        <v>0</v>
      </c>
      <c r="J789" s="3">
        <f>IF(OR(INDEX($P$2:$P$1001,MATCH(ROWS($O$2:O789),$O$2:$O$1001,0),1)&gt;=100000,INDEX($V$1005:$AE$1005,1,MATCH(COLUMNS($V$1006:AD1006),$V$1006:$AE$1006,0))&gt;=100000), " ",IF(INDEX($V$2:$AE$1001,MATCH(ROWS($O$2:O789),$O$2:$O$1001,0),MATCH(COLUMNS($V$1006:AD1006),$V$1006:$AE$1006,0)), HYPERLINK("#",""), HYPERLINK(CONCATENATE("#Metadata!", ADDRESS(INDEX($Q$2:$Q$1001,MATCH(ROWS($O$2:O789),$O$2:$O$1001,0),0), INDEX($V$1004:$AE$1004,1,MATCH(COLUMNS($V$1006:AD1006),$V$1006:$AE$1006,0)))),"Fix")))</f>
        <v>0</v>
      </c>
      <c r="K789" s="3">
        <f>IF(OR(INDEX($P$2:$P$1001,MATCH(ROWS($O$2:O789),$O$2:$O$1001,0),1)&gt;=100000,INDEX($V$1005:$AE$1005,1,MATCH(COLUMNS($V$1006:AE1006),$V$1006:$AE$1006,0))&gt;=100000), " ",IF(INDEX($V$2:$AE$1001,MATCH(ROWS($O$2:O789),$O$2:$O$1001,0),MATCH(COLUMNS($V$1006:AE1006),$V$1006:$AE$1006,0)), HYPERLINK("#",""), HYPERLINK(CONCATENATE("#Metadata!", ADDRESS(INDEX($Q$2:$Q$1001,MATCH(ROWS($O$2:O789),$O$2:$O$1001,0),0), INDEX($V$1004:$AE$1004,1,MATCH(COLUMNS($V$1006:AE1006),$V$1006:$AE$1006,0)))),"Fix")))</f>
        <v>0</v>
      </c>
      <c r="O789">
        <v>0</v>
      </c>
      <c r="P789">
        <v>0</v>
      </c>
      <c r="Q789">
        <v>0</v>
      </c>
      <c r="R789">
        <f>IF(S789,TRUE,AND(V789:AE789))</f>
        <v>0</v>
      </c>
      <c r="S789">
        <f>COUNTBLANK(Metadata!B789:K789)=COLUMNS(Metadata!B789:K789)</f>
        <v>0</v>
      </c>
      <c r="T789">
        <v>0</v>
      </c>
      <c r="V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W789">
        <f>AND(IF(Metadata!C789="",FALSE,TRUE),exact(Metadata!C789,"animal secretion"))</f>
        <v>0</v>
      </c>
      <c r="X789">
        <f>AND(IF(Metadata!D789="",FALSE,TRUE),exact(Metadata!D789,"saliva"))</f>
        <v>0</v>
      </c>
      <c r="Y789">
        <f>AND(IF(Metadata!E789="",FALSE,TRUE),exact(Metadata!E789,"human-oral"))</f>
        <v>0</v>
      </c>
      <c r="Z789">
        <f>AND(IF(Metadata!F789="",FALSE,TRUE),exact(Metadata!F789,"UBERON:oral cavity"))</f>
        <v>0</v>
      </c>
      <c r="AA789">
        <f>AND(IF(Metadata!G789="",FALSE,TRUE),exact(Metadata!G789,"UBERON:saliva"))</f>
        <v>0</v>
      </c>
      <c r="AB789">
        <f>AND(IF(Metadata!H789="",FALSE,TRUE),exact(Metadata!H789,"UBERON:tongue"))</f>
        <v>0</v>
      </c>
      <c r="AC789">
        <f>AND(IF(Metadata!I789="",FALSE,TRUE),exact(Metadata!I789,"tongue"))</f>
        <v>0</v>
      </c>
      <c r="AD789">
        <f>AND(IF(Metadata!J789="",FALSE,TRUE),exact(Metadata!J789,"human oral metagenome"))</f>
        <v>0</v>
      </c>
      <c r="AE789">
        <f>AND(IF(Metadata!K789="",FALSE,TRUE),exact(Metadata!K789,"447426"))</f>
        <v>0</v>
      </c>
    </row>
    <row r="790" spans="1:31">
      <c r="A790" s="4">
        <f>IF(B790=" "," ",HYPERLINK(CONCATENATE("#metadata!",ADDRESS(INDEX($Q$2:$Q$1001,MATCH(ROWS($O$2:O790),$O$2:$O$1001,0),0),1)),INDEX($T$2:$T$1001,MATCH(ROWS($O$2:O790),$O$2:$O$1001,0),0)))</f>
        <v>0</v>
      </c>
      <c r="B790" s="3">
        <f>IF(OR(INDEX($P$2:$P$1001,MATCH(ROWS($O$2:O790),$O$2:$O$1001,0),1)&gt;=100000,INDEX($V$1005:$AE$1005,1,MATCH(COLUMNS($V$1006:V1006),$V$1006:$AE$1006,0))&gt;=100000), " ",IF(INDEX($V$2:$AE$1001,MATCH(ROWS($O$2:O790),$O$2:$O$1001,0),MATCH(COLUMNS($V$1006:V1006),$V$1006:$AE$1006,0)), HYPERLINK("#",""), HYPERLINK(CONCATENATE("#Metadata!", ADDRESS(INDEX($Q$2:$Q$1001,MATCH(ROWS($O$2:O790),$O$2:$O$1001,0),0), INDEX($V$1004:$AE$1004,1,MATCH(COLUMNS($V$1006:V1006),$V$1006:$AE$1006,0)))),"Fix")))</f>
        <v>0</v>
      </c>
      <c r="C790" s="3">
        <f>IF(OR(INDEX($P$2:$P$1001,MATCH(ROWS($O$2:O790),$O$2:$O$1001,0),1)&gt;=100000,INDEX($V$1005:$AE$1005,1,MATCH(COLUMNS($V$1006:W1006),$V$1006:$AE$1006,0))&gt;=100000), " ",IF(INDEX($V$2:$AE$1001,MATCH(ROWS($O$2:O790),$O$2:$O$1001,0),MATCH(COLUMNS($V$1006:W1006),$V$1006:$AE$1006,0)), HYPERLINK("#",""), HYPERLINK(CONCATENATE("#Metadata!", ADDRESS(INDEX($Q$2:$Q$1001,MATCH(ROWS($O$2:O790),$O$2:$O$1001,0),0), INDEX($V$1004:$AE$1004,1,MATCH(COLUMNS($V$1006:W1006),$V$1006:$AE$1006,0)))),"Fix")))</f>
        <v>0</v>
      </c>
      <c r="D790" s="3">
        <f>IF(OR(INDEX($P$2:$P$1001,MATCH(ROWS($O$2:O790),$O$2:$O$1001,0),1)&gt;=100000,INDEX($V$1005:$AE$1005,1,MATCH(COLUMNS($V$1006:X1006),$V$1006:$AE$1006,0))&gt;=100000), " ",IF(INDEX($V$2:$AE$1001,MATCH(ROWS($O$2:O790),$O$2:$O$1001,0),MATCH(COLUMNS($V$1006:X1006),$V$1006:$AE$1006,0)), HYPERLINK("#",""), HYPERLINK(CONCATENATE("#Metadata!", ADDRESS(INDEX($Q$2:$Q$1001,MATCH(ROWS($O$2:O790),$O$2:$O$1001,0),0), INDEX($V$1004:$AE$1004,1,MATCH(COLUMNS($V$1006:X1006),$V$1006:$AE$1006,0)))),"Fix")))</f>
        <v>0</v>
      </c>
      <c r="E790" s="3">
        <f>IF(OR(INDEX($P$2:$P$1001,MATCH(ROWS($O$2:O790),$O$2:$O$1001,0),1)&gt;=100000,INDEX($V$1005:$AE$1005,1,MATCH(COLUMNS($V$1006:Y1006),$V$1006:$AE$1006,0))&gt;=100000), " ",IF(INDEX($V$2:$AE$1001,MATCH(ROWS($O$2:O790),$O$2:$O$1001,0),MATCH(COLUMNS($V$1006:Y1006),$V$1006:$AE$1006,0)), HYPERLINK("#",""), HYPERLINK(CONCATENATE("#Metadata!", ADDRESS(INDEX($Q$2:$Q$1001,MATCH(ROWS($O$2:O790),$O$2:$O$1001,0),0), INDEX($V$1004:$AE$1004,1,MATCH(COLUMNS($V$1006:Y1006),$V$1006:$AE$1006,0)))),"Fix")))</f>
        <v>0</v>
      </c>
      <c r="F790" s="3">
        <f>IF(OR(INDEX($P$2:$P$1001,MATCH(ROWS($O$2:O790),$O$2:$O$1001,0),1)&gt;=100000,INDEX($V$1005:$AE$1005,1,MATCH(COLUMNS($V$1006:Z1006),$V$1006:$AE$1006,0))&gt;=100000), " ",IF(INDEX($V$2:$AE$1001,MATCH(ROWS($O$2:O790),$O$2:$O$1001,0),MATCH(COLUMNS($V$1006:Z1006),$V$1006:$AE$1006,0)), HYPERLINK("#",""), HYPERLINK(CONCATENATE("#Metadata!", ADDRESS(INDEX($Q$2:$Q$1001,MATCH(ROWS($O$2:O790),$O$2:$O$1001,0),0), INDEX($V$1004:$AE$1004,1,MATCH(COLUMNS($V$1006:Z1006),$V$1006:$AE$1006,0)))),"Fix")))</f>
        <v>0</v>
      </c>
      <c r="G790" s="3">
        <f>IF(OR(INDEX($P$2:$P$1001,MATCH(ROWS($O$2:O790),$O$2:$O$1001,0),1)&gt;=100000,INDEX($V$1005:$AE$1005,1,MATCH(COLUMNS($V$1006:AA1006),$V$1006:$AE$1006,0))&gt;=100000), " ",IF(INDEX($V$2:$AE$1001,MATCH(ROWS($O$2:O790),$O$2:$O$1001,0),MATCH(COLUMNS($V$1006:AA1006),$V$1006:$AE$1006,0)), HYPERLINK("#",""), HYPERLINK(CONCATENATE("#Metadata!", ADDRESS(INDEX($Q$2:$Q$1001,MATCH(ROWS($O$2:O790),$O$2:$O$1001,0),0), INDEX($V$1004:$AE$1004,1,MATCH(COLUMNS($V$1006:AA1006),$V$1006:$AE$1006,0)))),"Fix")))</f>
        <v>0</v>
      </c>
      <c r="H790" s="3">
        <f>IF(OR(INDEX($P$2:$P$1001,MATCH(ROWS($O$2:O790),$O$2:$O$1001,0),1)&gt;=100000,INDEX($V$1005:$AE$1005,1,MATCH(COLUMNS($V$1006:AB1006),$V$1006:$AE$1006,0))&gt;=100000), " ",IF(INDEX($V$2:$AE$1001,MATCH(ROWS($O$2:O790),$O$2:$O$1001,0),MATCH(COLUMNS($V$1006:AB1006),$V$1006:$AE$1006,0)), HYPERLINK("#",""), HYPERLINK(CONCATENATE("#Metadata!", ADDRESS(INDEX($Q$2:$Q$1001,MATCH(ROWS($O$2:O790),$O$2:$O$1001,0),0), INDEX($V$1004:$AE$1004,1,MATCH(COLUMNS($V$1006:AB1006),$V$1006:$AE$1006,0)))),"Fix")))</f>
        <v>0</v>
      </c>
      <c r="I790" s="3">
        <f>IF(OR(INDEX($P$2:$P$1001,MATCH(ROWS($O$2:O790),$O$2:$O$1001,0),1)&gt;=100000,INDEX($V$1005:$AE$1005,1,MATCH(COLUMNS($V$1006:AC1006),$V$1006:$AE$1006,0))&gt;=100000), " ",IF(INDEX($V$2:$AE$1001,MATCH(ROWS($O$2:O790),$O$2:$O$1001,0),MATCH(COLUMNS($V$1006:AC1006),$V$1006:$AE$1006,0)), HYPERLINK("#",""), HYPERLINK(CONCATENATE("#Metadata!", ADDRESS(INDEX($Q$2:$Q$1001,MATCH(ROWS($O$2:O790),$O$2:$O$1001,0),0), INDEX($V$1004:$AE$1004,1,MATCH(COLUMNS($V$1006:AC1006),$V$1006:$AE$1006,0)))),"Fix")))</f>
        <v>0</v>
      </c>
      <c r="J790" s="3">
        <f>IF(OR(INDEX($P$2:$P$1001,MATCH(ROWS($O$2:O790),$O$2:$O$1001,0),1)&gt;=100000,INDEX($V$1005:$AE$1005,1,MATCH(COLUMNS($V$1006:AD1006),$V$1006:$AE$1006,0))&gt;=100000), " ",IF(INDEX($V$2:$AE$1001,MATCH(ROWS($O$2:O790),$O$2:$O$1001,0),MATCH(COLUMNS($V$1006:AD1006),$V$1006:$AE$1006,0)), HYPERLINK("#",""), HYPERLINK(CONCATENATE("#Metadata!", ADDRESS(INDEX($Q$2:$Q$1001,MATCH(ROWS($O$2:O790),$O$2:$O$1001,0),0), INDEX($V$1004:$AE$1004,1,MATCH(COLUMNS($V$1006:AD1006),$V$1006:$AE$1006,0)))),"Fix")))</f>
        <v>0</v>
      </c>
      <c r="K790" s="3">
        <f>IF(OR(INDEX($P$2:$P$1001,MATCH(ROWS($O$2:O790),$O$2:$O$1001,0),1)&gt;=100000,INDEX($V$1005:$AE$1005,1,MATCH(COLUMNS($V$1006:AE1006),$V$1006:$AE$1006,0))&gt;=100000), " ",IF(INDEX($V$2:$AE$1001,MATCH(ROWS($O$2:O790),$O$2:$O$1001,0),MATCH(COLUMNS($V$1006:AE1006),$V$1006:$AE$1006,0)), HYPERLINK("#",""), HYPERLINK(CONCATENATE("#Metadata!", ADDRESS(INDEX($Q$2:$Q$1001,MATCH(ROWS($O$2:O790),$O$2:$O$1001,0),0), INDEX($V$1004:$AE$1004,1,MATCH(COLUMNS($V$1006:AE1006),$V$1006:$AE$1006,0)))),"Fix")))</f>
        <v>0</v>
      </c>
      <c r="O790">
        <v>0</v>
      </c>
      <c r="P790">
        <v>0</v>
      </c>
      <c r="Q790">
        <v>0</v>
      </c>
      <c r="R790">
        <f>IF(S790,TRUE,AND(V790:AE790))</f>
        <v>0</v>
      </c>
      <c r="S790">
        <f>COUNTBLANK(Metadata!B790:K790)=COLUMNS(Metadata!B790:K790)</f>
        <v>0</v>
      </c>
      <c r="T790">
        <v>0</v>
      </c>
      <c r="V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W790">
        <f>AND(IF(Metadata!C790="",FALSE,TRUE),exact(Metadata!C790,"animal secretion"))</f>
        <v>0</v>
      </c>
      <c r="X790">
        <f>AND(IF(Metadata!D790="",FALSE,TRUE),exact(Metadata!D790,"saliva"))</f>
        <v>0</v>
      </c>
      <c r="Y790">
        <f>AND(IF(Metadata!E790="",FALSE,TRUE),exact(Metadata!E790,"human-oral"))</f>
        <v>0</v>
      </c>
      <c r="Z790">
        <f>AND(IF(Metadata!F790="",FALSE,TRUE),exact(Metadata!F790,"UBERON:oral cavity"))</f>
        <v>0</v>
      </c>
      <c r="AA790">
        <f>AND(IF(Metadata!G790="",FALSE,TRUE),exact(Metadata!G790,"UBERON:saliva"))</f>
        <v>0</v>
      </c>
      <c r="AB790">
        <f>AND(IF(Metadata!H790="",FALSE,TRUE),exact(Metadata!H790,"UBERON:tongue"))</f>
        <v>0</v>
      </c>
      <c r="AC790">
        <f>AND(IF(Metadata!I790="",FALSE,TRUE),exact(Metadata!I790,"tongue"))</f>
        <v>0</v>
      </c>
      <c r="AD790">
        <f>AND(IF(Metadata!J790="",FALSE,TRUE),exact(Metadata!J790,"human oral metagenome"))</f>
        <v>0</v>
      </c>
      <c r="AE790">
        <f>AND(IF(Metadata!K790="",FALSE,TRUE),exact(Metadata!K790,"447426"))</f>
        <v>0</v>
      </c>
    </row>
    <row r="791" spans="1:31">
      <c r="A791" s="4">
        <f>IF(B791=" "," ",HYPERLINK(CONCATENATE("#metadata!",ADDRESS(INDEX($Q$2:$Q$1001,MATCH(ROWS($O$2:O791),$O$2:$O$1001,0),0),1)),INDEX($T$2:$T$1001,MATCH(ROWS($O$2:O791),$O$2:$O$1001,0),0)))</f>
        <v>0</v>
      </c>
      <c r="B791" s="3">
        <f>IF(OR(INDEX($P$2:$P$1001,MATCH(ROWS($O$2:O791),$O$2:$O$1001,0),1)&gt;=100000,INDEX($V$1005:$AE$1005,1,MATCH(COLUMNS($V$1006:V1006),$V$1006:$AE$1006,0))&gt;=100000), " ",IF(INDEX($V$2:$AE$1001,MATCH(ROWS($O$2:O791),$O$2:$O$1001,0),MATCH(COLUMNS($V$1006:V1006),$V$1006:$AE$1006,0)), HYPERLINK("#",""), HYPERLINK(CONCATENATE("#Metadata!", ADDRESS(INDEX($Q$2:$Q$1001,MATCH(ROWS($O$2:O791),$O$2:$O$1001,0),0), INDEX($V$1004:$AE$1004,1,MATCH(COLUMNS($V$1006:V1006),$V$1006:$AE$1006,0)))),"Fix")))</f>
        <v>0</v>
      </c>
      <c r="C791" s="3">
        <f>IF(OR(INDEX($P$2:$P$1001,MATCH(ROWS($O$2:O791),$O$2:$O$1001,0),1)&gt;=100000,INDEX($V$1005:$AE$1005,1,MATCH(COLUMNS($V$1006:W1006),$V$1006:$AE$1006,0))&gt;=100000), " ",IF(INDEX($V$2:$AE$1001,MATCH(ROWS($O$2:O791),$O$2:$O$1001,0),MATCH(COLUMNS($V$1006:W1006),$V$1006:$AE$1006,0)), HYPERLINK("#",""), HYPERLINK(CONCATENATE("#Metadata!", ADDRESS(INDEX($Q$2:$Q$1001,MATCH(ROWS($O$2:O791),$O$2:$O$1001,0),0), INDEX($V$1004:$AE$1004,1,MATCH(COLUMNS($V$1006:W1006),$V$1006:$AE$1006,0)))),"Fix")))</f>
        <v>0</v>
      </c>
      <c r="D791" s="3">
        <f>IF(OR(INDEX($P$2:$P$1001,MATCH(ROWS($O$2:O791),$O$2:$O$1001,0),1)&gt;=100000,INDEX($V$1005:$AE$1005,1,MATCH(COLUMNS($V$1006:X1006),$V$1006:$AE$1006,0))&gt;=100000), " ",IF(INDEX($V$2:$AE$1001,MATCH(ROWS($O$2:O791),$O$2:$O$1001,0),MATCH(COLUMNS($V$1006:X1006),$V$1006:$AE$1006,0)), HYPERLINK("#",""), HYPERLINK(CONCATENATE("#Metadata!", ADDRESS(INDEX($Q$2:$Q$1001,MATCH(ROWS($O$2:O791),$O$2:$O$1001,0),0), INDEX($V$1004:$AE$1004,1,MATCH(COLUMNS($V$1006:X1006),$V$1006:$AE$1006,0)))),"Fix")))</f>
        <v>0</v>
      </c>
      <c r="E791" s="3">
        <f>IF(OR(INDEX($P$2:$P$1001,MATCH(ROWS($O$2:O791),$O$2:$O$1001,0),1)&gt;=100000,INDEX($V$1005:$AE$1005,1,MATCH(COLUMNS($V$1006:Y1006),$V$1006:$AE$1006,0))&gt;=100000), " ",IF(INDEX($V$2:$AE$1001,MATCH(ROWS($O$2:O791),$O$2:$O$1001,0),MATCH(COLUMNS($V$1006:Y1006),$V$1006:$AE$1006,0)), HYPERLINK("#",""), HYPERLINK(CONCATENATE("#Metadata!", ADDRESS(INDEX($Q$2:$Q$1001,MATCH(ROWS($O$2:O791),$O$2:$O$1001,0),0), INDEX($V$1004:$AE$1004,1,MATCH(COLUMNS($V$1006:Y1006),$V$1006:$AE$1006,0)))),"Fix")))</f>
        <v>0</v>
      </c>
      <c r="F791" s="3">
        <f>IF(OR(INDEX($P$2:$P$1001,MATCH(ROWS($O$2:O791),$O$2:$O$1001,0),1)&gt;=100000,INDEX($V$1005:$AE$1005,1,MATCH(COLUMNS($V$1006:Z1006),$V$1006:$AE$1006,0))&gt;=100000), " ",IF(INDEX($V$2:$AE$1001,MATCH(ROWS($O$2:O791),$O$2:$O$1001,0),MATCH(COLUMNS($V$1006:Z1006),$V$1006:$AE$1006,0)), HYPERLINK("#",""), HYPERLINK(CONCATENATE("#Metadata!", ADDRESS(INDEX($Q$2:$Q$1001,MATCH(ROWS($O$2:O791),$O$2:$O$1001,0),0), INDEX($V$1004:$AE$1004,1,MATCH(COLUMNS($V$1006:Z1006),$V$1006:$AE$1006,0)))),"Fix")))</f>
        <v>0</v>
      </c>
      <c r="G791" s="3">
        <f>IF(OR(INDEX($P$2:$P$1001,MATCH(ROWS($O$2:O791),$O$2:$O$1001,0),1)&gt;=100000,INDEX($V$1005:$AE$1005,1,MATCH(COLUMNS($V$1006:AA1006),$V$1006:$AE$1006,0))&gt;=100000), " ",IF(INDEX($V$2:$AE$1001,MATCH(ROWS($O$2:O791),$O$2:$O$1001,0),MATCH(COLUMNS($V$1006:AA1006),$V$1006:$AE$1006,0)), HYPERLINK("#",""), HYPERLINK(CONCATENATE("#Metadata!", ADDRESS(INDEX($Q$2:$Q$1001,MATCH(ROWS($O$2:O791),$O$2:$O$1001,0),0), INDEX($V$1004:$AE$1004,1,MATCH(COLUMNS($V$1006:AA1006),$V$1006:$AE$1006,0)))),"Fix")))</f>
        <v>0</v>
      </c>
      <c r="H791" s="3">
        <f>IF(OR(INDEX($P$2:$P$1001,MATCH(ROWS($O$2:O791),$O$2:$O$1001,0),1)&gt;=100000,INDEX($V$1005:$AE$1005,1,MATCH(COLUMNS($V$1006:AB1006),$V$1006:$AE$1006,0))&gt;=100000), " ",IF(INDEX($V$2:$AE$1001,MATCH(ROWS($O$2:O791),$O$2:$O$1001,0),MATCH(COLUMNS($V$1006:AB1006),$V$1006:$AE$1006,0)), HYPERLINK("#",""), HYPERLINK(CONCATENATE("#Metadata!", ADDRESS(INDEX($Q$2:$Q$1001,MATCH(ROWS($O$2:O791),$O$2:$O$1001,0),0), INDEX($V$1004:$AE$1004,1,MATCH(COLUMNS($V$1006:AB1006),$V$1006:$AE$1006,0)))),"Fix")))</f>
        <v>0</v>
      </c>
      <c r="I791" s="3">
        <f>IF(OR(INDEX($P$2:$P$1001,MATCH(ROWS($O$2:O791),$O$2:$O$1001,0),1)&gt;=100000,INDEX($V$1005:$AE$1005,1,MATCH(COLUMNS($V$1006:AC1006),$V$1006:$AE$1006,0))&gt;=100000), " ",IF(INDEX($V$2:$AE$1001,MATCH(ROWS($O$2:O791),$O$2:$O$1001,0),MATCH(COLUMNS($V$1006:AC1006),$V$1006:$AE$1006,0)), HYPERLINK("#",""), HYPERLINK(CONCATENATE("#Metadata!", ADDRESS(INDEX($Q$2:$Q$1001,MATCH(ROWS($O$2:O791),$O$2:$O$1001,0),0), INDEX($V$1004:$AE$1004,1,MATCH(COLUMNS($V$1006:AC1006),$V$1006:$AE$1006,0)))),"Fix")))</f>
        <v>0</v>
      </c>
      <c r="J791" s="3">
        <f>IF(OR(INDEX($P$2:$P$1001,MATCH(ROWS($O$2:O791),$O$2:$O$1001,0),1)&gt;=100000,INDEX($V$1005:$AE$1005,1,MATCH(COLUMNS($V$1006:AD1006),$V$1006:$AE$1006,0))&gt;=100000), " ",IF(INDEX($V$2:$AE$1001,MATCH(ROWS($O$2:O791),$O$2:$O$1001,0),MATCH(COLUMNS($V$1006:AD1006),$V$1006:$AE$1006,0)), HYPERLINK("#",""), HYPERLINK(CONCATENATE("#Metadata!", ADDRESS(INDEX($Q$2:$Q$1001,MATCH(ROWS($O$2:O791),$O$2:$O$1001,0),0), INDEX($V$1004:$AE$1004,1,MATCH(COLUMNS($V$1006:AD1006),$V$1006:$AE$1006,0)))),"Fix")))</f>
        <v>0</v>
      </c>
      <c r="K791" s="3">
        <f>IF(OR(INDEX($P$2:$P$1001,MATCH(ROWS($O$2:O791),$O$2:$O$1001,0),1)&gt;=100000,INDEX($V$1005:$AE$1005,1,MATCH(COLUMNS($V$1006:AE1006),$V$1006:$AE$1006,0))&gt;=100000), " ",IF(INDEX($V$2:$AE$1001,MATCH(ROWS($O$2:O791),$O$2:$O$1001,0),MATCH(COLUMNS($V$1006:AE1006),$V$1006:$AE$1006,0)), HYPERLINK("#",""), HYPERLINK(CONCATENATE("#Metadata!", ADDRESS(INDEX($Q$2:$Q$1001,MATCH(ROWS($O$2:O791),$O$2:$O$1001,0),0), INDEX($V$1004:$AE$1004,1,MATCH(COLUMNS($V$1006:AE1006),$V$1006:$AE$1006,0)))),"Fix")))</f>
        <v>0</v>
      </c>
      <c r="O791">
        <v>0</v>
      </c>
      <c r="P791">
        <v>0</v>
      </c>
      <c r="Q791">
        <v>0</v>
      </c>
      <c r="R791">
        <f>IF(S791,TRUE,AND(V791:AE791))</f>
        <v>0</v>
      </c>
      <c r="S791">
        <f>COUNTBLANK(Metadata!B791:K791)=COLUMNS(Metadata!B791:K791)</f>
        <v>0</v>
      </c>
      <c r="T791">
        <v>0</v>
      </c>
      <c r="V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W791">
        <f>AND(IF(Metadata!C791="",FALSE,TRUE),exact(Metadata!C791,"animal secretion"))</f>
        <v>0</v>
      </c>
      <c r="X791">
        <f>AND(IF(Metadata!D791="",FALSE,TRUE),exact(Metadata!D791,"saliva"))</f>
        <v>0</v>
      </c>
      <c r="Y791">
        <f>AND(IF(Metadata!E791="",FALSE,TRUE),exact(Metadata!E791,"human-oral"))</f>
        <v>0</v>
      </c>
      <c r="Z791">
        <f>AND(IF(Metadata!F791="",FALSE,TRUE),exact(Metadata!F791,"UBERON:oral cavity"))</f>
        <v>0</v>
      </c>
      <c r="AA791">
        <f>AND(IF(Metadata!G791="",FALSE,TRUE),exact(Metadata!G791,"UBERON:saliva"))</f>
        <v>0</v>
      </c>
      <c r="AB791">
        <f>AND(IF(Metadata!H791="",FALSE,TRUE),exact(Metadata!H791,"UBERON:tongue"))</f>
        <v>0</v>
      </c>
      <c r="AC791">
        <f>AND(IF(Metadata!I791="",FALSE,TRUE),exact(Metadata!I791,"tongue"))</f>
        <v>0</v>
      </c>
      <c r="AD791">
        <f>AND(IF(Metadata!J791="",FALSE,TRUE),exact(Metadata!J791,"human oral metagenome"))</f>
        <v>0</v>
      </c>
      <c r="AE791">
        <f>AND(IF(Metadata!K791="",FALSE,TRUE),exact(Metadata!K791,"447426"))</f>
        <v>0</v>
      </c>
    </row>
    <row r="792" spans="1:31">
      <c r="A792" s="4">
        <f>IF(B792=" "," ",HYPERLINK(CONCATENATE("#metadata!",ADDRESS(INDEX($Q$2:$Q$1001,MATCH(ROWS($O$2:O792),$O$2:$O$1001,0),0),1)),INDEX($T$2:$T$1001,MATCH(ROWS($O$2:O792),$O$2:$O$1001,0),0)))</f>
        <v>0</v>
      </c>
      <c r="B792" s="3">
        <f>IF(OR(INDEX($P$2:$P$1001,MATCH(ROWS($O$2:O792),$O$2:$O$1001,0),1)&gt;=100000,INDEX($V$1005:$AE$1005,1,MATCH(COLUMNS($V$1006:V1006),$V$1006:$AE$1006,0))&gt;=100000), " ",IF(INDEX($V$2:$AE$1001,MATCH(ROWS($O$2:O792),$O$2:$O$1001,0),MATCH(COLUMNS($V$1006:V1006),$V$1006:$AE$1006,0)), HYPERLINK("#",""), HYPERLINK(CONCATENATE("#Metadata!", ADDRESS(INDEX($Q$2:$Q$1001,MATCH(ROWS($O$2:O792),$O$2:$O$1001,0),0), INDEX($V$1004:$AE$1004,1,MATCH(COLUMNS($V$1006:V1006),$V$1006:$AE$1006,0)))),"Fix")))</f>
        <v>0</v>
      </c>
      <c r="C792" s="3">
        <f>IF(OR(INDEX($P$2:$P$1001,MATCH(ROWS($O$2:O792),$O$2:$O$1001,0),1)&gt;=100000,INDEX($V$1005:$AE$1005,1,MATCH(COLUMNS($V$1006:W1006),$V$1006:$AE$1006,0))&gt;=100000), " ",IF(INDEX($V$2:$AE$1001,MATCH(ROWS($O$2:O792),$O$2:$O$1001,0),MATCH(COLUMNS($V$1006:W1006),$V$1006:$AE$1006,0)), HYPERLINK("#",""), HYPERLINK(CONCATENATE("#Metadata!", ADDRESS(INDEX($Q$2:$Q$1001,MATCH(ROWS($O$2:O792),$O$2:$O$1001,0),0), INDEX($V$1004:$AE$1004,1,MATCH(COLUMNS($V$1006:W1006),$V$1006:$AE$1006,0)))),"Fix")))</f>
        <v>0</v>
      </c>
      <c r="D792" s="3">
        <f>IF(OR(INDEX($P$2:$P$1001,MATCH(ROWS($O$2:O792),$O$2:$O$1001,0),1)&gt;=100000,INDEX($V$1005:$AE$1005,1,MATCH(COLUMNS($V$1006:X1006),$V$1006:$AE$1006,0))&gt;=100000), " ",IF(INDEX($V$2:$AE$1001,MATCH(ROWS($O$2:O792),$O$2:$O$1001,0),MATCH(COLUMNS($V$1006:X1006),$V$1006:$AE$1006,0)), HYPERLINK("#",""), HYPERLINK(CONCATENATE("#Metadata!", ADDRESS(INDEX($Q$2:$Q$1001,MATCH(ROWS($O$2:O792),$O$2:$O$1001,0),0), INDEX($V$1004:$AE$1004,1,MATCH(COLUMNS($V$1006:X1006),$V$1006:$AE$1006,0)))),"Fix")))</f>
        <v>0</v>
      </c>
      <c r="E792" s="3">
        <f>IF(OR(INDEX($P$2:$P$1001,MATCH(ROWS($O$2:O792),$O$2:$O$1001,0),1)&gt;=100000,INDEX($V$1005:$AE$1005,1,MATCH(COLUMNS($V$1006:Y1006),$V$1006:$AE$1006,0))&gt;=100000), " ",IF(INDEX($V$2:$AE$1001,MATCH(ROWS($O$2:O792),$O$2:$O$1001,0),MATCH(COLUMNS($V$1006:Y1006),$V$1006:$AE$1006,0)), HYPERLINK("#",""), HYPERLINK(CONCATENATE("#Metadata!", ADDRESS(INDEX($Q$2:$Q$1001,MATCH(ROWS($O$2:O792),$O$2:$O$1001,0),0), INDEX($V$1004:$AE$1004,1,MATCH(COLUMNS($V$1006:Y1006),$V$1006:$AE$1006,0)))),"Fix")))</f>
        <v>0</v>
      </c>
      <c r="F792" s="3">
        <f>IF(OR(INDEX($P$2:$P$1001,MATCH(ROWS($O$2:O792),$O$2:$O$1001,0),1)&gt;=100000,INDEX($V$1005:$AE$1005,1,MATCH(COLUMNS($V$1006:Z1006),$V$1006:$AE$1006,0))&gt;=100000), " ",IF(INDEX($V$2:$AE$1001,MATCH(ROWS($O$2:O792),$O$2:$O$1001,0),MATCH(COLUMNS($V$1006:Z1006),$V$1006:$AE$1006,0)), HYPERLINK("#",""), HYPERLINK(CONCATENATE("#Metadata!", ADDRESS(INDEX($Q$2:$Q$1001,MATCH(ROWS($O$2:O792),$O$2:$O$1001,0),0), INDEX($V$1004:$AE$1004,1,MATCH(COLUMNS($V$1006:Z1006),$V$1006:$AE$1006,0)))),"Fix")))</f>
        <v>0</v>
      </c>
      <c r="G792" s="3">
        <f>IF(OR(INDEX($P$2:$P$1001,MATCH(ROWS($O$2:O792),$O$2:$O$1001,0),1)&gt;=100000,INDEX($V$1005:$AE$1005,1,MATCH(COLUMNS($V$1006:AA1006),$V$1006:$AE$1006,0))&gt;=100000), " ",IF(INDEX($V$2:$AE$1001,MATCH(ROWS($O$2:O792),$O$2:$O$1001,0),MATCH(COLUMNS($V$1006:AA1006),$V$1006:$AE$1006,0)), HYPERLINK("#",""), HYPERLINK(CONCATENATE("#Metadata!", ADDRESS(INDEX($Q$2:$Q$1001,MATCH(ROWS($O$2:O792),$O$2:$O$1001,0),0), INDEX($V$1004:$AE$1004,1,MATCH(COLUMNS($V$1006:AA1006),$V$1006:$AE$1006,0)))),"Fix")))</f>
        <v>0</v>
      </c>
      <c r="H792" s="3">
        <f>IF(OR(INDEX($P$2:$P$1001,MATCH(ROWS($O$2:O792),$O$2:$O$1001,0),1)&gt;=100000,INDEX($V$1005:$AE$1005,1,MATCH(COLUMNS($V$1006:AB1006),$V$1006:$AE$1006,0))&gt;=100000), " ",IF(INDEX($V$2:$AE$1001,MATCH(ROWS($O$2:O792),$O$2:$O$1001,0),MATCH(COLUMNS($V$1006:AB1006),$V$1006:$AE$1006,0)), HYPERLINK("#",""), HYPERLINK(CONCATENATE("#Metadata!", ADDRESS(INDEX($Q$2:$Q$1001,MATCH(ROWS($O$2:O792),$O$2:$O$1001,0),0), INDEX($V$1004:$AE$1004,1,MATCH(COLUMNS($V$1006:AB1006),$V$1006:$AE$1006,0)))),"Fix")))</f>
        <v>0</v>
      </c>
      <c r="I792" s="3">
        <f>IF(OR(INDEX($P$2:$P$1001,MATCH(ROWS($O$2:O792),$O$2:$O$1001,0),1)&gt;=100000,INDEX($V$1005:$AE$1005,1,MATCH(COLUMNS($V$1006:AC1006),$V$1006:$AE$1006,0))&gt;=100000), " ",IF(INDEX($V$2:$AE$1001,MATCH(ROWS($O$2:O792),$O$2:$O$1001,0),MATCH(COLUMNS($V$1006:AC1006),$V$1006:$AE$1006,0)), HYPERLINK("#",""), HYPERLINK(CONCATENATE("#Metadata!", ADDRESS(INDEX($Q$2:$Q$1001,MATCH(ROWS($O$2:O792),$O$2:$O$1001,0),0), INDEX($V$1004:$AE$1004,1,MATCH(COLUMNS($V$1006:AC1006),$V$1006:$AE$1006,0)))),"Fix")))</f>
        <v>0</v>
      </c>
      <c r="J792" s="3">
        <f>IF(OR(INDEX($P$2:$P$1001,MATCH(ROWS($O$2:O792),$O$2:$O$1001,0),1)&gt;=100000,INDEX($V$1005:$AE$1005,1,MATCH(COLUMNS($V$1006:AD1006),$V$1006:$AE$1006,0))&gt;=100000), " ",IF(INDEX($V$2:$AE$1001,MATCH(ROWS($O$2:O792),$O$2:$O$1001,0),MATCH(COLUMNS($V$1006:AD1006),$V$1006:$AE$1006,0)), HYPERLINK("#",""), HYPERLINK(CONCATENATE("#Metadata!", ADDRESS(INDEX($Q$2:$Q$1001,MATCH(ROWS($O$2:O792),$O$2:$O$1001,0),0), INDEX($V$1004:$AE$1004,1,MATCH(COLUMNS($V$1006:AD1006),$V$1006:$AE$1006,0)))),"Fix")))</f>
        <v>0</v>
      </c>
      <c r="K792" s="3">
        <f>IF(OR(INDEX($P$2:$P$1001,MATCH(ROWS($O$2:O792),$O$2:$O$1001,0),1)&gt;=100000,INDEX($V$1005:$AE$1005,1,MATCH(COLUMNS($V$1006:AE1006),$V$1006:$AE$1006,0))&gt;=100000), " ",IF(INDEX($V$2:$AE$1001,MATCH(ROWS($O$2:O792),$O$2:$O$1001,0),MATCH(COLUMNS($V$1006:AE1006),$V$1006:$AE$1006,0)), HYPERLINK("#",""), HYPERLINK(CONCATENATE("#Metadata!", ADDRESS(INDEX($Q$2:$Q$1001,MATCH(ROWS($O$2:O792),$O$2:$O$1001,0),0), INDEX($V$1004:$AE$1004,1,MATCH(COLUMNS($V$1006:AE1006),$V$1006:$AE$1006,0)))),"Fix")))</f>
        <v>0</v>
      </c>
      <c r="O792">
        <v>0</v>
      </c>
      <c r="P792">
        <v>0</v>
      </c>
      <c r="Q792">
        <v>0</v>
      </c>
      <c r="R792">
        <f>IF(S792,TRUE,AND(V792:AE792))</f>
        <v>0</v>
      </c>
      <c r="S792">
        <f>COUNTBLANK(Metadata!B792:K792)=COLUMNS(Metadata!B792:K792)</f>
        <v>0</v>
      </c>
      <c r="T792">
        <v>0</v>
      </c>
      <c r="V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W792">
        <f>AND(IF(Metadata!C792="",FALSE,TRUE),exact(Metadata!C792,"animal secretion"))</f>
        <v>0</v>
      </c>
      <c r="X792">
        <f>AND(IF(Metadata!D792="",FALSE,TRUE),exact(Metadata!D792,"saliva"))</f>
        <v>0</v>
      </c>
      <c r="Y792">
        <f>AND(IF(Metadata!E792="",FALSE,TRUE),exact(Metadata!E792,"human-oral"))</f>
        <v>0</v>
      </c>
      <c r="Z792">
        <f>AND(IF(Metadata!F792="",FALSE,TRUE),exact(Metadata!F792,"UBERON:oral cavity"))</f>
        <v>0</v>
      </c>
      <c r="AA792">
        <f>AND(IF(Metadata!G792="",FALSE,TRUE),exact(Metadata!G792,"UBERON:saliva"))</f>
        <v>0</v>
      </c>
      <c r="AB792">
        <f>AND(IF(Metadata!H792="",FALSE,TRUE),exact(Metadata!H792,"UBERON:tongue"))</f>
        <v>0</v>
      </c>
      <c r="AC792">
        <f>AND(IF(Metadata!I792="",FALSE,TRUE),exact(Metadata!I792,"tongue"))</f>
        <v>0</v>
      </c>
      <c r="AD792">
        <f>AND(IF(Metadata!J792="",FALSE,TRUE),exact(Metadata!J792,"human oral metagenome"))</f>
        <v>0</v>
      </c>
      <c r="AE792">
        <f>AND(IF(Metadata!K792="",FALSE,TRUE),exact(Metadata!K792,"447426"))</f>
        <v>0</v>
      </c>
    </row>
    <row r="793" spans="1:31">
      <c r="A793" s="4">
        <f>IF(B793=" "," ",HYPERLINK(CONCATENATE("#metadata!",ADDRESS(INDEX($Q$2:$Q$1001,MATCH(ROWS($O$2:O793),$O$2:$O$1001,0),0),1)),INDEX($T$2:$T$1001,MATCH(ROWS($O$2:O793),$O$2:$O$1001,0),0)))</f>
        <v>0</v>
      </c>
      <c r="B793" s="3">
        <f>IF(OR(INDEX($P$2:$P$1001,MATCH(ROWS($O$2:O793),$O$2:$O$1001,0),1)&gt;=100000,INDEX($V$1005:$AE$1005,1,MATCH(COLUMNS($V$1006:V1006),$V$1006:$AE$1006,0))&gt;=100000), " ",IF(INDEX($V$2:$AE$1001,MATCH(ROWS($O$2:O793),$O$2:$O$1001,0),MATCH(COLUMNS($V$1006:V1006),$V$1006:$AE$1006,0)), HYPERLINK("#",""), HYPERLINK(CONCATENATE("#Metadata!", ADDRESS(INDEX($Q$2:$Q$1001,MATCH(ROWS($O$2:O793),$O$2:$O$1001,0),0), INDEX($V$1004:$AE$1004,1,MATCH(COLUMNS($V$1006:V1006),$V$1006:$AE$1006,0)))),"Fix")))</f>
        <v>0</v>
      </c>
      <c r="C793" s="3">
        <f>IF(OR(INDEX($P$2:$P$1001,MATCH(ROWS($O$2:O793),$O$2:$O$1001,0),1)&gt;=100000,INDEX($V$1005:$AE$1005,1,MATCH(COLUMNS($V$1006:W1006),$V$1006:$AE$1006,0))&gt;=100000), " ",IF(INDEX($V$2:$AE$1001,MATCH(ROWS($O$2:O793),$O$2:$O$1001,0),MATCH(COLUMNS($V$1006:W1006),$V$1006:$AE$1006,0)), HYPERLINK("#",""), HYPERLINK(CONCATENATE("#Metadata!", ADDRESS(INDEX($Q$2:$Q$1001,MATCH(ROWS($O$2:O793),$O$2:$O$1001,0),0), INDEX($V$1004:$AE$1004,1,MATCH(COLUMNS($V$1006:W1006),$V$1006:$AE$1006,0)))),"Fix")))</f>
        <v>0</v>
      </c>
      <c r="D793" s="3">
        <f>IF(OR(INDEX($P$2:$P$1001,MATCH(ROWS($O$2:O793),$O$2:$O$1001,0),1)&gt;=100000,INDEX($V$1005:$AE$1005,1,MATCH(COLUMNS($V$1006:X1006),$V$1006:$AE$1006,0))&gt;=100000), " ",IF(INDEX($V$2:$AE$1001,MATCH(ROWS($O$2:O793),$O$2:$O$1001,0),MATCH(COLUMNS($V$1006:X1006),$V$1006:$AE$1006,0)), HYPERLINK("#",""), HYPERLINK(CONCATENATE("#Metadata!", ADDRESS(INDEX($Q$2:$Q$1001,MATCH(ROWS($O$2:O793),$O$2:$O$1001,0),0), INDEX($V$1004:$AE$1004,1,MATCH(COLUMNS($V$1006:X1006),$V$1006:$AE$1006,0)))),"Fix")))</f>
        <v>0</v>
      </c>
      <c r="E793" s="3">
        <f>IF(OR(INDEX($P$2:$P$1001,MATCH(ROWS($O$2:O793),$O$2:$O$1001,0),1)&gt;=100000,INDEX($V$1005:$AE$1005,1,MATCH(COLUMNS($V$1006:Y1006),$V$1006:$AE$1006,0))&gt;=100000), " ",IF(INDEX($V$2:$AE$1001,MATCH(ROWS($O$2:O793),$O$2:$O$1001,0),MATCH(COLUMNS($V$1006:Y1006),$V$1006:$AE$1006,0)), HYPERLINK("#",""), HYPERLINK(CONCATENATE("#Metadata!", ADDRESS(INDEX($Q$2:$Q$1001,MATCH(ROWS($O$2:O793),$O$2:$O$1001,0),0), INDEX($V$1004:$AE$1004,1,MATCH(COLUMNS($V$1006:Y1006),$V$1006:$AE$1006,0)))),"Fix")))</f>
        <v>0</v>
      </c>
      <c r="F793" s="3">
        <f>IF(OR(INDEX($P$2:$P$1001,MATCH(ROWS($O$2:O793),$O$2:$O$1001,0),1)&gt;=100000,INDEX($V$1005:$AE$1005,1,MATCH(COLUMNS($V$1006:Z1006),$V$1006:$AE$1006,0))&gt;=100000), " ",IF(INDEX($V$2:$AE$1001,MATCH(ROWS($O$2:O793),$O$2:$O$1001,0),MATCH(COLUMNS($V$1006:Z1006),$V$1006:$AE$1006,0)), HYPERLINK("#",""), HYPERLINK(CONCATENATE("#Metadata!", ADDRESS(INDEX($Q$2:$Q$1001,MATCH(ROWS($O$2:O793),$O$2:$O$1001,0),0), INDEX($V$1004:$AE$1004,1,MATCH(COLUMNS($V$1006:Z1006),$V$1006:$AE$1006,0)))),"Fix")))</f>
        <v>0</v>
      </c>
      <c r="G793" s="3">
        <f>IF(OR(INDEX($P$2:$P$1001,MATCH(ROWS($O$2:O793),$O$2:$O$1001,0),1)&gt;=100000,INDEX($V$1005:$AE$1005,1,MATCH(COLUMNS($V$1006:AA1006),$V$1006:$AE$1006,0))&gt;=100000), " ",IF(INDEX($V$2:$AE$1001,MATCH(ROWS($O$2:O793),$O$2:$O$1001,0),MATCH(COLUMNS($V$1006:AA1006),$V$1006:$AE$1006,0)), HYPERLINK("#",""), HYPERLINK(CONCATENATE("#Metadata!", ADDRESS(INDEX($Q$2:$Q$1001,MATCH(ROWS($O$2:O793),$O$2:$O$1001,0),0), INDEX($V$1004:$AE$1004,1,MATCH(COLUMNS($V$1006:AA1006),$V$1006:$AE$1006,0)))),"Fix")))</f>
        <v>0</v>
      </c>
      <c r="H793" s="3">
        <f>IF(OR(INDEX($P$2:$P$1001,MATCH(ROWS($O$2:O793),$O$2:$O$1001,0),1)&gt;=100000,INDEX($V$1005:$AE$1005,1,MATCH(COLUMNS($V$1006:AB1006),$V$1006:$AE$1006,0))&gt;=100000), " ",IF(INDEX($V$2:$AE$1001,MATCH(ROWS($O$2:O793),$O$2:$O$1001,0),MATCH(COLUMNS($V$1006:AB1006),$V$1006:$AE$1006,0)), HYPERLINK("#",""), HYPERLINK(CONCATENATE("#Metadata!", ADDRESS(INDEX($Q$2:$Q$1001,MATCH(ROWS($O$2:O793),$O$2:$O$1001,0),0), INDEX($V$1004:$AE$1004,1,MATCH(COLUMNS($V$1006:AB1006),$V$1006:$AE$1006,0)))),"Fix")))</f>
        <v>0</v>
      </c>
      <c r="I793" s="3">
        <f>IF(OR(INDEX($P$2:$P$1001,MATCH(ROWS($O$2:O793),$O$2:$O$1001,0),1)&gt;=100000,INDEX($V$1005:$AE$1005,1,MATCH(COLUMNS($V$1006:AC1006),$V$1006:$AE$1006,0))&gt;=100000), " ",IF(INDEX($V$2:$AE$1001,MATCH(ROWS($O$2:O793),$O$2:$O$1001,0),MATCH(COLUMNS($V$1006:AC1006),$V$1006:$AE$1006,0)), HYPERLINK("#",""), HYPERLINK(CONCATENATE("#Metadata!", ADDRESS(INDEX($Q$2:$Q$1001,MATCH(ROWS($O$2:O793),$O$2:$O$1001,0),0), INDEX($V$1004:$AE$1004,1,MATCH(COLUMNS($V$1006:AC1006),$V$1006:$AE$1006,0)))),"Fix")))</f>
        <v>0</v>
      </c>
      <c r="J793" s="3">
        <f>IF(OR(INDEX($P$2:$P$1001,MATCH(ROWS($O$2:O793),$O$2:$O$1001,0),1)&gt;=100000,INDEX($V$1005:$AE$1005,1,MATCH(COLUMNS($V$1006:AD1006),$V$1006:$AE$1006,0))&gt;=100000), " ",IF(INDEX($V$2:$AE$1001,MATCH(ROWS($O$2:O793),$O$2:$O$1001,0),MATCH(COLUMNS($V$1006:AD1006),$V$1006:$AE$1006,0)), HYPERLINK("#",""), HYPERLINK(CONCATENATE("#Metadata!", ADDRESS(INDEX($Q$2:$Q$1001,MATCH(ROWS($O$2:O793),$O$2:$O$1001,0),0), INDEX($V$1004:$AE$1004,1,MATCH(COLUMNS($V$1006:AD1006),$V$1006:$AE$1006,0)))),"Fix")))</f>
        <v>0</v>
      </c>
      <c r="K793" s="3">
        <f>IF(OR(INDEX($P$2:$P$1001,MATCH(ROWS($O$2:O793),$O$2:$O$1001,0),1)&gt;=100000,INDEX($V$1005:$AE$1005,1,MATCH(COLUMNS($V$1006:AE1006),$V$1006:$AE$1006,0))&gt;=100000), " ",IF(INDEX($V$2:$AE$1001,MATCH(ROWS($O$2:O793),$O$2:$O$1001,0),MATCH(COLUMNS($V$1006:AE1006),$V$1006:$AE$1006,0)), HYPERLINK("#",""), HYPERLINK(CONCATENATE("#Metadata!", ADDRESS(INDEX($Q$2:$Q$1001,MATCH(ROWS($O$2:O793),$O$2:$O$1001,0),0), INDEX($V$1004:$AE$1004,1,MATCH(COLUMNS($V$1006:AE1006),$V$1006:$AE$1006,0)))),"Fix")))</f>
        <v>0</v>
      </c>
      <c r="O793">
        <v>0</v>
      </c>
      <c r="P793">
        <v>0</v>
      </c>
      <c r="Q793">
        <v>0</v>
      </c>
      <c r="R793">
        <f>IF(S793,TRUE,AND(V793:AE793))</f>
        <v>0</v>
      </c>
      <c r="S793">
        <f>COUNTBLANK(Metadata!B793:K793)=COLUMNS(Metadata!B793:K793)</f>
        <v>0</v>
      </c>
      <c r="T793">
        <v>0</v>
      </c>
      <c r="V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W793">
        <f>AND(IF(Metadata!C793="",FALSE,TRUE),exact(Metadata!C793,"animal secretion"))</f>
        <v>0</v>
      </c>
      <c r="X793">
        <f>AND(IF(Metadata!D793="",FALSE,TRUE),exact(Metadata!D793,"saliva"))</f>
        <v>0</v>
      </c>
      <c r="Y793">
        <f>AND(IF(Metadata!E793="",FALSE,TRUE),exact(Metadata!E793,"human-oral"))</f>
        <v>0</v>
      </c>
      <c r="Z793">
        <f>AND(IF(Metadata!F793="",FALSE,TRUE),exact(Metadata!F793,"UBERON:oral cavity"))</f>
        <v>0</v>
      </c>
      <c r="AA793">
        <f>AND(IF(Metadata!G793="",FALSE,TRUE),exact(Metadata!G793,"UBERON:saliva"))</f>
        <v>0</v>
      </c>
      <c r="AB793">
        <f>AND(IF(Metadata!H793="",FALSE,TRUE),exact(Metadata!H793,"UBERON:tongue"))</f>
        <v>0</v>
      </c>
      <c r="AC793">
        <f>AND(IF(Metadata!I793="",FALSE,TRUE),exact(Metadata!I793,"tongue"))</f>
        <v>0</v>
      </c>
      <c r="AD793">
        <f>AND(IF(Metadata!J793="",FALSE,TRUE),exact(Metadata!J793,"human oral metagenome"))</f>
        <v>0</v>
      </c>
      <c r="AE793">
        <f>AND(IF(Metadata!K793="",FALSE,TRUE),exact(Metadata!K793,"447426"))</f>
        <v>0</v>
      </c>
    </row>
    <row r="794" spans="1:31">
      <c r="A794" s="4">
        <f>IF(B794=" "," ",HYPERLINK(CONCATENATE("#metadata!",ADDRESS(INDEX($Q$2:$Q$1001,MATCH(ROWS($O$2:O794),$O$2:$O$1001,0),0),1)),INDEX($T$2:$T$1001,MATCH(ROWS($O$2:O794),$O$2:$O$1001,0),0)))</f>
        <v>0</v>
      </c>
      <c r="B794" s="3">
        <f>IF(OR(INDEX($P$2:$P$1001,MATCH(ROWS($O$2:O794),$O$2:$O$1001,0),1)&gt;=100000,INDEX($V$1005:$AE$1005,1,MATCH(COLUMNS($V$1006:V1006),$V$1006:$AE$1006,0))&gt;=100000), " ",IF(INDEX($V$2:$AE$1001,MATCH(ROWS($O$2:O794),$O$2:$O$1001,0),MATCH(COLUMNS($V$1006:V1006),$V$1006:$AE$1006,0)), HYPERLINK("#",""), HYPERLINK(CONCATENATE("#Metadata!", ADDRESS(INDEX($Q$2:$Q$1001,MATCH(ROWS($O$2:O794),$O$2:$O$1001,0),0), INDEX($V$1004:$AE$1004,1,MATCH(COLUMNS($V$1006:V1006),$V$1006:$AE$1006,0)))),"Fix")))</f>
        <v>0</v>
      </c>
      <c r="C794" s="3">
        <f>IF(OR(INDEX($P$2:$P$1001,MATCH(ROWS($O$2:O794),$O$2:$O$1001,0),1)&gt;=100000,INDEX($V$1005:$AE$1005,1,MATCH(COLUMNS($V$1006:W1006),$V$1006:$AE$1006,0))&gt;=100000), " ",IF(INDEX($V$2:$AE$1001,MATCH(ROWS($O$2:O794),$O$2:$O$1001,0),MATCH(COLUMNS($V$1006:W1006),$V$1006:$AE$1006,0)), HYPERLINK("#",""), HYPERLINK(CONCATENATE("#Metadata!", ADDRESS(INDEX($Q$2:$Q$1001,MATCH(ROWS($O$2:O794),$O$2:$O$1001,0),0), INDEX($V$1004:$AE$1004,1,MATCH(COLUMNS($V$1006:W1006),$V$1006:$AE$1006,0)))),"Fix")))</f>
        <v>0</v>
      </c>
      <c r="D794" s="3">
        <f>IF(OR(INDEX($P$2:$P$1001,MATCH(ROWS($O$2:O794),$O$2:$O$1001,0),1)&gt;=100000,INDEX($V$1005:$AE$1005,1,MATCH(COLUMNS($V$1006:X1006),$V$1006:$AE$1006,0))&gt;=100000), " ",IF(INDEX($V$2:$AE$1001,MATCH(ROWS($O$2:O794),$O$2:$O$1001,0),MATCH(COLUMNS($V$1006:X1006),$V$1006:$AE$1006,0)), HYPERLINK("#",""), HYPERLINK(CONCATENATE("#Metadata!", ADDRESS(INDEX($Q$2:$Q$1001,MATCH(ROWS($O$2:O794),$O$2:$O$1001,0),0), INDEX($V$1004:$AE$1004,1,MATCH(COLUMNS($V$1006:X1006),$V$1006:$AE$1006,0)))),"Fix")))</f>
        <v>0</v>
      </c>
      <c r="E794" s="3">
        <f>IF(OR(INDEX($P$2:$P$1001,MATCH(ROWS($O$2:O794),$O$2:$O$1001,0),1)&gt;=100000,INDEX($V$1005:$AE$1005,1,MATCH(COLUMNS($V$1006:Y1006),$V$1006:$AE$1006,0))&gt;=100000), " ",IF(INDEX($V$2:$AE$1001,MATCH(ROWS($O$2:O794),$O$2:$O$1001,0),MATCH(COLUMNS($V$1006:Y1006),$V$1006:$AE$1006,0)), HYPERLINK("#",""), HYPERLINK(CONCATENATE("#Metadata!", ADDRESS(INDEX($Q$2:$Q$1001,MATCH(ROWS($O$2:O794),$O$2:$O$1001,0),0), INDEX($V$1004:$AE$1004,1,MATCH(COLUMNS($V$1006:Y1006),$V$1006:$AE$1006,0)))),"Fix")))</f>
        <v>0</v>
      </c>
      <c r="F794" s="3">
        <f>IF(OR(INDEX($P$2:$P$1001,MATCH(ROWS($O$2:O794),$O$2:$O$1001,0),1)&gt;=100000,INDEX($V$1005:$AE$1005,1,MATCH(COLUMNS($V$1006:Z1006),$V$1006:$AE$1006,0))&gt;=100000), " ",IF(INDEX($V$2:$AE$1001,MATCH(ROWS($O$2:O794),$O$2:$O$1001,0),MATCH(COLUMNS($V$1006:Z1006),$V$1006:$AE$1006,0)), HYPERLINK("#",""), HYPERLINK(CONCATENATE("#Metadata!", ADDRESS(INDEX($Q$2:$Q$1001,MATCH(ROWS($O$2:O794),$O$2:$O$1001,0),0), INDEX($V$1004:$AE$1004,1,MATCH(COLUMNS($V$1006:Z1006),$V$1006:$AE$1006,0)))),"Fix")))</f>
        <v>0</v>
      </c>
      <c r="G794" s="3">
        <f>IF(OR(INDEX($P$2:$P$1001,MATCH(ROWS($O$2:O794),$O$2:$O$1001,0),1)&gt;=100000,INDEX($V$1005:$AE$1005,1,MATCH(COLUMNS($V$1006:AA1006),$V$1006:$AE$1006,0))&gt;=100000), " ",IF(INDEX($V$2:$AE$1001,MATCH(ROWS($O$2:O794),$O$2:$O$1001,0),MATCH(COLUMNS($V$1006:AA1006),$V$1006:$AE$1006,0)), HYPERLINK("#",""), HYPERLINK(CONCATENATE("#Metadata!", ADDRESS(INDEX($Q$2:$Q$1001,MATCH(ROWS($O$2:O794),$O$2:$O$1001,0),0), INDEX($V$1004:$AE$1004,1,MATCH(COLUMNS($V$1006:AA1006),$V$1006:$AE$1006,0)))),"Fix")))</f>
        <v>0</v>
      </c>
      <c r="H794" s="3">
        <f>IF(OR(INDEX($P$2:$P$1001,MATCH(ROWS($O$2:O794),$O$2:$O$1001,0),1)&gt;=100000,INDEX($V$1005:$AE$1005,1,MATCH(COLUMNS($V$1006:AB1006),$V$1006:$AE$1006,0))&gt;=100000), " ",IF(INDEX($V$2:$AE$1001,MATCH(ROWS($O$2:O794),$O$2:$O$1001,0),MATCH(COLUMNS($V$1006:AB1006),$V$1006:$AE$1006,0)), HYPERLINK("#",""), HYPERLINK(CONCATENATE("#Metadata!", ADDRESS(INDEX($Q$2:$Q$1001,MATCH(ROWS($O$2:O794),$O$2:$O$1001,0),0), INDEX($V$1004:$AE$1004,1,MATCH(COLUMNS($V$1006:AB1006),$V$1006:$AE$1006,0)))),"Fix")))</f>
        <v>0</v>
      </c>
      <c r="I794" s="3">
        <f>IF(OR(INDEX($P$2:$P$1001,MATCH(ROWS($O$2:O794),$O$2:$O$1001,0),1)&gt;=100000,INDEX($V$1005:$AE$1005,1,MATCH(COLUMNS($V$1006:AC1006),$V$1006:$AE$1006,0))&gt;=100000), " ",IF(INDEX($V$2:$AE$1001,MATCH(ROWS($O$2:O794),$O$2:$O$1001,0),MATCH(COLUMNS($V$1006:AC1006),$V$1006:$AE$1006,0)), HYPERLINK("#",""), HYPERLINK(CONCATENATE("#Metadata!", ADDRESS(INDEX($Q$2:$Q$1001,MATCH(ROWS($O$2:O794),$O$2:$O$1001,0),0), INDEX($V$1004:$AE$1004,1,MATCH(COLUMNS($V$1006:AC1006),$V$1006:$AE$1006,0)))),"Fix")))</f>
        <v>0</v>
      </c>
      <c r="J794" s="3">
        <f>IF(OR(INDEX($P$2:$P$1001,MATCH(ROWS($O$2:O794),$O$2:$O$1001,0),1)&gt;=100000,INDEX($V$1005:$AE$1005,1,MATCH(COLUMNS($V$1006:AD1006),$V$1006:$AE$1006,0))&gt;=100000), " ",IF(INDEX($V$2:$AE$1001,MATCH(ROWS($O$2:O794),$O$2:$O$1001,0),MATCH(COLUMNS($V$1006:AD1006),$V$1006:$AE$1006,0)), HYPERLINK("#",""), HYPERLINK(CONCATENATE("#Metadata!", ADDRESS(INDEX($Q$2:$Q$1001,MATCH(ROWS($O$2:O794),$O$2:$O$1001,0),0), INDEX($V$1004:$AE$1004,1,MATCH(COLUMNS($V$1006:AD1006),$V$1006:$AE$1006,0)))),"Fix")))</f>
        <v>0</v>
      </c>
      <c r="K794" s="3">
        <f>IF(OR(INDEX($P$2:$P$1001,MATCH(ROWS($O$2:O794),$O$2:$O$1001,0),1)&gt;=100000,INDEX($V$1005:$AE$1005,1,MATCH(COLUMNS($V$1006:AE1006),$V$1006:$AE$1006,0))&gt;=100000), " ",IF(INDEX($V$2:$AE$1001,MATCH(ROWS($O$2:O794),$O$2:$O$1001,0),MATCH(COLUMNS($V$1006:AE1006),$V$1006:$AE$1006,0)), HYPERLINK("#",""), HYPERLINK(CONCATENATE("#Metadata!", ADDRESS(INDEX($Q$2:$Q$1001,MATCH(ROWS($O$2:O794),$O$2:$O$1001,0),0), INDEX($V$1004:$AE$1004,1,MATCH(COLUMNS($V$1006:AE1006),$V$1006:$AE$1006,0)))),"Fix")))</f>
        <v>0</v>
      </c>
      <c r="O794">
        <v>0</v>
      </c>
      <c r="P794">
        <v>0</v>
      </c>
      <c r="Q794">
        <v>0</v>
      </c>
      <c r="R794">
        <f>IF(S794,TRUE,AND(V794:AE794))</f>
        <v>0</v>
      </c>
      <c r="S794">
        <f>COUNTBLANK(Metadata!B794:K794)=COLUMNS(Metadata!B794:K794)</f>
        <v>0</v>
      </c>
      <c r="T794">
        <v>0</v>
      </c>
      <c r="V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W794">
        <f>AND(IF(Metadata!C794="",FALSE,TRUE),exact(Metadata!C794,"animal secretion"))</f>
        <v>0</v>
      </c>
      <c r="X794">
        <f>AND(IF(Metadata!D794="",FALSE,TRUE),exact(Metadata!D794,"saliva"))</f>
        <v>0</v>
      </c>
      <c r="Y794">
        <f>AND(IF(Metadata!E794="",FALSE,TRUE),exact(Metadata!E794,"human-oral"))</f>
        <v>0</v>
      </c>
      <c r="Z794">
        <f>AND(IF(Metadata!F794="",FALSE,TRUE),exact(Metadata!F794,"UBERON:oral cavity"))</f>
        <v>0</v>
      </c>
      <c r="AA794">
        <f>AND(IF(Metadata!G794="",FALSE,TRUE),exact(Metadata!G794,"UBERON:saliva"))</f>
        <v>0</v>
      </c>
      <c r="AB794">
        <f>AND(IF(Metadata!H794="",FALSE,TRUE),exact(Metadata!H794,"UBERON:tongue"))</f>
        <v>0</v>
      </c>
      <c r="AC794">
        <f>AND(IF(Metadata!I794="",FALSE,TRUE),exact(Metadata!I794,"tongue"))</f>
        <v>0</v>
      </c>
      <c r="AD794">
        <f>AND(IF(Metadata!J794="",FALSE,TRUE),exact(Metadata!J794,"human oral metagenome"))</f>
        <v>0</v>
      </c>
      <c r="AE794">
        <f>AND(IF(Metadata!K794="",FALSE,TRUE),exact(Metadata!K794,"447426"))</f>
        <v>0</v>
      </c>
    </row>
    <row r="795" spans="1:31">
      <c r="A795" s="4">
        <f>IF(B795=" "," ",HYPERLINK(CONCATENATE("#metadata!",ADDRESS(INDEX($Q$2:$Q$1001,MATCH(ROWS($O$2:O795),$O$2:$O$1001,0),0),1)),INDEX($T$2:$T$1001,MATCH(ROWS($O$2:O795),$O$2:$O$1001,0),0)))</f>
        <v>0</v>
      </c>
      <c r="B795" s="3">
        <f>IF(OR(INDEX($P$2:$P$1001,MATCH(ROWS($O$2:O795),$O$2:$O$1001,0),1)&gt;=100000,INDEX($V$1005:$AE$1005,1,MATCH(COLUMNS($V$1006:V1006),$V$1006:$AE$1006,0))&gt;=100000), " ",IF(INDEX($V$2:$AE$1001,MATCH(ROWS($O$2:O795),$O$2:$O$1001,0),MATCH(COLUMNS($V$1006:V1006),$V$1006:$AE$1006,0)), HYPERLINK("#",""), HYPERLINK(CONCATENATE("#Metadata!", ADDRESS(INDEX($Q$2:$Q$1001,MATCH(ROWS($O$2:O795),$O$2:$O$1001,0),0), INDEX($V$1004:$AE$1004,1,MATCH(COLUMNS($V$1006:V1006),$V$1006:$AE$1006,0)))),"Fix")))</f>
        <v>0</v>
      </c>
      <c r="C795" s="3">
        <f>IF(OR(INDEX($P$2:$P$1001,MATCH(ROWS($O$2:O795),$O$2:$O$1001,0),1)&gt;=100000,INDEX($V$1005:$AE$1005,1,MATCH(COLUMNS($V$1006:W1006),$V$1006:$AE$1006,0))&gt;=100000), " ",IF(INDEX($V$2:$AE$1001,MATCH(ROWS($O$2:O795),$O$2:$O$1001,0),MATCH(COLUMNS($V$1006:W1006),$V$1006:$AE$1006,0)), HYPERLINK("#",""), HYPERLINK(CONCATENATE("#Metadata!", ADDRESS(INDEX($Q$2:$Q$1001,MATCH(ROWS($O$2:O795),$O$2:$O$1001,0),0), INDEX($V$1004:$AE$1004,1,MATCH(COLUMNS($V$1006:W1006),$V$1006:$AE$1006,0)))),"Fix")))</f>
        <v>0</v>
      </c>
      <c r="D795" s="3">
        <f>IF(OR(INDEX($P$2:$P$1001,MATCH(ROWS($O$2:O795),$O$2:$O$1001,0),1)&gt;=100000,INDEX($V$1005:$AE$1005,1,MATCH(COLUMNS($V$1006:X1006),$V$1006:$AE$1006,0))&gt;=100000), " ",IF(INDEX($V$2:$AE$1001,MATCH(ROWS($O$2:O795),$O$2:$O$1001,0),MATCH(COLUMNS($V$1006:X1006),$V$1006:$AE$1006,0)), HYPERLINK("#",""), HYPERLINK(CONCATENATE("#Metadata!", ADDRESS(INDEX($Q$2:$Q$1001,MATCH(ROWS($O$2:O795),$O$2:$O$1001,0),0), INDEX($V$1004:$AE$1004,1,MATCH(COLUMNS($V$1006:X1006),$V$1006:$AE$1006,0)))),"Fix")))</f>
        <v>0</v>
      </c>
      <c r="E795" s="3">
        <f>IF(OR(INDEX($P$2:$P$1001,MATCH(ROWS($O$2:O795),$O$2:$O$1001,0),1)&gt;=100000,INDEX($V$1005:$AE$1005,1,MATCH(COLUMNS($V$1006:Y1006),$V$1006:$AE$1006,0))&gt;=100000), " ",IF(INDEX($V$2:$AE$1001,MATCH(ROWS($O$2:O795),$O$2:$O$1001,0),MATCH(COLUMNS($V$1006:Y1006),$V$1006:$AE$1006,0)), HYPERLINK("#",""), HYPERLINK(CONCATENATE("#Metadata!", ADDRESS(INDEX($Q$2:$Q$1001,MATCH(ROWS($O$2:O795),$O$2:$O$1001,0),0), INDEX($V$1004:$AE$1004,1,MATCH(COLUMNS($V$1006:Y1006),$V$1006:$AE$1006,0)))),"Fix")))</f>
        <v>0</v>
      </c>
      <c r="F795" s="3">
        <f>IF(OR(INDEX($P$2:$P$1001,MATCH(ROWS($O$2:O795),$O$2:$O$1001,0),1)&gt;=100000,INDEX($V$1005:$AE$1005,1,MATCH(COLUMNS($V$1006:Z1006),$V$1006:$AE$1006,0))&gt;=100000), " ",IF(INDEX($V$2:$AE$1001,MATCH(ROWS($O$2:O795),$O$2:$O$1001,0),MATCH(COLUMNS($V$1006:Z1006),$V$1006:$AE$1006,0)), HYPERLINK("#",""), HYPERLINK(CONCATENATE("#Metadata!", ADDRESS(INDEX($Q$2:$Q$1001,MATCH(ROWS($O$2:O795),$O$2:$O$1001,0),0), INDEX($V$1004:$AE$1004,1,MATCH(COLUMNS($V$1006:Z1006),$V$1006:$AE$1006,0)))),"Fix")))</f>
        <v>0</v>
      </c>
      <c r="G795" s="3">
        <f>IF(OR(INDEX($P$2:$P$1001,MATCH(ROWS($O$2:O795),$O$2:$O$1001,0),1)&gt;=100000,INDEX($V$1005:$AE$1005,1,MATCH(COLUMNS($V$1006:AA1006),$V$1006:$AE$1006,0))&gt;=100000), " ",IF(INDEX($V$2:$AE$1001,MATCH(ROWS($O$2:O795),$O$2:$O$1001,0),MATCH(COLUMNS($V$1006:AA1006),$V$1006:$AE$1006,0)), HYPERLINK("#",""), HYPERLINK(CONCATENATE("#Metadata!", ADDRESS(INDEX($Q$2:$Q$1001,MATCH(ROWS($O$2:O795),$O$2:$O$1001,0),0), INDEX($V$1004:$AE$1004,1,MATCH(COLUMNS($V$1006:AA1006),$V$1006:$AE$1006,0)))),"Fix")))</f>
        <v>0</v>
      </c>
      <c r="H795" s="3">
        <f>IF(OR(INDEX($P$2:$P$1001,MATCH(ROWS($O$2:O795),$O$2:$O$1001,0),1)&gt;=100000,INDEX($V$1005:$AE$1005,1,MATCH(COLUMNS($V$1006:AB1006),$V$1006:$AE$1006,0))&gt;=100000), " ",IF(INDEX($V$2:$AE$1001,MATCH(ROWS($O$2:O795),$O$2:$O$1001,0),MATCH(COLUMNS($V$1006:AB1006),$V$1006:$AE$1006,0)), HYPERLINK("#",""), HYPERLINK(CONCATENATE("#Metadata!", ADDRESS(INDEX($Q$2:$Q$1001,MATCH(ROWS($O$2:O795),$O$2:$O$1001,0),0), INDEX($V$1004:$AE$1004,1,MATCH(COLUMNS($V$1006:AB1006),$V$1006:$AE$1006,0)))),"Fix")))</f>
        <v>0</v>
      </c>
      <c r="I795" s="3">
        <f>IF(OR(INDEX($P$2:$P$1001,MATCH(ROWS($O$2:O795),$O$2:$O$1001,0),1)&gt;=100000,INDEX($V$1005:$AE$1005,1,MATCH(COLUMNS($V$1006:AC1006),$V$1006:$AE$1006,0))&gt;=100000), " ",IF(INDEX($V$2:$AE$1001,MATCH(ROWS($O$2:O795),$O$2:$O$1001,0),MATCH(COLUMNS($V$1006:AC1006),$V$1006:$AE$1006,0)), HYPERLINK("#",""), HYPERLINK(CONCATENATE("#Metadata!", ADDRESS(INDEX($Q$2:$Q$1001,MATCH(ROWS($O$2:O795),$O$2:$O$1001,0),0), INDEX($V$1004:$AE$1004,1,MATCH(COLUMNS($V$1006:AC1006),$V$1006:$AE$1006,0)))),"Fix")))</f>
        <v>0</v>
      </c>
      <c r="J795" s="3">
        <f>IF(OR(INDEX($P$2:$P$1001,MATCH(ROWS($O$2:O795),$O$2:$O$1001,0),1)&gt;=100000,INDEX($V$1005:$AE$1005,1,MATCH(COLUMNS($V$1006:AD1006),$V$1006:$AE$1006,0))&gt;=100000), " ",IF(INDEX($V$2:$AE$1001,MATCH(ROWS($O$2:O795),$O$2:$O$1001,0),MATCH(COLUMNS($V$1006:AD1006),$V$1006:$AE$1006,0)), HYPERLINK("#",""), HYPERLINK(CONCATENATE("#Metadata!", ADDRESS(INDEX($Q$2:$Q$1001,MATCH(ROWS($O$2:O795),$O$2:$O$1001,0),0), INDEX($V$1004:$AE$1004,1,MATCH(COLUMNS($V$1006:AD1006),$V$1006:$AE$1006,0)))),"Fix")))</f>
        <v>0</v>
      </c>
      <c r="K795" s="3">
        <f>IF(OR(INDEX($P$2:$P$1001,MATCH(ROWS($O$2:O795),$O$2:$O$1001,0),1)&gt;=100000,INDEX($V$1005:$AE$1005,1,MATCH(COLUMNS($V$1006:AE1006),$V$1006:$AE$1006,0))&gt;=100000), " ",IF(INDEX($V$2:$AE$1001,MATCH(ROWS($O$2:O795),$O$2:$O$1001,0),MATCH(COLUMNS($V$1006:AE1006),$V$1006:$AE$1006,0)), HYPERLINK("#",""), HYPERLINK(CONCATENATE("#Metadata!", ADDRESS(INDEX($Q$2:$Q$1001,MATCH(ROWS($O$2:O795),$O$2:$O$1001,0),0), INDEX($V$1004:$AE$1004,1,MATCH(COLUMNS($V$1006:AE1006),$V$1006:$AE$1006,0)))),"Fix")))</f>
        <v>0</v>
      </c>
      <c r="O795">
        <v>0</v>
      </c>
      <c r="P795">
        <v>0</v>
      </c>
      <c r="Q795">
        <v>0</v>
      </c>
      <c r="R795">
        <f>IF(S795,TRUE,AND(V795:AE795))</f>
        <v>0</v>
      </c>
      <c r="S795">
        <f>COUNTBLANK(Metadata!B795:K795)=COLUMNS(Metadata!B795:K795)</f>
        <v>0</v>
      </c>
      <c r="T795">
        <v>0</v>
      </c>
      <c r="V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W795">
        <f>AND(IF(Metadata!C795="",FALSE,TRUE),exact(Metadata!C795,"animal secretion"))</f>
        <v>0</v>
      </c>
      <c r="X795">
        <f>AND(IF(Metadata!D795="",FALSE,TRUE),exact(Metadata!D795,"saliva"))</f>
        <v>0</v>
      </c>
      <c r="Y795">
        <f>AND(IF(Metadata!E795="",FALSE,TRUE),exact(Metadata!E795,"human-oral"))</f>
        <v>0</v>
      </c>
      <c r="Z795">
        <f>AND(IF(Metadata!F795="",FALSE,TRUE),exact(Metadata!F795,"UBERON:oral cavity"))</f>
        <v>0</v>
      </c>
      <c r="AA795">
        <f>AND(IF(Metadata!G795="",FALSE,TRUE),exact(Metadata!G795,"UBERON:saliva"))</f>
        <v>0</v>
      </c>
      <c r="AB795">
        <f>AND(IF(Metadata!H795="",FALSE,TRUE),exact(Metadata!H795,"UBERON:tongue"))</f>
        <v>0</v>
      </c>
      <c r="AC795">
        <f>AND(IF(Metadata!I795="",FALSE,TRUE),exact(Metadata!I795,"tongue"))</f>
        <v>0</v>
      </c>
      <c r="AD795">
        <f>AND(IF(Metadata!J795="",FALSE,TRUE),exact(Metadata!J795,"human oral metagenome"))</f>
        <v>0</v>
      </c>
      <c r="AE795">
        <f>AND(IF(Metadata!K795="",FALSE,TRUE),exact(Metadata!K795,"447426"))</f>
        <v>0</v>
      </c>
    </row>
    <row r="796" spans="1:31">
      <c r="A796" s="4">
        <f>IF(B796=" "," ",HYPERLINK(CONCATENATE("#metadata!",ADDRESS(INDEX($Q$2:$Q$1001,MATCH(ROWS($O$2:O796),$O$2:$O$1001,0),0),1)),INDEX($T$2:$T$1001,MATCH(ROWS($O$2:O796),$O$2:$O$1001,0),0)))</f>
        <v>0</v>
      </c>
      <c r="B796" s="3">
        <f>IF(OR(INDEX($P$2:$P$1001,MATCH(ROWS($O$2:O796),$O$2:$O$1001,0),1)&gt;=100000,INDEX($V$1005:$AE$1005,1,MATCH(COLUMNS($V$1006:V1006),$V$1006:$AE$1006,0))&gt;=100000), " ",IF(INDEX($V$2:$AE$1001,MATCH(ROWS($O$2:O796),$O$2:$O$1001,0),MATCH(COLUMNS($V$1006:V1006),$V$1006:$AE$1006,0)), HYPERLINK("#",""), HYPERLINK(CONCATENATE("#Metadata!", ADDRESS(INDEX($Q$2:$Q$1001,MATCH(ROWS($O$2:O796),$O$2:$O$1001,0),0), INDEX($V$1004:$AE$1004,1,MATCH(COLUMNS($V$1006:V1006),$V$1006:$AE$1006,0)))),"Fix")))</f>
        <v>0</v>
      </c>
      <c r="C796" s="3">
        <f>IF(OR(INDEX($P$2:$P$1001,MATCH(ROWS($O$2:O796),$O$2:$O$1001,0),1)&gt;=100000,INDEX($V$1005:$AE$1005,1,MATCH(COLUMNS($V$1006:W1006),$V$1006:$AE$1006,0))&gt;=100000), " ",IF(INDEX($V$2:$AE$1001,MATCH(ROWS($O$2:O796),$O$2:$O$1001,0),MATCH(COLUMNS($V$1006:W1006),$V$1006:$AE$1006,0)), HYPERLINK("#",""), HYPERLINK(CONCATENATE("#Metadata!", ADDRESS(INDEX($Q$2:$Q$1001,MATCH(ROWS($O$2:O796),$O$2:$O$1001,0),0), INDEX($V$1004:$AE$1004,1,MATCH(COLUMNS($V$1006:W1006),$V$1006:$AE$1006,0)))),"Fix")))</f>
        <v>0</v>
      </c>
      <c r="D796" s="3">
        <f>IF(OR(INDEX($P$2:$P$1001,MATCH(ROWS($O$2:O796),$O$2:$O$1001,0),1)&gt;=100000,INDEX($V$1005:$AE$1005,1,MATCH(COLUMNS($V$1006:X1006),$V$1006:$AE$1006,0))&gt;=100000), " ",IF(INDEX($V$2:$AE$1001,MATCH(ROWS($O$2:O796),$O$2:$O$1001,0),MATCH(COLUMNS($V$1006:X1006),$V$1006:$AE$1006,0)), HYPERLINK("#",""), HYPERLINK(CONCATENATE("#Metadata!", ADDRESS(INDEX($Q$2:$Q$1001,MATCH(ROWS($O$2:O796),$O$2:$O$1001,0),0), INDEX($V$1004:$AE$1004,1,MATCH(COLUMNS($V$1006:X1006),$V$1006:$AE$1006,0)))),"Fix")))</f>
        <v>0</v>
      </c>
      <c r="E796" s="3">
        <f>IF(OR(INDEX($P$2:$P$1001,MATCH(ROWS($O$2:O796),$O$2:$O$1001,0),1)&gt;=100000,INDEX($V$1005:$AE$1005,1,MATCH(COLUMNS($V$1006:Y1006),$V$1006:$AE$1006,0))&gt;=100000), " ",IF(INDEX($V$2:$AE$1001,MATCH(ROWS($O$2:O796),$O$2:$O$1001,0),MATCH(COLUMNS($V$1006:Y1006),$V$1006:$AE$1006,0)), HYPERLINK("#",""), HYPERLINK(CONCATENATE("#Metadata!", ADDRESS(INDEX($Q$2:$Q$1001,MATCH(ROWS($O$2:O796),$O$2:$O$1001,0),0), INDEX($V$1004:$AE$1004,1,MATCH(COLUMNS($V$1006:Y1006),$V$1006:$AE$1006,0)))),"Fix")))</f>
        <v>0</v>
      </c>
      <c r="F796" s="3">
        <f>IF(OR(INDEX($P$2:$P$1001,MATCH(ROWS($O$2:O796),$O$2:$O$1001,0),1)&gt;=100000,INDEX($V$1005:$AE$1005,1,MATCH(COLUMNS($V$1006:Z1006),$V$1006:$AE$1006,0))&gt;=100000), " ",IF(INDEX($V$2:$AE$1001,MATCH(ROWS($O$2:O796),$O$2:$O$1001,0),MATCH(COLUMNS($V$1006:Z1006),$V$1006:$AE$1006,0)), HYPERLINK("#",""), HYPERLINK(CONCATENATE("#Metadata!", ADDRESS(INDEX($Q$2:$Q$1001,MATCH(ROWS($O$2:O796),$O$2:$O$1001,0),0), INDEX($V$1004:$AE$1004,1,MATCH(COLUMNS($V$1006:Z1006),$V$1006:$AE$1006,0)))),"Fix")))</f>
        <v>0</v>
      </c>
      <c r="G796" s="3">
        <f>IF(OR(INDEX($P$2:$P$1001,MATCH(ROWS($O$2:O796),$O$2:$O$1001,0),1)&gt;=100000,INDEX($V$1005:$AE$1005,1,MATCH(COLUMNS($V$1006:AA1006),$V$1006:$AE$1006,0))&gt;=100000), " ",IF(INDEX($V$2:$AE$1001,MATCH(ROWS($O$2:O796),$O$2:$O$1001,0),MATCH(COLUMNS($V$1006:AA1006),$V$1006:$AE$1006,0)), HYPERLINK("#",""), HYPERLINK(CONCATENATE("#Metadata!", ADDRESS(INDEX($Q$2:$Q$1001,MATCH(ROWS($O$2:O796),$O$2:$O$1001,0),0), INDEX($V$1004:$AE$1004,1,MATCH(COLUMNS($V$1006:AA1006),$V$1006:$AE$1006,0)))),"Fix")))</f>
        <v>0</v>
      </c>
      <c r="H796" s="3">
        <f>IF(OR(INDEX($P$2:$P$1001,MATCH(ROWS($O$2:O796),$O$2:$O$1001,0),1)&gt;=100000,INDEX($V$1005:$AE$1005,1,MATCH(COLUMNS($V$1006:AB1006),$V$1006:$AE$1006,0))&gt;=100000), " ",IF(INDEX($V$2:$AE$1001,MATCH(ROWS($O$2:O796),$O$2:$O$1001,0),MATCH(COLUMNS($V$1006:AB1006),$V$1006:$AE$1006,0)), HYPERLINK("#",""), HYPERLINK(CONCATENATE("#Metadata!", ADDRESS(INDEX($Q$2:$Q$1001,MATCH(ROWS($O$2:O796),$O$2:$O$1001,0),0), INDEX($V$1004:$AE$1004,1,MATCH(COLUMNS($V$1006:AB1006),$V$1006:$AE$1006,0)))),"Fix")))</f>
        <v>0</v>
      </c>
      <c r="I796" s="3">
        <f>IF(OR(INDEX($P$2:$P$1001,MATCH(ROWS($O$2:O796),$O$2:$O$1001,0),1)&gt;=100000,INDEX($V$1005:$AE$1005,1,MATCH(COLUMNS($V$1006:AC1006),$V$1006:$AE$1006,0))&gt;=100000), " ",IF(INDEX($V$2:$AE$1001,MATCH(ROWS($O$2:O796),$O$2:$O$1001,0),MATCH(COLUMNS($V$1006:AC1006),$V$1006:$AE$1006,0)), HYPERLINK("#",""), HYPERLINK(CONCATENATE("#Metadata!", ADDRESS(INDEX($Q$2:$Q$1001,MATCH(ROWS($O$2:O796),$O$2:$O$1001,0),0), INDEX($V$1004:$AE$1004,1,MATCH(COLUMNS($V$1006:AC1006),$V$1006:$AE$1006,0)))),"Fix")))</f>
        <v>0</v>
      </c>
      <c r="J796" s="3">
        <f>IF(OR(INDEX($P$2:$P$1001,MATCH(ROWS($O$2:O796),$O$2:$O$1001,0),1)&gt;=100000,INDEX($V$1005:$AE$1005,1,MATCH(COLUMNS($V$1006:AD1006),$V$1006:$AE$1006,0))&gt;=100000), " ",IF(INDEX($V$2:$AE$1001,MATCH(ROWS($O$2:O796),$O$2:$O$1001,0),MATCH(COLUMNS($V$1006:AD1006),$V$1006:$AE$1006,0)), HYPERLINK("#",""), HYPERLINK(CONCATENATE("#Metadata!", ADDRESS(INDEX($Q$2:$Q$1001,MATCH(ROWS($O$2:O796),$O$2:$O$1001,0),0), INDEX($V$1004:$AE$1004,1,MATCH(COLUMNS($V$1006:AD1006),$V$1006:$AE$1006,0)))),"Fix")))</f>
        <v>0</v>
      </c>
      <c r="K796" s="3">
        <f>IF(OR(INDEX($P$2:$P$1001,MATCH(ROWS($O$2:O796),$O$2:$O$1001,0),1)&gt;=100000,INDEX($V$1005:$AE$1005,1,MATCH(COLUMNS($V$1006:AE1006),$V$1006:$AE$1006,0))&gt;=100000), " ",IF(INDEX($V$2:$AE$1001,MATCH(ROWS($O$2:O796),$O$2:$O$1001,0),MATCH(COLUMNS($V$1006:AE1006),$V$1006:$AE$1006,0)), HYPERLINK("#",""), HYPERLINK(CONCATENATE("#Metadata!", ADDRESS(INDEX($Q$2:$Q$1001,MATCH(ROWS($O$2:O796),$O$2:$O$1001,0),0), INDEX($V$1004:$AE$1004,1,MATCH(COLUMNS($V$1006:AE1006),$V$1006:$AE$1006,0)))),"Fix")))</f>
        <v>0</v>
      </c>
      <c r="O796">
        <v>0</v>
      </c>
      <c r="P796">
        <v>0</v>
      </c>
      <c r="Q796">
        <v>0</v>
      </c>
      <c r="R796">
        <f>IF(S796,TRUE,AND(V796:AE796))</f>
        <v>0</v>
      </c>
      <c r="S796">
        <f>COUNTBLANK(Metadata!B796:K796)=COLUMNS(Metadata!B796:K796)</f>
        <v>0</v>
      </c>
      <c r="T796">
        <v>0</v>
      </c>
      <c r="V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W796">
        <f>AND(IF(Metadata!C796="",FALSE,TRUE),exact(Metadata!C796,"animal secretion"))</f>
        <v>0</v>
      </c>
      <c r="X796">
        <f>AND(IF(Metadata!D796="",FALSE,TRUE),exact(Metadata!D796,"saliva"))</f>
        <v>0</v>
      </c>
      <c r="Y796">
        <f>AND(IF(Metadata!E796="",FALSE,TRUE),exact(Metadata!E796,"human-oral"))</f>
        <v>0</v>
      </c>
      <c r="Z796">
        <f>AND(IF(Metadata!F796="",FALSE,TRUE),exact(Metadata!F796,"UBERON:oral cavity"))</f>
        <v>0</v>
      </c>
      <c r="AA796">
        <f>AND(IF(Metadata!G796="",FALSE,TRUE),exact(Metadata!G796,"UBERON:saliva"))</f>
        <v>0</v>
      </c>
      <c r="AB796">
        <f>AND(IF(Metadata!H796="",FALSE,TRUE),exact(Metadata!H796,"UBERON:tongue"))</f>
        <v>0</v>
      </c>
      <c r="AC796">
        <f>AND(IF(Metadata!I796="",FALSE,TRUE),exact(Metadata!I796,"tongue"))</f>
        <v>0</v>
      </c>
      <c r="AD796">
        <f>AND(IF(Metadata!J796="",FALSE,TRUE),exact(Metadata!J796,"human oral metagenome"))</f>
        <v>0</v>
      </c>
      <c r="AE796">
        <f>AND(IF(Metadata!K796="",FALSE,TRUE),exact(Metadata!K796,"447426"))</f>
        <v>0</v>
      </c>
    </row>
    <row r="797" spans="1:31">
      <c r="A797" s="4">
        <f>IF(B797=" "," ",HYPERLINK(CONCATENATE("#metadata!",ADDRESS(INDEX($Q$2:$Q$1001,MATCH(ROWS($O$2:O797),$O$2:$O$1001,0),0),1)),INDEX($T$2:$T$1001,MATCH(ROWS($O$2:O797),$O$2:$O$1001,0),0)))</f>
        <v>0</v>
      </c>
      <c r="B797" s="3">
        <f>IF(OR(INDEX($P$2:$P$1001,MATCH(ROWS($O$2:O797),$O$2:$O$1001,0),1)&gt;=100000,INDEX($V$1005:$AE$1005,1,MATCH(COLUMNS($V$1006:V1006),$V$1006:$AE$1006,0))&gt;=100000), " ",IF(INDEX($V$2:$AE$1001,MATCH(ROWS($O$2:O797),$O$2:$O$1001,0),MATCH(COLUMNS($V$1006:V1006),$V$1006:$AE$1006,0)), HYPERLINK("#",""), HYPERLINK(CONCATENATE("#Metadata!", ADDRESS(INDEX($Q$2:$Q$1001,MATCH(ROWS($O$2:O797),$O$2:$O$1001,0),0), INDEX($V$1004:$AE$1004,1,MATCH(COLUMNS($V$1006:V1006),$V$1006:$AE$1006,0)))),"Fix")))</f>
        <v>0</v>
      </c>
      <c r="C797" s="3">
        <f>IF(OR(INDEX($P$2:$P$1001,MATCH(ROWS($O$2:O797),$O$2:$O$1001,0),1)&gt;=100000,INDEX($V$1005:$AE$1005,1,MATCH(COLUMNS($V$1006:W1006),$V$1006:$AE$1006,0))&gt;=100000), " ",IF(INDEX($V$2:$AE$1001,MATCH(ROWS($O$2:O797),$O$2:$O$1001,0),MATCH(COLUMNS($V$1006:W1006),$V$1006:$AE$1006,0)), HYPERLINK("#",""), HYPERLINK(CONCATENATE("#Metadata!", ADDRESS(INDEX($Q$2:$Q$1001,MATCH(ROWS($O$2:O797),$O$2:$O$1001,0),0), INDEX($V$1004:$AE$1004,1,MATCH(COLUMNS($V$1006:W1006),$V$1006:$AE$1006,0)))),"Fix")))</f>
        <v>0</v>
      </c>
      <c r="D797" s="3">
        <f>IF(OR(INDEX($P$2:$P$1001,MATCH(ROWS($O$2:O797),$O$2:$O$1001,0),1)&gt;=100000,INDEX($V$1005:$AE$1005,1,MATCH(COLUMNS($V$1006:X1006),$V$1006:$AE$1006,0))&gt;=100000), " ",IF(INDEX($V$2:$AE$1001,MATCH(ROWS($O$2:O797),$O$2:$O$1001,0),MATCH(COLUMNS($V$1006:X1006),$V$1006:$AE$1006,0)), HYPERLINK("#",""), HYPERLINK(CONCATENATE("#Metadata!", ADDRESS(INDEX($Q$2:$Q$1001,MATCH(ROWS($O$2:O797),$O$2:$O$1001,0),0), INDEX($V$1004:$AE$1004,1,MATCH(COLUMNS($V$1006:X1006),$V$1006:$AE$1006,0)))),"Fix")))</f>
        <v>0</v>
      </c>
      <c r="E797" s="3">
        <f>IF(OR(INDEX($P$2:$P$1001,MATCH(ROWS($O$2:O797),$O$2:$O$1001,0),1)&gt;=100000,INDEX($V$1005:$AE$1005,1,MATCH(COLUMNS($V$1006:Y1006),$V$1006:$AE$1006,0))&gt;=100000), " ",IF(INDEX($V$2:$AE$1001,MATCH(ROWS($O$2:O797),$O$2:$O$1001,0),MATCH(COLUMNS($V$1006:Y1006),$V$1006:$AE$1006,0)), HYPERLINK("#",""), HYPERLINK(CONCATENATE("#Metadata!", ADDRESS(INDEX($Q$2:$Q$1001,MATCH(ROWS($O$2:O797),$O$2:$O$1001,0),0), INDEX($V$1004:$AE$1004,1,MATCH(COLUMNS($V$1006:Y1006),$V$1006:$AE$1006,0)))),"Fix")))</f>
        <v>0</v>
      </c>
      <c r="F797" s="3">
        <f>IF(OR(INDEX($P$2:$P$1001,MATCH(ROWS($O$2:O797),$O$2:$O$1001,0),1)&gt;=100000,INDEX($V$1005:$AE$1005,1,MATCH(COLUMNS($V$1006:Z1006),$V$1006:$AE$1006,0))&gt;=100000), " ",IF(INDEX($V$2:$AE$1001,MATCH(ROWS($O$2:O797),$O$2:$O$1001,0),MATCH(COLUMNS($V$1006:Z1006),$V$1006:$AE$1006,0)), HYPERLINK("#",""), HYPERLINK(CONCATENATE("#Metadata!", ADDRESS(INDEX($Q$2:$Q$1001,MATCH(ROWS($O$2:O797),$O$2:$O$1001,0),0), INDEX($V$1004:$AE$1004,1,MATCH(COLUMNS($V$1006:Z1006),$V$1006:$AE$1006,0)))),"Fix")))</f>
        <v>0</v>
      </c>
      <c r="G797" s="3">
        <f>IF(OR(INDEX($P$2:$P$1001,MATCH(ROWS($O$2:O797),$O$2:$O$1001,0),1)&gt;=100000,INDEX($V$1005:$AE$1005,1,MATCH(COLUMNS($V$1006:AA1006),$V$1006:$AE$1006,0))&gt;=100000), " ",IF(INDEX($V$2:$AE$1001,MATCH(ROWS($O$2:O797),$O$2:$O$1001,0),MATCH(COLUMNS($V$1006:AA1006),$V$1006:$AE$1006,0)), HYPERLINK("#",""), HYPERLINK(CONCATENATE("#Metadata!", ADDRESS(INDEX($Q$2:$Q$1001,MATCH(ROWS($O$2:O797),$O$2:$O$1001,0),0), INDEX($V$1004:$AE$1004,1,MATCH(COLUMNS($V$1006:AA1006),$V$1006:$AE$1006,0)))),"Fix")))</f>
        <v>0</v>
      </c>
      <c r="H797" s="3">
        <f>IF(OR(INDEX($P$2:$P$1001,MATCH(ROWS($O$2:O797),$O$2:$O$1001,0),1)&gt;=100000,INDEX($V$1005:$AE$1005,1,MATCH(COLUMNS($V$1006:AB1006),$V$1006:$AE$1006,0))&gt;=100000), " ",IF(INDEX($V$2:$AE$1001,MATCH(ROWS($O$2:O797),$O$2:$O$1001,0),MATCH(COLUMNS($V$1006:AB1006),$V$1006:$AE$1006,0)), HYPERLINK("#",""), HYPERLINK(CONCATENATE("#Metadata!", ADDRESS(INDEX($Q$2:$Q$1001,MATCH(ROWS($O$2:O797),$O$2:$O$1001,0),0), INDEX($V$1004:$AE$1004,1,MATCH(COLUMNS($V$1006:AB1006),$V$1006:$AE$1006,0)))),"Fix")))</f>
        <v>0</v>
      </c>
      <c r="I797" s="3">
        <f>IF(OR(INDEX($P$2:$P$1001,MATCH(ROWS($O$2:O797),$O$2:$O$1001,0),1)&gt;=100000,INDEX($V$1005:$AE$1005,1,MATCH(COLUMNS($V$1006:AC1006),$V$1006:$AE$1006,0))&gt;=100000), " ",IF(INDEX($V$2:$AE$1001,MATCH(ROWS($O$2:O797),$O$2:$O$1001,0),MATCH(COLUMNS($V$1006:AC1006),$V$1006:$AE$1006,0)), HYPERLINK("#",""), HYPERLINK(CONCATENATE("#Metadata!", ADDRESS(INDEX($Q$2:$Q$1001,MATCH(ROWS($O$2:O797),$O$2:$O$1001,0),0), INDEX($V$1004:$AE$1004,1,MATCH(COLUMNS($V$1006:AC1006),$V$1006:$AE$1006,0)))),"Fix")))</f>
        <v>0</v>
      </c>
      <c r="J797" s="3">
        <f>IF(OR(INDEX($P$2:$P$1001,MATCH(ROWS($O$2:O797),$O$2:$O$1001,0),1)&gt;=100000,INDEX($V$1005:$AE$1005,1,MATCH(COLUMNS($V$1006:AD1006),$V$1006:$AE$1006,0))&gt;=100000), " ",IF(INDEX($V$2:$AE$1001,MATCH(ROWS($O$2:O797),$O$2:$O$1001,0),MATCH(COLUMNS($V$1006:AD1006),$V$1006:$AE$1006,0)), HYPERLINK("#",""), HYPERLINK(CONCATENATE("#Metadata!", ADDRESS(INDEX($Q$2:$Q$1001,MATCH(ROWS($O$2:O797),$O$2:$O$1001,0),0), INDEX($V$1004:$AE$1004,1,MATCH(COLUMNS($V$1006:AD1006),$V$1006:$AE$1006,0)))),"Fix")))</f>
        <v>0</v>
      </c>
      <c r="K797" s="3">
        <f>IF(OR(INDEX($P$2:$P$1001,MATCH(ROWS($O$2:O797),$O$2:$O$1001,0),1)&gt;=100000,INDEX($V$1005:$AE$1005,1,MATCH(COLUMNS($V$1006:AE1006),$V$1006:$AE$1006,0))&gt;=100000), " ",IF(INDEX($V$2:$AE$1001,MATCH(ROWS($O$2:O797),$O$2:$O$1001,0),MATCH(COLUMNS($V$1006:AE1006),$V$1006:$AE$1006,0)), HYPERLINK("#",""), HYPERLINK(CONCATENATE("#Metadata!", ADDRESS(INDEX($Q$2:$Q$1001,MATCH(ROWS($O$2:O797),$O$2:$O$1001,0),0), INDEX($V$1004:$AE$1004,1,MATCH(COLUMNS($V$1006:AE1006),$V$1006:$AE$1006,0)))),"Fix")))</f>
        <v>0</v>
      </c>
      <c r="O797">
        <v>0</v>
      </c>
      <c r="P797">
        <v>0</v>
      </c>
      <c r="Q797">
        <v>0</v>
      </c>
      <c r="R797">
        <f>IF(S797,TRUE,AND(V797:AE797))</f>
        <v>0</v>
      </c>
      <c r="S797">
        <f>COUNTBLANK(Metadata!B797:K797)=COLUMNS(Metadata!B797:K797)</f>
        <v>0</v>
      </c>
      <c r="T797">
        <v>0</v>
      </c>
      <c r="V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W797">
        <f>AND(IF(Metadata!C797="",FALSE,TRUE),exact(Metadata!C797,"animal secretion"))</f>
        <v>0</v>
      </c>
      <c r="X797">
        <f>AND(IF(Metadata!D797="",FALSE,TRUE),exact(Metadata!D797,"saliva"))</f>
        <v>0</v>
      </c>
      <c r="Y797">
        <f>AND(IF(Metadata!E797="",FALSE,TRUE),exact(Metadata!E797,"human-oral"))</f>
        <v>0</v>
      </c>
      <c r="Z797">
        <f>AND(IF(Metadata!F797="",FALSE,TRUE),exact(Metadata!F797,"UBERON:oral cavity"))</f>
        <v>0</v>
      </c>
      <c r="AA797">
        <f>AND(IF(Metadata!G797="",FALSE,TRUE),exact(Metadata!G797,"UBERON:saliva"))</f>
        <v>0</v>
      </c>
      <c r="AB797">
        <f>AND(IF(Metadata!H797="",FALSE,TRUE),exact(Metadata!H797,"UBERON:tongue"))</f>
        <v>0</v>
      </c>
      <c r="AC797">
        <f>AND(IF(Metadata!I797="",FALSE,TRUE),exact(Metadata!I797,"tongue"))</f>
        <v>0</v>
      </c>
      <c r="AD797">
        <f>AND(IF(Metadata!J797="",FALSE,TRUE),exact(Metadata!J797,"human oral metagenome"))</f>
        <v>0</v>
      </c>
      <c r="AE797">
        <f>AND(IF(Metadata!K797="",FALSE,TRUE),exact(Metadata!K797,"447426"))</f>
        <v>0</v>
      </c>
    </row>
    <row r="798" spans="1:31">
      <c r="A798" s="4">
        <f>IF(B798=" "," ",HYPERLINK(CONCATENATE("#metadata!",ADDRESS(INDEX($Q$2:$Q$1001,MATCH(ROWS($O$2:O798),$O$2:$O$1001,0),0),1)),INDEX($T$2:$T$1001,MATCH(ROWS($O$2:O798),$O$2:$O$1001,0),0)))</f>
        <v>0</v>
      </c>
      <c r="B798" s="3">
        <f>IF(OR(INDEX($P$2:$P$1001,MATCH(ROWS($O$2:O798),$O$2:$O$1001,0),1)&gt;=100000,INDEX($V$1005:$AE$1005,1,MATCH(COLUMNS($V$1006:V1006),$V$1006:$AE$1006,0))&gt;=100000), " ",IF(INDEX($V$2:$AE$1001,MATCH(ROWS($O$2:O798),$O$2:$O$1001,0),MATCH(COLUMNS($V$1006:V1006),$V$1006:$AE$1006,0)), HYPERLINK("#",""), HYPERLINK(CONCATENATE("#Metadata!", ADDRESS(INDEX($Q$2:$Q$1001,MATCH(ROWS($O$2:O798),$O$2:$O$1001,0),0), INDEX($V$1004:$AE$1004,1,MATCH(COLUMNS($V$1006:V1006),$V$1006:$AE$1006,0)))),"Fix")))</f>
        <v>0</v>
      </c>
      <c r="C798" s="3">
        <f>IF(OR(INDEX($P$2:$P$1001,MATCH(ROWS($O$2:O798),$O$2:$O$1001,0),1)&gt;=100000,INDEX($V$1005:$AE$1005,1,MATCH(COLUMNS($V$1006:W1006),$V$1006:$AE$1006,0))&gt;=100000), " ",IF(INDEX($V$2:$AE$1001,MATCH(ROWS($O$2:O798),$O$2:$O$1001,0),MATCH(COLUMNS($V$1006:W1006),$V$1006:$AE$1006,0)), HYPERLINK("#",""), HYPERLINK(CONCATENATE("#Metadata!", ADDRESS(INDEX($Q$2:$Q$1001,MATCH(ROWS($O$2:O798),$O$2:$O$1001,0),0), INDEX($V$1004:$AE$1004,1,MATCH(COLUMNS($V$1006:W1006),$V$1006:$AE$1006,0)))),"Fix")))</f>
        <v>0</v>
      </c>
      <c r="D798" s="3">
        <f>IF(OR(INDEX($P$2:$P$1001,MATCH(ROWS($O$2:O798),$O$2:$O$1001,0),1)&gt;=100000,INDEX($V$1005:$AE$1005,1,MATCH(COLUMNS($V$1006:X1006),$V$1006:$AE$1006,0))&gt;=100000), " ",IF(INDEX($V$2:$AE$1001,MATCH(ROWS($O$2:O798),$O$2:$O$1001,0),MATCH(COLUMNS($V$1006:X1006),$V$1006:$AE$1006,0)), HYPERLINK("#",""), HYPERLINK(CONCATENATE("#Metadata!", ADDRESS(INDEX($Q$2:$Q$1001,MATCH(ROWS($O$2:O798),$O$2:$O$1001,0),0), INDEX($V$1004:$AE$1004,1,MATCH(COLUMNS($V$1006:X1006),$V$1006:$AE$1006,0)))),"Fix")))</f>
        <v>0</v>
      </c>
      <c r="E798" s="3">
        <f>IF(OR(INDEX($P$2:$P$1001,MATCH(ROWS($O$2:O798),$O$2:$O$1001,0),1)&gt;=100000,INDEX($V$1005:$AE$1005,1,MATCH(COLUMNS($V$1006:Y1006),$V$1006:$AE$1006,0))&gt;=100000), " ",IF(INDEX($V$2:$AE$1001,MATCH(ROWS($O$2:O798),$O$2:$O$1001,0),MATCH(COLUMNS($V$1006:Y1006),$V$1006:$AE$1006,0)), HYPERLINK("#",""), HYPERLINK(CONCATENATE("#Metadata!", ADDRESS(INDEX($Q$2:$Q$1001,MATCH(ROWS($O$2:O798),$O$2:$O$1001,0),0), INDEX($V$1004:$AE$1004,1,MATCH(COLUMNS($V$1006:Y1006),$V$1006:$AE$1006,0)))),"Fix")))</f>
        <v>0</v>
      </c>
      <c r="F798" s="3">
        <f>IF(OR(INDEX($P$2:$P$1001,MATCH(ROWS($O$2:O798),$O$2:$O$1001,0),1)&gt;=100000,INDEX($V$1005:$AE$1005,1,MATCH(COLUMNS($V$1006:Z1006),$V$1006:$AE$1006,0))&gt;=100000), " ",IF(INDEX($V$2:$AE$1001,MATCH(ROWS($O$2:O798),$O$2:$O$1001,0),MATCH(COLUMNS($V$1006:Z1006),$V$1006:$AE$1006,0)), HYPERLINK("#",""), HYPERLINK(CONCATENATE("#Metadata!", ADDRESS(INDEX($Q$2:$Q$1001,MATCH(ROWS($O$2:O798),$O$2:$O$1001,0),0), INDEX($V$1004:$AE$1004,1,MATCH(COLUMNS($V$1006:Z1006),$V$1006:$AE$1006,0)))),"Fix")))</f>
        <v>0</v>
      </c>
      <c r="G798" s="3">
        <f>IF(OR(INDEX($P$2:$P$1001,MATCH(ROWS($O$2:O798),$O$2:$O$1001,0),1)&gt;=100000,INDEX($V$1005:$AE$1005,1,MATCH(COLUMNS($V$1006:AA1006),$V$1006:$AE$1006,0))&gt;=100000), " ",IF(INDEX($V$2:$AE$1001,MATCH(ROWS($O$2:O798),$O$2:$O$1001,0),MATCH(COLUMNS($V$1006:AA1006),$V$1006:$AE$1006,0)), HYPERLINK("#",""), HYPERLINK(CONCATENATE("#Metadata!", ADDRESS(INDEX($Q$2:$Q$1001,MATCH(ROWS($O$2:O798),$O$2:$O$1001,0),0), INDEX($V$1004:$AE$1004,1,MATCH(COLUMNS($V$1006:AA1006),$V$1006:$AE$1006,0)))),"Fix")))</f>
        <v>0</v>
      </c>
      <c r="H798" s="3">
        <f>IF(OR(INDEX($P$2:$P$1001,MATCH(ROWS($O$2:O798),$O$2:$O$1001,0),1)&gt;=100000,INDEX($V$1005:$AE$1005,1,MATCH(COLUMNS($V$1006:AB1006),$V$1006:$AE$1006,0))&gt;=100000), " ",IF(INDEX($V$2:$AE$1001,MATCH(ROWS($O$2:O798),$O$2:$O$1001,0),MATCH(COLUMNS($V$1006:AB1006),$V$1006:$AE$1006,0)), HYPERLINK("#",""), HYPERLINK(CONCATENATE("#Metadata!", ADDRESS(INDEX($Q$2:$Q$1001,MATCH(ROWS($O$2:O798),$O$2:$O$1001,0),0), INDEX($V$1004:$AE$1004,1,MATCH(COLUMNS($V$1006:AB1006),$V$1006:$AE$1006,0)))),"Fix")))</f>
        <v>0</v>
      </c>
      <c r="I798" s="3">
        <f>IF(OR(INDEX($P$2:$P$1001,MATCH(ROWS($O$2:O798),$O$2:$O$1001,0),1)&gt;=100000,INDEX($V$1005:$AE$1005,1,MATCH(COLUMNS($V$1006:AC1006),$V$1006:$AE$1006,0))&gt;=100000), " ",IF(INDEX($V$2:$AE$1001,MATCH(ROWS($O$2:O798),$O$2:$O$1001,0),MATCH(COLUMNS($V$1006:AC1006),$V$1006:$AE$1006,0)), HYPERLINK("#",""), HYPERLINK(CONCATENATE("#Metadata!", ADDRESS(INDEX($Q$2:$Q$1001,MATCH(ROWS($O$2:O798),$O$2:$O$1001,0),0), INDEX($V$1004:$AE$1004,1,MATCH(COLUMNS($V$1006:AC1006),$V$1006:$AE$1006,0)))),"Fix")))</f>
        <v>0</v>
      </c>
      <c r="J798" s="3">
        <f>IF(OR(INDEX($P$2:$P$1001,MATCH(ROWS($O$2:O798),$O$2:$O$1001,0),1)&gt;=100000,INDEX($V$1005:$AE$1005,1,MATCH(COLUMNS($V$1006:AD1006),$V$1006:$AE$1006,0))&gt;=100000), " ",IF(INDEX($V$2:$AE$1001,MATCH(ROWS($O$2:O798),$O$2:$O$1001,0),MATCH(COLUMNS($V$1006:AD1006),$V$1006:$AE$1006,0)), HYPERLINK("#",""), HYPERLINK(CONCATENATE("#Metadata!", ADDRESS(INDEX($Q$2:$Q$1001,MATCH(ROWS($O$2:O798),$O$2:$O$1001,0),0), INDEX($V$1004:$AE$1004,1,MATCH(COLUMNS($V$1006:AD1006),$V$1006:$AE$1006,0)))),"Fix")))</f>
        <v>0</v>
      </c>
      <c r="K798" s="3">
        <f>IF(OR(INDEX($P$2:$P$1001,MATCH(ROWS($O$2:O798),$O$2:$O$1001,0),1)&gt;=100000,INDEX($V$1005:$AE$1005,1,MATCH(COLUMNS($V$1006:AE1006),$V$1006:$AE$1006,0))&gt;=100000), " ",IF(INDEX($V$2:$AE$1001,MATCH(ROWS($O$2:O798),$O$2:$O$1001,0),MATCH(COLUMNS($V$1006:AE1006),$V$1006:$AE$1006,0)), HYPERLINK("#",""), HYPERLINK(CONCATENATE("#Metadata!", ADDRESS(INDEX($Q$2:$Q$1001,MATCH(ROWS($O$2:O798),$O$2:$O$1001,0),0), INDEX($V$1004:$AE$1004,1,MATCH(COLUMNS($V$1006:AE1006),$V$1006:$AE$1006,0)))),"Fix")))</f>
        <v>0</v>
      </c>
      <c r="O798">
        <v>0</v>
      </c>
      <c r="P798">
        <v>0</v>
      </c>
      <c r="Q798">
        <v>0</v>
      </c>
      <c r="R798">
        <f>IF(S798,TRUE,AND(V798:AE798))</f>
        <v>0</v>
      </c>
      <c r="S798">
        <f>COUNTBLANK(Metadata!B798:K798)=COLUMNS(Metadata!B798:K798)</f>
        <v>0</v>
      </c>
      <c r="T798">
        <v>0</v>
      </c>
      <c r="V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W798">
        <f>AND(IF(Metadata!C798="",FALSE,TRUE),exact(Metadata!C798,"animal secretion"))</f>
        <v>0</v>
      </c>
      <c r="X798">
        <f>AND(IF(Metadata!D798="",FALSE,TRUE),exact(Metadata!D798,"saliva"))</f>
        <v>0</v>
      </c>
      <c r="Y798">
        <f>AND(IF(Metadata!E798="",FALSE,TRUE),exact(Metadata!E798,"human-oral"))</f>
        <v>0</v>
      </c>
      <c r="Z798">
        <f>AND(IF(Metadata!F798="",FALSE,TRUE),exact(Metadata!F798,"UBERON:oral cavity"))</f>
        <v>0</v>
      </c>
      <c r="AA798">
        <f>AND(IF(Metadata!G798="",FALSE,TRUE),exact(Metadata!G798,"UBERON:saliva"))</f>
        <v>0</v>
      </c>
      <c r="AB798">
        <f>AND(IF(Metadata!H798="",FALSE,TRUE),exact(Metadata!H798,"UBERON:tongue"))</f>
        <v>0</v>
      </c>
      <c r="AC798">
        <f>AND(IF(Metadata!I798="",FALSE,TRUE),exact(Metadata!I798,"tongue"))</f>
        <v>0</v>
      </c>
      <c r="AD798">
        <f>AND(IF(Metadata!J798="",FALSE,TRUE),exact(Metadata!J798,"human oral metagenome"))</f>
        <v>0</v>
      </c>
      <c r="AE798">
        <f>AND(IF(Metadata!K798="",FALSE,TRUE),exact(Metadata!K798,"447426"))</f>
        <v>0</v>
      </c>
    </row>
    <row r="799" spans="1:31">
      <c r="A799" s="4">
        <f>IF(B799=" "," ",HYPERLINK(CONCATENATE("#metadata!",ADDRESS(INDEX($Q$2:$Q$1001,MATCH(ROWS($O$2:O799),$O$2:$O$1001,0),0),1)),INDEX($T$2:$T$1001,MATCH(ROWS($O$2:O799),$O$2:$O$1001,0),0)))</f>
        <v>0</v>
      </c>
      <c r="B799" s="3">
        <f>IF(OR(INDEX($P$2:$P$1001,MATCH(ROWS($O$2:O799),$O$2:$O$1001,0),1)&gt;=100000,INDEX($V$1005:$AE$1005,1,MATCH(COLUMNS($V$1006:V1006),$V$1006:$AE$1006,0))&gt;=100000), " ",IF(INDEX($V$2:$AE$1001,MATCH(ROWS($O$2:O799),$O$2:$O$1001,0),MATCH(COLUMNS($V$1006:V1006),$V$1006:$AE$1006,0)), HYPERLINK("#",""), HYPERLINK(CONCATENATE("#Metadata!", ADDRESS(INDEX($Q$2:$Q$1001,MATCH(ROWS($O$2:O799),$O$2:$O$1001,0),0), INDEX($V$1004:$AE$1004,1,MATCH(COLUMNS($V$1006:V1006),$V$1006:$AE$1006,0)))),"Fix")))</f>
        <v>0</v>
      </c>
      <c r="C799" s="3">
        <f>IF(OR(INDEX($P$2:$P$1001,MATCH(ROWS($O$2:O799),$O$2:$O$1001,0),1)&gt;=100000,INDEX($V$1005:$AE$1005,1,MATCH(COLUMNS($V$1006:W1006),$V$1006:$AE$1006,0))&gt;=100000), " ",IF(INDEX($V$2:$AE$1001,MATCH(ROWS($O$2:O799),$O$2:$O$1001,0),MATCH(COLUMNS($V$1006:W1006),$V$1006:$AE$1006,0)), HYPERLINK("#",""), HYPERLINK(CONCATENATE("#Metadata!", ADDRESS(INDEX($Q$2:$Q$1001,MATCH(ROWS($O$2:O799),$O$2:$O$1001,0),0), INDEX($V$1004:$AE$1004,1,MATCH(COLUMNS($V$1006:W1006),$V$1006:$AE$1006,0)))),"Fix")))</f>
        <v>0</v>
      </c>
      <c r="D799" s="3">
        <f>IF(OR(INDEX($P$2:$P$1001,MATCH(ROWS($O$2:O799),$O$2:$O$1001,0),1)&gt;=100000,INDEX($V$1005:$AE$1005,1,MATCH(COLUMNS($V$1006:X1006),$V$1006:$AE$1006,0))&gt;=100000), " ",IF(INDEX($V$2:$AE$1001,MATCH(ROWS($O$2:O799),$O$2:$O$1001,0),MATCH(COLUMNS($V$1006:X1006),$V$1006:$AE$1006,0)), HYPERLINK("#",""), HYPERLINK(CONCATENATE("#Metadata!", ADDRESS(INDEX($Q$2:$Q$1001,MATCH(ROWS($O$2:O799),$O$2:$O$1001,0),0), INDEX($V$1004:$AE$1004,1,MATCH(COLUMNS($V$1006:X1006),$V$1006:$AE$1006,0)))),"Fix")))</f>
        <v>0</v>
      </c>
      <c r="E799" s="3">
        <f>IF(OR(INDEX($P$2:$P$1001,MATCH(ROWS($O$2:O799),$O$2:$O$1001,0),1)&gt;=100000,INDEX($V$1005:$AE$1005,1,MATCH(COLUMNS($V$1006:Y1006),$V$1006:$AE$1006,0))&gt;=100000), " ",IF(INDEX($V$2:$AE$1001,MATCH(ROWS($O$2:O799),$O$2:$O$1001,0),MATCH(COLUMNS($V$1006:Y1006),$V$1006:$AE$1006,0)), HYPERLINK("#",""), HYPERLINK(CONCATENATE("#Metadata!", ADDRESS(INDEX($Q$2:$Q$1001,MATCH(ROWS($O$2:O799),$O$2:$O$1001,0),0), INDEX($V$1004:$AE$1004,1,MATCH(COLUMNS($V$1006:Y1006),$V$1006:$AE$1006,0)))),"Fix")))</f>
        <v>0</v>
      </c>
      <c r="F799" s="3">
        <f>IF(OR(INDEX($P$2:$P$1001,MATCH(ROWS($O$2:O799),$O$2:$O$1001,0),1)&gt;=100000,INDEX($V$1005:$AE$1005,1,MATCH(COLUMNS($V$1006:Z1006),$V$1006:$AE$1006,0))&gt;=100000), " ",IF(INDEX($V$2:$AE$1001,MATCH(ROWS($O$2:O799),$O$2:$O$1001,0),MATCH(COLUMNS($V$1006:Z1006),$V$1006:$AE$1006,0)), HYPERLINK("#",""), HYPERLINK(CONCATENATE("#Metadata!", ADDRESS(INDEX($Q$2:$Q$1001,MATCH(ROWS($O$2:O799),$O$2:$O$1001,0),0), INDEX($V$1004:$AE$1004,1,MATCH(COLUMNS($V$1006:Z1006),$V$1006:$AE$1006,0)))),"Fix")))</f>
        <v>0</v>
      </c>
      <c r="G799" s="3">
        <f>IF(OR(INDEX($P$2:$P$1001,MATCH(ROWS($O$2:O799),$O$2:$O$1001,0),1)&gt;=100000,INDEX($V$1005:$AE$1005,1,MATCH(COLUMNS($V$1006:AA1006),$V$1006:$AE$1006,0))&gt;=100000), " ",IF(INDEX($V$2:$AE$1001,MATCH(ROWS($O$2:O799),$O$2:$O$1001,0),MATCH(COLUMNS($V$1006:AA1006),$V$1006:$AE$1006,0)), HYPERLINK("#",""), HYPERLINK(CONCATENATE("#Metadata!", ADDRESS(INDEX($Q$2:$Q$1001,MATCH(ROWS($O$2:O799),$O$2:$O$1001,0),0), INDEX($V$1004:$AE$1004,1,MATCH(COLUMNS($V$1006:AA1006),$V$1006:$AE$1006,0)))),"Fix")))</f>
        <v>0</v>
      </c>
      <c r="H799" s="3">
        <f>IF(OR(INDEX($P$2:$P$1001,MATCH(ROWS($O$2:O799),$O$2:$O$1001,0),1)&gt;=100000,INDEX($V$1005:$AE$1005,1,MATCH(COLUMNS($V$1006:AB1006),$V$1006:$AE$1006,0))&gt;=100000), " ",IF(INDEX($V$2:$AE$1001,MATCH(ROWS($O$2:O799),$O$2:$O$1001,0),MATCH(COLUMNS($V$1006:AB1006),$V$1006:$AE$1006,0)), HYPERLINK("#",""), HYPERLINK(CONCATENATE("#Metadata!", ADDRESS(INDEX($Q$2:$Q$1001,MATCH(ROWS($O$2:O799),$O$2:$O$1001,0),0), INDEX($V$1004:$AE$1004,1,MATCH(COLUMNS($V$1006:AB1006),$V$1006:$AE$1006,0)))),"Fix")))</f>
        <v>0</v>
      </c>
      <c r="I799" s="3">
        <f>IF(OR(INDEX($P$2:$P$1001,MATCH(ROWS($O$2:O799),$O$2:$O$1001,0),1)&gt;=100000,INDEX($V$1005:$AE$1005,1,MATCH(COLUMNS($V$1006:AC1006),$V$1006:$AE$1006,0))&gt;=100000), " ",IF(INDEX($V$2:$AE$1001,MATCH(ROWS($O$2:O799),$O$2:$O$1001,0),MATCH(COLUMNS($V$1006:AC1006),$V$1006:$AE$1006,0)), HYPERLINK("#",""), HYPERLINK(CONCATENATE("#Metadata!", ADDRESS(INDEX($Q$2:$Q$1001,MATCH(ROWS($O$2:O799),$O$2:$O$1001,0),0), INDEX($V$1004:$AE$1004,1,MATCH(COLUMNS($V$1006:AC1006),$V$1006:$AE$1006,0)))),"Fix")))</f>
        <v>0</v>
      </c>
      <c r="J799" s="3">
        <f>IF(OR(INDEX($P$2:$P$1001,MATCH(ROWS($O$2:O799),$O$2:$O$1001,0),1)&gt;=100000,INDEX($V$1005:$AE$1005,1,MATCH(COLUMNS($V$1006:AD1006),$V$1006:$AE$1006,0))&gt;=100000), " ",IF(INDEX($V$2:$AE$1001,MATCH(ROWS($O$2:O799),$O$2:$O$1001,0),MATCH(COLUMNS($V$1006:AD1006),$V$1006:$AE$1006,0)), HYPERLINK("#",""), HYPERLINK(CONCATENATE("#Metadata!", ADDRESS(INDEX($Q$2:$Q$1001,MATCH(ROWS($O$2:O799),$O$2:$O$1001,0),0), INDEX($V$1004:$AE$1004,1,MATCH(COLUMNS($V$1006:AD1006),$V$1006:$AE$1006,0)))),"Fix")))</f>
        <v>0</v>
      </c>
      <c r="K799" s="3">
        <f>IF(OR(INDEX($P$2:$P$1001,MATCH(ROWS($O$2:O799),$O$2:$O$1001,0),1)&gt;=100000,INDEX($V$1005:$AE$1005,1,MATCH(COLUMNS($V$1006:AE1006),$V$1006:$AE$1006,0))&gt;=100000), " ",IF(INDEX($V$2:$AE$1001,MATCH(ROWS($O$2:O799),$O$2:$O$1001,0),MATCH(COLUMNS($V$1006:AE1006),$V$1006:$AE$1006,0)), HYPERLINK("#",""), HYPERLINK(CONCATENATE("#Metadata!", ADDRESS(INDEX($Q$2:$Q$1001,MATCH(ROWS($O$2:O799),$O$2:$O$1001,0),0), INDEX($V$1004:$AE$1004,1,MATCH(COLUMNS($V$1006:AE1006),$V$1006:$AE$1006,0)))),"Fix")))</f>
        <v>0</v>
      </c>
      <c r="O799">
        <v>0</v>
      </c>
      <c r="P799">
        <v>0</v>
      </c>
      <c r="Q799">
        <v>0</v>
      </c>
      <c r="R799">
        <f>IF(S799,TRUE,AND(V799:AE799))</f>
        <v>0</v>
      </c>
      <c r="S799">
        <f>COUNTBLANK(Metadata!B799:K799)=COLUMNS(Metadata!B799:K799)</f>
        <v>0</v>
      </c>
      <c r="T799">
        <v>0</v>
      </c>
      <c r="V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W799">
        <f>AND(IF(Metadata!C799="",FALSE,TRUE),exact(Metadata!C799,"animal secretion"))</f>
        <v>0</v>
      </c>
      <c r="X799">
        <f>AND(IF(Metadata!D799="",FALSE,TRUE),exact(Metadata!D799,"saliva"))</f>
        <v>0</v>
      </c>
      <c r="Y799">
        <f>AND(IF(Metadata!E799="",FALSE,TRUE),exact(Metadata!E799,"human-oral"))</f>
        <v>0</v>
      </c>
      <c r="Z799">
        <f>AND(IF(Metadata!F799="",FALSE,TRUE),exact(Metadata!F799,"UBERON:oral cavity"))</f>
        <v>0</v>
      </c>
      <c r="AA799">
        <f>AND(IF(Metadata!G799="",FALSE,TRUE),exact(Metadata!G799,"UBERON:saliva"))</f>
        <v>0</v>
      </c>
      <c r="AB799">
        <f>AND(IF(Metadata!H799="",FALSE,TRUE),exact(Metadata!H799,"UBERON:tongue"))</f>
        <v>0</v>
      </c>
      <c r="AC799">
        <f>AND(IF(Metadata!I799="",FALSE,TRUE),exact(Metadata!I799,"tongue"))</f>
        <v>0</v>
      </c>
      <c r="AD799">
        <f>AND(IF(Metadata!J799="",FALSE,TRUE),exact(Metadata!J799,"human oral metagenome"))</f>
        <v>0</v>
      </c>
      <c r="AE799">
        <f>AND(IF(Metadata!K799="",FALSE,TRUE),exact(Metadata!K799,"447426"))</f>
        <v>0</v>
      </c>
    </row>
    <row r="800" spans="1:31">
      <c r="A800" s="4">
        <f>IF(B800=" "," ",HYPERLINK(CONCATENATE("#metadata!",ADDRESS(INDEX($Q$2:$Q$1001,MATCH(ROWS($O$2:O800),$O$2:$O$1001,0),0),1)),INDEX($T$2:$T$1001,MATCH(ROWS($O$2:O800),$O$2:$O$1001,0),0)))</f>
        <v>0</v>
      </c>
      <c r="B800" s="3">
        <f>IF(OR(INDEX($P$2:$P$1001,MATCH(ROWS($O$2:O800),$O$2:$O$1001,0),1)&gt;=100000,INDEX($V$1005:$AE$1005,1,MATCH(COLUMNS($V$1006:V1006),$V$1006:$AE$1006,0))&gt;=100000), " ",IF(INDEX($V$2:$AE$1001,MATCH(ROWS($O$2:O800),$O$2:$O$1001,0),MATCH(COLUMNS($V$1006:V1006),$V$1006:$AE$1006,0)), HYPERLINK("#",""), HYPERLINK(CONCATENATE("#Metadata!", ADDRESS(INDEX($Q$2:$Q$1001,MATCH(ROWS($O$2:O800),$O$2:$O$1001,0),0), INDEX($V$1004:$AE$1004,1,MATCH(COLUMNS($V$1006:V1006),$V$1006:$AE$1006,0)))),"Fix")))</f>
        <v>0</v>
      </c>
      <c r="C800" s="3">
        <f>IF(OR(INDEX($P$2:$P$1001,MATCH(ROWS($O$2:O800),$O$2:$O$1001,0),1)&gt;=100000,INDEX($V$1005:$AE$1005,1,MATCH(COLUMNS($V$1006:W1006),$V$1006:$AE$1006,0))&gt;=100000), " ",IF(INDEX($V$2:$AE$1001,MATCH(ROWS($O$2:O800),$O$2:$O$1001,0),MATCH(COLUMNS($V$1006:W1006),$V$1006:$AE$1006,0)), HYPERLINK("#",""), HYPERLINK(CONCATENATE("#Metadata!", ADDRESS(INDEX($Q$2:$Q$1001,MATCH(ROWS($O$2:O800),$O$2:$O$1001,0),0), INDEX($V$1004:$AE$1004,1,MATCH(COLUMNS($V$1006:W1006),$V$1006:$AE$1006,0)))),"Fix")))</f>
        <v>0</v>
      </c>
      <c r="D800" s="3">
        <f>IF(OR(INDEX($P$2:$P$1001,MATCH(ROWS($O$2:O800),$O$2:$O$1001,0),1)&gt;=100000,INDEX($V$1005:$AE$1005,1,MATCH(COLUMNS($V$1006:X1006),$V$1006:$AE$1006,0))&gt;=100000), " ",IF(INDEX($V$2:$AE$1001,MATCH(ROWS($O$2:O800),$O$2:$O$1001,0),MATCH(COLUMNS($V$1006:X1006),$V$1006:$AE$1006,0)), HYPERLINK("#",""), HYPERLINK(CONCATENATE("#Metadata!", ADDRESS(INDEX($Q$2:$Q$1001,MATCH(ROWS($O$2:O800),$O$2:$O$1001,0),0), INDEX($V$1004:$AE$1004,1,MATCH(COLUMNS($V$1006:X1006),$V$1006:$AE$1006,0)))),"Fix")))</f>
        <v>0</v>
      </c>
      <c r="E800" s="3">
        <f>IF(OR(INDEX($P$2:$P$1001,MATCH(ROWS($O$2:O800),$O$2:$O$1001,0),1)&gt;=100000,INDEX($V$1005:$AE$1005,1,MATCH(COLUMNS($V$1006:Y1006),$V$1006:$AE$1006,0))&gt;=100000), " ",IF(INDEX($V$2:$AE$1001,MATCH(ROWS($O$2:O800),$O$2:$O$1001,0),MATCH(COLUMNS($V$1006:Y1006),$V$1006:$AE$1006,0)), HYPERLINK("#",""), HYPERLINK(CONCATENATE("#Metadata!", ADDRESS(INDEX($Q$2:$Q$1001,MATCH(ROWS($O$2:O800),$O$2:$O$1001,0),0), INDEX($V$1004:$AE$1004,1,MATCH(COLUMNS($V$1006:Y1006),$V$1006:$AE$1006,0)))),"Fix")))</f>
        <v>0</v>
      </c>
      <c r="F800" s="3">
        <f>IF(OR(INDEX($P$2:$P$1001,MATCH(ROWS($O$2:O800),$O$2:$O$1001,0),1)&gt;=100000,INDEX($V$1005:$AE$1005,1,MATCH(COLUMNS($V$1006:Z1006),$V$1006:$AE$1006,0))&gt;=100000), " ",IF(INDEX($V$2:$AE$1001,MATCH(ROWS($O$2:O800),$O$2:$O$1001,0),MATCH(COLUMNS($V$1006:Z1006),$V$1006:$AE$1006,0)), HYPERLINK("#",""), HYPERLINK(CONCATENATE("#Metadata!", ADDRESS(INDEX($Q$2:$Q$1001,MATCH(ROWS($O$2:O800),$O$2:$O$1001,0),0), INDEX($V$1004:$AE$1004,1,MATCH(COLUMNS($V$1006:Z1006),$V$1006:$AE$1006,0)))),"Fix")))</f>
        <v>0</v>
      </c>
      <c r="G800" s="3">
        <f>IF(OR(INDEX($P$2:$P$1001,MATCH(ROWS($O$2:O800),$O$2:$O$1001,0),1)&gt;=100000,INDEX($V$1005:$AE$1005,1,MATCH(COLUMNS($V$1006:AA1006),$V$1006:$AE$1006,0))&gt;=100000), " ",IF(INDEX($V$2:$AE$1001,MATCH(ROWS($O$2:O800),$O$2:$O$1001,0),MATCH(COLUMNS($V$1006:AA1006),$V$1006:$AE$1006,0)), HYPERLINK("#",""), HYPERLINK(CONCATENATE("#Metadata!", ADDRESS(INDEX($Q$2:$Q$1001,MATCH(ROWS($O$2:O800),$O$2:$O$1001,0),0), INDEX($V$1004:$AE$1004,1,MATCH(COLUMNS($V$1006:AA1006),$V$1006:$AE$1006,0)))),"Fix")))</f>
        <v>0</v>
      </c>
      <c r="H800" s="3">
        <f>IF(OR(INDEX($P$2:$P$1001,MATCH(ROWS($O$2:O800),$O$2:$O$1001,0),1)&gt;=100000,INDEX($V$1005:$AE$1005,1,MATCH(COLUMNS($V$1006:AB1006),$V$1006:$AE$1006,0))&gt;=100000), " ",IF(INDEX($V$2:$AE$1001,MATCH(ROWS($O$2:O800),$O$2:$O$1001,0),MATCH(COLUMNS($V$1006:AB1006),$V$1006:$AE$1006,0)), HYPERLINK("#",""), HYPERLINK(CONCATENATE("#Metadata!", ADDRESS(INDEX($Q$2:$Q$1001,MATCH(ROWS($O$2:O800),$O$2:$O$1001,0),0), INDEX($V$1004:$AE$1004,1,MATCH(COLUMNS($V$1006:AB1006),$V$1006:$AE$1006,0)))),"Fix")))</f>
        <v>0</v>
      </c>
      <c r="I800" s="3">
        <f>IF(OR(INDEX($P$2:$P$1001,MATCH(ROWS($O$2:O800),$O$2:$O$1001,0),1)&gt;=100000,INDEX($V$1005:$AE$1005,1,MATCH(COLUMNS($V$1006:AC1006),$V$1006:$AE$1006,0))&gt;=100000), " ",IF(INDEX($V$2:$AE$1001,MATCH(ROWS($O$2:O800),$O$2:$O$1001,0),MATCH(COLUMNS($V$1006:AC1006),$V$1006:$AE$1006,0)), HYPERLINK("#",""), HYPERLINK(CONCATENATE("#Metadata!", ADDRESS(INDEX($Q$2:$Q$1001,MATCH(ROWS($O$2:O800),$O$2:$O$1001,0),0), INDEX($V$1004:$AE$1004,1,MATCH(COLUMNS($V$1006:AC1006),$V$1006:$AE$1006,0)))),"Fix")))</f>
        <v>0</v>
      </c>
      <c r="J800" s="3">
        <f>IF(OR(INDEX($P$2:$P$1001,MATCH(ROWS($O$2:O800),$O$2:$O$1001,0),1)&gt;=100000,INDEX($V$1005:$AE$1005,1,MATCH(COLUMNS($V$1006:AD1006),$V$1006:$AE$1006,0))&gt;=100000), " ",IF(INDEX($V$2:$AE$1001,MATCH(ROWS($O$2:O800),$O$2:$O$1001,0),MATCH(COLUMNS($V$1006:AD1006),$V$1006:$AE$1006,0)), HYPERLINK("#",""), HYPERLINK(CONCATENATE("#Metadata!", ADDRESS(INDEX($Q$2:$Q$1001,MATCH(ROWS($O$2:O800),$O$2:$O$1001,0),0), INDEX($V$1004:$AE$1004,1,MATCH(COLUMNS($V$1006:AD1006),$V$1006:$AE$1006,0)))),"Fix")))</f>
        <v>0</v>
      </c>
      <c r="K800" s="3">
        <f>IF(OR(INDEX($P$2:$P$1001,MATCH(ROWS($O$2:O800),$O$2:$O$1001,0),1)&gt;=100000,INDEX($V$1005:$AE$1005,1,MATCH(COLUMNS($V$1006:AE1006),$V$1006:$AE$1006,0))&gt;=100000), " ",IF(INDEX($V$2:$AE$1001,MATCH(ROWS($O$2:O800),$O$2:$O$1001,0),MATCH(COLUMNS($V$1006:AE1006),$V$1006:$AE$1006,0)), HYPERLINK("#",""), HYPERLINK(CONCATENATE("#Metadata!", ADDRESS(INDEX($Q$2:$Q$1001,MATCH(ROWS($O$2:O800),$O$2:$O$1001,0),0), INDEX($V$1004:$AE$1004,1,MATCH(COLUMNS($V$1006:AE1006),$V$1006:$AE$1006,0)))),"Fix")))</f>
        <v>0</v>
      </c>
      <c r="O800">
        <v>0</v>
      </c>
      <c r="P800">
        <v>0</v>
      </c>
      <c r="Q800">
        <v>0</v>
      </c>
      <c r="R800">
        <f>IF(S800,TRUE,AND(V800:AE800))</f>
        <v>0</v>
      </c>
      <c r="S800">
        <f>COUNTBLANK(Metadata!B800:K800)=COLUMNS(Metadata!B800:K800)</f>
        <v>0</v>
      </c>
      <c r="T800">
        <v>0</v>
      </c>
      <c r="V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W800">
        <f>AND(IF(Metadata!C800="",FALSE,TRUE),exact(Metadata!C800,"animal secretion"))</f>
        <v>0</v>
      </c>
      <c r="X800">
        <f>AND(IF(Metadata!D800="",FALSE,TRUE),exact(Metadata!D800,"saliva"))</f>
        <v>0</v>
      </c>
      <c r="Y800">
        <f>AND(IF(Metadata!E800="",FALSE,TRUE),exact(Metadata!E800,"human-oral"))</f>
        <v>0</v>
      </c>
      <c r="Z800">
        <f>AND(IF(Metadata!F800="",FALSE,TRUE),exact(Metadata!F800,"UBERON:oral cavity"))</f>
        <v>0</v>
      </c>
      <c r="AA800">
        <f>AND(IF(Metadata!G800="",FALSE,TRUE),exact(Metadata!G800,"UBERON:saliva"))</f>
        <v>0</v>
      </c>
      <c r="AB800">
        <f>AND(IF(Metadata!H800="",FALSE,TRUE),exact(Metadata!H800,"UBERON:tongue"))</f>
        <v>0</v>
      </c>
      <c r="AC800">
        <f>AND(IF(Metadata!I800="",FALSE,TRUE),exact(Metadata!I800,"tongue"))</f>
        <v>0</v>
      </c>
      <c r="AD800">
        <f>AND(IF(Metadata!J800="",FALSE,TRUE),exact(Metadata!J800,"human oral metagenome"))</f>
        <v>0</v>
      </c>
      <c r="AE800">
        <f>AND(IF(Metadata!K800="",FALSE,TRUE),exact(Metadata!K800,"447426"))</f>
        <v>0</v>
      </c>
    </row>
    <row r="801" spans="1:31">
      <c r="A801" s="4">
        <f>IF(B801=" "," ",HYPERLINK(CONCATENATE("#metadata!",ADDRESS(INDEX($Q$2:$Q$1001,MATCH(ROWS($O$2:O801),$O$2:$O$1001,0),0),1)),INDEX($T$2:$T$1001,MATCH(ROWS($O$2:O801),$O$2:$O$1001,0),0)))</f>
        <v>0</v>
      </c>
      <c r="B801" s="3">
        <f>IF(OR(INDEX($P$2:$P$1001,MATCH(ROWS($O$2:O801),$O$2:$O$1001,0),1)&gt;=100000,INDEX($V$1005:$AE$1005,1,MATCH(COLUMNS($V$1006:V1006),$V$1006:$AE$1006,0))&gt;=100000), " ",IF(INDEX($V$2:$AE$1001,MATCH(ROWS($O$2:O801),$O$2:$O$1001,0),MATCH(COLUMNS($V$1006:V1006),$V$1006:$AE$1006,0)), HYPERLINK("#",""), HYPERLINK(CONCATENATE("#Metadata!", ADDRESS(INDEX($Q$2:$Q$1001,MATCH(ROWS($O$2:O801),$O$2:$O$1001,0),0), INDEX($V$1004:$AE$1004,1,MATCH(COLUMNS($V$1006:V1006),$V$1006:$AE$1006,0)))),"Fix")))</f>
        <v>0</v>
      </c>
      <c r="C801" s="3">
        <f>IF(OR(INDEX($P$2:$P$1001,MATCH(ROWS($O$2:O801),$O$2:$O$1001,0),1)&gt;=100000,INDEX($V$1005:$AE$1005,1,MATCH(COLUMNS($V$1006:W1006),$V$1006:$AE$1006,0))&gt;=100000), " ",IF(INDEX($V$2:$AE$1001,MATCH(ROWS($O$2:O801),$O$2:$O$1001,0),MATCH(COLUMNS($V$1006:W1006),$V$1006:$AE$1006,0)), HYPERLINK("#",""), HYPERLINK(CONCATENATE("#Metadata!", ADDRESS(INDEX($Q$2:$Q$1001,MATCH(ROWS($O$2:O801),$O$2:$O$1001,0),0), INDEX($V$1004:$AE$1004,1,MATCH(COLUMNS($V$1006:W1006),$V$1006:$AE$1006,0)))),"Fix")))</f>
        <v>0</v>
      </c>
      <c r="D801" s="3">
        <f>IF(OR(INDEX($P$2:$P$1001,MATCH(ROWS($O$2:O801),$O$2:$O$1001,0),1)&gt;=100000,INDEX($V$1005:$AE$1005,1,MATCH(COLUMNS($V$1006:X1006),$V$1006:$AE$1006,0))&gt;=100000), " ",IF(INDEX($V$2:$AE$1001,MATCH(ROWS($O$2:O801),$O$2:$O$1001,0),MATCH(COLUMNS($V$1006:X1006),$V$1006:$AE$1006,0)), HYPERLINK("#",""), HYPERLINK(CONCATENATE("#Metadata!", ADDRESS(INDEX($Q$2:$Q$1001,MATCH(ROWS($O$2:O801),$O$2:$O$1001,0),0), INDEX($V$1004:$AE$1004,1,MATCH(COLUMNS($V$1006:X1006),$V$1006:$AE$1006,0)))),"Fix")))</f>
        <v>0</v>
      </c>
      <c r="E801" s="3">
        <f>IF(OR(INDEX($P$2:$P$1001,MATCH(ROWS($O$2:O801),$O$2:$O$1001,0),1)&gt;=100000,INDEX($V$1005:$AE$1005,1,MATCH(COLUMNS($V$1006:Y1006),$V$1006:$AE$1006,0))&gt;=100000), " ",IF(INDEX($V$2:$AE$1001,MATCH(ROWS($O$2:O801),$O$2:$O$1001,0),MATCH(COLUMNS($V$1006:Y1006),$V$1006:$AE$1006,0)), HYPERLINK("#",""), HYPERLINK(CONCATENATE("#Metadata!", ADDRESS(INDEX($Q$2:$Q$1001,MATCH(ROWS($O$2:O801),$O$2:$O$1001,0),0), INDEX($V$1004:$AE$1004,1,MATCH(COLUMNS($V$1006:Y1006),$V$1006:$AE$1006,0)))),"Fix")))</f>
        <v>0</v>
      </c>
      <c r="F801" s="3">
        <f>IF(OR(INDEX($P$2:$P$1001,MATCH(ROWS($O$2:O801),$O$2:$O$1001,0),1)&gt;=100000,INDEX($V$1005:$AE$1005,1,MATCH(COLUMNS($V$1006:Z1006),$V$1006:$AE$1006,0))&gt;=100000), " ",IF(INDEX($V$2:$AE$1001,MATCH(ROWS($O$2:O801),$O$2:$O$1001,0),MATCH(COLUMNS($V$1006:Z1006),$V$1006:$AE$1006,0)), HYPERLINK("#",""), HYPERLINK(CONCATENATE("#Metadata!", ADDRESS(INDEX($Q$2:$Q$1001,MATCH(ROWS($O$2:O801),$O$2:$O$1001,0),0), INDEX($V$1004:$AE$1004,1,MATCH(COLUMNS($V$1006:Z1006),$V$1006:$AE$1006,0)))),"Fix")))</f>
        <v>0</v>
      </c>
      <c r="G801" s="3">
        <f>IF(OR(INDEX($P$2:$P$1001,MATCH(ROWS($O$2:O801),$O$2:$O$1001,0),1)&gt;=100000,INDEX($V$1005:$AE$1005,1,MATCH(COLUMNS($V$1006:AA1006),$V$1006:$AE$1006,0))&gt;=100000), " ",IF(INDEX($V$2:$AE$1001,MATCH(ROWS($O$2:O801),$O$2:$O$1001,0),MATCH(COLUMNS($V$1006:AA1006),$V$1006:$AE$1006,0)), HYPERLINK("#",""), HYPERLINK(CONCATENATE("#Metadata!", ADDRESS(INDEX($Q$2:$Q$1001,MATCH(ROWS($O$2:O801),$O$2:$O$1001,0),0), INDEX($V$1004:$AE$1004,1,MATCH(COLUMNS($V$1006:AA1006),$V$1006:$AE$1006,0)))),"Fix")))</f>
        <v>0</v>
      </c>
      <c r="H801" s="3">
        <f>IF(OR(INDEX($P$2:$P$1001,MATCH(ROWS($O$2:O801),$O$2:$O$1001,0),1)&gt;=100000,INDEX($V$1005:$AE$1005,1,MATCH(COLUMNS($V$1006:AB1006),$V$1006:$AE$1006,0))&gt;=100000), " ",IF(INDEX($V$2:$AE$1001,MATCH(ROWS($O$2:O801),$O$2:$O$1001,0),MATCH(COLUMNS($V$1006:AB1006),$V$1006:$AE$1006,0)), HYPERLINK("#",""), HYPERLINK(CONCATENATE("#Metadata!", ADDRESS(INDEX($Q$2:$Q$1001,MATCH(ROWS($O$2:O801),$O$2:$O$1001,0),0), INDEX($V$1004:$AE$1004,1,MATCH(COLUMNS($V$1006:AB1006),$V$1006:$AE$1006,0)))),"Fix")))</f>
        <v>0</v>
      </c>
      <c r="I801" s="3">
        <f>IF(OR(INDEX($P$2:$P$1001,MATCH(ROWS($O$2:O801),$O$2:$O$1001,0),1)&gt;=100000,INDEX($V$1005:$AE$1005,1,MATCH(COLUMNS($V$1006:AC1006),$V$1006:$AE$1006,0))&gt;=100000), " ",IF(INDEX($V$2:$AE$1001,MATCH(ROWS($O$2:O801),$O$2:$O$1001,0),MATCH(COLUMNS($V$1006:AC1006),$V$1006:$AE$1006,0)), HYPERLINK("#",""), HYPERLINK(CONCATENATE("#Metadata!", ADDRESS(INDEX($Q$2:$Q$1001,MATCH(ROWS($O$2:O801),$O$2:$O$1001,0),0), INDEX($V$1004:$AE$1004,1,MATCH(COLUMNS($V$1006:AC1006),$V$1006:$AE$1006,0)))),"Fix")))</f>
        <v>0</v>
      </c>
      <c r="J801" s="3">
        <f>IF(OR(INDEX($P$2:$P$1001,MATCH(ROWS($O$2:O801),$O$2:$O$1001,0),1)&gt;=100000,INDEX($V$1005:$AE$1005,1,MATCH(COLUMNS($V$1006:AD1006),$V$1006:$AE$1006,0))&gt;=100000), " ",IF(INDEX($V$2:$AE$1001,MATCH(ROWS($O$2:O801),$O$2:$O$1001,0),MATCH(COLUMNS($V$1006:AD1006),$V$1006:$AE$1006,0)), HYPERLINK("#",""), HYPERLINK(CONCATENATE("#Metadata!", ADDRESS(INDEX($Q$2:$Q$1001,MATCH(ROWS($O$2:O801),$O$2:$O$1001,0),0), INDEX($V$1004:$AE$1004,1,MATCH(COLUMNS($V$1006:AD1006),$V$1006:$AE$1006,0)))),"Fix")))</f>
        <v>0</v>
      </c>
      <c r="K801" s="3">
        <f>IF(OR(INDEX($P$2:$P$1001,MATCH(ROWS($O$2:O801),$O$2:$O$1001,0),1)&gt;=100000,INDEX($V$1005:$AE$1005,1,MATCH(COLUMNS($V$1006:AE1006),$V$1006:$AE$1006,0))&gt;=100000), " ",IF(INDEX($V$2:$AE$1001,MATCH(ROWS($O$2:O801),$O$2:$O$1001,0),MATCH(COLUMNS($V$1006:AE1006),$V$1006:$AE$1006,0)), HYPERLINK("#",""), HYPERLINK(CONCATENATE("#Metadata!", ADDRESS(INDEX($Q$2:$Q$1001,MATCH(ROWS($O$2:O801),$O$2:$O$1001,0),0), INDEX($V$1004:$AE$1004,1,MATCH(COLUMNS($V$1006:AE1006),$V$1006:$AE$1006,0)))),"Fix")))</f>
        <v>0</v>
      </c>
      <c r="O801">
        <v>0</v>
      </c>
      <c r="P801">
        <v>0</v>
      </c>
      <c r="Q801">
        <v>0</v>
      </c>
      <c r="R801">
        <f>IF(S801,TRUE,AND(V801:AE801))</f>
        <v>0</v>
      </c>
      <c r="S801">
        <f>COUNTBLANK(Metadata!B801:K801)=COLUMNS(Metadata!B801:K801)</f>
        <v>0</v>
      </c>
      <c r="T801">
        <v>0</v>
      </c>
      <c r="V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W801">
        <f>AND(IF(Metadata!C801="",FALSE,TRUE),exact(Metadata!C801,"animal secretion"))</f>
        <v>0</v>
      </c>
      <c r="X801">
        <f>AND(IF(Metadata!D801="",FALSE,TRUE),exact(Metadata!D801,"saliva"))</f>
        <v>0</v>
      </c>
      <c r="Y801">
        <f>AND(IF(Metadata!E801="",FALSE,TRUE),exact(Metadata!E801,"human-oral"))</f>
        <v>0</v>
      </c>
      <c r="Z801">
        <f>AND(IF(Metadata!F801="",FALSE,TRUE),exact(Metadata!F801,"UBERON:oral cavity"))</f>
        <v>0</v>
      </c>
      <c r="AA801">
        <f>AND(IF(Metadata!G801="",FALSE,TRUE),exact(Metadata!G801,"UBERON:saliva"))</f>
        <v>0</v>
      </c>
      <c r="AB801">
        <f>AND(IF(Metadata!H801="",FALSE,TRUE),exact(Metadata!H801,"UBERON:tongue"))</f>
        <v>0</v>
      </c>
      <c r="AC801">
        <f>AND(IF(Metadata!I801="",FALSE,TRUE),exact(Metadata!I801,"tongue"))</f>
        <v>0</v>
      </c>
      <c r="AD801">
        <f>AND(IF(Metadata!J801="",FALSE,TRUE),exact(Metadata!J801,"human oral metagenome"))</f>
        <v>0</v>
      </c>
      <c r="AE801">
        <f>AND(IF(Metadata!K801="",FALSE,TRUE),exact(Metadata!K801,"447426"))</f>
        <v>0</v>
      </c>
    </row>
    <row r="802" spans="1:31">
      <c r="A802" s="4">
        <f>IF(B802=" "," ",HYPERLINK(CONCATENATE("#metadata!",ADDRESS(INDEX($Q$2:$Q$1001,MATCH(ROWS($O$2:O802),$O$2:$O$1001,0),0),1)),INDEX($T$2:$T$1001,MATCH(ROWS($O$2:O802),$O$2:$O$1001,0),0)))</f>
        <v>0</v>
      </c>
      <c r="B802" s="3">
        <f>IF(OR(INDEX($P$2:$P$1001,MATCH(ROWS($O$2:O802),$O$2:$O$1001,0),1)&gt;=100000,INDEX($V$1005:$AE$1005,1,MATCH(COLUMNS($V$1006:V1006),$V$1006:$AE$1006,0))&gt;=100000), " ",IF(INDEX($V$2:$AE$1001,MATCH(ROWS($O$2:O802),$O$2:$O$1001,0),MATCH(COLUMNS($V$1006:V1006),$V$1006:$AE$1006,0)), HYPERLINK("#",""), HYPERLINK(CONCATENATE("#Metadata!", ADDRESS(INDEX($Q$2:$Q$1001,MATCH(ROWS($O$2:O802),$O$2:$O$1001,0),0), INDEX($V$1004:$AE$1004,1,MATCH(COLUMNS($V$1006:V1006),$V$1006:$AE$1006,0)))),"Fix")))</f>
        <v>0</v>
      </c>
      <c r="C802" s="3">
        <f>IF(OR(INDEX($P$2:$P$1001,MATCH(ROWS($O$2:O802),$O$2:$O$1001,0),1)&gt;=100000,INDEX($V$1005:$AE$1005,1,MATCH(COLUMNS($V$1006:W1006),$V$1006:$AE$1006,0))&gt;=100000), " ",IF(INDEX($V$2:$AE$1001,MATCH(ROWS($O$2:O802),$O$2:$O$1001,0),MATCH(COLUMNS($V$1006:W1006),$V$1006:$AE$1006,0)), HYPERLINK("#",""), HYPERLINK(CONCATENATE("#Metadata!", ADDRESS(INDEX($Q$2:$Q$1001,MATCH(ROWS($O$2:O802),$O$2:$O$1001,0),0), INDEX($V$1004:$AE$1004,1,MATCH(COLUMNS($V$1006:W1006),$V$1006:$AE$1006,0)))),"Fix")))</f>
        <v>0</v>
      </c>
      <c r="D802" s="3">
        <f>IF(OR(INDEX($P$2:$P$1001,MATCH(ROWS($O$2:O802),$O$2:$O$1001,0),1)&gt;=100000,INDEX($V$1005:$AE$1005,1,MATCH(COLUMNS($V$1006:X1006),$V$1006:$AE$1006,0))&gt;=100000), " ",IF(INDEX($V$2:$AE$1001,MATCH(ROWS($O$2:O802),$O$2:$O$1001,0),MATCH(COLUMNS($V$1006:X1006),$V$1006:$AE$1006,0)), HYPERLINK("#",""), HYPERLINK(CONCATENATE("#Metadata!", ADDRESS(INDEX($Q$2:$Q$1001,MATCH(ROWS($O$2:O802),$O$2:$O$1001,0),0), INDEX($V$1004:$AE$1004,1,MATCH(COLUMNS($V$1006:X1006),$V$1006:$AE$1006,0)))),"Fix")))</f>
        <v>0</v>
      </c>
      <c r="E802" s="3">
        <f>IF(OR(INDEX($P$2:$P$1001,MATCH(ROWS($O$2:O802),$O$2:$O$1001,0),1)&gt;=100000,INDEX($V$1005:$AE$1005,1,MATCH(COLUMNS($V$1006:Y1006),$V$1006:$AE$1006,0))&gt;=100000), " ",IF(INDEX($V$2:$AE$1001,MATCH(ROWS($O$2:O802),$O$2:$O$1001,0),MATCH(COLUMNS($V$1006:Y1006),$V$1006:$AE$1006,0)), HYPERLINK("#",""), HYPERLINK(CONCATENATE("#Metadata!", ADDRESS(INDEX($Q$2:$Q$1001,MATCH(ROWS($O$2:O802),$O$2:$O$1001,0),0), INDEX($V$1004:$AE$1004,1,MATCH(COLUMNS($V$1006:Y1006),$V$1006:$AE$1006,0)))),"Fix")))</f>
        <v>0</v>
      </c>
      <c r="F802" s="3">
        <f>IF(OR(INDEX($P$2:$P$1001,MATCH(ROWS($O$2:O802),$O$2:$O$1001,0),1)&gt;=100000,INDEX($V$1005:$AE$1005,1,MATCH(COLUMNS($V$1006:Z1006),$V$1006:$AE$1006,0))&gt;=100000), " ",IF(INDEX($V$2:$AE$1001,MATCH(ROWS($O$2:O802),$O$2:$O$1001,0),MATCH(COLUMNS($V$1006:Z1006),$V$1006:$AE$1006,0)), HYPERLINK("#",""), HYPERLINK(CONCATENATE("#Metadata!", ADDRESS(INDEX($Q$2:$Q$1001,MATCH(ROWS($O$2:O802),$O$2:$O$1001,0),0), INDEX($V$1004:$AE$1004,1,MATCH(COLUMNS($V$1006:Z1006),$V$1006:$AE$1006,0)))),"Fix")))</f>
        <v>0</v>
      </c>
      <c r="G802" s="3">
        <f>IF(OR(INDEX($P$2:$P$1001,MATCH(ROWS($O$2:O802),$O$2:$O$1001,0),1)&gt;=100000,INDEX($V$1005:$AE$1005,1,MATCH(COLUMNS($V$1006:AA1006),$V$1006:$AE$1006,0))&gt;=100000), " ",IF(INDEX($V$2:$AE$1001,MATCH(ROWS($O$2:O802),$O$2:$O$1001,0),MATCH(COLUMNS($V$1006:AA1006),$V$1006:$AE$1006,0)), HYPERLINK("#",""), HYPERLINK(CONCATENATE("#Metadata!", ADDRESS(INDEX($Q$2:$Q$1001,MATCH(ROWS($O$2:O802),$O$2:$O$1001,0),0), INDEX($V$1004:$AE$1004,1,MATCH(COLUMNS($V$1006:AA1006),$V$1006:$AE$1006,0)))),"Fix")))</f>
        <v>0</v>
      </c>
      <c r="H802" s="3">
        <f>IF(OR(INDEX($P$2:$P$1001,MATCH(ROWS($O$2:O802),$O$2:$O$1001,0),1)&gt;=100000,INDEX($V$1005:$AE$1005,1,MATCH(COLUMNS($V$1006:AB1006),$V$1006:$AE$1006,0))&gt;=100000), " ",IF(INDEX($V$2:$AE$1001,MATCH(ROWS($O$2:O802),$O$2:$O$1001,0),MATCH(COLUMNS($V$1006:AB1006),$V$1006:$AE$1006,0)), HYPERLINK("#",""), HYPERLINK(CONCATENATE("#Metadata!", ADDRESS(INDEX($Q$2:$Q$1001,MATCH(ROWS($O$2:O802),$O$2:$O$1001,0),0), INDEX($V$1004:$AE$1004,1,MATCH(COLUMNS($V$1006:AB1006),$V$1006:$AE$1006,0)))),"Fix")))</f>
        <v>0</v>
      </c>
      <c r="I802" s="3">
        <f>IF(OR(INDEX($P$2:$P$1001,MATCH(ROWS($O$2:O802),$O$2:$O$1001,0),1)&gt;=100000,INDEX($V$1005:$AE$1005,1,MATCH(COLUMNS($V$1006:AC1006),$V$1006:$AE$1006,0))&gt;=100000), " ",IF(INDEX($V$2:$AE$1001,MATCH(ROWS($O$2:O802),$O$2:$O$1001,0),MATCH(COLUMNS($V$1006:AC1006),$V$1006:$AE$1006,0)), HYPERLINK("#",""), HYPERLINK(CONCATENATE("#Metadata!", ADDRESS(INDEX($Q$2:$Q$1001,MATCH(ROWS($O$2:O802),$O$2:$O$1001,0),0), INDEX($V$1004:$AE$1004,1,MATCH(COLUMNS($V$1006:AC1006),$V$1006:$AE$1006,0)))),"Fix")))</f>
        <v>0</v>
      </c>
      <c r="J802" s="3">
        <f>IF(OR(INDEX($P$2:$P$1001,MATCH(ROWS($O$2:O802),$O$2:$O$1001,0),1)&gt;=100000,INDEX($V$1005:$AE$1005,1,MATCH(COLUMNS($V$1006:AD1006),$V$1006:$AE$1006,0))&gt;=100000), " ",IF(INDEX($V$2:$AE$1001,MATCH(ROWS($O$2:O802),$O$2:$O$1001,0),MATCH(COLUMNS($V$1006:AD1006),$V$1006:$AE$1006,0)), HYPERLINK("#",""), HYPERLINK(CONCATENATE("#Metadata!", ADDRESS(INDEX($Q$2:$Q$1001,MATCH(ROWS($O$2:O802),$O$2:$O$1001,0),0), INDEX($V$1004:$AE$1004,1,MATCH(COLUMNS($V$1006:AD1006),$V$1006:$AE$1006,0)))),"Fix")))</f>
        <v>0</v>
      </c>
      <c r="K802" s="3">
        <f>IF(OR(INDEX($P$2:$P$1001,MATCH(ROWS($O$2:O802),$O$2:$O$1001,0),1)&gt;=100000,INDEX($V$1005:$AE$1005,1,MATCH(COLUMNS($V$1006:AE1006),$V$1006:$AE$1006,0))&gt;=100000), " ",IF(INDEX($V$2:$AE$1001,MATCH(ROWS($O$2:O802),$O$2:$O$1001,0),MATCH(COLUMNS($V$1006:AE1006),$V$1006:$AE$1006,0)), HYPERLINK("#",""), HYPERLINK(CONCATENATE("#Metadata!", ADDRESS(INDEX($Q$2:$Q$1001,MATCH(ROWS($O$2:O802),$O$2:$O$1001,0),0), INDEX($V$1004:$AE$1004,1,MATCH(COLUMNS($V$1006:AE1006),$V$1006:$AE$1006,0)))),"Fix")))</f>
        <v>0</v>
      </c>
      <c r="O802">
        <v>0</v>
      </c>
      <c r="P802">
        <v>0</v>
      </c>
      <c r="Q802">
        <v>0</v>
      </c>
      <c r="R802">
        <f>IF(S802,TRUE,AND(V802:AE802))</f>
        <v>0</v>
      </c>
      <c r="S802">
        <f>COUNTBLANK(Metadata!B802:K802)=COLUMNS(Metadata!B802:K802)</f>
        <v>0</v>
      </c>
      <c r="T802">
        <v>0</v>
      </c>
      <c r="V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W802">
        <f>AND(IF(Metadata!C802="",FALSE,TRUE),exact(Metadata!C802,"animal secretion"))</f>
        <v>0</v>
      </c>
      <c r="X802">
        <f>AND(IF(Metadata!D802="",FALSE,TRUE),exact(Metadata!D802,"saliva"))</f>
        <v>0</v>
      </c>
      <c r="Y802">
        <f>AND(IF(Metadata!E802="",FALSE,TRUE),exact(Metadata!E802,"human-oral"))</f>
        <v>0</v>
      </c>
      <c r="Z802">
        <f>AND(IF(Metadata!F802="",FALSE,TRUE),exact(Metadata!F802,"UBERON:oral cavity"))</f>
        <v>0</v>
      </c>
      <c r="AA802">
        <f>AND(IF(Metadata!G802="",FALSE,TRUE),exact(Metadata!G802,"UBERON:saliva"))</f>
        <v>0</v>
      </c>
      <c r="AB802">
        <f>AND(IF(Metadata!H802="",FALSE,TRUE),exact(Metadata!H802,"UBERON:tongue"))</f>
        <v>0</v>
      </c>
      <c r="AC802">
        <f>AND(IF(Metadata!I802="",FALSE,TRUE),exact(Metadata!I802,"tongue"))</f>
        <v>0</v>
      </c>
      <c r="AD802">
        <f>AND(IF(Metadata!J802="",FALSE,TRUE),exact(Metadata!J802,"human oral metagenome"))</f>
        <v>0</v>
      </c>
      <c r="AE802">
        <f>AND(IF(Metadata!K802="",FALSE,TRUE),exact(Metadata!K802,"447426"))</f>
        <v>0</v>
      </c>
    </row>
    <row r="803" spans="1:31">
      <c r="A803" s="4">
        <f>IF(B803=" "," ",HYPERLINK(CONCATENATE("#metadata!",ADDRESS(INDEX($Q$2:$Q$1001,MATCH(ROWS($O$2:O803),$O$2:$O$1001,0),0),1)),INDEX($T$2:$T$1001,MATCH(ROWS($O$2:O803),$O$2:$O$1001,0),0)))</f>
        <v>0</v>
      </c>
      <c r="B803" s="3">
        <f>IF(OR(INDEX($P$2:$P$1001,MATCH(ROWS($O$2:O803),$O$2:$O$1001,0),1)&gt;=100000,INDEX($V$1005:$AE$1005,1,MATCH(COLUMNS($V$1006:V1006),$V$1006:$AE$1006,0))&gt;=100000), " ",IF(INDEX($V$2:$AE$1001,MATCH(ROWS($O$2:O803),$O$2:$O$1001,0),MATCH(COLUMNS($V$1006:V1006),$V$1006:$AE$1006,0)), HYPERLINK("#",""), HYPERLINK(CONCATENATE("#Metadata!", ADDRESS(INDEX($Q$2:$Q$1001,MATCH(ROWS($O$2:O803),$O$2:$O$1001,0),0), INDEX($V$1004:$AE$1004,1,MATCH(COLUMNS($V$1006:V1006),$V$1006:$AE$1006,0)))),"Fix")))</f>
        <v>0</v>
      </c>
      <c r="C803" s="3">
        <f>IF(OR(INDEX($P$2:$P$1001,MATCH(ROWS($O$2:O803),$O$2:$O$1001,0),1)&gt;=100000,INDEX($V$1005:$AE$1005,1,MATCH(COLUMNS($V$1006:W1006),$V$1006:$AE$1006,0))&gt;=100000), " ",IF(INDEX($V$2:$AE$1001,MATCH(ROWS($O$2:O803),$O$2:$O$1001,0),MATCH(COLUMNS($V$1006:W1006),$V$1006:$AE$1006,0)), HYPERLINK("#",""), HYPERLINK(CONCATENATE("#Metadata!", ADDRESS(INDEX($Q$2:$Q$1001,MATCH(ROWS($O$2:O803),$O$2:$O$1001,0),0), INDEX($V$1004:$AE$1004,1,MATCH(COLUMNS($V$1006:W1006),$V$1006:$AE$1006,0)))),"Fix")))</f>
        <v>0</v>
      </c>
      <c r="D803" s="3">
        <f>IF(OR(INDEX($P$2:$P$1001,MATCH(ROWS($O$2:O803),$O$2:$O$1001,0),1)&gt;=100000,INDEX($V$1005:$AE$1005,1,MATCH(COLUMNS($V$1006:X1006),$V$1006:$AE$1006,0))&gt;=100000), " ",IF(INDEX($V$2:$AE$1001,MATCH(ROWS($O$2:O803),$O$2:$O$1001,0),MATCH(COLUMNS($V$1006:X1006),$V$1006:$AE$1006,0)), HYPERLINK("#",""), HYPERLINK(CONCATENATE("#Metadata!", ADDRESS(INDEX($Q$2:$Q$1001,MATCH(ROWS($O$2:O803),$O$2:$O$1001,0),0), INDEX($V$1004:$AE$1004,1,MATCH(COLUMNS($V$1006:X1006),$V$1006:$AE$1006,0)))),"Fix")))</f>
        <v>0</v>
      </c>
      <c r="E803" s="3">
        <f>IF(OR(INDEX($P$2:$P$1001,MATCH(ROWS($O$2:O803),$O$2:$O$1001,0),1)&gt;=100000,INDEX($V$1005:$AE$1005,1,MATCH(COLUMNS($V$1006:Y1006),$V$1006:$AE$1006,0))&gt;=100000), " ",IF(INDEX($V$2:$AE$1001,MATCH(ROWS($O$2:O803),$O$2:$O$1001,0),MATCH(COLUMNS($V$1006:Y1006),$V$1006:$AE$1006,0)), HYPERLINK("#",""), HYPERLINK(CONCATENATE("#Metadata!", ADDRESS(INDEX($Q$2:$Q$1001,MATCH(ROWS($O$2:O803),$O$2:$O$1001,0),0), INDEX($V$1004:$AE$1004,1,MATCH(COLUMNS($V$1006:Y1006),$V$1006:$AE$1006,0)))),"Fix")))</f>
        <v>0</v>
      </c>
      <c r="F803" s="3">
        <f>IF(OR(INDEX($P$2:$P$1001,MATCH(ROWS($O$2:O803),$O$2:$O$1001,0),1)&gt;=100000,INDEX($V$1005:$AE$1005,1,MATCH(COLUMNS($V$1006:Z1006),$V$1006:$AE$1006,0))&gt;=100000), " ",IF(INDEX($V$2:$AE$1001,MATCH(ROWS($O$2:O803),$O$2:$O$1001,0),MATCH(COLUMNS($V$1006:Z1006),$V$1006:$AE$1006,0)), HYPERLINK("#",""), HYPERLINK(CONCATENATE("#Metadata!", ADDRESS(INDEX($Q$2:$Q$1001,MATCH(ROWS($O$2:O803),$O$2:$O$1001,0),0), INDEX($V$1004:$AE$1004,1,MATCH(COLUMNS($V$1006:Z1006),$V$1006:$AE$1006,0)))),"Fix")))</f>
        <v>0</v>
      </c>
      <c r="G803" s="3">
        <f>IF(OR(INDEX($P$2:$P$1001,MATCH(ROWS($O$2:O803),$O$2:$O$1001,0),1)&gt;=100000,INDEX($V$1005:$AE$1005,1,MATCH(COLUMNS($V$1006:AA1006),$V$1006:$AE$1006,0))&gt;=100000), " ",IF(INDEX($V$2:$AE$1001,MATCH(ROWS($O$2:O803),$O$2:$O$1001,0),MATCH(COLUMNS($V$1006:AA1006),$V$1006:$AE$1006,0)), HYPERLINK("#",""), HYPERLINK(CONCATENATE("#Metadata!", ADDRESS(INDEX($Q$2:$Q$1001,MATCH(ROWS($O$2:O803),$O$2:$O$1001,0),0), INDEX($V$1004:$AE$1004,1,MATCH(COLUMNS($V$1006:AA1006),$V$1006:$AE$1006,0)))),"Fix")))</f>
        <v>0</v>
      </c>
      <c r="H803" s="3">
        <f>IF(OR(INDEX($P$2:$P$1001,MATCH(ROWS($O$2:O803),$O$2:$O$1001,0),1)&gt;=100000,INDEX($V$1005:$AE$1005,1,MATCH(COLUMNS($V$1006:AB1006),$V$1006:$AE$1006,0))&gt;=100000), " ",IF(INDEX($V$2:$AE$1001,MATCH(ROWS($O$2:O803),$O$2:$O$1001,0),MATCH(COLUMNS($V$1006:AB1006),$V$1006:$AE$1006,0)), HYPERLINK("#",""), HYPERLINK(CONCATENATE("#Metadata!", ADDRESS(INDEX($Q$2:$Q$1001,MATCH(ROWS($O$2:O803),$O$2:$O$1001,0),0), INDEX($V$1004:$AE$1004,1,MATCH(COLUMNS($V$1006:AB1006),$V$1006:$AE$1006,0)))),"Fix")))</f>
        <v>0</v>
      </c>
      <c r="I803" s="3">
        <f>IF(OR(INDEX($P$2:$P$1001,MATCH(ROWS($O$2:O803),$O$2:$O$1001,0),1)&gt;=100000,INDEX($V$1005:$AE$1005,1,MATCH(COLUMNS($V$1006:AC1006),$V$1006:$AE$1006,0))&gt;=100000), " ",IF(INDEX($V$2:$AE$1001,MATCH(ROWS($O$2:O803),$O$2:$O$1001,0),MATCH(COLUMNS($V$1006:AC1006),$V$1006:$AE$1006,0)), HYPERLINK("#",""), HYPERLINK(CONCATENATE("#Metadata!", ADDRESS(INDEX($Q$2:$Q$1001,MATCH(ROWS($O$2:O803),$O$2:$O$1001,0),0), INDEX($V$1004:$AE$1004,1,MATCH(COLUMNS($V$1006:AC1006),$V$1006:$AE$1006,0)))),"Fix")))</f>
        <v>0</v>
      </c>
      <c r="J803" s="3">
        <f>IF(OR(INDEX($P$2:$P$1001,MATCH(ROWS($O$2:O803),$O$2:$O$1001,0),1)&gt;=100000,INDEX($V$1005:$AE$1005,1,MATCH(COLUMNS($V$1006:AD1006),$V$1006:$AE$1006,0))&gt;=100000), " ",IF(INDEX($V$2:$AE$1001,MATCH(ROWS($O$2:O803),$O$2:$O$1001,0),MATCH(COLUMNS($V$1006:AD1006),$V$1006:$AE$1006,0)), HYPERLINK("#",""), HYPERLINK(CONCATENATE("#Metadata!", ADDRESS(INDEX($Q$2:$Q$1001,MATCH(ROWS($O$2:O803),$O$2:$O$1001,0),0), INDEX($V$1004:$AE$1004,1,MATCH(COLUMNS($V$1006:AD1006),$V$1006:$AE$1006,0)))),"Fix")))</f>
        <v>0</v>
      </c>
      <c r="K803" s="3">
        <f>IF(OR(INDEX($P$2:$P$1001,MATCH(ROWS($O$2:O803),$O$2:$O$1001,0),1)&gt;=100000,INDEX($V$1005:$AE$1005,1,MATCH(COLUMNS($V$1006:AE1006),$V$1006:$AE$1006,0))&gt;=100000), " ",IF(INDEX($V$2:$AE$1001,MATCH(ROWS($O$2:O803),$O$2:$O$1001,0),MATCH(COLUMNS($V$1006:AE1006),$V$1006:$AE$1006,0)), HYPERLINK("#",""), HYPERLINK(CONCATENATE("#Metadata!", ADDRESS(INDEX($Q$2:$Q$1001,MATCH(ROWS($O$2:O803),$O$2:$O$1001,0),0), INDEX($V$1004:$AE$1004,1,MATCH(COLUMNS($V$1006:AE1006),$V$1006:$AE$1006,0)))),"Fix")))</f>
        <v>0</v>
      </c>
      <c r="O803">
        <v>0</v>
      </c>
      <c r="P803">
        <v>0</v>
      </c>
      <c r="Q803">
        <v>0</v>
      </c>
      <c r="R803">
        <f>IF(S803,TRUE,AND(V803:AE803))</f>
        <v>0</v>
      </c>
      <c r="S803">
        <f>COUNTBLANK(Metadata!B803:K803)=COLUMNS(Metadata!B803:K803)</f>
        <v>0</v>
      </c>
      <c r="T803">
        <v>0</v>
      </c>
      <c r="V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W803">
        <f>AND(IF(Metadata!C803="",FALSE,TRUE),exact(Metadata!C803,"animal secretion"))</f>
        <v>0</v>
      </c>
      <c r="X803">
        <f>AND(IF(Metadata!D803="",FALSE,TRUE),exact(Metadata!D803,"saliva"))</f>
        <v>0</v>
      </c>
      <c r="Y803">
        <f>AND(IF(Metadata!E803="",FALSE,TRUE),exact(Metadata!E803,"human-oral"))</f>
        <v>0</v>
      </c>
      <c r="Z803">
        <f>AND(IF(Metadata!F803="",FALSE,TRUE),exact(Metadata!F803,"UBERON:oral cavity"))</f>
        <v>0</v>
      </c>
      <c r="AA803">
        <f>AND(IF(Metadata!G803="",FALSE,TRUE),exact(Metadata!G803,"UBERON:saliva"))</f>
        <v>0</v>
      </c>
      <c r="AB803">
        <f>AND(IF(Metadata!H803="",FALSE,TRUE),exact(Metadata!H803,"UBERON:tongue"))</f>
        <v>0</v>
      </c>
      <c r="AC803">
        <f>AND(IF(Metadata!I803="",FALSE,TRUE),exact(Metadata!I803,"tongue"))</f>
        <v>0</v>
      </c>
      <c r="AD803">
        <f>AND(IF(Metadata!J803="",FALSE,TRUE),exact(Metadata!J803,"human oral metagenome"))</f>
        <v>0</v>
      </c>
      <c r="AE803">
        <f>AND(IF(Metadata!K803="",FALSE,TRUE),exact(Metadata!K803,"447426"))</f>
        <v>0</v>
      </c>
    </row>
    <row r="804" spans="1:31">
      <c r="A804" s="4">
        <f>IF(B804=" "," ",HYPERLINK(CONCATENATE("#metadata!",ADDRESS(INDEX($Q$2:$Q$1001,MATCH(ROWS($O$2:O804),$O$2:$O$1001,0),0),1)),INDEX($T$2:$T$1001,MATCH(ROWS($O$2:O804),$O$2:$O$1001,0),0)))</f>
        <v>0</v>
      </c>
      <c r="B804" s="3">
        <f>IF(OR(INDEX($P$2:$P$1001,MATCH(ROWS($O$2:O804),$O$2:$O$1001,0),1)&gt;=100000,INDEX($V$1005:$AE$1005,1,MATCH(COLUMNS($V$1006:V1006),$V$1006:$AE$1006,0))&gt;=100000), " ",IF(INDEX($V$2:$AE$1001,MATCH(ROWS($O$2:O804),$O$2:$O$1001,0),MATCH(COLUMNS($V$1006:V1006),$V$1006:$AE$1006,0)), HYPERLINK("#",""), HYPERLINK(CONCATENATE("#Metadata!", ADDRESS(INDEX($Q$2:$Q$1001,MATCH(ROWS($O$2:O804),$O$2:$O$1001,0),0), INDEX($V$1004:$AE$1004,1,MATCH(COLUMNS($V$1006:V1006),$V$1006:$AE$1006,0)))),"Fix")))</f>
        <v>0</v>
      </c>
      <c r="C804" s="3">
        <f>IF(OR(INDEX($P$2:$P$1001,MATCH(ROWS($O$2:O804),$O$2:$O$1001,0),1)&gt;=100000,INDEX($V$1005:$AE$1005,1,MATCH(COLUMNS($V$1006:W1006),$V$1006:$AE$1006,0))&gt;=100000), " ",IF(INDEX($V$2:$AE$1001,MATCH(ROWS($O$2:O804),$O$2:$O$1001,0),MATCH(COLUMNS($V$1006:W1006),$V$1006:$AE$1006,0)), HYPERLINK("#",""), HYPERLINK(CONCATENATE("#Metadata!", ADDRESS(INDEX($Q$2:$Q$1001,MATCH(ROWS($O$2:O804),$O$2:$O$1001,0),0), INDEX($V$1004:$AE$1004,1,MATCH(COLUMNS($V$1006:W1006),$V$1006:$AE$1006,0)))),"Fix")))</f>
        <v>0</v>
      </c>
      <c r="D804" s="3">
        <f>IF(OR(INDEX($P$2:$P$1001,MATCH(ROWS($O$2:O804),$O$2:$O$1001,0),1)&gt;=100000,INDEX($V$1005:$AE$1005,1,MATCH(COLUMNS($V$1006:X1006),$V$1006:$AE$1006,0))&gt;=100000), " ",IF(INDEX($V$2:$AE$1001,MATCH(ROWS($O$2:O804),$O$2:$O$1001,0),MATCH(COLUMNS($V$1006:X1006),$V$1006:$AE$1006,0)), HYPERLINK("#",""), HYPERLINK(CONCATENATE("#Metadata!", ADDRESS(INDEX($Q$2:$Q$1001,MATCH(ROWS($O$2:O804),$O$2:$O$1001,0),0), INDEX($V$1004:$AE$1004,1,MATCH(COLUMNS($V$1006:X1006),$V$1006:$AE$1006,0)))),"Fix")))</f>
        <v>0</v>
      </c>
      <c r="E804" s="3">
        <f>IF(OR(INDEX($P$2:$P$1001,MATCH(ROWS($O$2:O804),$O$2:$O$1001,0),1)&gt;=100000,INDEX($V$1005:$AE$1005,1,MATCH(COLUMNS($V$1006:Y1006),$V$1006:$AE$1006,0))&gt;=100000), " ",IF(INDEX($V$2:$AE$1001,MATCH(ROWS($O$2:O804),$O$2:$O$1001,0),MATCH(COLUMNS($V$1006:Y1006),$V$1006:$AE$1006,0)), HYPERLINK("#",""), HYPERLINK(CONCATENATE("#Metadata!", ADDRESS(INDEX($Q$2:$Q$1001,MATCH(ROWS($O$2:O804),$O$2:$O$1001,0),0), INDEX($V$1004:$AE$1004,1,MATCH(COLUMNS($V$1006:Y1006),$V$1006:$AE$1006,0)))),"Fix")))</f>
        <v>0</v>
      </c>
      <c r="F804" s="3">
        <f>IF(OR(INDEX($P$2:$P$1001,MATCH(ROWS($O$2:O804),$O$2:$O$1001,0),1)&gt;=100000,INDEX($V$1005:$AE$1005,1,MATCH(COLUMNS($V$1006:Z1006),$V$1006:$AE$1006,0))&gt;=100000), " ",IF(INDEX($V$2:$AE$1001,MATCH(ROWS($O$2:O804),$O$2:$O$1001,0),MATCH(COLUMNS($V$1006:Z1006),$V$1006:$AE$1006,0)), HYPERLINK("#",""), HYPERLINK(CONCATENATE("#Metadata!", ADDRESS(INDEX($Q$2:$Q$1001,MATCH(ROWS($O$2:O804),$O$2:$O$1001,0),0), INDEX($V$1004:$AE$1004,1,MATCH(COLUMNS($V$1006:Z1006),$V$1006:$AE$1006,0)))),"Fix")))</f>
        <v>0</v>
      </c>
      <c r="G804" s="3">
        <f>IF(OR(INDEX($P$2:$P$1001,MATCH(ROWS($O$2:O804),$O$2:$O$1001,0),1)&gt;=100000,INDEX($V$1005:$AE$1005,1,MATCH(COLUMNS($V$1006:AA1006),$V$1006:$AE$1006,0))&gt;=100000), " ",IF(INDEX($V$2:$AE$1001,MATCH(ROWS($O$2:O804),$O$2:$O$1001,0),MATCH(COLUMNS($V$1006:AA1006),$V$1006:$AE$1006,0)), HYPERLINK("#",""), HYPERLINK(CONCATENATE("#Metadata!", ADDRESS(INDEX($Q$2:$Q$1001,MATCH(ROWS($O$2:O804),$O$2:$O$1001,0),0), INDEX($V$1004:$AE$1004,1,MATCH(COLUMNS($V$1006:AA1006),$V$1006:$AE$1006,0)))),"Fix")))</f>
        <v>0</v>
      </c>
      <c r="H804" s="3">
        <f>IF(OR(INDEX($P$2:$P$1001,MATCH(ROWS($O$2:O804),$O$2:$O$1001,0),1)&gt;=100000,INDEX($V$1005:$AE$1005,1,MATCH(COLUMNS($V$1006:AB1006),$V$1006:$AE$1006,0))&gt;=100000), " ",IF(INDEX($V$2:$AE$1001,MATCH(ROWS($O$2:O804),$O$2:$O$1001,0),MATCH(COLUMNS($V$1006:AB1006),$V$1006:$AE$1006,0)), HYPERLINK("#",""), HYPERLINK(CONCATENATE("#Metadata!", ADDRESS(INDEX($Q$2:$Q$1001,MATCH(ROWS($O$2:O804),$O$2:$O$1001,0),0), INDEX($V$1004:$AE$1004,1,MATCH(COLUMNS($V$1006:AB1006),$V$1006:$AE$1006,0)))),"Fix")))</f>
        <v>0</v>
      </c>
      <c r="I804" s="3">
        <f>IF(OR(INDEX($P$2:$P$1001,MATCH(ROWS($O$2:O804),$O$2:$O$1001,0),1)&gt;=100000,INDEX($V$1005:$AE$1005,1,MATCH(COLUMNS($V$1006:AC1006),$V$1006:$AE$1006,0))&gt;=100000), " ",IF(INDEX($V$2:$AE$1001,MATCH(ROWS($O$2:O804),$O$2:$O$1001,0),MATCH(COLUMNS($V$1006:AC1006),$V$1006:$AE$1006,0)), HYPERLINK("#",""), HYPERLINK(CONCATENATE("#Metadata!", ADDRESS(INDEX($Q$2:$Q$1001,MATCH(ROWS($O$2:O804),$O$2:$O$1001,0),0), INDEX($V$1004:$AE$1004,1,MATCH(COLUMNS($V$1006:AC1006),$V$1006:$AE$1006,0)))),"Fix")))</f>
        <v>0</v>
      </c>
      <c r="J804" s="3">
        <f>IF(OR(INDEX($P$2:$P$1001,MATCH(ROWS($O$2:O804),$O$2:$O$1001,0),1)&gt;=100000,INDEX($V$1005:$AE$1005,1,MATCH(COLUMNS($V$1006:AD1006),$V$1006:$AE$1006,0))&gt;=100000), " ",IF(INDEX($V$2:$AE$1001,MATCH(ROWS($O$2:O804),$O$2:$O$1001,0),MATCH(COLUMNS($V$1006:AD1006),$V$1006:$AE$1006,0)), HYPERLINK("#",""), HYPERLINK(CONCATENATE("#Metadata!", ADDRESS(INDEX($Q$2:$Q$1001,MATCH(ROWS($O$2:O804),$O$2:$O$1001,0),0), INDEX($V$1004:$AE$1004,1,MATCH(COLUMNS($V$1006:AD1006),$V$1006:$AE$1006,0)))),"Fix")))</f>
        <v>0</v>
      </c>
      <c r="K804" s="3">
        <f>IF(OR(INDEX($P$2:$P$1001,MATCH(ROWS($O$2:O804),$O$2:$O$1001,0),1)&gt;=100000,INDEX($V$1005:$AE$1005,1,MATCH(COLUMNS($V$1006:AE1006),$V$1006:$AE$1006,0))&gt;=100000), " ",IF(INDEX($V$2:$AE$1001,MATCH(ROWS($O$2:O804),$O$2:$O$1001,0),MATCH(COLUMNS($V$1006:AE1006),$V$1006:$AE$1006,0)), HYPERLINK("#",""), HYPERLINK(CONCATENATE("#Metadata!", ADDRESS(INDEX($Q$2:$Q$1001,MATCH(ROWS($O$2:O804),$O$2:$O$1001,0),0), INDEX($V$1004:$AE$1004,1,MATCH(COLUMNS($V$1006:AE1006),$V$1006:$AE$1006,0)))),"Fix")))</f>
        <v>0</v>
      </c>
      <c r="O804">
        <v>0</v>
      </c>
      <c r="P804">
        <v>0</v>
      </c>
      <c r="Q804">
        <v>0</v>
      </c>
      <c r="R804">
        <f>IF(S804,TRUE,AND(V804:AE804))</f>
        <v>0</v>
      </c>
      <c r="S804">
        <f>COUNTBLANK(Metadata!B804:K804)=COLUMNS(Metadata!B804:K804)</f>
        <v>0</v>
      </c>
      <c r="T804">
        <v>0</v>
      </c>
      <c r="V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W804">
        <f>AND(IF(Metadata!C804="",FALSE,TRUE),exact(Metadata!C804,"animal secretion"))</f>
        <v>0</v>
      </c>
      <c r="X804">
        <f>AND(IF(Metadata!D804="",FALSE,TRUE),exact(Metadata!D804,"saliva"))</f>
        <v>0</v>
      </c>
      <c r="Y804">
        <f>AND(IF(Metadata!E804="",FALSE,TRUE),exact(Metadata!E804,"human-oral"))</f>
        <v>0</v>
      </c>
      <c r="Z804">
        <f>AND(IF(Metadata!F804="",FALSE,TRUE),exact(Metadata!F804,"UBERON:oral cavity"))</f>
        <v>0</v>
      </c>
      <c r="AA804">
        <f>AND(IF(Metadata!G804="",FALSE,TRUE),exact(Metadata!G804,"UBERON:saliva"))</f>
        <v>0</v>
      </c>
      <c r="AB804">
        <f>AND(IF(Metadata!H804="",FALSE,TRUE),exact(Metadata!H804,"UBERON:tongue"))</f>
        <v>0</v>
      </c>
      <c r="AC804">
        <f>AND(IF(Metadata!I804="",FALSE,TRUE),exact(Metadata!I804,"tongue"))</f>
        <v>0</v>
      </c>
      <c r="AD804">
        <f>AND(IF(Metadata!J804="",FALSE,TRUE),exact(Metadata!J804,"human oral metagenome"))</f>
        <v>0</v>
      </c>
      <c r="AE804">
        <f>AND(IF(Metadata!K804="",FALSE,TRUE),exact(Metadata!K804,"447426"))</f>
        <v>0</v>
      </c>
    </row>
    <row r="805" spans="1:31">
      <c r="A805" s="4">
        <f>IF(B805=" "," ",HYPERLINK(CONCATENATE("#metadata!",ADDRESS(INDEX($Q$2:$Q$1001,MATCH(ROWS($O$2:O805),$O$2:$O$1001,0),0),1)),INDEX($T$2:$T$1001,MATCH(ROWS($O$2:O805),$O$2:$O$1001,0),0)))</f>
        <v>0</v>
      </c>
      <c r="B805" s="3">
        <f>IF(OR(INDEX($P$2:$P$1001,MATCH(ROWS($O$2:O805),$O$2:$O$1001,0),1)&gt;=100000,INDEX($V$1005:$AE$1005,1,MATCH(COLUMNS($V$1006:V1006),$V$1006:$AE$1006,0))&gt;=100000), " ",IF(INDEX($V$2:$AE$1001,MATCH(ROWS($O$2:O805),$O$2:$O$1001,0),MATCH(COLUMNS($V$1006:V1006),$V$1006:$AE$1006,0)), HYPERLINK("#",""), HYPERLINK(CONCATENATE("#Metadata!", ADDRESS(INDEX($Q$2:$Q$1001,MATCH(ROWS($O$2:O805),$O$2:$O$1001,0),0), INDEX($V$1004:$AE$1004,1,MATCH(COLUMNS($V$1006:V1006),$V$1006:$AE$1006,0)))),"Fix")))</f>
        <v>0</v>
      </c>
      <c r="C805" s="3">
        <f>IF(OR(INDEX($P$2:$P$1001,MATCH(ROWS($O$2:O805),$O$2:$O$1001,0),1)&gt;=100000,INDEX($V$1005:$AE$1005,1,MATCH(COLUMNS($V$1006:W1006),$V$1006:$AE$1006,0))&gt;=100000), " ",IF(INDEX($V$2:$AE$1001,MATCH(ROWS($O$2:O805),$O$2:$O$1001,0),MATCH(COLUMNS($V$1006:W1006),$V$1006:$AE$1006,0)), HYPERLINK("#",""), HYPERLINK(CONCATENATE("#Metadata!", ADDRESS(INDEX($Q$2:$Q$1001,MATCH(ROWS($O$2:O805),$O$2:$O$1001,0),0), INDEX($V$1004:$AE$1004,1,MATCH(COLUMNS($V$1006:W1006),$V$1006:$AE$1006,0)))),"Fix")))</f>
        <v>0</v>
      </c>
      <c r="D805" s="3">
        <f>IF(OR(INDEX($P$2:$P$1001,MATCH(ROWS($O$2:O805),$O$2:$O$1001,0),1)&gt;=100000,INDEX($V$1005:$AE$1005,1,MATCH(COLUMNS($V$1006:X1006),$V$1006:$AE$1006,0))&gt;=100000), " ",IF(INDEX($V$2:$AE$1001,MATCH(ROWS($O$2:O805),$O$2:$O$1001,0),MATCH(COLUMNS($V$1006:X1006),$V$1006:$AE$1006,0)), HYPERLINK("#",""), HYPERLINK(CONCATENATE("#Metadata!", ADDRESS(INDEX($Q$2:$Q$1001,MATCH(ROWS($O$2:O805),$O$2:$O$1001,0),0), INDEX($V$1004:$AE$1004,1,MATCH(COLUMNS($V$1006:X1006),$V$1006:$AE$1006,0)))),"Fix")))</f>
        <v>0</v>
      </c>
      <c r="E805" s="3">
        <f>IF(OR(INDEX($P$2:$P$1001,MATCH(ROWS($O$2:O805),$O$2:$O$1001,0),1)&gt;=100000,INDEX($V$1005:$AE$1005,1,MATCH(COLUMNS($V$1006:Y1006),$V$1006:$AE$1006,0))&gt;=100000), " ",IF(INDEX($V$2:$AE$1001,MATCH(ROWS($O$2:O805),$O$2:$O$1001,0),MATCH(COLUMNS($V$1006:Y1006),$V$1006:$AE$1006,0)), HYPERLINK("#",""), HYPERLINK(CONCATENATE("#Metadata!", ADDRESS(INDEX($Q$2:$Q$1001,MATCH(ROWS($O$2:O805),$O$2:$O$1001,0),0), INDEX($V$1004:$AE$1004,1,MATCH(COLUMNS($V$1006:Y1006),$V$1006:$AE$1006,0)))),"Fix")))</f>
        <v>0</v>
      </c>
      <c r="F805" s="3">
        <f>IF(OR(INDEX($P$2:$P$1001,MATCH(ROWS($O$2:O805),$O$2:$O$1001,0),1)&gt;=100000,INDEX($V$1005:$AE$1005,1,MATCH(COLUMNS($V$1006:Z1006),$V$1006:$AE$1006,0))&gt;=100000), " ",IF(INDEX($V$2:$AE$1001,MATCH(ROWS($O$2:O805),$O$2:$O$1001,0),MATCH(COLUMNS($V$1006:Z1006),$V$1006:$AE$1006,0)), HYPERLINK("#",""), HYPERLINK(CONCATENATE("#Metadata!", ADDRESS(INDEX($Q$2:$Q$1001,MATCH(ROWS($O$2:O805),$O$2:$O$1001,0),0), INDEX($V$1004:$AE$1004,1,MATCH(COLUMNS($V$1006:Z1006),$V$1006:$AE$1006,0)))),"Fix")))</f>
        <v>0</v>
      </c>
      <c r="G805" s="3">
        <f>IF(OR(INDEX($P$2:$P$1001,MATCH(ROWS($O$2:O805),$O$2:$O$1001,0),1)&gt;=100000,INDEX($V$1005:$AE$1005,1,MATCH(COLUMNS($V$1006:AA1006),$V$1006:$AE$1006,0))&gt;=100000), " ",IF(INDEX($V$2:$AE$1001,MATCH(ROWS($O$2:O805),$O$2:$O$1001,0),MATCH(COLUMNS($V$1006:AA1006),$V$1006:$AE$1006,0)), HYPERLINK("#",""), HYPERLINK(CONCATENATE("#Metadata!", ADDRESS(INDEX($Q$2:$Q$1001,MATCH(ROWS($O$2:O805),$O$2:$O$1001,0),0), INDEX($V$1004:$AE$1004,1,MATCH(COLUMNS($V$1006:AA1006),$V$1006:$AE$1006,0)))),"Fix")))</f>
        <v>0</v>
      </c>
      <c r="H805" s="3">
        <f>IF(OR(INDEX($P$2:$P$1001,MATCH(ROWS($O$2:O805),$O$2:$O$1001,0),1)&gt;=100000,INDEX($V$1005:$AE$1005,1,MATCH(COLUMNS($V$1006:AB1006),$V$1006:$AE$1006,0))&gt;=100000), " ",IF(INDEX($V$2:$AE$1001,MATCH(ROWS($O$2:O805),$O$2:$O$1001,0),MATCH(COLUMNS($V$1006:AB1006),$V$1006:$AE$1006,0)), HYPERLINK("#",""), HYPERLINK(CONCATENATE("#Metadata!", ADDRESS(INDEX($Q$2:$Q$1001,MATCH(ROWS($O$2:O805),$O$2:$O$1001,0),0), INDEX($V$1004:$AE$1004,1,MATCH(COLUMNS($V$1006:AB1006),$V$1006:$AE$1006,0)))),"Fix")))</f>
        <v>0</v>
      </c>
      <c r="I805" s="3">
        <f>IF(OR(INDEX($P$2:$P$1001,MATCH(ROWS($O$2:O805),$O$2:$O$1001,0),1)&gt;=100000,INDEX($V$1005:$AE$1005,1,MATCH(COLUMNS($V$1006:AC1006),$V$1006:$AE$1006,0))&gt;=100000), " ",IF(INDEX($V$2:$AE$1001,MATCH(ROWS($O$2:O805),$O$2:$O$1001,0),MATCH(COLUMNS($V$1006:AC1006),$V$1006:$AE$1006,0)), HYPERLINK("#",""), HYPERLINK(CONCATENATE("#Metadata!", ADDRESS(INDEX($Q$2:$Q$1001,MATCH(ROWS($O$2:O805),$O$2:$O$1001,0),0), INDEX($V$1004:$AE$1004,1,MATCH(COLUMNS($V$1006:AC1006),$V$1006:$AE$1006,0)))),"Fix")))</f>
        <v>0</v>
      </c>
      <c r="J805" s="3">
        <f>IF(OR(INDEX($P$2:$P$1001,MATCH(ROWS($O$2:O805),$O$2:$O$1001,0),1)&gt;=100000,INDEX($V$1005:$AE$1005,1,MATCH(COLUMNS($V$1006:AD1006),$V$1006:$AE$1006,0))&gt;=100000), " ",IF(INDEX($V$2:$AE$1001,MATCH(ROWS($O$2:O805),$O$2:$O$1001,0),MATCH(COLUMNS($V$1006:AD1006),$V$1006:$AE$1006,0)), HYPERLINK("#",""), HYPERLINK(CONCATENATE("#Metadata!", ADDRESS(INDEX($Q$2:$Q$1001,MATCH(ROWS($O$2:O805),$O$2:$O$1001,0),0), INDEX($V$1004:$AE$1004,1,MATCH(COLUMNS($V$1006:AD1006),$V$1006:$AE$1006,0)))),"Fix")))</f>
        <v>0</v>
      </c>
      <c r="K805" s="3">
        <f>IF(OR(INDEX($P$2:$P$1001,MATCH(ROWS($O$2:O805),$O$2:$O$1001,0),1)&gt;=100000,INDEX($V$1005:$AE$1005,1,MATCH(COLUMNS($V$1006:AE1006),$V$1006:$AE$1006,0))&gt;=100000), " ",IF(INDEX($V$2:$AE$1001,MATCH(ROWS($O$2:O805),$O$2:$O$1001,0),MATCH(COLUMNS($V$1006:AE1006),$V$1006:$AE$1006,0)), HYPERLINK("#",""), HYPERLINK(CONCATENATE("#Metadata!", ADDRESS(INDEX($Q$2:$Q$1001,MATCH(ROWS($O$2:O805),$O$2:$O$1001,0),0), INDEX($V$1004:$AE$1004,1,MATCH(COLUMNS($V$1006:AE1006),$V$1006:$AE$1006,0)))),"Fix")))</f>
        <v>0</v>
      </c>
      <c r="O805">
        <v>0</v>
      </c>
      <c r="P805">
        <v>0</v>
      </c>
      <c r="Q805">
        <v>0</v>
      </c>
      <c r="R805">
        <f>IF(S805,TRUE,AND(V805:AE805))</f>
        <v>0</v>
      </c>
      <c r="S805">
        <f>COUNTBLANK(Metadata!B805:K805)=COLUMNS(Metadata!B805:K805)</f>
        <v>0</v>
      </c>
      <c r="T805">
        <v>0</v>
      </c>
      <c r="V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W805">
        <f>AND(IF(Metadata!C805="",FALSE,TRUE),exact(Metadata!C805,"animal secretion"))</f>
        <v>0</v>
      </c>
      <c r="X805">
        <f>AND(IF(Metadata!D805="",FALSE,TRUE),exact(Metadata!D805,"saliva"))</f>
        <v>0</v>
      </c>
      <c r="Y805">
        <f>AND(IF(Metadata!E805="",FALSE,TRUE),exact(Metadata!E805,"human-oral"))</f>
        <v>0</v>
      </c>
      <c r="Z805">
        <f>AND(IF(Metadata!F805="",FALSE,TRUE),exact(Metadata!F805,"UBERON:oral cavity"))</f>
        <v>0</v>
      </c>
      <c r="AA805">
        <f>AND(IF(Metadata!G805="",FALSE,TRUE),exact(Metadata!G805,"UBERON:saliva"))</f>
        <v>0</v>
      </c>
      <c r="AB805">
        <f>AND(IF(Metadata!H805="",FALSE,TRUE),exact(Metadata!H805,"UBERON:tongue"))</f>
        <v>0</v>
      </c>
      <c r="AC805">
        <f>AND(IF(Metadata!I805="",FALSE,TRUE),exact(Metadata!I805,"tongue"))</f>
        <v>0</v>
      </c>
      <c r="AD805">
        <f>AND(IF(Metadata!J805="",FALSE,TRUE),exact(Metadata!J805,"human oral metagenome"))</f>
        <v>0</v>
      </c>
      <c r="AE805">
        <f>AND(IF(Metadata!K805="",FALSE,TRUE),exact(Metadata!K805,"447426"))</f>
        <v>0</v>
      </c>
    </row>
    <row r="806" spans="1:31">
      <c r="A806" s="4">
        <f>IF(B806=" "," ",HYPERLINK(CONCATENATE("#metadata!",ADDRESS(INDEX($Q$2:$Q$1001,MATCH(ROWS($O$2:O806),$O$2:$O$1001,0),0),1)),INDEX($T$2:$T$1001,MATCH(ROWS($O$2:O806),$O$2:$O$1001,0),0)))</f>
        <v>0</v>
      </c>
      <c r="B806" s="3">
        <f>IF(OR(INDEX($P$2:$P$1001,MATCH(ROWS($O$2:O806),$O$2:$O$1001,0),1)&gt;=100000,INDEX($V$1005:$AE$1005,1,MATCH(COLUMNS($V$1006:V1006),$V$1006:$AE$1006,0))&gt;=100000), " ",IF(INDEX($V$2:$AE$1001,MATCH(ROWS($O$2:O806),$O$2:$O$1001,0),MATCH(COLUMNS($V$1006:V1006),$V$1006:$AE$1006,0)), HYPERLINK("#",""), HYPERLINK(CONCATENATE("#Metadata!", ADDRESS(INDEX($Q$2:$Q$1001,MATCH(ROWS($O$2:O806),$O$2:$O$1001,0),0), INDEX($V$1004:$AE$1004,1,MATCH(COLUMNS($V$1006:V1006),$V$1006:$AE$1006,0)))),"Fix")))</f>
        <v>0</v>
      </c>
      <c r="C806" s="3">
        <f>IF(OR(INDEX($P$2:$P$1001,MATCH(ROWS($O$2:O806),$O$2:$O$1001,0),1)&gt;=100000,INDEX($V$1005:$AE$1005,1,MATCH(COLUMNS($V$1006:W1006),$V$1006:$AE$1006,0))&gt;=100000), " ",IF(INDEX($V$2:$AE$1001,MATCH(ROWS($O$2:O806),$O$2:$O$1001,0),MATCH(COLUMNS($V$1006:W1006),$V$1006:$AE$1006,0)), HYPERLINK("#",""), HYPERLINK(CONCATENATE("#Metadata!", ADDRESS(INDEX($Q$2:$Q$1001,MATCH(ROWS($O$2:O806),$O$2:$O$1001,0),0), INDEX($V$1004:$AE$1004,1,MATCH(COLUMNS($V$1006:W1006),$V$1006:$AE$1006,0)))),"Fix")))</f>
        <v>0</v>
      </c>
      <c r="D806" s="3">
        <f>IF(OR(INDEX($P$2:$P$1001,MATCH(ROWS($O$2:O806),$O$2:$O$1001,0),1)&gt;=100000,INDEX($V$1005:$AE$1005,1,MATCH(COLUMNS($V$1006:X1006),$V$1006:$AE$1006,0))&gt;=100000), " ",IF(INDEX($V$2:$AE$1001,MATCH(ROWS($O$2:O806),$O$2:$O$1001,0),MATCH(COLUMNS($V$1006:X1006),$V$1006:$AE$1006,0)), HYPERLINK("#",""), HYPERLINK(CONCATENATE("#Metadata!", ADDRESS(INDEX($Q$2:$Q$1001,MATCH(ROWS($O$2:O806),$O$2:$O$1001,0),0), INDEX($V$1004:$AE$1004,1,MATCH(COLUMNS($V$1006:X1006),$V$1006:$AE$1006,0)))),"Fix")))</f>
        <v>0</v>
      </c>
      <c r="E806" s="3">
        <f>IF(OR(INDEX($P$2:$P$1001,MATCH(ROWS($O$2:O806),$O$2:$O$1001,0),1)&gt;=100000,INDEX($V$1005:$AE$1005,1,MATCH(COLUMNS($V$1006:Y1006),$V$1006:$AE$1006,0))&gt;=100000), " ",IF(INDEX($V$2:$AE$1001,MATCH(ROWS($O$2:O806),$O$2:$O$1001,0),MATCH(COLUMNS($V$1006:Y1006),$V$1006:$AE$1006,0)), HYPERLINK("#",""), HYPERLINK(CONCATENATE("#Metadata!", ADDRESS(INDEX($Q$2:$Q$1001,MATCH(ROWS($O$2:O806),$O$2:$O$1001,0),0), INDEX($V$1004:$AE$1004,1,MATCH(COLUMNS($V$1006:Y1006),$V$1006:$AE$1006,0)))),"Fix")))</f>
        <v>0</v>
      </c>
      <c r="F806" s="3">
        <f>IF(OR(INDEX($P$2:$P$1001,MATCH(ROWS($O$2:O806),$O$2:$O$1001,0),1)&gt;=100000,INDEX($V$1005:$AE$1005,1,MATCH(COLUMNS($V$1006:Z1006),$V$1006:$AE$1006,0))&gt;=100000), " ",IF(INDEX($V$2:$AE$1001,MATCH(ROWS($O$2:O806),$O$2:$O$1001,0),MATCH(COLUMNS($V$1006:Z1006),$V$1006:$AE$1006,0)), HYPERLINK("#",""), HYPERLINK(CONCATENATE("#Metadata!", ADDRESS(INDEX($Q$2:$Q$1001,MATCH(ROWS($O$2:O806),$O$2:$O$1001,0),0), INDEX($V$1004:$AE$1004,1,MATCH(COLUMNS($V$1006:Z1006),$V$1006:$AE$1006,0)))),"Fix")))</f>
        <v>0</v>
      </c>
      <c r="G806" s="3">
        <f>IF(OR(INDEX($P$2:$P$1001,MATCH(ROWS($O$2:O806),$O$2:$O$1001,0),1)&gt;=100000,INDEX($V$1005:$AE$1005,1,MATCH(COLUMNS($V$1006:AA1006),$V$1006:$AE$1006,0))&gt;=100000), " ",IF(INDEX($V$2:$AE$1001,MATCH(ROWS($O$2:O806),$O$2:$O$1001,0),MATCH(COLUMNS($V$1006:AA1006),$V$1006:$AE$1006,0)), HYPERLINK("#",""), HYPERLINK(CONCATENATE("#Metadata!", ADDRESS(INDEX($Q$2:$Q$1001,MATCH(ROWS($O$2:O806),$O$2:$O$1001,0),0), INDEX($V$1004:$AE$1004,1,MATCH(COLUMNS($V$1006:AA1006),$V$1006:$AE$1006,0)))),"Fix")))</f>
        <v>0</v>
      </c>
      <c r="H806" s="3">
        <f>IF(OR(INDEX($P$2:$P$1001,MATCH(ROWS($O$2:O806),$O$2:$O$1001,0),1)&gt;=100000,INDEX($V$1005:$AE$1005,1,MATCH(COLUMNS($V$1006:AB1006),$V$1006:$AE$1006,0))&gt;=100000), " ",IF(INDEX($V$2:$AE$1001,MATCH(ROWS($O$2:O806),$O$2:$O$1001,0),MATCH(COLUMNS($V$1006:AB1006),$V$1006:$AE$1006,0)), HYPERLINK("#",""), HYPERLINK(CONCATENATE("#Metadata!", ADDRESS(INDEX($Q$2:$Q$1001,MATCH(ROWS($O$2:O806),$O$2:$O$1001,0),0), INDEX($V$1004:$AE$1004,1,MATCH(COLUMNS($V$1006:AB1006),$V$1006:$AE$1006,0)))),"Fix")))</f>
        <v>0</v>
      </c>
      <c r="I806" s="3">
        <f>IF(OR(INDEX($P$2:$P$1001,MATCH(ROWS($O$2:O806),$O$2:$O$1001,0),1)&gt;=100000,INDEX($V$1005:$AE$1005,1,MATCH(COLUMNS($V$1006:AC1006),$V$1006:$AE$1006,0))&gt;=100000), " ",IF(INDEX($V$2:$AE$1001,MATCH(ROWS($O$2:O806),$O$2:$O$1001,0),MATCH(COLUMNS($V$1006:AC1006),$V$1006:$AE$1006,0)), HYPERLINK("#",""), HYPERLINK(CONCATENATE("#Metadata!", ADDRESS(INDEX($Q$2:$Q$1001,MATCH(ROWS($O$2:O806),$O$2:$O$1001,0),0), INDEX($V$1004:$AE$1004,1,MATCH(COLUMNS($V$1006:AC1006),$V$1006:$AE$1006,0)))),"Fix")))</f>
        <v>0</v>
      </c>
      <c r="J806" s="3">
        <f>IF(OR(INDEX($P$2:$P$1001,MATCH(ROWS($O$2:O806),$O$2:$O$1001,0),1)&gt;=100000,INDEX($V$1005:$AE$1005,1,MATCH(COLUMNS($V$1006:AD1006),$V$1006:$AE$1006,0))&gt;=100000), " ",IF(INDEX($V$2:$AE$1001,MATCH(ROWS($O$2:O806),$O$2:$O$1001,0),MATCH(COLUMNS($V$1006:AD1006),$V$1006:$AE$1006,0)), HYPERLINK("#",""), HYPERLINK(CONCATENATE("#Metadata!", ADDRESS(INDEX($Q$2:$Q$1001,MATCH(ROWS($O$2:O806),$O$2:$O$1001,0),0), INDEX($V$1004:$AE$1004,1,MATCH(COLUMNS($V$1006:AD1006),$V$1006:$AE$1006,0)))),"Fix")))</f>
        <v>0</v>
      </c>
      <c r="K806" s="3">
        <f>IF(OR(INDEX($P$2:$P$1001,MATCH(ROWS($O$2:O806),$O$2:$O$1001,0),1)&gt;=100000,INDEX($V$1005:$AE$1005,1,MATCH(COLUMNS($V$1006:AE1006),$V$1006:$AE$1006,0))&gt;=100000), " ",IF(INDEX($V$2:$AE$1001,MATCH(ROWS($O$2:O806),$O$2:$O$1001,0),MATCH(COLUMNS($V$1006:AE1006),$V$1006:$AE$1006,0)), HYPERLINK("#",""), HYPERLINK(CONCATENATE("#Metadata!", ADDRESS(INDEX($Q$2:$Q$1001,MATCH(ROWS($O$2:O806),$O$2:$O$1001,0),0), INDEX($V$1004:$AE$1004,1,MATCH(COLUMNS($V$1006:AE1006),$V$1006:$AE$1006,0)))),"Fix")))</f>
        <v>0</v>
      </c>
      <c r="O806">
        <v>0</v>
      </c>
      <c r="P806">
        <v>0</v>
      </c>
      <c r="Q806">
        <v>0</v>
      </c>
      <c r="R806">
        <f>IF(S806,TRUE,AND(V806:AE806))</f>
        <v>0</v>
      </c>
      <c r="S806">
        <f>COUNTBLANK(Metadata!B806:K806)=COLUMNS(Metadata!B806:K806)</f>
        <v>0</v>
      </c>
      <c r="T806">
        <v>0</v>
      </c>
      <c r="V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W806">
        <f>AND(IF(Metadata!C806="",FALSE,TRUE),exact(Metadata!C806,"animal secretion"))</f>
        <v>0</v>
      </c>
      <c r="X806">
        <f>AND(IF(Metadata!D806="",FALSE,TRUE),exact(Metadata!D806,"saliva"))</f>
        <v>0</v>
      </c>
      <c r="Y806">
        <f>AND(IF(Metadata!E806="",FALSE,TRUE),exact(Metadata!E806,"human-oral"))</f>
        <v>0</v>
      </c>
      <c r="Z806">
        <f>AND(IF(Metadata!F806="",FALSE,TRUE),exact(Metadata!F806,"UBERON:oral cavity"))</f>
        <v>0</v>
      </c>
      <c r="AA806">
        <f>AND(IF(Metadata!G806="",FALSE,TRUE),exact(Metadata!G806,"UBERON:saliva"))</f>
        <v>0</v>
      </c>
      <c r="AB806">
        <f>AND(IF(Metadata!H806="",FALSE,TRUE),exact(Metadata!H806,"UBERON:tongue"))</f>
        <v>0</v>
      </c>
      <c r="AC806">
        <f>AND(IF(Metadata!I806="",FALSE,TRUE),exact(Metadata!I806,"tongue"))</f>
        <v>0</v>
      </c>
      <c r="AD806">
        <f>AND(IF(Metadata!J806="",FALSE,TRUE),exact(Metadata!J806,"human oral metagenome"))</f>
        <v>0</v>
      </c>
      <c r="AE806">
        <f>AND(IF(Metadata!K806="",FALSE,TRUE),exact(Metadata!K806,"447426"))</f>
        <v>0</v>
      </c>
    </row>
    <row r="807" spans="1:31">
      <c r="A807" s="4">
        <f>IF(B807=" "," ",HYPERLINK(CONCATENATE("#metadata!",ADDRESS(INDEX($Q$2:$Q$1001,MATCH(ROWS($O$2:O807),$O$2:$O$1001,0),0),1)),INDEX($T$2:$T$1001,MATCH(ROWS($O$2:O807),$O$2:$O$1001,0),0)))</f>
        <v>0</v>
      </c>
      <c r="B807" s="3">
        <f>IF(OR(INDEX($P$2:$P$1001,MATCH(ROWS($O$2:O807),$O$2:$O$1001,0),1)&gt;=100000,INDEX($V$1005:$AE$1005,1,MATCH(COLUMNS($V$1006:V1006),$V$1006:$AE$1006,0))&gt;=100000), " ",IF(INDEX($V$2:$AE$1001,MATCH(ROWS($O$2:O807),$O$2:$O$1001,0),MATCH(COLUMNS($V$1006:V1006),$V$1006:$AE$1006,0)), HYPERLINK("#",""), HYPERLINK(CONCATENATE("#Metadata!", ADDRESS(INDEX($Q$2:$Q$1001,MATCH(ROWS($O$2:O807),$O$2:$O$1001,0),0), INDEX($V$1004:$AE$1004,1,MATCH(COLUMNS($V$1006:V1006),$V$1006:$AE$1006,0)))),"Fix")))</f>
        <v>0</v>
      </c>
      <c r="C807" s="3">
        <f>IF(OR(INDEX($P$2:$P$1001,MATCH(ROWS($O$2:O807),$O$2:$O$1001,0),1)&gt;=100000,INDEX($V$1005:$AE$1005,1,MATCH(COLUMNS($V$1006:W1006),$V$1006:$AE$1006,0))&gt;=100000), " ",IF(INDEX($V$2:$AE$1001,MATCH(ROWS($O$2:O807),$O$2:$O$1001,0),MATCH(COLUMNS($V$1006:W1006),$V$1006:$AE$1006,0)), HYPERLINK("#",""), HYPERLINK(CONCATENATE("#Metadata!", ADDRESS(INDEX($Q$2:$Q$1001,MATCH(ROWS($O$2:O807),$O$2:$O$1001,0),0), INDEX($V$1004:$AE$1004,1,MATCH(COLUMNS($V$1006:W1006),$V$1006:$AE$1006,0)))),"Fix")))</f>
        <v>0</v>
      </c>
      <c r="D807" s="3">
        <f>IF(OR(INDEX($P$2:$P$1001,MATCH(ROWS($O$2:O807),$O$2:$O$1001,0),1)&gt;=100000,INDEX($V$1005:$AE$1005,1,MATCH(COLUMNS($V$1006:X1006),$V$1006:$AE$1006,0))&gt;=100000), " ",IF(INDEX($V$2:$AE$1001,MATCH(ROWS($O$2:O807),$O$2:$O$1001,0),MATCH(COLUMNS($V$1006:X1006),$V$1006:$AE$1006,0)), HYPERLINK("#",""), HYPERLINK(CONCATENATE("#Metadata!", ADDRESS(INDEX($Q$2:$Q$1001,MATCH(ROWS($O$2:O807),$O$2:$O$1001,0),0), INDEX($V$1004:$AE$1004,1,MATCH(COLUMNS($V$1006:X1006),$V$1006:$AE$1006,0)))),"Fix")))</f>
        <v>0</v>
      </c>
      <c r="E807" s="3">
        <f>IF(OR(INDEX($P$2:$P$1001,MATCH(ROWS($O$2:O807),$O$2:$O$1001,0),1)&gt;=100000,INDEX($V$1005:$AE$1005,1,MATCH(COLUMNS($V$1006:Y1006),$V$1006:$AE$1006,0))&gt;=100000), " ",IF(INDEX($V$2:$AE$1001,MATCH(ROWS($O$2:O807),$O$2:$O$1001,0),MATCH(COLUMNS($V$1006:Y1006),$V$1006:$AE$1006,0)), HYPERLINK("#",""), HYPERLINK(CONCATENATE("#Metadata!", ADDRESS(INDEX($Q$2:$Q$1001,MATCH(ROWS($O$2:O807),$O$2:$O$1001,0),0), INDEX($V$1004:$AE$1004,1,MATCH(COLUMNS($V$1006:Y1006),$V$1006:$AE$1006,0)))),"Fix")))</f>
        <v>0</v>
      </c>
      <c r="F807" s="3">
        <f>IF(OR(INDEX($P$2:$P$1001,MATCH(ROWS($O$2:O807),$O$2:$O$1001,0),1)&gt;=100000,INDEX($V$1005:$AE$1005,1,MATCH(COLUMNS($V$1006:Z1006),$V$1006:$AE$1006,0))&gt;=100000), " ",IF(INDEX($V$2:$AE$1001,MATCH(ROWS($O$2:O807),$O$2:$O$1001,0),MATCH(COLUMNS($V$1006:Z1006),$V$1006:$AE$1006,0)), HYPERLINK("#",""), HYPERLINK(CONCATENATE("#Metadata!", ADDRESS(INDEX($Q$2:$Q$1001,MATCH(ROWS($O$2:O807),$O$2:$O$1001,0),0), INDEX($V$1004:$AE$1004,1,MATCH(COLUMNS($V$1006:Z1006),$V$1006:$AE$1006,0)))),"Fix")))</f>
        <v>0</v>
      </c>
      <c r="G807" s="3">
        <f>IF(OR(INDEX($P$2:$P$1001,MATCH(ROWS($O$2:O807),$O$2:$O$1001,0),1)&gt;=100000,INDEX($V$1005:$AE$1005,1,MATCH(COLUMNS($V$1006:AA1006),$V$1006:$AE$1006,0))&gt;=100000), " ",IF(INDEX($V$2:$AE$1001,MATCH(ROWS($O$2:O807),$O$2:$O$1001,0),MATCH(COLUMNS($V$1006:AA1006),$V$1006:$AE$1006,0)), HYPERLINK("#",""), HYPERLINK(CONCATENATE("#Metadata!", ADDRESS(INDEX($Q$2:$Q$1001,MATCH(ROWS($O$2:O807),$O$2:$O$1001,0),0), INDEX($V$1004:$AE$1004,1,MATCH(COLUMNS($V$1006:AA1006),$V$1006:$AE$1006,0)))),"Fix")))</f>
        <v>0</v>
      </c>
      <c r="H807" s="3">
        <f>IF(OR(INDEX($P$2:$P$1001,MATCH(ROWS($O$2:O807),$O$2:$O$1001,0),1)&gt;=100000,INDEX($V$1005:$AE$1005,1,MATCH(COLUMNS($V$1006:AB1006),$V$1006:$AE$1006,0))&gt;=100000), " ",IF(INDEX($V$2:$AE$1001,MATCH(ROWS($O$2:O807),$O$2:$O$1001,0),MATCH(COLUMNS($V$1006:AB1006),$V$1006:$AE$1006,0)), HYPERLINK("#",""), HYPERLINK(CONCATENATE("#Metadata!", ADDRESS(INDEX($Q$2:$Q$1001,MATCH(ROWS($O$2:O807),$O$2:$O$1001,0),0), INDEX($V$1004:$AE$1004,1,MATCH(COLUMNS($V$1006:AB1006),$V$1006:$AE$1006,0)))),"Fix")))</f>
        <v>0</v>
      </c>
      <c r="I807" s="3">
        <f>IF(OR(INDEX($P$2:$P$1001,MATCH(ROWS($O$2:O807),$O$2:$O$1001,0),1)&gt;=100000,INDEX($V$1005:$AE$1005,1,MATCH(COLUMNS($V$1006:AC1006),$V$1006:$AE$1006,0))&gt;=100000), " ",IF(INDEX($V$2:$AE$1001,MATCH(ROWS($O$2:O807),$O$2:$O$1001,0),MATCH(COLUMNS($V$1006:AC1006),$V$1006:$AE$1006,0)), HYPERLINK("#",""), HYPERLINK(CONCATENATE("#Metadata!", ADDRESS(INDEX($Q$2:$Q$1001,MATCH(ROWS($O$2:O807),$O$2:$O$1001,0),0), INDEX($V$1004:$AE$1004,1,MATCH(COLUMNS($V$1006:AC1006),$V$1006:$AE$1006,0)))),"Fix")))</f>
        <v>0</v>
      </c>
      <c r="J807" s="3">
        <f>IF(OR(INDEX($P$2:$P$1001,MATCH(ROWS($O$2:O807),$O$2:$O$1001,0),1)&gt;=100000,INDEX($V$1005:$AE$1005,1,MATCH(COLUMNS($V$1006:AD1006),$V$1006:$AE$1006,0))&gt;=100000), " ",IF(INDEX($V$2:$AE$1001,MATCH(ROWS($O$2:O807),$O$2:$O$1001,0),MATCH(COLUMNS($V$1006:AD1006),$V$1006:$AE$1006,0)), HYPERLINK("#",""), HYPERLINK(CONCATENATE("#Metadata!", ADDRESS(INDEX($Q$2:$Q$1001,MATCH(ROWS($O$2:O807),$O$2:$O$1001,0),0), INDEX($V$1004:$AE$1004,1,MATCH(COLUMNS($V$1006:AD1006),$V$1006:$AE$1006,0)))),"Fix")))</f>
        <v>0</v>
      </c>
      <c r="K807" s="3">
        <f>IF(OR(INDEX($P$2:$P$1001,MATCH(ROWS($O$2:O807),$O$2:$O$1001,0),1)&gt;=100000,INDEX($V$1005:$AE$1005,1,MATCH(COLUMNS($V$1006:AE1006),$V$1006:$AE$1006,0))&gt;=100000), " ",IF(INDEX($V$2:$AE$1001,MATCH(ROWS($O$2:O807),$O$2:$O$1001,0),MATCH(COLUMNS($V$1006:AE1006),$V$1006:$AE$1006,0)), HYPERLINK("#",""), HYPERLINK(CONCATENATE("#Metadata!", ADDRESS(INDEX($Q$2:$Q$1001,MATCH(ROWS($O$2:O807),$O$2:$O$1001,0),0), INDEX($V$1004:$AE$1004,1,MATCH(COLUMNS($V$1006:AE1006),$V$1006:$AE$1006,0)))),"Fix")))</f>
        <v>0</v>
      </c>
      <c r="O807">
        <v>0</v>
      </c>
      <c r="P807">
        <v>0</v>
      </c>
      <c r="Q807">
        <v>0</v>
      </c>
      <c r="R807">
        <f>IF(S807,TRUE,AND(V807:AE807))</f>
        <v>0</v>
      </c>
      <c r="S807">
        <f>COUNTBLANK(Metadata!B807:K807)=COLUMNS(Metadata!B807:K807)</f>
        <v>0</v>
      </c>
      <c r="T807">
        <v>0</v>
      </c>
      <c r="V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W807">
        <f>AND(IF(Metadata!C807="",FALSE,TRUE),exact(Metadata!C807,"animal secretion"))</f>
        <v>0</v>
      </c>
      <c r="X807">
        <f>AND(IF(Metadata!D807="",FALSE,TRUE),exact(Metadata!D807,"saliva"))</f>
        <v>0</v>
      </c>
      <c r="Y807">
        <f>AND(IF(Metadata!E807="",FALSE,TRUE),exact(Metadata!E807,"human-oral"))</f>
        <v>0</v>
      </c>
      <c r="Z807">
        <f>AND(IF(Metadata!F807="",FALSE,TRUE),exact(Metadata!F807,"UBERON:oral cavity"))</f>
        <v>0</v>
      </c>
      <c r="AA807">
        <f>AND(IF(Metadata!G807="",FALSE,TRUE),exact(Metadata!G807,"UBERON:saliva"))</f>
        <v>0</v>
      </c>
      <c r="AB807">
        <f>AND(IF(Metadata!H807="",FALSE,TRUE),exact(Metadata!H807,"UBERON:tongue"))</f>
        <v>0</v>
      </c>
      <c r="AC807">
        <f>AND(IF(Metadata!I807="",FALSE,TRUE),exact(Metadata!I807,"tongue"))</f>
        <v>0</v>
      </c>
      <c r="AD807">
        <f>AND(IF(Metadata!J807="",FALSE,TRUE),exact(Metadata!J807,"human oral metagenome"))</f>
        <v>0</v>
      </c>
      <c r="AE807">
        <f>AND(IF(Metadata!K807="",FALSE,TRUE),exact(Metadata!K807,"447426"))</f>
        <v>0</v>
      </c>
    </row>
    <row r="808" spans="1:31">
      <c r="A808" s="4">
        <f>IF(B808=" "," ",HYPERLINK(CONCATENATE("#metadata!",ADDRESS(INDEX($Q$2:$Q$1001,MATCH(ROWS($O$2:O808),$O$2:$O$1001,0),0),1)),INDEX($T$2:$T$1001,MATCH(ROWS($O$2:O808),$O$2:$O$1001,0),0)))</f>
        <v>0</v>
      </c>
      <c r="B808" s="3">
        <f>IF(OR(INDEX($P$2:$P$1001,MATCH(ROWS($O$2:O808),$O$2:$O$1001,0),1)&gt;=100000,INDEX($V$1005:$AE$1005,1,MATCH(COLUMNS($V$1006:V1006),$V$1006:$AE$1006,0))&gt;=100000), " ",IF(INDEX($V$2:$AE$1001,MATCH(ROWS($O$2:O808),$O$2:$O$1001,0),MATCH(COLUMNS($V$1006:V1006),$V$1006:$AE$1006,0)), HYPERLINK("#",""), HYPERLINK(CONCATENATE("#Metadata!", ADDRESS(INDEX($Q$2:$Q$1001,MATCH(ROWS($O$2:O808),$O$2:$O$1001,0),0), INDEX($V$1004:$AE$1004,1,MATCH(COLUMNS($V$1006:V1006),$V$1006:$AE$1006,0)))),"Fix")))</f>
        <v>0</v>
      </c>
      <c r="C808" s="3">
        <f>IF(OR(INDEX($P$2:$P$1001,MATCH(ROWS($O$2:O808),$O$2:$O$1001,0),1)&gt;=100000,INDEX($V$1005:$AE$1005,1,MATCH(COLUMNS($V$1006:W1006),$V$1006:$AE$1006,0))&gt;=100000), " ",IF(INDEX($V$2:$AE$1001,MATCH(ROWS($O$2:O808),$O$2:$O$1001,0),MATCH(COLUMNS($V$1006:W1006),$V$1006:$AE$1006,0)), HYPERLINK("#",""), HYPERLINK(CONCATENATE("#Metadata!", ADDRESS(INDEX($Q$2:$Q$1001,MATCH(ROWS($O$2:O808),$O$2:$O$1001,0),0), INDEX($V$1004:$AE$1004,1,MATCH(COLUMNS($V$1006:W1006),$V$1006:$AE$1006,0)))),"Fix")))</f>
        <v>0</v>
      </c>
      <c r="D808" s="3">
        <f>IF(OR(INDEX($P$2:$P$1001,MATCH(ROWS($O$2:O808),$O$2:$O$1001,0),1)&gt;=100000,INDEX($V$1005:$AE$1005,1,MATCH(COLUMNS($V$1006:X1006),$V$1006:$AE$1006,0))&gt;=100000), " ",IF(INDEX($V$2:$AE$1001,MATCH(ROWS($O$2:O808),$O$2:$O$1001,0),MATCH(COLUMNS($V$1006:X1006),$V$1006:$AE$1006,0)), HYPERLINK("#",""), HYPERLINK(CONCATENATE("#Metadata!", ADDRESS(INDEX($Q$2:$Q$1001,MATCH(ROWS($O$2:O808),$O$2:$O$1001,0),0), INDEX($V$1004:$AE$1004,1,MATCH(COLUMNS($V$1006:X1006),$V$1006:$AE$1006,0)))),"Fix")))</f>
        <v>0</v>
      </c>
      <c r="E808" s="3">
        <f>IF(OR(INDEX($P$2:$P$1001,MATCH(ROWS($O$2:O808),$O$2:$O$1001,0),1)&gt;=100000,INDEX($V$1005:$AE$1005,1,MATCH(COLUMNS($V$1006:Y1006),$V$1006:$AE$1006,0))&gt;=100000), " ",IF(INDEX($V$2:$AE$1001,MATCH(ROWS($O$2:O808),$O$2:$O$1001,0),MATCH(COLUMNS($V$1006:Y1006),$V$1006:$AE$1006,0)), HYPERLINK("#",""), HYPERLINK(CONCATENATE("#Metadata!", ADDRESS(INDEX($Q$2:$Q$1001,MATCH(ROWS($O$2:O808),$O$2:$O$1001,0),0), INDEX($V$1004:$AE$1004,1,MATCH(COLUMNS($V$1006:Y1006),$V$1006:$AE$1006,0)))),"Fix")))</f>
        <v>0</v>
      </c>
      <c r="F808" s="3">
        <f>IF(OR(INDEX($P$2:$P$1001,MATCH(ROWS($O$2:O808),$O$2:$O$1001,0),1)&gt;=100000,INDEX($V$1005:$AE$1005,1,MATCH(COLUMNS($V$1006:Z1006),$V$1006:$AE$1006,0))&gt;=100000), " ",IF(INDEX($V$2:$AE$1001,MATCH(ROWS($O$2:O808),$O$2:$O$1001,0),MATCH(COLUMNS($V$1006:Z1006),$V$1006:$AE$1006,0)), HYPERLINK("#",""), HYPERLINK(CONCATENATE("#Metadata!", ADDRESS(INDEX($Q$2:$Q$1001,MATCH(ROWS($O$2:O808),$O$2:$O$1001,0),0), INDEX($V$1004:$AE$1004,1,MATCH(COLUMNS($V$1006:Z1006),$V$1006:$AE$1006,0)))),"Fix")))</f>
        <v>0</v>
      </c>
      <c r="G808" s="3">
        <f>IF(OR(INDEX($P$2:$P$1001,MATCH(ROWS($O$2:O808),$O$2:$O$1001,0),1)&gt;=100000,INDEX($V$1005:$AE$1005,1,MATCH(COLUMNS($V$1006:AA1006),$V$1006:$AE$1006,0))&gt;=100000), " ",IF(INDEX($V$2:$AE$1001,MATCH(ROWS($O$2:O808),$O$2:$O$1001,0),MATCH(COLUMNS($V$1006:AA1006),$V$1006:$AE$1006,0)), HYPERLINK("#",""), HYPERLINK(CONCATENATE("#Metadata!", ADDRESS(INDEX($Q$2:$Q$1001,MATCH(ROWS($O$2:O808),$O$2:$O$1001,0),0), INDEX($V$1004:$AE$1004,1,MATCH(COLUMNS($V$1006:AA1006),$V$1006:$AE$1006,0)))),"Fix")))</f>
        <v>0</v>
      </c>
      <c r="H808" s="3">
        <f>IF(OR(INDEX($P$2:$P$1001,MATCH(ROWS($O$2:O808),$O$2:$O$1001,0),1)&gt;=100000,INDEX($V$1005:$AE$1005,1,MATCH(COLUMNS($V$1006:AB1006),$V$1006:$AE$1006,0))&gt;=100000), " ",IF(INDEX($V$2:$AE$1001,MATCH(ROWS($O$2:O808),$O$2:$O$1001,0),MATCH(COLUMNS($V$1006:AB1006),$V$1006:$AE$1006,0)), HYPERLINK("#",""), HYPERLINK(CONCATENATE("#Metadata!", ADDRESS(INDEX($Q$2:$Q$1001,MATCH(ROWS($O$2:O808),$O$2:$O$1001,0),0), INDEX($V$1004:$AE$1004,1,MATCH(COLUMNS($V$1006:AB1006),$V$1006:$AE$1006,0)))),"Fix")))</f>
        <v>0</v>
      </c>
      <c r="I808" s="3">
        <f>IF(OR(INDEX($P$2:$P$1001,MATCH(ROWS($O$2:O808),$O$2:$O$1001,0),1)&gt;=100000,INDEX($V$1005:$AE$1005,1,MATCH(COLUMNS($V$1006:AC1006),$V$1006:$AE$1006,0))&gt;=100000), " ",IF(INDEX($V$2:$AE$1001,MATCH(ROWS($O$2:O808),$O$2:$O$1001,0),MATCH(COLUMNS($V$1006:AC1006),$V$1006:$AE$1006,0)), HYPERLINK("#",""), HYPERLINK(CONCATENATE("#Metadata!", ADDRESS(INDEX($Q$2:$Q$1001,MATCH(ROWS($O$2:O808),$O$2:$O$1001,0),0), INDEX($V$1004:$AE$1004,1,MATCH(COLUMNS($V$1006:AC1006),$V$1006:$AE$1006,0)))),"Fix")))</f>
        <v>0</v>
      </c>
      <c r="J808" s="3">
        <f>IF(OR(INDEX($P$2:$P$1001,MATCH(ROWS($O$2:O808),$O$2:$O$1001,0),1)&gt;=100000,INDEX($V$1005:$AE$1005,1,MATCH(COLUMNS($V$1006:AD1006),$V$1006:$AE$1006,0))&gt;=100000), " ",IF(INDEX($V$2:$AE$1001,MATCH(ROWS($O$2:O808),$O$2:$O$1001,0),MATCH(COLUMNS($V$1006:AD1006),$V$1006:$AE$1006,0)), HYPERLINK("#",""), HYPERLINK(CONCATENATE("#Metadata!", ADDRESS(INDEX($Q$2:$Q$1001,MATCH(ROWS($O$2:O808),$O$2:$O$1001,0),0), INDEX($V$1004:$AE$1004,1,MATCH(COLUMNS($V$1006:AD1006),$V$1006:$AE$1006,0)))),"Fix")))</f>
        <v>0</v>
      </c>
      <c r="K808" s="3">
        <f>IF(OR(INDEX($P$2:$P$1001,MATCH(ROWS($O$2:O808),$O$2:$O$1001,0),1)&gt;=100000,INDEX($V$1005:$AE$1005,1,MATCH(COLUMNS($V$1006:AE1006),$V$1006:$AE$1006,0))&gt;=100000), " ",IF(INDEX($V$2:$AE$1001,MATCH(ROWS($O$2:O808),$O$2:$O$1001,0),MATCH(COLUMNS($V$1006:AE1006),$V$1006:$AE$1006,0)), HYPERLINK("#",""), HYPERLINK(CONCATENATE("#Metadata!", ADDRESS(INDEX($Q$2:$Q$1001,MATCH(ROWS($O$2:O808),$O$2:$O$1001,0),0), INDEX($V$1004:$AE$1004,1,MATCH(COLUMNS($V$1006:AE1006),$V$1006:$AE$1006,0)))),"Fix")))</f>
        <v>0</v>
      </c>
      <c r="O808">
        <v>0</v>
      </c>
      <c r="P808">
        <v>0</v>
      </c>
      <c r="Q808">
        <v>0</v>
      </c>
      <c r="R808">
        <f>IF(S808,TRUE,AND(V808:AE808))</f>
        <v>0</v>
      </c>
      <c r="S808">
        <f>COUNTBLANK(Metadata!B808:K808)=COLUMNS(Metadata!B808:K808)</f>
        <v>0</v>
      </c>
      <c r="T808">
        <v>0</v>
      </c>
      <c r="V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W808">
        <f>AND(IF(Metadata!C808="",FALSE,TRUE),exact(Metadata!C808,"animal secretion"))</f>
        <v>0</v>
      </c>
      <c r="X808">
        <f>AND(IF(Metadata!D808="",FALSE,TRUE),exact(Metadata!D808,"saliva"))</f>
        <v>0</v>
      </c>
      <c r="Y808">
        <f>AND(IF(Metadata!E808="",FALSE,TRUE),exact(Metadata!E808,"human-oral"))</f>
        <v>0</v>
      </c>
      <c r="Z808">
        <f>AND(IF(Metadata!F808="",FALSE,TRUE),exact(Metadata!F808,"UBERON:oral cavity"))</f>
        <v>0</v>
      </c>
      <c r="AA808">
        <f>AND(IF(Metadata!G808="",FALSE,TRUE),exact(Metadata!G808,"UBERON:saliva"))</f>
        <v>0</v>
      </c>
      <c r="AB808">
        <f>AND(IF(Metadata!H808="",FALSE,TRUE),exact(Metadata!H808,"UBERON:tongue"))</f>
        <v>0</v>
      </c>
      <c r="AC808">
        <f>AND(IF(Metadata!I808="",FALSE,TRUE),exact(Metadata!I808,"tongue"))</f>
        <v>0</v>
      </c>
      <c r="AD808">
        <f>AND(IF(Metadata!J808="",FALSE,TRUE),exact(Metadata!J808,"human oral metagenome"))</f>
        <v>0</v>
      </c>
      <c r="AE808">
        <f>AND(IF(Metadata!K808="",FALSE,TRUE),exact(Metadata!K808,"447426"))</f>
        <v>0</v>
      </c>
    </row>
    <row r="809" spans="1:31">
      <c r="A809" s="4">
        <f>IF(B809=" "," ",HYPERLINK(CONCATENATE("#metadata!",ADDRESS(INDEX($Q$2:$Q$1001,MATCH(ROWS($O$2:O809),$O$2:$O$1001,0),0),1)),INDEX($T$2:$T$1001,MATCH(ROWS($O$2:O809),$O$2:$O$1001,0),0)))</f>
        <v>0</v>
      </c>
      <c r="B809" s="3">
        <f>IF(OR(INDEX($P$2:$P$1001,MATCH(ROWS($O$2:O809),$O$2:$O$1001,0),1)&gt;=100000,INDEX($V$1005:$AE$1005,1,MATCH(COLUMNS($V$1006:V1006),$V$1006:$AE$1006,0))&gt;=100000), " ",IF(INDEX($V$2:$AE$1001,MATCH(ROWS($O$2:O809),$O$2:$O$1001,0),MATCH(COLUMNS($V$1006:V1006),$V$1006:$AE$1006,0)), HYPERLINK("#",""), HYPERLINK(CONCATENATE("#Metadata!", ADDRESS(INDEX($Q$2:$Q$1001,MATCH(ROWS($O$2:O809),$O$2:$O$1001,0),0), INDEX($V$1004:$AE$1004,1,MATCH(COLUMNS($V$1006:V1006),$V$1006:$AE$1006,0)))),"Fix")))</f>
        <v>0</v>
      </c>
      <c r="C809" s="3">
        <f>IF(OR(INDEX($P$2:$P$1001,MATCH(ROWS($O$2:O809),$O$2:$O$1001,0),1)&gt;=100000,INDEX($V$1005:$AE$1005,1,MATCH(COLUMNS($V$1006:W1006),$V$1006:$AE$1006,0))&gt;=100000), " ",IF(INDEX($V$2:$AE$1001,MATCH(ROWS($O$2:O809),$O$2:$O$1001,0),MATCH(COLUMNS($V$1006:W1006),$V$1006:$AE$1006,0)), HYPERLINK("#",""), HYPERLINK(CONCATENATE("#Metadata!", ADDRESS(INDEX($Q$2:$Q$1001,MATCH(ROWS($O$2:O809),$O$2:$O$1001,0),0), INDEX($V$1004:$AE$1004,1,MATCH(COLUMNS($V$1006:W1006),$V$1006:$AE$1006,0)))),"Fix")))</f>
        <v>0</v>
      </c>
      <c r="D809" s="3">
        <f>IF(OR(INDEX($P$2:$P$1001,MATCH(ROWS($O$2:O809),$O$2:$O$1001,0),1)&gt;=100000,INDEX($V$1005:$AE$1005,1,MATCH(COLUMNS($V$1006:X1006),$V$1006:$AE$1006,0))&gt;=100000), " ",IF(INDEX($V$2:$AE$1001,MATCH(ROWS($O$2:O809),$O$2:$O$1001,0),MATCH(COLUMNS($V$1006:X1006),$V$1006:$AE$1006,0)), HYPERLINK("#",""), HYPERLINK(CONCATENATE("#Metadata!", ADDRESS(INDEX($Q$2:$Q$1001,MATCH(ROWS($O$2:O809),$O$2:$O$1001,0),0), INDEX($V$1004:$AE$1004,1,MATCH(COLUMNS($V$1006:X1006),$V$1006:$AE$1006,0)))),"Fix")))</f>
        <v>0</v>
      </c>
      <c r="E809" s="3">
        <f>IF(OR(INDEX($P$2:$P$1001,MATCH(ROWS($O$2:O809),$O$2:$O$1001,0),1)&gt;=100000,INDEX($V$1005:$AE$1005,1,MATCH(COLUMNS($V$1006:Y1006),$V$1006:$AE$1006,0))&gt;=100000), " ",IF(INDEX($V$2:$AE$1001,MATCH(ROWS($O$2:O809),$O$2:$O$1001,0),MATCH(COLUMNS($V$1006:Y1006),$V$1006:$AE$1006,0)), HYPERLINK("#",""), HYPERLINK(CONCATENATE("#Metadata!", ADDRESS(INDEX($Q$2:$Q$1001,MATCH(ROWS($O$2:O809),$O$2:$O$1001,0),0), INDEX($V$1004:$AE$1004,1,MATCH(COLUMNS($V$1006:Y1006),$V$1006:$AE$1006,0)))),"Fix")))</f>
        <v>0</v>
      </c>
      <c r="F809" s="3">
        <f>IF(OR(INDEX($P$2:$P$1001,MATCH(ROWS($O$2:O809),$O$2:$O$1001,0),1)&gt;=100000,INDEX($V$1005:$AE$1005,1,MATCH(COLUMNS($V$1006:Z1006),$V$1006:$AE$1006,0))&gt;=100000), " ",IF(INDEX($V$2:$AE$1001,MATCH(ROWS($O$2:O809),$O$2:$O$1001,0),MATCH(COLUMNS($V$1006:Z1006),$V$1006:$AE$1006,0)), HYPERLINK("#",""), HYPERLINK(CONCATENATE("#Metadata!", ADDRESS(INDEX($Q$2:$Q$1001,MATCH(ROWS($O$2:O809),$O$2:$O$1001,0),0), INDEX($V$1004:$AE$1004,1,MATCH(COLUMNS($V$1006:Z1006),$V$1006:$AE$1006,0)))),"Fix")))</f>
        <v>0</v>
      </c>
      <c r="G809" s="3">
        <f>IF(OR(INDEX($P$2:$P$1001,MATCH(ROWS($O$2:O809),$O$2:$O$1001,0),1)&gt;=100000,INDEX($V$1005:$AE$1005,1,MATCH(COLUMNS($V$1006:AA1006),$V$1006:$AE$1006,0))&gt;=100000), " ",IF(INDEX($V$2:$AE$1001,MATCH(ROWS($O$2:O809),$O$2:$O$1001,0),MATCH(COLUMNS($V$1006:AA1006),$V$1006:$AE$1006,0)), HYPERLINK("#",""), HYPERLINK(CONCATENATE("#Metadata!", ADDRESS(INDEX($Q$2:$Q$1001,MATCH(ROWS($O$2:O809),$O$2:$O$1001,0),0), INDEX($V$1004:$AE$1004,1,MATCH(COLUMNS($V$1006:AA1006),$V$1006:$AE$1006,0)))),"Fix")))</f>
        <v>0</v>
      </c>
      <c r="H809" s="3">
        <f>IF(OR(INDEX($P$2:$P$1001,MATCH(ROWS($O$2:O809),$O$2:$O$1001,0),1)&gt;=100000,INDEX($V$1005:$AE$1005,1,MATCH(COLUMNS($V$1006:AB1006),$V$1006:$AE$1006,0))&gt;=100000), " ",IF(INDEX($V$2:$AE$1001,MATCH(ROWS($O$2:O809),$O$2:$O$1001,0),MATCH(COLUMNS($V$1006:AB1006),$V$1006:$AE$1006,0)), HYPERLINK("#",""), HYPERLINK(CONCATENATE("#Metadata!", ADDRESS(INDEX($Q$2:$Q$1001,MATCH(ROWS($O$2:O809),$O$2:$O$1001,0),0), INDEX($V$1004:$AE$1004,1,MATCH(COLUMNS($V$1006:AB1006),$V$1006:$AE$1006,0)))),"Fix")))</f>
        <v>0</v>
      </c>
      <c r="I809" s="3">
        <f>IF(OR(INDEX($P$2:$P$1001,MATCH(ROWS($O$2:O809),$O$2:$O$1001,0),1)&gt;=100000,INDEX($V$1005:$AE$1005,1,MATCH(COLUMNS($V$1006:AC1006),$V$1006:$AE$1006,0))&gt;=100000), " ",IF(INDEX($V$2:$AE$1001,MATCH(ROWS($O$2:O809),$O$2:$O$1001,0),MATCH(COLUMNS($V$1006:AC1006),$V$1006:$AE$1006,0)), HYPERLINK("#",""), HYPERLINK(CONCATENATE("#Metadata!", ADDRESS(INDEX($Q$2:$Q$1001,MATCH(ROWS($O$2:O809),$O$2:$O$1001,0),0), INDEX($V$1004:$AE$1004,1,MATCH(COLUMNS($V$1006:AC1006),$V$1006:$AE$1006,0)))),"Fix")))</f>
        <v>0</v>
      </c>
      <c r="J809" s="3">
        <f>IF(OR(INDEX($P$2:$P$1001,MATCH(ROWS($O$2:O809),$O$2:$O$1001,0),1)&gt;=100000,INDEX($V$1005:$AE$1005,1,MATCH(COLUMNS($V$1006:AD1006),$V$1006:$AE$1006,0))&gt;=100000), " ",IF(INDEX($V$2:$AE$1001,MATCH(ROWS($O$2:O809),$O$2:$O$1001,0),MATCH(COLUMNS($V$1006:AD1006),$V$1006:$AE$1006,0)), HYPERLINK("#",""), HYPERLINK(CONCATENATE("#Metadata!", ADDRESS(INDEX($Q$2:$Q$1001,MATCH(ROWS($O$2:O809),$O$2:$O$1001,0),0), INDEX($V$1004:$AE$1004,1,MATCH(COLUMNS($V$1006:AD1006),$V$1006:$AE$1006,0)))),"Fix")))</f>
        <v>0</v>
      </c>
      <c r="K809" s="3">
        <f>IF(OR(INDEX($P$2:$P$1001,MATCH(ROWS($O$2:O809),$O$2:$O$1001,0),1)&gt;=100000,INDEX($V$1005:$AE$1005,1,MATCH(COLUMNS($V$1006:AE1006),$V$1006:$AE$1006,0))&gt;=100000), " ",IF(INDEX($V$2:$AE$1001,MATCH(ROWS($O$2:O809),$O$2:$O$1001,0),MATCH(COLUMNS($V$1006:AE1006),$V$1006:$AE$1006,0)), HYPERLINK("#",""), HYPERLINK(CONCATENATE("#Metadata!", ADDRESS(INDEX($Q$2:$Q$1001,MATCH(ROWS($O$2:O809),$O$2:$O$1001,0),0), INDEX($V$1004:$AE$1004,1,MATCH(COLUMNS($V$1006:AE1006),$V$1006:$AE$1006,0)))),"Fix")))</f>
        <v>0</v>
      </c>
      <c r="O809">
        <v>0</v>
      </c>
      <c r="P809">
        <v>0</v>
      </c>
      <c r="Q809">
        <v>0</v>
      </c>
      <c r="R809">
        <f>IF(S809,TRUE,AND(V809:AE809))</f>
        <v>0</v>
      </c>
      <c r="S809">
        <f>COUNTBLANK(Metadata!B809:K809)=COLUMNS(Metadata!B809:K809)</f>
        <v>0</v>
      </c>
      <c r="T809">
        <v>0</v>
      </c>
      <c r="V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W809">
        <f>AND(IF(Metadata!C809="",FALSE,TRUE),exact(Metadata!C809,"animal secretion"))</f>
        <v>0</v>
      </c>
      <c r="X809">
        <f>AND(IF(Metadata!D809="",FALSE,TRUE),exact(Metadata!D809,"saliva"))</f>
        <v>0</v>
      </c>
      <c r="Y809">
        <f>AND(IF(Metadata!E809="",FALSE,TRUE),exact(Metadata!E809,"human-oral"))</f>
        <v>0</v>
      </c>
      <c r="Z809">
        <f>AND(IF(Metadata!F809="",FALSE,TRUE),exact(Metadata!F809,"UBERON:oral cavity"))</f>
        <v>0</v>
      </c>
      <c r="AA809">
        <f>AND(IF(Metadata!G809="",FALSE,TRUE),exact(Metadata!G809,"UBERON:saliva"))</f>
        <v>0</v>
      </c>
      <c r="AB809">
        <f>AND(IF(Metadata!H809="",FALSE,TRUE),exact(Metadata!H809,"UBERON:tongue"))</f>
        <v>0</v>
      </c>
      <c r="AC809">
        <f>AND(IF(Metadata!I809="",FALSE,TRUE),exact(Metadata!I809,"tongue"))</f>
        <v>0</v>
      </c>
      <c r="AD809">
        <f>AND(IF(Metadata!J809="",FALSE,TRUE),exact(Metadata!J809,"human oral metagenome"))</f>
        <v>0</v>
      </c>
      <c r="AE809">
        <f>AND(IF(Metadata!K809="",FALSE,TRUE),exact(Metadata!K809,"447426"))</f>
        <v>0</v>
      </c>
    </row>
    <row r="810" spans="1:31">
      <c r="A810" s="4">
        <f>IF(B810=" "," ",HYPERLINK(CONCATENATE("#metadata!",ADDRESS(INDEX($Q$2:$Q$1001,MATCH(ROWS($O$2:O810),$O$2:$O$1001,0),0),1)),INDEX($T$2:$T$1001,MATCH(ROWS($O$2:O810),$O$2:$O$1001,0),0)))</f>
        <v>0</v>
      </c>
      <c r="B810" s="3">
        <f>IF(OR(INDEX($P$2:$P$1001,MATCH(ROWS($O$2:O810),$O$2:$O$1001,0),1)&gt;=100000,INDEX($V$1005:$AE$1005,1,MATCH(COLUMNS($V$1006:V1006),$V$1006:$AE$1006,0))&gt;=100000), " ",IF(INDEX($V$2:$AE$1001,MATCH(ROWS($O$2:O810),$O$2:$O$1001,0),MATCH(COLUMNS($V$1006:V1006),$V$1006:$AE$1006,0)), HYPERLINK("#",""), HYPERLINK(CONCATENATE("#Metadata!", ADDRESS(INDEX($Q$2:$Q$1001,MATCH(ROWS($O$2:O810),$O$2:$O$1001,0),0), INDEX($V$1004:$AE$1004,1,MATCH(COLUMNS($V$1006:V1006),$V$1006:$AE$1006,0)))),"Fix")))</f>
        <v>0</v>
      </c>
      <c r="C810" s="3">
        <f>IF(OR(INDEX($P$2:$P$1001,MATCH(ROWS($O$2:O810),$O$2:$O$1001,0),1)&gt;=100000,INDEX($V$1005:$AE$1005,1,MATCH(COLUMNS($V$1006:W1006),$V$1006:$AE$1006,0))&gt;=100000), " ",IF(INDEX($V$2:$AE$1001,MATCH(ROWS($O$2:O810),$O$2:$O$1001,0),MATCH(COLUMNS($V$1006:W1006),$V$1006:$AE$1006,0)), HYPERLINK("#",""), HYPERLINK(CONCATENATE("#Metadata!", ADDRESS(INDEX($Q$2:$Q$1001,MATCH(ROWS($O$2:O810),$O$2:$O$1001,0),0), INDEX($V$1004:$AE$1004,1,MATCH(COLUMNS($V$1006:W1006),$V$1006:$AE$1006,0)))),"Fix")))</f>
        <v>0</v>
      </c>
      <c r="D810" s="3">
        <f>IF(OR(INDEX($P$2:$P$1001,MATCH(ROWS($O$2:O810),$O$2:$O$1001,0),1)&gt;=100000,INDEX($V$1005:$AE$1005,1,MATCH(COLUMNS($V$1006:X1006),$V$1006:$AE$1006,0))&gt;=100000), " ",IF(INDEX($V$2:$AE$1001,MATCH(ROWS($O$2:O810),$O$2:$O$1001,0),MATCH(COLUMNS($V$1006:X1006),$V$1006:$AE$1006,0)), HYPERLINK("#",""), HYPERLINK(CONCATENATE("#Metadata!", ADDRESS(INDEX($Q$2:$Q$1001,MATCH(ROWS($O$2:O810),$O$2:$O$1001,0),0), INDEX($V$1004:$AE$1004,1,MATCH(COLUMNS($V$1006:X1006),$V$1006:$AE$1006,0)))),"Fix")))</f>
        <v>0</v>
      </c>
      <c r="E810" s="3">
        <f>IF(OR(INDEX($P$2:$P$1001,MATCH(ROWS($O$2:O810),$O$2:$O$1001,0),1)&gt;=100000,INDEX($V$1005:$AE$1005,1,MATCH(COLUMNS($V$1006:Y1006),$V$1006:$AE$1006,0))&gt;=100000), " ",IF(INDEX($V$2:$AE$1001,MATCH(ROWS($O$2:O810),$O$2:$O$1001,0),MATCH(COLUMNS($V$1006:Y1006),$V$1006:$AE$1006,0)), HYPERLINK("#",""), HYPERLINK(CONCATENATE("#Metadata!", ADDRESS(INDEX($Q$2:$Q$1001,MATCH(ROWS($O$2:O810),$O$2:$O$1001,0),0), INDEX($V$1004:$AE$1004,1,MATCH(COLUMNS($V$1006:Y1006),$V$1006:$AE$1006,0)))),"Fix")))</f>
        <v>0</v>
      </c>
      <c r="F810" s="3">
        <f>IF(OR(INDEX($P$2:$P$1001,MATCH(ROWS($O$2:O810),$O$2:$O$1001,0),1)&gt;=100000,INDEX($V$1005:$AE$1005,1,MATCH(COLUMNS($V$1006:Z1006),$V$1006:$AE$1006,0))&gt;=100000), " ",IF(INDEX($V$2:$AE$1001,MATCH(ROWS($O$2:O810),$O$2:$O$1001,0),MATCH(COLUMNS($V$1006:Z1006),$V$1006:$AE$1006,0)), HYPERLINK("#",""), HYPERLINK(CONCATENATE("#Metadata!", ADDRESS(INDEX($Q$2:$Q$1001,MATCH(ROWS($O$2:O810),$O$2:$O$1001,0),0), INDEX($V$1004:$AE$1004,1,MATCH(COLUMNS($V$1006:Z1006),$V$1006:$AE$1006,0)))),"Fix")))</f>
        <v>0</v>
      </c>
      <c r="G810" s="3">
        <f>IF(OR(INDEX($P$2:$P$1001,MATCH(ROWS($O$2:O810),$O$2:$O$1001,0),1)&gt;=100000,INDEX($V$1005:$AE$1005,1,MATCH(COLUMNS($V$1006:AA1006),$V$1006:$AE$1006,0))&gt;=100000), " ",IF(INDEX($V$2:$AE$1001,MATCH(ROWS($O$2:O810),$O$2:$O$1001,0),MATCH(COLUMNS($V$1006:AA1006),$V$1006:$AE$1006,0)), HYPERLINK("#",""), HYPERLINK(CONCATENATE("#Metadata!", ADDRESS(INDEX($Q$2:$Q$1001,MATCH(ROWS($O$2:O810),$O$2:$O$1001,0),0), INDEX($V$1004:$AE$1004,1,MATCH(COLUMNS($V$1006:AA1006),$V$1006:$AE$1006,0)))),"Fix")))</f>
        <v>0</v>
      </c>
      <c r="H810" s="3">
        <f>IF(OR(INDEX($P$2:$P$1001,MATCH(ROWS($O$2:O810),$O$2:$O$1001,0),1)&gt;=100000,INDEX($V$1005:$AE$1005,1,MATCH(COLUMNS($V$1006:AB1006),$V$1006:$AE$1006,0))&gt;=100000), " ",IF(INDEX($V$2:$AE$1001,MATCH(ROWS($O$2:O810),$O$2:$O$1001,0),MATCH(COLUMNS($V$1006:AB1006),$V$1006:$AE$1006,0)), HYPERLINK("#",""), HYPERLINK(CONCATENATE("#Metadata!", ADDRESS(INDEX($Q$2:$Q$1001,MATCH(ROWS($O$2:O810),$O$2:$O$1001,0),0), INDEX($V$1004:$AE$1004,1,MATCH(COLUMNS($V$1006:AB1006),$V$1006:$AE$1006,0)))),"Fix")))</f>
        <v>0</v>
      </c>
      <c r="I810" s="3">
        <f>IF(OR(INDEX($P$2:$P$1001,MATCH(ROWS($O$2:O810),$O$2:$O$1001,0),1)&gt;=100000,INDEX($V$1005:$AE$1005,1,MATCH(COLUMNS($V$1006:AC1006),$V$1006:$AE$1006,0))&gt;=100000), " ",IF(INDEX($V$2:$AE$1001,MATCH(ROWS($O$2:O810),$O$2:$O$1001,0),MATCH(COLUMNS($V$1006:AC1006),$V$1006:$AE$1006,0)), HYPERLINK("#",""), HYPERLINK(CONCATENATE("#Metadata!", ADDRESS(INDEX($Q$2:$Q$1001,MATCH(ROWS($O$2:O810),$O$2:$O$1001,0),0), INDEX($V$1004:$AE$1004,1,MATCH(COLUMNS($V$1006:AC1006),$V$1006:$AE$1006,0)))),"Fix")))</f>
        <v>0</v>
      </c>
      <c r="J810" s="3">
        <f>IF(OR(INDEX($P$2:$P$1001,MATCH(ROWS($O$2:O810),$O$2:$O$1001,0),1)&gt;=100000,INDEX($V$1005:$AE$1005,1,MATCH(COLUMNS($V$1006:AD1006),$V$1006:$AE$1006,0))&gt;=100000), " ",IF(INDEX($V$2:$AE$1001,MATCH(ROWS($O$2:O810),$O$2:$O$1001,0),MATCH(COLUMNS($V$1006:AD1006),$V$1006:$AE$1006,0)), HYPERLINK("#",""), HYPERLINK(CONCATENATE("#Metadata!", ADDRESS(INDEX($Q$2:$Q$1001,MATCH(ROWS($O$2:O810),$O$2:$O$1001,0),0), INDEX($V$1004:$AE$1004,1,MATCH(COLUMNS($V$1006:AD1006),$V$1006:$AE$1006,0)))),"Fix")))</f>
        <v>0</v>
      </c>
      <c r="K810" s="3">
        <f>IF(OR(INDEX($P$2:$P$1001,MATCH(ROWS($O$2:O810),$O$2:$O$1001,0),1)&gt;=100000,INDEX($V$1005:$AE$1005,1,MATCH(COLUMNS($V$1006:AE1006),$V$1006:$AE$1006,0))&gt;=100000), " ",IF(INDEX($V$2:$AE$1001,MATCH(ROWS($O$2:O810),$O$2:$O$1001,0),MATCH(COLUMNS($V$1006:AE1006),$V$1006:$AE$1006,0)), HYPERLINK("#",""), HYPERLINK(CONCATENATE("#Metadata!", ADDRESS(INDEX($Q$2:$Q$1001,MATCH(ROWS($O$2:O810),$O$2:$O$1001,0),0), INDEX($V$1004:$AE$1004,1,MATCH(COLUMNS($V$1006:AE1006),$V$1006:$AE$1006,0)))),"Fix")))</f>
        <v>0</v>
      </c>
      <c r="O810">
        <v>0</v>
      </c>
      <c r="P810">
        <v>0</v>
      </c>
      <c r="Q810">
        <v>0</v>
      </c>
      <c r="R810">
        <f>IF(S810,TRUE,AND(V810:AE810))</f>
        <v>0</v>
      </c>
      <c r="S810">
        <f>COUNTBLANK(Metadata!B810:K810)=COLUMNS(Metadata!B810:K810)</f>
        <v>0</v>
      </c>
      <c r="T810">
        <v>0</v>
      </c>
      <c r="V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W810">
        <f>AND(IF(Metadata!C810="",FALSE,TRUE),exact(Metadata!C810,"animal secretion"))</f>
        <v>0</v>
      </c>
      <c r="X810">
        <f>AND(IF(Metadata!D810="",FALSE,TRUE),exact(Metadata!D810,"saliva"))</f>
        <v>0</v>
      </c>
      <c r="Y810">
        <f>AND(IF(Metadata!E810="",FALSE,TRUE),exact(Metadata!E810,"human-oral"))</f>
        <v>0</v>
      </c>
      <c r="Z810">
        <f>AND(IF(Metadata!F810="",FALSE,TRUE),exact(Metadata!F810,"UBERON:oral cavity"))</f>
        <v>0</v>
      </c>
      <c r="AA810">
        <f>AND(IF(Metadata!G810="",FALSE,TRUE),exact(Metadata!G810,"UBERON:saliva"))</f>
        <v>0</v>
      </c>
      <c r="AB810">
        <f>AND(IF(Metadata!H810="",FALSE,TRUE),exact(Metadata!H810,"UBERON:tongue"))</f>
        <v>0</v>
      </c>
      <c r="AC810">
        <f>AND(IF(Metadata!I810="",FALSE,TRUE),exact(Metadata!I810,"tongue"))</f>
        <v>0</v>
      </c>
      <c r="AD810">
        <f>AND(IF(Metadata!J810="",FALSE,TRUE),exact(Metadata!J810,"human oral metagenome"))</f>
        <v>0</v>
      </c>
      <c r="AE810">
        <f>AND(IF(Metadata!K810="",FALSE,TRUE),exact(Metadata!K810,"447426"))</f>
        <v>0</v>
      </c>
    </row>
    <row r="811" spans="1:31">
      <c r="A811" s="4">
        <f>IF(B811=" "," ",HYPERLINK(CONCATENATE("#metadata!",ADDRESS(INDEX($Q$2:$Q$1001,MATCH(ROWS($O$2:O811),$O$2:$O$1001,0),0),1)),INDEX($T$2:$T$1001,MATCH(ROWS($O$2:O811),$O$2:$O$1001,0),0)))</f>
        <v>0</v>
      </c>
      <c r="B811" s="3">
        <f>IF(OR(INDEX($P$2:$P$1001,MATCH(ROWS($O$2:O811),$O$2:$O$1001,0),1)&gt;=100000,INDEX($V$1005:$AE$1005,1,MATCH(COLUMNS($V$1006:V1006),$V$1006:$AE$1006,0))&gt;=100000), " ",IF(INDEX($V$2:$AE$1001,MATCH(ROWS($O$2:O811),$O$2:$O$1001,0),MATCH(COLUMNS($V$1006:V1006),$V$1006:$AE$1006,0)), HYPERLINK("#",""), HYPERLINK(CONCATENATE("#Metadata!", ADDRESS(INDEX($Q$2:$Q$1001,MATCH(ROWS($O$2:O811),$O$2:$O$1001,0),0), INDEX($V$1004:$AE$1004,1,MATCH(COLUMNS($V$1006:V1006),$V$1006:$AE$1006,0)))),"Fix")))</f>
        <v>0</v>
      </c>
      <c r="C811" s="3">
        <f>IF(OR(INDEX($P$2:$P$1001,MATCH(ROWS($O$2:O811),$O$2:$O$1001,0),1)&gt;=100000,INDEX($V$1005:$AE$1005,1,MATCH(COLUMNS($V$1006:W1006),$V$1006:$AE$1006,0))&gt;=100000), " ",IF(INDEX($V$2:$AE$1001,MATCH(ROWS($O$2:O811),$O$2:$O$1001,0),MATCH(COLUMNS($V$1006:W1006),$V$1006:$AE$1006,0)), HYPERLINK("#",""), HYPERLINK(CONCATENATE("#Metadata!", ADDRESS(INDEX($Q$2:$Q$1001,MATCH(ROWS($O$2:O811),$O$2:$O$1001,0),0), INDEX($V$1004:$AE$1004,1,MATCH(COLUMNS($V$1006:W1006),$V$1006:$AE$1006,0)))),"Fix")))</f>
        <v>0</v>
      </c>
      <c r="D811" s="3">
        <f>IF(OR(INDEX($P$2:$P$1001,MATCH(ROWS($O$2:O811),$O$2:$O$1001,0),1)&gt;=100000,INDEX($V$1005:$AE$1005,1,MATCH(COLUMNS($V$1006:X1006),$V$1006:$AE$1006,0))&gt;=100000), " ",IF(INDEX($V$2:$AE$1001,MATCH(ROWS($O$2:O811),$O$2:$O$1001,0),MATCH(COLUMNS($V$1006:X1006),$V$1006:$AE$1006,0)), HYPERLINK("#",""), HYPERLINK(CONCATENATE("#Metadata!", ADDRESS(INDEX($Q$2:$Q$1001,MATCH(ROWS($O$2:O811),$O$2:$O$1001,0),0), INDEX($V$1004:$AE$1004,1,MATCH(COLUMNS($V$1006:X1006),$V$1006:$AE$1006,0)))),"Fix")))</f>
        <v>0</v>
      </c>
      <c r="E811" s="3">
        <f>IF(OR(INDEX($P$2:$P$1001,MATCH(ROWS($O$2:O811),$O$2:$O$1001,0),1)&gt;=100000,INDEX($V$1005:$AE$1005,1,MATCH(COLUMNS($V$1006:Y1006),$V$1006:$AE$1006,0))&gt;=100000), " ",IF(INDEX($V$2:$AE$1001,MATCH(ROWS($O$2:O811),$O$2:$O$1001,0),MATCH(COLUMNS($V$1006:Y1006),$V$1006:$AE$1006,0)), HYPERLINK("#",""), HYPERLINK(CONCATENATE("#Metadata!", ADDRESS(INDEX($Q$2:$Q$1001,MATCH(ROWS($O$2:O811),$O$2:$O$1001,0),0), INDEX($V$1004:$AE$1004,1,MATCH(COLUMNS($V$1006:Y1006),$V$1006:$AE$1006,0)))),"Fix")))</f>
        <v>0</v>
      </c>
      <c r="F811" s="3">
        <f>IF(OR(INDEX($P$2:$P$1001,MATCH(ROWS($O$2:O811),$O$2:$O$1001,0),1)&gt;=100000,INDEX($V$1005:$AE$1005,1,MATCH(COLUMNS($V$1006:Z1006),$V$1006:$AE$1006,0))&gt;=100000), " ",IF(INDEX($V$2:$AE$1001,MATCH(ROWS($O$2:O811),$O$2:$O$1001,0),MATCH(COLUMNS($V$1006:Z1006),$V$1006:$AE$1006,0)), HYPERLINK("#",""), HYPERLINK(CONCATENATE("#Metadata!", ADDRESS(INDEX($Q$2:$Q$1001,MATCH(ROWS($O$2:O811),$O$2:$O$1001,0),0), INDEX($V$1004:$AE$1004,1,MATCH(COLUMNS($V$1006:Z1006),$V$1006:$AE$1006,0)))),"Fix")))</f>
        <v>0</v>
      </c>
      <c r="G811" s="3">
        <f>IF(OR(INDEX($P$2:$P$1001,MATCH(ROWS($O$2:O811),$O$2:$O$1001,0),1)&gt;=100000,INDEX($V$1005:$AE$1005,1,MATCH(COLUMNS($V$1006:AA1006),$V$1006:$AE$1006,0))&gt;=100000), " ",IF(INDEX($V$2:$AE$1001,MATCH(ROWS($O$2:O811),$O$2:$O$1001,0),MATCH(COLUMNS($V$1006:AA1006),$V$1006:$AE$1006,0)), HYPERLINK("#",""), HYPERLINK(CONCATENATE("#Metadata!", ADDRESS(INDEX($Q$2:$Q$1001,MATCH(ROWS($O$2:O811),$O$2:$O$1001,0),0), INDEX($V$1004:$AE$1004,1,MATCH(COLUMNS($V$1006:AA1006),$V$1006:$AE$1006,0)))),"Fix")))</f>
        <v>0</v>
      </c>
      <c r="H811" s="3">
        <f>IF(OR(INDEX($P$2:$P$1001,MATCH(ROWS($O$2:O811),$O$2:$O$1001,0),1)&gt;=100000,INDEX($V$1005:$AE$1005,1,MATCH(COLUMNS($V$1006:AB1006),$V$1006:$AE$1006,0))&gt;=100000), " ",IF(INDEX($V$2:$AE$1001,MATCH(ROWS($O$2:O811),$O$2:$O$1001,0),MATCH(COLUMNS($V$1006:AB1006),$V$1006:$AE$1006,0)), HYPERLINK("#",""), HYPERLINK(CONCATENATE("#Metadata!", ADDRESS(INDEX($Q$2:$Q$1001,MATCH(ROWS($O$2:O811),$O$2:$O$1001,0),0), INDEX($V$1004:$AE$1004,1,MATCH(COLUMNS($V$1006:AB1006),$V$1006:$AE$1006,0)))),"Fix")))</f>
        <v>0</v>
      </c>
      <c r="I811" s="3">
        <f>IF(OR(INDEX($P$2:$P$1001,MATCH(ROWS($O$2:O811),$O$2:$O$1001,0),1)&gt;=100000,INDEX($V$1005:$AE$1005,1,MATCH(COLUMNS($V$1006:AC1006),$V$1006:$AE$1006,0))&gt;=100000), " ",IF(INDEX($V$2:$AE$1001,MATCH(ROWS($O$2:O811),$O$2:$O$1001,0),MATCH(COLUMNS($V$1006:AC1006),$V$1006:$AE$1006,0)), HYPERLINK("#",""), HYPERLINK(CONCATENATE("#Metadata!", ADDRESS(INDEX($Q$2:$Q$1001,MATCH(ROWS($O$2:O811),$O$2:$O$1001,0),0), INDEX($V$1004:$AE$1004,1,MATCH(COLUMNS($V$1006:AC1006),$V$1006:$AE$1006,0)))),"Fix")))</f>
        <v>0</v>
      </c>
      <c r="J811" s="3">
        <f>IF(OR(INDEX($P$2:$P$1001,MATCH(ROWS($O$2:O811),$O$2:$O$1001,0),1)&gt;=100000,INDEX($V$1005:$AE$1005,1,MATCH(COLUMNS($V$1006:AD1006),$V$1006:$AE$1006,0))&gt;=100000), " ",IF(INDEX($V$2:$AE$1001,MATCH(ROWS($O$2:O811),$O$2:$O$1001,0),MATCH(COLUMNS($V$1006:AD1006),$V$1006:$AE$1006,0)), HYPERLINK("#",""), HYPERLINK(CONCATENATE("#Metadata!", ADDRESS(INDEX($Q$2:$Q$1001,MATCH(ROWS($O$2:O811),$O$2:$O$1001,0),0), INDEX($V$1004:$AE$1004,1,MATCH(COLUMNS($V$1006:AD1006),$V$1006:$AE$1006,0)))),"Fix")))</f>
        <v>0</v>
      </c>
      <c r="K811" s="3">
        <f>IF(OR(INDEX($P$2:$P$1001,MATCH(ROWS($O$2:O811),$O$2:$O$1001,0),1)&gt;=100000,INDEX($V$1005:$AE$1005,1,MATCH(COLUMNS($V$1006:AE1006),$V$1006:$AE$1006,0))&gt;=100000), " ",IF(INDEX($V$2:$AE$1001,MATCH(ROWS($O$2:O811),$O$2:$O$1001,0),MATCH(COLUMNS($V$1006:AE1006),$V$1006:$AE$1006,0)), HYPERLINK("#",""), HYPERLINK(CONCATENATE("#Metadata!", ADDRESS(INDEX($Q$2:$Q$1001,MATCH(ROWS($O$2:O811),$O$2:$O$1001,0),0), INDEX($V$1004:$AE$1004,1,MATCH(COLUMNS($V$1006:AE1006),$V$1006:$AE$1006,0)))),"Fix")))</f>
        <v>0</v>
      </c>
      <c r="O811">
        <v>0</v>
      </c>
      <c r="P811">
        <v>0</v>
      </c>
      <c r="Q811">
        <v>0</v>
      </c>
      <c r="R811">
        <f>IF(S811,TRUE,AND(V811:AE811))</f>
        <v>0</v>
      </c>
      <c r="S811">
        <f>COUNTBLANK(Metadata!B811:K811)=COLUMNS(Metadata!B811:K811)</f>
        <v>0</v>
      </c>
      <c r="T811">
        <v>0</v>
      </c>
      <c r="V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W811">
        <f>AND(IF(Metadata!C811="",FALSE,TRUE),exact(Metadata!C811,"animal secretion"))</f>
        <v>0</v>
      </c>
      <c r="X811">
        <f>AND(IF(Metadata!D811="",FALSE,TRUE),exact(Metadata!D811,"saliva"))</f>
        <v>0</v>
      </c>
      <c r="Y811">
        <f>AND(IF(Metadata!E811="",FALSE,TRUE),exact(Metadata!E811,"human-oral"))</f>
        <v>0</v>
      </c>
      <c r="Z811">
        <f>AND(IF(Metadata!F811="",FALSE,TRUE),exact(Metadata!F811,"UBERON:oral cavity"))</f>
        <v>0</v>
      </c>
      <c r="AA811">
        <f>AND(IF(Metadata!G811="",FALSE,TRUE),exact(Metadata!G811,"UBERON:saliva"))</f>
        <v>0</v>
      </c>
      <c r="AB811">
        <f>AND(IF(Metadata!H811="",FALSE,TRUE),exact(Metadata!H811,"UBERON:tongue"))</f>
        <v>0</v>
      </c>
      <c r="AC811">
        <f>AND(IF(Metadata!I811="",FALSE,TRUE),exact(Metadata!I811,"tongue"))</f>
        <v>0</v>
      </c>
      <c r="AD811">
        <f>AND(IF(Metadata!J811="",FALSE,TRUE),exact(Metadata!J811,"human oral metagenome"))</f>
        <v>0</v>
      </c>
      <c r="AE811">
        <f>AND(IF(Metadata!K811="",FALSE,TRUE),exact(Metadata!K811,"447426"))</f>
        <v>0</v>
      </c>
    </row>
    <row r="812" spans="1:31">
      <c r="A812" s="4">
        <f>IF(B812=" "," ",HYPERLINK(CONCATENATE("#metadata!",ADDRESS(INDEX($Q$2:$Q$1001,MATCH(ROWS($O$2:O812),$O$2:$O$1001,0),0),1)),INDEX($T$2:$T$1001,MATCH(ROWS($O$2:O812),$O$2:$O$1001,0),0)))</f>
        <v>0</v>
      </c>
      <c r="B812" s="3">
        <f>IF(OR(INDEX($P$2:$P$1001,MATCH(ROWS($O$2:O812),$O$2:$O$1001,0),1)&gt;=100000,INDEX($V$1005:$AE$1005,1,MATCH(COLUMNS($V$1006:V1006),$V$1006:$AE$1006,0))&gt;=100000), " ",IF(INDEX($V$2:$AE$1001,MATCH(ROWS($O$2:O812),$O$2:$O$1001,0),MATCH(COLUMNS($V$1006:V1006),$V$1006:$AE$1006,0)), HYPERLINK("#",""), HYPERLINK(CONCATENATE("#Metadata!", ADDRESS(INDEX($Q$2:$Q$1001,MATCH(ROWS($O$2:O812),$O$2:$O$1001,0),0), INDEX($V$1004:$AE$1004,1,MATCH(COLUMNS($V$1006:V1006),$V$1006:$AE$1006,0)))),"Fix")))</f>
        <v>0</v>
      </c>
      <c r="C812" s="3">
        <f>IF(OR(INDEX($P$2:$P$1001,MATCH(ROWS($O$2:O812),$O$2:$O$1001,0),1)&gt;=100000,INDEX($V$1005:$AE$1005,1,MATCH(COLUMNS($V$1006:W1006),$V$1006:$AE$1006,0))&gt;=100000), " ",IF(INDEX($V$2:$AE$1001,MATCH(ROWS($O$2:O812),$O$2:$O$1001,0),MATCH(COLUMNS($V$1006:W1006),$V$1006:$AE$1006,0)), HYPERLINK("#",""), HYPERLINK(CONCATENATE("#Metadata!", ADDRESS(INDEX($Q$2:$Q$1001,MATCH(ROWS($O$2:O812),$O$2:$O$1001,0),0), INDEX($V$1004:$AE$1004,1,MATCH(COLUMNS($V$1006:W1006),$V$1006:$AE$1006,0)))),"Fix")))</f>
        <v>0</v>
      </c>
      <c r="D812" s="3">
        <f>IF(OR(INDEX($P$2:$P$1001,MATCH(ROWS($O$2:O812),$O$2:$O$1001,0),1)&gt;=100000,INDEX($V$1005:$AE$1005,1,MATCH(COLUMNS($V$1006:X1006),$V$1006:$AE$1006,0))&gt;=100000), " ",IF(INDEX($V$2:$AE$1001,MATCH(ROWS($O$2:O812),$O$2:$O$1001,0),MATCH(COLUMNS($V$1006:X1006),$V$1006:$AE$1006,0)), HYPERLINK("#",""), HYPERLINK(CONCATENATE("#Metadata!", ADDRESS(INDEX($Q$2:$Q$1001,MATCH(ROWS($O$2:O812),$O$2:$O$1001,0),0), INDEX($V$1004:$AE$1004,1,MATCH(COLUMNS($V$1006:X1006),$V$1006:$AE$1006,0)))),"Fix")))</f>
        <v>0</v>
      </c>
      <c r="E812" s="3">
        <f>IF(OR(INDEX($P$2:$P$1001,MATCH(ROWS($O$2:O812),$O$2:$O$1001,0),1)&gt;=100000,INDEX($V$1005:$AE$1005,1,MATCH(COLUMNS($V$1006:Y1006),$V$1006:$AE$1006,0))&gt;=100000), " ",IF(INDEX($V$2:$AE$1001,MATCH(ROWS($O$2:O812),$O$2:$O$1001,0),MATCH(COLUMNS($V$1006:Y1006),$V$1006:$AE$1006,0)), HYPERLINK("#",""), HYPERLINK(CONCATENATE("#Metadata!", ADDRESS(INDEX($Q$2:$Q$1001,MATCH(ROWS($O$2:O812),$O$2:$O$1001,0),0), INDEX($V$1004:$AE$1004,1,MATCH(COLUMNS($V$1006:Y1006),$V$1006:$AE$1006,0)))),"Fix")))</f>
        <v>0</v>
      </c>
      <c r="F812" s="3">
        <f>IF(OR(INDEX($P$2:$P$1001,MATCH(ROWS($O$2:O812),$O$2:$O$1001,0),1)&gt;=100000,INDEX($V$1005:$AE$1005,1,MATCH(COLUMNS($V$1006:Z1006),$V$1006:$AE$1006,0))&gt;=100000), " ",IF(INDEX($V$2:$AE$1001,MATCH(ROWS($O$2:O812),$O$2:$O$1001,0),MATCH(COLUMNS($V$1006:Z1006),$V$1006:$AE$1006,0)), HYPERLINK("#",""), HYPERLINK(CONCATENATE("#Metadata!", ADDRESS(INDEX($Q$2:$Q$1001,MATCH(ROWS($O$2:O812),$O$2:$O$1001,0),0), INDEX($V$1004:$AE$1004,1,MATCH(COLUMNS($V$1006:Z1006),$V$1006:$AE$1006,0)))),"Fix")))</f>
        <v>0</v>
      </c>
      <c r="G812" s="3">
        <f>IF(OR(INDEX($P$2:$P$1001,MATCH(ROWS($O$2:O812),$O$2:$O$1001,0),1)&gt;=100000,INDEX($V$1005:$AE$1005,1,MATCH(COLUMNS($V$1006:AA1006),$V$1006:$AE$1006,0))&gt;=100000), " ",IF(INDEX($V$2:$AE$1001,MATCH(ROWS($O$2:O812),$O$2:$O$1001,0),MATCH(COLUMNS($V$1006:AA1006),$V$1006:$AE$1006,0)), HYPERLINK("#",""), HYPERLINK(CONCATENATE("#Metadata!", ADDRESS(INDEX($Q$2:$Q$1001,MATCH(ROWS($O$2:O812),$O$2:$O$1001,0),0), INDEX($V$1004:$AE$1004,1,MATCH(COLUMNS($V$1006:AA1006),$V$1006:$AE$1006,0)))),"Fix")))</f>
        <v>0</v>
      </c>
      <c r="H812" s="3">
        <f>IF(OR(INDEX($P$2:$P$1001,MATCH(ROWS($O$2:O812),$O$2:$O$1001,0),1)&gt;=100000,INDEX($V$1005:$AE$1005,1,MATCH(COLUMNS($V$1006:AB1006),$V$1006:$AE$1006,0))&gt;=100000), " ",IF(INDEX($V$2:$AE$1001,MATCH(ROWS($O$2:O812),$O$2:$O$1001,0),MATCH(COLUMNS($V$1006:AB1006),$V$1006:$AE$1006,0)), HYPERLINK("#",""), HYPERLINK(CONCATENATE("#Metadata!", ADDRESS(INDEX($Q$2:$Q$1001,MATCH(ROWS($O$2:O812),$O$2:$O$1001,0),0), INDEX($V$1004:$AE$1004,1,MATCH(COLUMNS($V$1006:AB1006),$V$1006:$AE$1006,0)))),"Fix")))</f>
        <v>0</v>
      </c>
      <c r="I812" s="3">
        <f>IF(OR(INDEX($P$2:$P$1001,MATCH(ROWS($O$2:O812),$O$2:$O$1001,0),1)&gt;=100000,INDEX($V$1005:$AE$1005,1,MATCH(COLUMNS($V$1006:AC1006),$V$1006:$AE$1006,0))&gt;=100000), " ",IF(INDEX($V$2:$AE$1001,MATCH(ROWS($O$2:O812),$O$2:$O$1001,0),MATCH(COLUMNS($V$1006:AC1006),$V$1006:$AE$1006,0)), HYPERLINK("#",""), HYPERLINK(CONCATENATE("#Metadata!", ADDRESS(INDEX($Q$2:$Q$1001,MATCH(ROWS($O$2:O812),$O$2:$O$1001,0),0), INDEX($V$1004:$AE$1004,1,MATCH(COLUMNS($V$1006:AC1006),$V$1006:$AE$1006,0)))),"Fix")))</f>
        <v>0</v>
      </c>
      <c r="J812" s="3">
        <f>IF(OR(INDEX($P$2:$P$1001,MATCH(ROWS($O$2:O812),$O$2:$O$1001,0),1)&gt;=100000,INDEX($V$1005:$AE$1005,1,MATCH(COLUMNS($V$1006:AD1006),$V$1006:$AE$1006,0))&gt;=100000), " ",IF(INDEX($V$2:$AE$1001,MATCH(ROWS($O$2:O812),$O$2:$O$1001,0),MATCH(COLUMNS($V$1006:AD1006),$V$1006:$AE$1006,0)), HYPERLINK("#",""), HYPERLINK(CONCATENATE("#Metadata!", ADDRESS(INDEX($Q$2:$Q$1001,MATCH(ROWS($O$2:O812),$O$2:$O$1001,0),0), INDEX($V$1004:$AE$1004,1,MATCH(COLUMNS($V$1006:AD1006),$V$1006:$AE$1006,0)))),"Fix")))</f>
        <v>0</v>
      </c>
      <c r="K812" s="3">
        <f>IF(OR(INDEX($P$2:$P$1001,MATCH(ROWS($O$2:O812),$O$2:$O$1001,0),1)&gt;=100000,INDEX($V$1005:$AE$1005,1,MATCH(COLUMNS($V$1006:AE1006),$V$1006:$AE$1006,0))&gt;=100000), " ",IF(INDEX($V$2:$AE$1001,MATCH(ROWS($O$2:O812),$O$2:$O$1001,0),MATCH(COLUMNS($V$1006:AE1006),$V$1006:$AE$1006,0)), HYPERLINK("#",""), HYPERLINK(CONCATENATE("#Metadata!", ADDRESS(INDEX($Q$2:$Q$1001,MATCH(ROWS($O$2:O812),$O$2:$O$1001,0),0), INDEX($V$1004:$AE$1004,1,MATCH(COLUMNS($V$1006:AE1006),$V$1006:$AE$1006,0)))),"Fix")))</f>
        <v>0</v>
      </c>
      <c r="O812">
        <v>0</v>
      </c>
      <c r="P812">
        <v>0</v>
      </c>
      <c r="Q812">
        <v>0</v>
      </c>
      <c r="R812">
        <f>IF(S812,TRUE,AND(V812:AE812))</f>
        <v>0</v>
      </c>
      <c r="S812">
        <f>COUNTBLANK(Metadata!B812:K812)=COLUMNS(Metadata!B812:K812)</f>
        <v>0</v>
      </c>
      <c r="T812">
        <v>0</v>
      </c>
      <c r="V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W812">
        <f>AND(IF(Metadata!C812="",FALSE,TRUE),exact(Metadata!C812,"animal secretion"))</f>
        <v>0</v>
      </c>
      <c r="X812">
        <f>AND(IF(Metadata!D812="",FALSE,TRUE),exact(Metadata!D812,"saliva"))</f>
        <v>0</v>
      </c>
      <c r="Y812">
        <f>AND(IF(Metadata!E812="",FALSE,TRUE),exact(Metadata!E812,"human-oral"))</f>
        <v>0</v>
      </c>
      <c r="Z812">
        <f>AND(IF(Metadata!F812="",FALSE,TRUE),exact(Metadata!F812,"UBERON:oral cavity"))</f>
        <v>0</v>
      </c>
      <c r="AA812">
        <f>AND(IF(Metadata!G812="",FALSE,TRUE),exact(Metadata!G812,"UBERON:saliva"))</f>
        <v>0</v>
      </c>
      <c r="AB812">
        <f>AND(IF(Metadata!H812="",FALSE,TRUE),exact(Metadata!H812,"UBERON:tongue"))</f>
        <v>0</v>
      </c>
      <c r="AC812">
        <f>AND(IF(Metadata!I812="",FALSE,TRUE),exact(Metadata!I812,"tongue"))</f>
        <v>0</v>
      </c>
      <c r="AD812">
        <f>AND(IF(Metadata!J812="",FALSE,TRUE),exact(Metadata!J812,"human oral metagenome"))</f>
        <v>0</v>
      </c>
      <c r="AE812">
        <f>AND(IF(Metadata!K812="",FALSE,TRUE),exact(Metadata!K812,"447426"))</f>
        <v>0</v>
      </c>
    </row>
    <row r="813" spans="1:31">
      <c r="A813" s="4">
        <f>IF(B813=" "," ",HYPERLINK(CONCATENATE("#metadata!",ADDRESS(INDEX($Q$2:$Q$1001,MATCH(ROWS($O$2:O813),$O$2:$O$1001,0),0),1)),INDEX($T$2:$T$1001,MATCH(ROWS($O$2:O813),$O$2:$O$1001,0),0)))</f>
        <v>0</v>
      </c>
      <c r="B813" s="3">
        <f>IF(OR(INDEX($P$2:$P$1001,MATCH(ROWS($O$2:O813),$O$2:$O$1001,0),1)&gt;=100000,INDEX($V$1005:$AE$1005,1,MATCH(COLUMNS($V$1006:V1006),$V$1006:$AE$1006,0))&gt;=100000), " ",IF(INDEX($V$2:$AE$1001,MATCH(ROWS($O$2:O813),$O$2:$O$1001,0),MATCH(COLUMNS($V$1006:V1006),$V$1006:$AE$1006,0)), HYPERLINK("#",""), HYPERLINK(CONCATENATE("#Metadata!", ADDRESS(INDEX($Q$2:$Q$1001,MATCH(ROWS($O$2:O813),$O$2:$O$1001,0),0), INDEX($V$1004:$AE$1004,1,MATCH(COLUMNS($V$1006:V1006),$V$1006:$AE$1006,0)))),"Fix")))</f>
        <v>0</v>
      </c>
      <c r="C813" s="3">
        <f>IF(OR(INDEX($P$2:$P$1001,MATCH(ROWS($O$2:O813),$O$2:$O$1001,0),1)&gt;=100000,INDEX($V$1005:$AE$1005,1,MATCH(COLUMNS($V$1006:W1006),$V$1006:$AE$1006,0))&gt;=100000), " ",IF(INDEX($V$2:$AE$1001,MATCH(ROWS($O$2:O813),$O$2:$O$1001,0),MATCH(COLUMNS($V$1006:W1006),$V$1006:$AE$1006,0)), HYPERLINK("#",""), HYPERLINK(CONCATENATE("#Metadata!", ADDRESS(INDEX($Q$2:$Q$1001,MATCH(ROWS($O$2:O813),$O$2:$O$1001,0),0), INDEX($V$1004:$AE$1004,1,MATCH(COLUMNS($V$1006:W1006),$V$1006:$AE$1006,0)))),"Fix")))</f>
        <v>0</v>
      </c>
      <c r="D813" s="3">
        <f>IF(OR(INDEX($P$2:$P$1001,MATCH(ROWS($O$2:O813),$O$2:$O$1001,0),1)&gt;=100000,INDEX($V$1005:$AE$1005,1,MATCH(COLUMNS($V$1006:X1006),$V$1006:$AE$1006,0))&gt;=100000), " ",IF(INDEX($V$2:$AE$1001,MATCH(ROWS($O$2:O813),$O$2:$O$1001,0),MATCH(COLUMNS($V$1006:X1006),$V$1006:$AE$1006,0)), HYPERLINK("#",""), HYPERLINK(CONCATENATE("#Metadata!", ADDRESS(INDEX($Q$2:$Q$1001,MATCH(ROWS($O$2:O813),$O$2:$O$1001,0),0), INDEX($V$1004:$AE$1004,1,MATCH(COLUMNS($V$1006:X1006),$V$1006:$AE$1006,0)))),"Fix")))</f>
        <v>0</v>
      </c>
      <c r="E813" s="3">
        <f>IF(OR(INDEX($P$2:$P$1001,MATCH(ROWS($O$2:O813),$O$2:$O$1001,0),1)&gt;=100000,INDEX($V$1005:$AE$1005,1,MATCH(COLUMNS($V$1006:Y1006),$V$1006:$AE$1006,0))&gt;=100000), " ",IF(INDEX($V$2:$AE$1001,MATCH(ROWS($O$2:O813),$O$2:$O$1001,0),MATCH(COLUMNS($V$1006:Y1006),$V$1006:$AE$1006,0)), HYPERLINK("#",""), HYPERLINK(CONCATENATE("#Metadata!", ADDRESS(INDEX($Q$2:$Q$1001,MATCH(ROWS($O$2:O813),$O$2:$O$1001,0),0), INDEX($V$1004:$AE$1004,1,MATCH(COLUMNS($V$1006:Y1006),$V$1006:$AE$1006,0)))),"Fix")))</f>
        <v>0</v>
      </c>
      <c r="F813" s="3">
        <f>IF(OR(INDEX($P$2:$P$1001,MATCH(ROWS($O$2:O813),$O$2:$O$1001,0),1)&gt;=100000,INDEX($V$1005:$AE$1005,1,MATCH(COLUMNS($V$1006:Z1006),$V$1006:$AE$1006,0))&gt;=100000), " ",IF(INDEX($V$2:$AE$1001,MATCH(ROWS($O$2:O813),$O$2:$O$1001,0),MATCH(COLUMNS($V$1006:Z1006),$V$1006:$AE$1006,0)), HYPERLINK("#",""), HYPERLINK(CONCATENATE("#Metadata!", ADDRESS(INDEX($Q$2:$Q$1001,MATCH(ROWS($O$2:O813),$O$2:$O$1001,0),0), INDEX($V$1004:$AE$1004,1,MATCH(COLUMNS($V$1006:Z1006),$V$1006:$AE$1006,0)))),"Fix")))</f>
        <v>0</v>
      </c>
      <c r="G813" s="3">
        <f>IF(OR(INDEX($P$2:$P$1001,MATCH(ROWS($O$2:O813),$O$2:$O$1001,0),1)&gt;=100000,INDEX($V$1005:$AE$1005,1,MATCH(COLUMNS($V$1006:AA1006),$V$1006:$AE$1006,0))&gt;=100000), " ",IF(INDEX($V$2:$AE$1001,MATCH(ROWS($O$2:O813),$O$2:$O$1001,0),MATCH(COLUMNS($V$1006:AA1006),$V$1006:$AE$1006,0)), HYPERLINK("#",""), HYPERLINK(CONCATENATE("#Metadata!", ADDRESS(INDEX($Q$2:$Q$1001,MATCH(ROWS($O$2:O813),$O$2:$O$1001,0),0), INDEX($V$1004:$AE$1004,1,MATCH(COLUMNS($V$1006:AA1006),$V$1006:$AE$1006,0)))),"Fix")))</f>
        <v>0</v>
      </c>
      <c r="H813" s="3">
        <f>IF(OR(INDEX($P$2:$P$1001,MATCH(ROWS($O$2:O813),$O$2:$O$1001,0),1)&gt;=100000,INDEX($V$1005:$AE$1005,1,MATCH(COLUMNS($V$1006:AB1006),$V$1006:$AE$1006,0))&gt;=100000), " ",IF(INDEX($V$2:$AE$1001,MATCH(ROWS($O$2:O813),$O$2:$O$1001,0),MATCH(COLUMNS($V$1006:AB1006),$V$1006:$AE$1006,0)), HYPERLINK("#",""), HYPERLINK(CONCATENATE("#Metadata!", ADDRESS(INDEX($Q$2:$Q$1001,MATCH(ROWS($O$2:O813),$O$2:$O$1001,0),0), INDEX($V$1004:$AE$1004,1,MATCH(COLUMNS($V$1006:AB1006),$V$1006:$AE$1006,0)))),"Fix")))</f>
        <v>0</v>
      </c>
      <c r="I813" s="3">
        <f>IF(OR(INDEX($P$2:$P$1001,MATCH(ROWS($O$2:O813),$O$2:$O$1001,0),1)&gt;=100000,INDEX($V$1005:$AE$1005,1,MATCH(COLUMNS($V$1006:AC1006),$V$1006:$AE$1006,0))&gt;=100000), " ",IF(INDEX($V$2:$AE$1001,MATCH(ROWS($O$2:O813),$O$2:$O$1001,0),MATCH(COLUMNS($V$1006:AC1006),$V$1006:$AE$1006,0)), HYPERLINK("#",""), HYPERLINK(CONCATENATE("#Metadata!", ADDRESS(INDEX($Q$2:$Q$1001,MATCH(ROWS($O$2:O813),$O$2:$O$1001,0),0), INDEX($V$1004:$AE$1004,1,MATCH(COLUMNS($V$1006:AC1006),$V$1006:$AE$1006,0)))),"Fix")))</f>
        <v>0</v>
      </c>
      <c r="J813" s="3">
        <f>IF(OR(INDEX($P$2:$P$1001,MATCH(ROWS($O$2:O813),$O$2:$O$1001,0),1)&gt;=100000,INDEX($V$1005:$AE$1005,1,MATCH(COLUMNS($V$1006:AD1006),$V$1006:$AE$1006,0))&gt;=100000), " ",IF(INDEX($V$2:$AE$1001,MATCH(ROWS($O$2:O813),$O$2:$O$1001,0),MATCH(COLUMNS($V$1006:AD1006),$V$1006:$AE$1006,0)), HYPERLINK("#",""), HYPERLINK(CONCATENATE("#Metadata!", ADDRESS(INDEX($Q$2:$Q$1001,MATCH(ROWS($O$2:O813),$O$2:$O$1001,0),0), INDEX($V$1004:$AE$1004,1,MATCH(COLUMNS($V$1006:AD1006),$V$1006:$AE$1006,0)))),"Fix")))</f>
        <v>0</v>
      </c>
      <c r="K813" s="3">
        <f>IF(OR(INDEX($P$2:$P$1001,MATCH(ROWS($O$2:O813),$O$2:$O$1001,0),1)&gt;=100000,INDEX($V$1005:$AE$1005,1,MATCH(COLUMNS($V$1006:AE1006),$V$1006:$AE$1006,0))&gt;=100000), " ",IF(INDEX($V$2:$AE$1001,MATCH(ROWS($O$2:O813),$O$2:$O$1001,0),MATCH(COLUMNS($V$1006:AE1006),$V$1006:$AE$1006,0)), HYPERLINK("#",""), HYPERLINK(CONCATENATE("#Metadata!", ADDRESS(INDEX($Q$2:$Q$1001,MATCH(ROWS($O$2:O813),$O$2:$O$1001,0),0), INDEX($V$1004:$AE$1004,1,MATCH(COLUMNS($V$1006:AE1006),$V$1006:$AE$1006,0)))),"Fix")))</f>
        <v>0</v>
      </c>
      <c r="O813">
        <v>0</v>
      </c>
      <c r="P813">
        <v>0</v>
      </c>
      <c r="Q813">
        <v>0</v>
      </c>
      <c r="R813">
        <f>IF(S813,TRUE,AND(V813:AE813))</f>
        <v>0</v>
      </c>
      <c r="S813">
        <f>COUNTBLANK(Metadata!B813:K813)=COLUMNS(Metadata!B813:K813)</f>
        <v>0</v>
      </c>
      <c r="T813">
        <v>0</v>
      </c>
      <c r="V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W813">
        <f>AND(IF(Metadata!C813="",FALSE,TRUE),exact(Metadata!C813,"animal secretion"))</f>
        <v>0</v>
      </c>
      <c r="X813">
        <f>AND(IF(Metadata!D813="",FALSE,TRUE),exact(Metadata!D813,"saliva"))</f>
        <v>0</v>
      </c>
      <c r="Y813">
        <f>AND(IF(Metadata!E813="",FALSE,TRUE),exact(Metadata!E813,"human-oral"))</f>
        <v>0</v>
      </c>
      <c r="Z813">
        <f>AND(IF(Metadata!F813="",FALSE,TRUE),exact(Metadata!F813,"UBERON:oral cavity"))</f>
        <v>0</v>
      </c>
      <c r="AA813">
        <f>AND(IF(Metadata!G813="",FALSE,TRUE),exact(Metadata!G813,"UBERON:saliva"))</f>
        <v>0</v>
      </c>
      <c r="AB813">
        <f>AND(IF(Metadata!H813="",FALSE,TRUE),exact(Metadata!H813,"UBERON:tongue"))</f>
        <v>0</v>
      </c>
      <c r="AC813">
        <f>AND(IF(Metadata!I813="",FALSE,TRUE),exact(Metadata!I813,"tongue"))</f>
        <v>0</v>
      </c>
      <c r="AD813">
        <f>AND(IF(Metadata!J813="",FALSE,TRUE),exact(Metadata!J813,"human oral metagenome"))</f>
        <v>0</v>
      </c>
      <c r="AE813">
        <f>AND(IF(Metadata!K813="",FALSE,TRUE),exact(Metadata!K813,"447426"))</f>
        <v>0</v>
      </c>
    </row>
    <row r="814" spans="1:31">
      <c r="A814" s="4">
        <f>IF(B814=" "," ",HYPERLINK(CONCATENATE("#metadata!",ADDRESS(INDEX($Q$2:$Q$1001,MATCH(ROWS($O$2:O814),$O$2:$O$1001,0),0),1)),INDEX($T$2:$T$1001,MATCH(ROWS($O$2:O814),$O$2:$O$1001,0),0)))</f>
        <v>0</v>
      </c>
      <c r="B814" s="3">
        <f>IF(OR(INDEX($P$2:$P$1001,MATCH(ROWS($O$2:O814),$O$2:$O$1001,0),1)&gt;=100000,INDEX($V$1005:$AE$1005,1,MATCH(COLUMNS($V$1006:V1006),$V$1006:$AE$1006,0))&gt;=100000), " ",IF(INDEX($V$2:$AE$1001,MATCH(ROWS($O$2:O814),$O$2:$O$1001,0),MATCH(COLUMNS($V$1006:V1006),$V$1006:$AE$1006,0)), HYPERLINK("#",""), HYPERLINK(CONCATENATE("#Metadata!", ADDRESS(INDEX($Q$2:$Q$1001,MATCH(ROWS($O$2:O814),$O$2:$O$1001,0),0), INDEX($V$1004:$AE$1004,1,MATCH(COLUMNS($V$1006:V1006),$V$1006:$AE$1006,0)))),"Fix")))</f>
        <v>0</v>
      </c>
      <c r="C814" s="3">
        <f>IF(OR(INDEX($P$2:$P$1001,MATCH(ROWS($O$2:O814),$O$2:$O$1001,0),1)&gt;=100000,INDEX($V$1005:$AE$1005,1,MATCH(COLUMNS($V$1006:W1006),$V$1006:$AE$1006,0))&gt;=100000), " ",IF(INDEX($V$2:$AE$1001,MATCH(ROWS($O$2:O814),$O$2:$O$1001,0),MATCH(COLUMNS($V$1006:W1006),$V$1006:$AE$1006,0)), HYPERLINK("#",""), HYPERLINK(CONCATENATE("#Metadata!", ADDRESS(INDEX($Q$2:$Q$1001,MATCH(ROWS($O$2:O814),$O$2:$O$1001,0),0), INDEX($V$1004:$AE$1004,1,MATCH(COLUMNS($V$1006:W1006),$V$1006:$AE$1006,0)))),"Fix")))</f>
        <v>0</v>
      </c>
      <c r="D814" s="3">
        <f>IF(OR(INDEX($P$2:$P$1001,MATCH(ROWS($O$2:O814),$O$2:$O$1001,0),1)&gt;=100000,INDEX($V$1005:$AE$1005,1,MATCH(COLUMNS($V$1006:X1006),$V$1006:$AE$1006,0))&gt;=100000), " ",IF(INDEX($V$2:$AE$1001,MATCH(ROWS($O$2:O814),$O$2:$O$1001,0),MATCH(COLUMNS($V$1006:X1006),$V$1006:$AE$1006,0)), HYPERLINK("#",""), HYPERLINK(CONCATENATE("#Metadata!", ADDRESS(INDEX($Q$2:$Q$1001,MATCH(ROWS($O$2:O814),$O$2:$O$1001,0),0), INDEX($V$1004:$AE$1004,1,MATCH(COLUMNS($V$1006:X1006),$V$1006:$AE$1006,0)))),"Fix")))</f>
        <v>0</v>
      </c>
      <c r="E814" s="3">
        <f>IF(OR(INDEX($P$2:$P$1001,MATCH(ROWS($O$2:O814),$O$2:$O$1001,0),1)&gt;=100000,INDEX($V$1005:$AE$1005,1,MATCH(COLUMNS($V$1006:Y1006),$V$1006:$AE$1006,0))&gt;=100000), " ",IF(INDEX($V$2:$AE$1001,MATCH(ROWS($O$2:O814),$O$2:$O$1001,0),MATCH(COLUMNS($V$1006:Y1006),$V$1006:$AE$1006,0)), HYPERLINK("#",""), HYPERLINK(CONCATENATE("#Metadata!", ADDRESS(INDEX($Q$2:$Q$1001,MATCH(ROWS($O$2:O814),$O$2:$O$1001,0),0), INDEX($V$1004:$AE$1004,1,MATCH(COLUMNS($V$1006:Y1006),$V$1006:$AE$1006,0)))),"Fix")))</f>
        <v>0</v>
      </c>
      <c r="F814" s="3">
        <f>IF(OR(INDEX($P$2:$P$1001,MATCH(ROWS($O$2:O814),$O$2:$O$1001,0),1)&gt;=100000,INDEX($V$1005:$AE$1005,1,MATCH(COLUMNS($V$1006:Z1006),$V$1006:$AE$1006,0))&gt;=100000), " ",IF(INDEX($V$2:$AE$1001,MATCH(ROWS($O$2:O814),$O$2:$O$1001,0),MATCH(COLUMNS($V$1006:Z1006),$V$1006:$AE$1006,0)), HYPERLINK("#",""), HYPERLINK(CONCATENATE("#Metadata!", ADDRESS(INDEX($Q$2:$Q$1001,MATCH(ROWS($O$2:O814),$O$2:$O$1001,0),0), INDEX($V$1004:$AE$1004,1,MATCH(COLUMNS($V$1006:Z1006),$V$1006:$AE$1006,0)))),"Fix")))</f>
        <v>0</v>
      </c>
      <c r="G814" s="3">
        <f>IF(OR(INDEX($P$2:$P$1001,MATCH(ROWS($O$2:O814),$O$2:$O$1001,0),1)&gt;=100000,INDEX($V$1005:$AE$1005,1,MATCH(COLUMNS($V$1006:AA1006),$V$1006:$AE$1006,0))&gt;=100000), " ",IF(INDEX($V$2:$AE$1001,MATCH(ROWS($O$2:O814),$O$2:$O$1001,0),MATCH(COLUMNS($V$1006:AA1006),$V$1006:$AE$1006,0)), HYPERLINK("#",""), HYPERLINK(CONCATENATE("#Metadata!", ADDRESS(INDEX($Q$2:$Q$1001,MATCH(ROWS($O$2:O814),$O$2:$O$1001,0),0), INDEX($V$1004:$AE$1004,1,MATCH(COLUMNS($V$1006:AA1006),$V$1006:$AE$1006,0)))),"Fix")))</f>
        <v>0</v>
      </c>
      <c r="H814" s="3">
        <f>IF(OR(INDEX($P$2:$P$1001,MATCH(ROWS($O$2:O814),$O$2:$O$1001,0),1)&gt;=100000,INDEX($V$1005:$AE$1005,1,MATCH(COLUMNS($V$1006:AB1006),$V$1006:$AE$1006,0))&gt;=100000), " ",IF(INDEX($V$2:$AE$1001,MATCH(ROWS($O$2:O814),$O$2:$O$1001,0),MATCH(COLUMNS($V$1006:AB1006),$V$1006:$AE$1006,0)), HYPERLINK("#",""), HYPERLINK(CONCATENATE("#Metadata!", ADDRESS(INDEX($Q$2:$Q$1001,MATCH(ROWS($O$2:O814),$O$2:$O$1001,0),0), INDEX($V$1004:$AE$1004,1,MATCH(COLUMNS($V$1006:AB1006),$V$1006:$AE$1006,0)))),"Fix")))</f>
        <v>0</v>
      </c>
      <c r="I814" s="3">
        <f>IF(OR(INDEX($P$2:$P$1001,MATCH(ROWS($O$2:O814),$O$2:$O$1001,0),1)&gt;=100000,INDEX($V$1005:$AE$1005,1,MATCH(COLUMNS($V$1006:AC1006),$V$1006:$AE$1006,0))&gt;=100000), " ",IF(INDEX($V$2:$AE$1001,MATCH(ROWS($O$2:O814),$O$2:$O$1001,0),MATCH(COLUMNS($V$1006:AC1006),$V$1006:$AE$1006,0)), HYPERLINK("#",""), HYPERLINK(CONCATENATE("#Metadata!", ADDRESS(INDEX($Q$2:$Q$1001,MATCH(ROWS($O$2:O814),$O$2:$O$1001,0),0), INDEX($V$1004:$AE$1004,1,MATCH(COLUMNS($V$1006:AC1006),$V$1006:$AE$1006,0)))),"Fix")))</f>
        <v>0</v>
      </c>
      <c r="J814" s="3">
        <f>IF(OR(INDEX($P$2:$P$1001,MATCH(ROWS($O$2:O814),$O$2:$O$1001,0),1)&gt;=100000,INDEX($V$1005:$AE$1005,1,MATCH(COLUMNS($V$1006:AD1006),$V$1006:$AE$1006,0))&gt;=100000), " ",IF(INDEX($V$2:$AE$1001,MATCH(ROWS($O$2:O814),$O$2:$O$1001,0),MATCH(COLUMNS($V$1006:AD1006),$V$1006:$AE$1006,0)), HYPERLINK("#",""), HYPERLINK(CONCATENATE("#Metadata!", ADDRESS(INDEX($Q$2:$Q$1001,MATCH(ROWS($O$2:O814),$O$2:$O$1001,0),0), INDEX($V$1004:$AE$1004,1,MATCH(COLUMNS($V$1006:AD1006),$V$1006:$AE$1006,0)))),"Fix")))</f>
        <v>0</v>
      </c>
      <c r="K814" s="3">
        <f>IF(OR(INDEX($P$2:$P$1001,MATCH(ROWS($O$2:O814),$O$2:$O$1001,0),1)&gt;=100000,INDEX($V$1005:$AE$1005,1,MATCH(COLUMNS($V$1006:AE1006),$V$1006:$AE$1006,0))&gt;=100000), " ",IF(INDEX($V$2:$AE$1001,MATCH(ROWS($O$2:O814),$O$2:$O$1001,0),MATCH(COLUMNS($V$1006:AE1006),$V$1006:$AE$1006,0)), HYPERLINK("#",""), HYPERLINK(CONCATENATE("#Metadata!", ADDRESS(INDEX($Q$2:$Q$1001,MATCH(ROWS($O$2:O814),$O$2:$O$1001,0),0), INDEX($V$1004:$AE$1004,1,MATCH(COLUMNS($V$1006:AE1006),$V$1006:$AE$1006,0)))),"Fix")))</f>
        <v>0</v>
      </c>
      <c r="O814">
        <v>0</v>
      </c>
      <c r="P814">
        <v>0</v>
      </c>
      <c r="Q814">
        <v>0</v>
      </c>
      <c r="R814">
        <f>IF(S814,TRUE,AND(V814:AE814))</f>
        <v>0</v>
      </c>
      <c r="S814">
        <f>COUNTBLANK(Metadata!B814:K814)=COLUMNS(Metadata!B814:K814)</f>
        <v>0</v>
      </c>
      <c r="T814">
        <v>0</v>
      </c>
      <c r="V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W814">
        <f>AND(IF(Metadata!C814="",FALSE,TRUE),exact(Metadata!C814,"animal secretion"))</f>
        <v>0</v>
      </c>
      <c r="X814">
        <f>AND(IF(Metadata!D814="",FALSE,TRUE),exact(Metadata!D814,"saliva"))</f>
        <v>0</v>
      </c>
      <c r="Y814">
        <f>AND(IF(Metadata!E814="",FALSE,TRUE),exact(Metadata!E814,"human-oral"))</f>
        <v>0</v>
      </c>
      <c r="Z814">
        <f>AND(IF(Metadata!F814="",FALSE,TRUE),exact(Metadata!F814,"UBERON:oral cavity"))</f>
        <v>0</v>
      </c>
      <c r="AA814">
        <f>AND(IF(Metadata!G814="",FALSE,TRUE),exact(Metadata!G814,"UBERON:saliva"))</f>
        <v>0</v>
      </c>
      <c r="AB814">
        <f>AND(IF(Metadata!H814="",FALSE,TRUE),exact(Metadata!H814,"UBERON:tongue"))</f>
        <v>0</v>
      </c>
      <c r="AC814">
        <f>AND(IF(Metadata!I814="",FALSE,TRUE),exact(Metadata!I814,"tongue"))</f>
        <v>0</v>
      </c>
      <c r="AD814">
        <f>AND(IF(Metadata!J814="",FALSE,TRUE),exact(Metadata!J814,"human oral metagenome"))</f>
        <v>0</v>
      </c>
      <c r="AE814">
        <f>AND(IF(Metadata!K814="",FALSE,TRUE),exact(Metadata!K814,"447426"))</f>
        <v>0</v>
      </c>
    </row>
    <row r="815" spans="1:31">
      <c r="A815" s="4">
        <f>IF(B815=" "," ",HYPERLINK(CONCATENATE("#metadata!",ADDRESS(INDEX($Q$2:$Q$1001,MATCH(ROWS($O$2:O815),$O$2:$O$1001,0),0),1)),INDEX($T$2:$T$1001,MATCH(ROWS($O$2:O815),$O$2:$O$1001,0),0)))</f>
        <v>0</v>
      </c>
      <c r="B815" s="3">
        <f>IF(OR(INDEX($P$2:$P$1001,MATCH(ROWS($O$2:O815),$O$2:$O$1001,0),1)&gt;=100000,INDEX($V$1005:$AE$1005,1,MATCH(COLUMNS($V$1006:V1006),$V$1006:$AE$1006,0))&gt;=100000), " ",IF(INDEX($V$2:$AE$1001,MATCH(ROWS($O$2:O815),$O$2:$O$1001,0),MATCH(COLUMNS($V$1006:V1006),$V$1006:$AE$1006,0)), HYPERLINK("#",""), HYPERLINK(CONCATENATE("#Metadata!", ADDRESS(INDEX($Q$2:$Q$1001,MATCH(ROWS($O$2:O815),$O$2:$O$1001,0),0), INDEX($V$1004:$AE$1004,1,MATCH(COLUMNS($V$1006:V1006),$V$1006:$AE$1006,0)))),"Fix")))</f>
        <v>0</v>
      </c>
      <c r="C815" s="3">
        <f>IF(OR(INDEX($P$2:$P$1001,MATCH(ROWS($O$2:O815),$O$2:$O$1001,0),1)&gt;=100000,INDEX($V$1005:$AE$1005,1,MATCH(COLUMNS($V$1006:W1006),$V$1006:$AE$1006,0))&gt;=100000), " ",IF(INDEX($V$2:$AE$1001,MATCH(ROWS($O$2:O815),$O$2:$O$1001,0),MATCH(COLUMNS($V$1006:W1006),$V$1006:$AE$1006,0)), HYPERLINK("#",""), HYPERLINK(CONCATENATE("#Metadata!", ADDRESS(INDEX($Q$2:$Q$1001,MATCH(ROWS($O$2:O815),$O$2:$O$1001,0),0), INDEX($V$1004:$AE$1004,1,MATCH(COLUMNS($V$1006:W1006),$V$1006:$AE$1006,0)))),"Fix")))</f>
        <v>0</v>
      </c>
      <c r="D815" s="3">
        <f>IF(OR(INDEX($P$2:$P$1001,MATCH(ROWS($O$2:O815),$O$2:$O$1001,0),1)&gt;=100000,INDEX($V$1005:$AE$1005,1,MATCH(COLUMNS($V$1006:X1006),$V$1006:$AE$1006,0))&gt;=100000), " ",IF(INDEX($V$2:$AE$1001,MATCH(ROWS($O$2:O815),$O$2:$O$1001,0),MATCH(COLUMNS($V$1006:X1006),$V$1006:$AE$1006,0)), HYPERLINK("#",""), HYPERLINK(CONCATENATE("#Metadata!", ADDRESS(INDEX($Q$2:$Q$1001,MATCH(ROWS($O$2:O815),$O$2:$O$1001,0),0), INDEX($V$1004:$AE$1004,1,MATCH(COLUMNS($V$1006:X1006),$V$1006:$AE$1006,0)))),"Fix")))</f>
        <v>0</v>
      </c>
      <c r="E815" s="3">
        <f>IF(OR(INDEX($P$2:$P$1001,MATCH(ROWS($O$2:O815),$O$2:$O$1001,0),1)&gt;=100000,INDEX($V$1005:$AE$1005,1,MATCH(COLUMNS($V$1006:Y1006),$V$1006:$AE$1006,0))&gt;=100000), " ",IF(INDEX($V$2:$AE$1001,MATCH(ROWS($O$2:O815),$O$2:$O$1001,0),MATCH(COLUMNS($V$1006:Y1006),$V$1006:$AE$1006,0)), HYPERLINK("#",""), HYPERLINK(CONCATENATE("#Metadata!", ADDRESS(INDEX($Q$2:$Q$1001,MATCH(ROWS($O$2:O815),$O$2:$O$1001,0),0), INDEX($V$1004:$AE$1004,1,MATCH(COLUMNS($V$1006:Y1006),$V$1006:$AE$1006,0)))),"Fix")))</f>
        <v>0</v>
      </c>
      <c r="F815" s="3">
        <f>IF(OR(INDEX($P$2:$P$1001,MATCH(ROWS($O$2:O815),$O$2:$O$1001,0),1)&gt;=100000,INDEX($V$1005:$AE$1005,1,MATCH(COLUMNS($V$1006:Z1006),$V$1006:$AE$1006,0))&gt;=100000), " ",IF(INDEX($V$2:$AE$1001,MATCH(ROWS($O$2:O815),$O$2:$O$1001,0),MATCH(COLUMNS($V$1006:Z1006),$V$1006:$AE$1006,0)), HYPERLINK("#",""), HYPERLINK(CONCATENATE("#Metadata!", ADDRESS(INDEX($Q$2:$Q$1001,MATCH(ROWS($O$2:O815),$O$2:$O$1001,0),0), INDEX($V$1004:$AE$1004,1,MATCH(COLUMNS($V$1006:Z1006),$V$1006:$AE$1006,0)))),"Fix")))</f>
        <v>0</v>
      </c>
      <c r="G815" s="3">
        <f>IF(OR(INDEX($P$2:$P$1001,MATCH(ROWS($O$2:O815),$O$2:$O$1001,0),1)&gt;=100000,INDEX($V$1005:$AE$1005,1,MATCH(COLUMNS($V$1006:AA1006),$V$1006:$AE$1006,0))&gt;=100000), " ",IF(INDEX($V$2:$AE$1001,MATCH(ROWS($O$2:O815),$O$2:$O$1001,0),MATCH(COLUMNS($V$1006:AA1006),$V$1006:$AE$1006,0)), HYPERLINK("#",""), HYPERLINK(CONCATENATE("#Metadata!", ADDRESS(INDEX($Q$2:$Q$1001,MATCH(ROWS($O$2:O815),$O$2:$O$1001,0),0), INDEX($V$1004:$AE$1004,1,MATCH(COLUMNS($V$1006:AA1006),$V$1006:$AE$1006,0)))),"Fix")))</f>
        <v>0</v>
      </c>
      <c r="H815" s="3">
        <f>IF(OR(INDEX($P$2:$P$1001,MATCH(ROWS($O$2:O815),$O$2:$O$1001,0),1)&gt;=100000,INDEX($V$1005:$AE$1005,1,MATCH(COLUMNS($V$1006:AB1006),$V$1006:$AE$1006,0))&gt;=100000), " ",IF(INDEX($V$2:$AE$1001,MATCH(ROWS($O$2:O815),$O$2:$O$1001,0),MATCH(COLUMNS($V$1006:AB1006),$V$1006:$AE$1006,0)), HYPERLINK("#",""), HYPERLINK(CONCATENATE("#Metadata!", ADDRESS(INDEX($Q$2:$Q$1001,MATCH(ROWS($O$2:O815),$O$2:$O$1001,0),0), INDEX($V$1004:$AE$1004,1,MATCH(COLUMNS($V$1006:AB1006),$V$1006:$AE$1006,0)))),"Fix")))</f>
        <v>0</v>
      </c>
      <c r="I815" s="3">
        <f>IF(OR(INDEX($P$2:$P$1001,MATCH(ROWS($O$2:O815),$O$2:$O$1001,0),1)&gt;=100000,INDEX($V$1005:$AE$1005,1,MATCH(COLUMNS($V$1006:AC1006),$V$1006:$AE$1006,0))&gt;=100000), " ",IF(INDEX($V$2:$AE$1001,MATCH(ROWS($O$2:O815),$O$2:$O$1001,0),MATCH(COLUMNS($V$1006:AC1006),$V$1006:$AE$1006,0)), HYPERLINK("#",""), HYPERLINK(CONCATENATE("#Metadata!", ADDRESS(INDEX($Q$2:$Q$1001,MATCH(ROWS($O$2:O815),$O$2:$O$1001,0),0), INDEX($V$1004:$AE$1004,1,MATCH(COLUMNS($V$1006:AC1006),$V$1006:$AE$1006,0)))),"Fix")))</f>
        <v>0</v>
      </c>
      <c r="J815" s="3">
        <f>IF(OR(INDEX($P$2:$P$1001,MATCH(ROWS($O$2:O815),$O$2:$O$1001,0),1)&gt;=100000,INDEX($V$1005:$AE$1005,1,MATCH(COLUMNS($V$1006:AD1006),$V$1006:$AE$1006,0))&gt;=100000), " ",IF(INDEX($V$2:$AE$1001,MATCH(ROWS($O$2:O815),$O$2:$O$1001,0),MATCH(COLUMNS($V$1006:AD1006),$V$1006:$AE$1006,0)), HYPERLINK("#",""), HYPERLINK(CONCATENATE("#Metadata!", ADDRESS(INDEX($Q$2:$Q$1001,MATCH(ROWS($O$2:O815),$O$2:$O$1001,0),0), INDEX($V$1004:$AE$1004,1,MATCH(COLUMNS($V$1006:AD1006),$V$1006:$AE$1006,0)))),"Fix")))</f>
        <v>0</v>
      </c>
      <c r="K815" s="3">
        <f>IF(OR(INDEX($P$2:$P$1001,MATCH(ROWS($O$2:O815),$O$2:$O$1001,0),1)&gt;=100000,INDEX($V$1005:$AE$1005,1,MATCH(COLUMNS($V$1006:AE1006),$V$1006:$AE$1006,0))&gt;=100000), " ",IF(INDEX($V$2:$AE$1001,MATCH(ROWS($O$2:O815),$O$2:$O$1001,0),MATCH(COLUMNS($V$1006:AE1006),$V$1006:$AE$1006,0)), HYPERLINK("#",""), HYPERLINK(CONCATENATE("#Metadata!", ADDRESS(INDEX($Q$2:$Q$1001,MATCH(ROWS($O$2:O815),$O$2:$O$1001,0),0), INDEX($V$1004:$AE$1004,1,MATCH(COLUMNS($V$1006:AE1006),$V$1006:$AE$1006,0)))),"Fix")))</f>
        <v>0</v>
      </c>
      <c r="O815">
        <v>0</v>
      </c>
      <c r="P815">
        <v>0</v>
      </c>
      <c r="Q815">
        <v>0</v>
      </c>
      <c r="R815">
        <f>IF(S815,TRUE,AND(V815:AE815))</f>
        <v>0</v>
      </c>
      <c r="S815">
        <f>COUNTBLANK(Metadata!B815:K815)=COLUMNS(Metadata!B815:K815)</f>
        <v>0</v>
      </c>
      <c r="T815">
        <v>0</v>
      </c>
      <c r="V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W815">
        <f>AND(IF(Metadata!C815="",FALSE,TRUE),exact(Metadata!C815,"animal secretion"))</f>
        <v>0</v>
      </c>
      <c r="X815">
        <f>AND(IF(Metadata!D815="",FALSE,TRUE),exact(Metadata!D815,"saliva"))</f>
        <v>0</v>
      </c>
      <c r="Y815">
        <f>AND(IF(Metadata!E815="",FALSE,TRUE),exact(Metadata!E815,"human-oral"))</f>
        <v>0</v>
      </c>
      <c r="Z815">
        <f>AND(IF(Metadata!F815="",FALSE,TRUE),exact(Metadata!F815,"UBERON:oral cavity"))</f>
        <v>0</v>
      </c>
      <c r="AA815">
        <f>AND(IF(Metadata!G815="",FALSE,TRUE),exact(Metadata!G815,"UBERON:saliva"))</f>
        <v>0</v>
      </c>
      <c r="AB815">
        <f>AND(IF(Metadata!H815="",FALSE,TRUE),exact(Metadata!H815,"UBERON:tongue"))</f>
        <v>0</v>
      </c>
      <c r="AC815">
        <f>AND(IF(Metadata!I815="",FALSE,TRUE),exact(Metadata!I815,"tongue"))</f>
        <v>0</v>
      </c>
      <c r="AD815">
        <f>AND(IF(Metadata!J815="",FALSE,TRUE),exact(Metadata!J815,"human oral metagenome"))</f>
        <v>0</v>
      </c>
      <c r="AE815">
        <f>AND(IF(Metadata!K815="",FALSE,TRUE),exact(Metadata!K815,"447426"))</f>
        <v>0</v>
      </c>
    </row>
    <row r="816" spans="1:31">
      <c r="A816" s="4">
        <f>IF(B816=" "," ",HYPERLINK(CONCATENATE("#metadata!",ADDRESS(INDEX($Q$2:$Q$1001,MATCH(ROWS($O$2:O816),$O$2:$O$1001,0),0),1)),INDEX($T$2:$T$1001,MATCH(ROWS($O$2:O816),$O$2:$O$1001,0),0)))</f>
        <v>0</v>
      </c>
      <c r="B816" s="3">
        <f>IF(OR(INDEX($P$2:$P$1001,MATCH(ROWS($O$2:O816),$O$2:$O$1001,0),1)&gt;=100000,INDEX($V$1005:$AE$1005,1,MATCH(COLUMNS($V$1006:V1006),$V$1006:$AE$1006,0))&gt;=100000), " ",IF(INDEX($V$2:$AE$1001,MATCH(ROWS($O$2:O816),$O$2:$O$1001,0),MATCH(COLUMNS($V$1006:V1006),$V$1006:$AE$1006,0)), HYPERLINK("#",""), HYPERLINK(CONCATENATE("#Metadata!", ADDRESS(INDEX($Q$2:$Q$1001,MATCH(ROWS($O$2:O816),$O$2:$O$1001,0),0), INDEX($V$1004:$AE$1004,1,MATCH(COLUMNS($V$1006:V1006),$V$1006:$AE$1006,0)))),"Fix")))</f>
        <v>0</v>
      </c>
      <c r="C816" s="3">
        <f>IF(OR(INDEX($P$2:$P$1001,MATCH(ROWS($O$2:O816),$O$2:$O$1001,0),1)&gt;=100000,INDEX($V$1005:$AE$1005,1,MATCH(COLUMNS($V$1006:W1006),$V$1006:$AE$1006,0))&gt;=100000), " ",IF(INDEX($V$2:$AE$1001,MATCH(ROWS($O$2:O816),$O$2:$O$1001,0),MATCH(COLUMNS($V$1006:W1006),$V$1006:$AE$1006,0)), HYPERLINK("#",""), HYPERLINK(CONCATENATE("#Metadata!", ADDRESS(INDEX($Q$2:$Q$1001,MATCH(ROWS($O$2:O816),$O$2:$O$1001,0),0), INDEX($V$1004:$AE$1004,1,MATCH(COLUMNS($V$1006:W1006),$V$1006:$AE$1006,0)))),"Fix")))</f>
        <v>0</v>
      </c>
      <c r="D816" s="3">
        <f>IF(OR(INDEX($P$2:$P$1001,MATCH(ROWS($O$2:O816),$O$2:$O$1001,0),1)&gt;=100000,INDEX($V$1005:$AE$1005,1,MATCH(COLUMNS($V$1006:X1006),$V$1006:$AE$1006,0))&gt;=100000), " ",IF(INDEX($V$2:$AE$1001,MATCH(ROWS($O$2:O816),$O$2:$O$1001,0),MATCH(COLUMNS($V$1006:X1006),$V$1006:$AE$1006,0)), HYPERLINK("#",""), HYPERLINK(CONCATENATE("#Metadata!", ADDRESS(INDEX($Q$2:$Q$1001,MATCH(ROWS($O$2:O816),$O$2:$O$1001,0),0), INDEX($V$1004:$AE$1004,1,MATCH(COLUMNS($V$1006:X1006),$V$1006:$AE$1006,0)))),"Fix")))</f>
        <v>0</v>
      </c>
      <c r="E816" s="3">
        <f>IF(OR(INDEX($P$2:$P$1001,MATCH(ROWS($O$2:O816),$O$2:$O$1001,0),1)&gt;=100000,INDEX($V$1005:$AE$1005,1,MATCH(COLUMNS($V$1006:Y1006),$V$1006:$AE$1006,0))&gt;=100000), " ",IF(INDEX($V$2:$AE$1001,MATCH(ROWS($O$2:O816),$O$2:$O$1001,0),MATCH(COLUMNS($V$1006:Y1006),$V$1006:$AE$1006,0)), HYPERLINK("#",""), HYPERLINK(CONCATENATE("#Metadata!", ADDRESS(INDEX($Q$2:$Q$1001,MATCH(ROWS($O$2:O816),$O$2:$O$1001,0),0), INDEX($V$1004:$AE$1004,1,MATCH(COLUMNS($V$1006:Y1006),$V$1006:$AE$1006,0)))),"Fix")))</f>
        <v>0</v>
      </c>
      <c r="F816" s="3">
        <f>IF(OR(INDEX($P$2:$P$1001,MATCH(ROWS($O$2:O816),$O$2:$O$1001,0),1)&gt;=100000,INDEX($V$1005:$AE$1005,1,MATCH(COLUMNS($V$1006:Z1006),$V$1006:$AE$1006,0))&gt;=100000), " ",IF(INDEX($V$2:$AE$1001,MATCH(ROWS($O$2:O816),$O$2:$O$1001,0),MATCH(COLUMNS($V$1006:Z1006),$V$1006:$AE$1006,0)), HYPERLINK("#",""), HYPERLINK(CONCATENATE("#Metadata!", ADDRESS(INDEX($Q$2:$Q$1001,MATCH(ROWS($O$2:O816),$O$2:$O$1001,0),0), INDEX($V$1004:$AE$1004,1,MATCH(COLUMNS($V$1006:Z1006),$V$1006:$AE$1006,0)))),"Fix")))</f>
        <v>0</v>
      </c>
      <c r="G816" s="3">
        <f>IF(OR(INDEX($P$2:$P$1001,MATCH(ROWS($O$2:O816),$O$2:$O$1001,0),1)&gt;=100000,INDEX($V$1005:$AE$1005,1,MATCH(COLUMNS($V$1006:AA1006),$V$1006:$AE$1006,0))&gt;=100000), " ",IF(INDEX($V$2:$AE$1001,MATCH(ROWS($O$2:O816),$O$2:$O$1001,0),MATCH(COLUMNS($V$1006:AA1006),$V$1006:$AE$1006,0)), HYPERLINK("#",""), HYPERLINK(CONCATENATE("#Metadata!", ADDRESS(INDEX($Q$2:$Q$1001,MATCH(ROWS($O$2:O816),$O$2:$O$1001,0),0), INDEX($V$1004:$AE$1004,1,MATCH(COLUMNS($V$1006:AA1006),$V$1006:$AE$1006,0)))),"Fix")))</f>
        <v>0</v>
      </c>
      <c r="H816" s="3">
        <f>IF(OR(INDEX($P$2:$P$1001,MATCH(ROWS($O$2:O816),$O$2:$O$1001,0),1)&gt;=100000,INDEX($V$1005:$AE$1005,1,MATCH(COLUMNS($V$1006:AB1006),$V$1006:$AE$1006,0))&gt;=100000), " ",IF(INDEX($V$2:$AE$1001,MATCH(ROWS($O$2:O816),$O$2:$O$1001,0),MATCH(COLUMNS($V$1006:AB1006),$V$1006:$AE$1006,0)), HYPERLINK("#",""), HYPERLINK(CONCATENATE("#Metadata!", ADDRESS(INDEX($Q$2:$Q$1001,MATCH(ROWS($O$2:O816),$O$2:$O$1001,0),0), INDEX($V$1004:$AE$1004,1,MATCH(COLUMNS($V$1006:AB1006),$V$1006:$AE$1006,0)))),"Fix")))</f>
        <v>0</v>
      </c>
      <c r="I816" s="3">
        <f>IF(OR(INDEX($P$2:$P$1001,MATCH(ROWS($O$2:O816),$O$2:$O$1001,0),1)&gt;=100000,INDEX($V$1005:$AE$1005,1,MATCH(COLUMNS($V$1006:AC1006),$V$1006:$AE$1006,0))&gt;=100000), " ",IF(INDEX($V$2:$AE$1001,MATCH(ROWS($O$2:O816),$O$2:$O$1001,0),MATCH(COLUMNS($V$1006:AC1006),$V$1006:$AE$1006,0)), HYPERLINK("#",""), HYPERLINK(CONCATENATE("#Metadata!", ADDRESS(INDEX($Q$2:$Q$1001,MATCH(ROWS($O$2:O816),$O$2:$O$1001,0),0), INDEX($V$1004:$AE$1004,1,MATCH(COLUMNS($V$1006:AC1006),$V$1006:$AE$1006,0)))),"Fix")))</f>
        <v>0</v>
      </c>
      <c r="J816" s="3">
        <f>IF(OR(INDEX($P$2:$P$1001,MATCH(ROWS($O$2:O816),$O$2:$O$1001,0),1)&gt;=100000,INDEX($V$1005:$AE$1005,1,MATCH(COLUMNS($V$1006:AD1006),$V$1006:$AE$1006,0))&gt;=100000), " ",IF(INDEX($V$2:$AE$1001,MATCH(ROWS($O$2:O816),$O$2:$O$1001,0),MATCH(COLUMNS($V$1006:AD1006),$V$1006:$AE$1006,0)), HYPERLINK("#",""), HYPERLINK(CONCATENATE("#Metadata!", ADDRESS(INDEX($Q$2:$Q$1001,MATCH(ROWS($O$2:O816),$O$2:$O$1001,0),0), INDEX($V$1004:$AE$1004,1,MATCH(COLUMNS($V$1006:AD1006),$V$1006:$AE$1006,0)))),"Fix")))</f>
        <v>0</v>
      </c>
      <c r="K816" s="3">
        <f>IF(OR(INDEX($P$2:$P$1001,MATCH(ROWS($O$2:O816),$O$2:$O$1001,0),1)&gt;=100000,INDEX($V$1005:$AE$1005,1,MATCH(COLUMNS($V$1006:AE1006),$V$1006:$AE$1006,0))&gt;=100000), " ",IF(INDEX($V$2:$AE$1001,MATCH(ROWS($O$2:O816),$O$2:$O$1001,0),MATCH(COLUMNS($V$1006:AE1006),$V$1006:$AE$1006,0)), HYPERLINK("#",""), HYPERLINK(CONCATENATE("#Metadata!", ADDRESS(INDEX($Q$2:$Q$1001,MATCH(ROWS($O$2:O816),$O$2:$O$1001,0),0), INDEX($V$1004:$AE$1004,1,MATCH(COLUMNS($V$1006:AE1006),$V$1006:$AE$1006,0)))),"Fix")))</f>
        <v>0</v>
      </c>
      <c r="O816">
        <v>0</v>
      </c>
      <c r="P816">
        <v>0</v>
      </c>
      <c r="Q816">
        <v>0</v>
      </c>
      <c r="R816">
        <f>IF(S816,TRUE,AND(V816:AE816))</f>
        <v>0</v>
      </c>
      <c r="S816">
        <f>COUNTBLANK(Metadata!B816:K816)=COLUMNS(Metadata!B816:K816)</f>
        <v>0</v>
      </c>
      <c r="T816">
        <v>0</v>
      </c>
      <c r="V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W816">
        <f>AND(IF(Metadata!C816="",FALSE,TRUE),exact(Metadata!C816,"animal secretion"))</f>
        <v>0</v>
      </c>
      <c r="X816">
        <f>AND(IF(Metadata!D816="",FALSE,TRUE),exact(Metadata!D816,"saliva"))</f>
        <v>0</v>
      </c>
      <c r="Y816">
        <f>AND(IF(Metadata!E816="",FALSE,TRUE),exact(Metadata!E816,"human-oral"))</f>
        <v>0</v>
      </c>
      <c r="Z816">
        <f>AND(IF(Metadata!F816="",FALSE,TRUE),exact(Metadata!F816,"UBERON:oral cavity"))</f>
        <v>0</v>
      </c>
      <c r="AA816">
        <f>AND(IF(Metadata!G816="",FALSE,TRUE),exact(Metadata!G816,"UBERON:saliva"))</f>
        <v>0</v>
      </c>
      <c r="AB816">
        <f>AND(IF(Metadata!H816="",FALSE,TRUE),exact(Metadata!H816,"UBERON:tongue"))</f>
        <v>0</v>
      </c>
      <c r="AC816">
        <f>AND(IF(Metadata!I816="",FALSE,TRUE),exact(Metadata!I816,"tongue"))</f>
        <v>0</v>
      </c>
      <c r="AD816">
        <f>AND(IF(Metadata!J816="",FALSE,TRUE),exact(Metadata!J816,"human oral metagenome"))</f>
        <v>0</v>
      </c>
      <c r="AE816">
        <f>AND(IF(Metadata!K816="",FALSE,TRUE),exact(Metadata!K816,"447426"))</f>
        <v>0</v>
      </c>
    </row>
    <row r="817" spans="1:31">
      <c r="A817" s="4">
        <f>IF(B817=" "," ",HYPERLINK(CONCATENATE("#metadata!",ADDRESS(INDEX($Q$2:$Q$1001,MATCH(ROWS($O$2:O817),$O$2:$O$1001,0),0),1)),INDEX($T$2:$T$1001,MATCH(ROWS($O$2:O817),$O$2:$O$1001,0),0)))</f>
        <v>0</v>
      </c>
      <c r="B817" s="3">
        <f>IF(OR(INDEX($P$2:$P$1001,MATCH(ROWS($O$2:O817),$O$2:$O$1001,0),1)&gt;=100000,INDEX($V$1005:$AE$1005,1,MATCH(COLUMNS($V$1006:V1006),$V$1006:$AE$1006,0))&gt;=100000), " ",IF(INDEX($V$2:$AE$1001,MATCH(ROWS($O$2:O817),$O$2:$O$1001,0),MATCH(COLUMNS($V$1006:V1006),$V$1006:$AE$1006,0)), HYPERLINK("#",""), HYPERLINK(CONCATENATE("#Metadata!", ADDRESS(INDEX($Q$2:$Q$1001,MATCH(ROWS($O$2:O817),$O$2:$O$1001,0),0), INDEX($V$1004:$AE$1004,1,MATCH(COLUMNS($V$1006:V1006),$V$1006:$AE$1006,0)))),"Fix")))</f>
        <v>0</v>
      </c>
      <c r="C817" s="3">
        <f>IF(OR(INDEX($P$2:$P$1001,MATCH(ROWS($O$2:O817),$O$2:$O$1001,0),1)&gt;=100000,INDEX($V$1005:$AE$1005,1,MATCH(COLUMNS($V$1006:W1006),$V$1006:$AE$1006,0))&gt;=100000), " ",IF(INDEX($V$2:$AE$1001,MATCH(ROWS($O$2:O817),$O$2:$O$1001,0),MATCH(COLUMNS($V$1006:W1006),$V$1006:$AE$1006,0)), HYPERLINK("#",""), HYPERLINK(CONCATENATE("#Metadata!", ADDRESS(INDEX($Q$2:$Q$1001,MATCH(ROWS($O$2:O817),$O$2:$O$1001,0),0), INDEX($V$1004:$AE$1004,1,MATCH(COLUMNS($V$1006:W1006),$V$1006:$AE$1006,0)))),"Fix")))</f>
        <v>0</v>
      </c>
      <c r="D817" s="3">
        <f>IF(OR(INDEX($P$2:$P$1001,MATCH(ROWS($O$2:O817),$O$2:$O$1001,0),1)&gt;=100000,INDEX($V$1005:$AE$1005,1,MATCH(COLUMNS($V$1006:X1006),$V$1006:$AE$1006,0))&gt;=100000), " ",IF(INDEX($V$2:$AE$1001,MATCH(ROWS($O$2:O817),$O$2:$O$1001,0),MATCH(COLUMNS($V$1006:X1006),$V$1006:$AE$1006,0)), HYPERLINK("#",""), HYPERLINK(CONCATENATE("#Metadata!", ADDRESS(INDEX($Q$2:$Q$1001,MATCH(ROWS($O$2:O817),$O$2:$O$1001,0),0), INDEX($V$1004:$AE$1004,1,MATCH(COLUMNS($V$1006:X1006),$V$1006:$AE$1006,0)))),"Fix")))</f>
        <v>0</v>
      </c>
      <c r="E817" s="3">
        <f>IF(OR(INDEX($P$2:$P$1001,MATCH(ROWS($O$2:O817),$O$2:$O$1001,0),1)&gt;=100000,INDEX($V$1005:$AE$1005,1,MATCH(COLUMNS($V$1006:Y1006),$V$1006:$AE$1006,0))&gt;=100000), " ",IF(INDEX($V$2:$AE$1001,MATCH(ROWS($O$2:O817),$O$2:$O$1001,0),MATCH(COLUMNS($V$1006:Y1006),$V$1006:$AE$1006,0)), HYPERLINK("#",""), HYPERLINK(CONCATENATE("#Metadata!", ADDRESS(INDEX($Q$2:$Q$1001,MATCH(ROWS($O$2:O817),$O$2:$O$1001,0),0), INDEX($V$1004:$AE$1004,1,MATCH(COLUMNS($V$1006:Y1006),$V$1006:$AE$1006,0)))),"Fix")))</f>
        <v>0</v>
      </c>
      <c r="F817" s="3">
        <f>IF(OR(INDEX($P$2:$P$1001,MATCH(ROWS($O$2:O817),$O$2:$O$1001,0),1)&gt;=100000,INDEX($V$1005:$AE$1005,1,MATCH(COLUMNS($V$1006:Z1006),$V$1006:$AE$1006,0))&gt;=100000), " ",IF(INDEX($V$2:$AE$1001,MATCH(ROWS($O$2:O817),$O$2:$O$1001,0),MATCH(COLUMNS($V$1006:Z1006),$V$1006:$AE$1006,0)), HYPERLINK("#",""), HYPERLINK(CONCATENATE("#Metadata!", ADDRESS(INDEX($Q$2:$Q$1001,MATCH(ROWS($O$2:O817),$O$2:$O$1001,0),0), INDEX($V$1004:$AE$1004,1,MATCH(COLUMNS($V$1006:Z1006),$V$1006:$AE$1006,0)))),"Fix")))</f>
        <v>0</v>
      </c>
      <c r="G817" s="3">
        <f>IF(OR(INDEX($P$2:$P$1001,MATCH(ROWS($O$2:O817),$O$2:$O$1001,0),1)&gt;=100000,INDEX($V$1005:$AE$1005,1,MATCH(COLUMNS($V$1006:AA1006),$V$1006:$AE$1006,0))&gt;=100000), " ",IF(INDEX($V$2:$AE$1001,MATCH(ROWS($O$2:O817),$O$2:$O$1001,0),MATCH(COLUMNS($V$1006:AA1006),$V$1006:$AE$1006,0)), HYPERLINK("#",""), HYPERLINK(CONCATENATE("#Metadata!", ADDRESS(INDEX($Q$2:$Q$1001,MATCH(ROWS($O$2:O817),$O$2:$O$1001,0),0), INDEX($V$1004:$AE$1004,1,MATCH(COLUMNS($V$1006:AA1006),$V$1006:$AE$1006,0)))),"Fix")))</f>
        <v>0</v>
      </c>
      <c r="H817" s="3">
        <f>IF(OR(INDEX($P$2:$P$1001,MATCH(ROWS($O$2:O817),$O$2:$O$1001,0),1)&gt;=100000,INDEX($V$1005:$AE$1005,1,MATCH(COLUMNS($V$1006:AB1006),$V$1006:$AE$1006,0))&gt;=100000), " ",IF(INDEX($V$2:$AE$1001,MATCH(ROWS($O$2:O817),$O$2:$O$1001,0),MATCH(COLUMNS($V$1006:AB1006),$V$1006:$AE$1006,0)), HYPERLINK("#",""), HYPERLINK(CONCATENATE("#Metadata!", ADDRESS(INDEX($Q$2:$Q$1001,MATCH(ROWS($O$2:O817),$O$2:$O$1001,0),0), INDEX($V$1004:$AE$1004,1,MATCH(COLUMNS($V$1006:AB1006),$V$1006:$AE$1006,0)))),"Fix")))</f>
        <v>0</v>
      </c>
      <c r="I817" s="3">
        <f>IF(OR(INDEX($P$2:$P$1001,MATCH(ROWS($O$2:O817),$O$2:$O$1001,0),1)&gt;=100000,INDEX($V$1005:$AE$1005,1,MATCH(COLUMNS($V$1006:AC1006),$V$1006:$AE$1006,0))&gt;=100000), " ",IF(INDEX($V$2:$AE$1001,MATCH(ROWS($O$2:O817),$O$2:$O$1001,0),MATCH(COLUMNS($V$1006:AC1006),$V$1006:$AE$1006,0)), HYPERLINK("#",""), HYPERLINK(CONCATENATE("#Metadata!", ADDRESS(INDEX($Q$2:$Q$1001,MATCH(ROWS($O$2:O817),$O$2:$O$1001,0),0), INDEX($V$1004:$AE$1004,1,MATCH(COLUMNS($V$1006:AC1006),$V$1006:$AE$1006,0)))),"Fix")))</f>
        <v>0</v>
      </c>
      <c r="J817" s="3">
        <f>IF(OR(INDEX($P$2:$P$1001,MATCH(ROWS($O$2:O817),$O$2:$O$1001,0),1)&gt;=100000,INDEX($V$1005:$AE$1005,1,MATCH(COLUMNS($V$1006:AD1006),$V$1006:$AE$1006,0))&gt;=100000), " ",IF(INDEX($V$2:$AE$1001,MATCH(ROWS($O$2:O817),$O$2:$O$1001,0),MATCH(COLUMNS($V$1006:AD1006),$V$1006:$AE$1006,0)), HYPERLINK("#",""), HYPERLINK(CONCATENATE("#Metadata!", ADDRESS(INDEX($Q$2:$Q$1001,MATCH(ROWS($O$2:O817),$O$2:$O$1001,0),0), INDEX($V$1004:$AE$1004,1,MATCH(COLUMNS($V$1006:AD1006),$V$1006:$AE$1006,0)))),"Fix")))</f>
        <v>0</v>
      </c>
      <c r="K817" s="3">
        <f>IF(OR(INDEX($P$2:$P$1001,MATCH(ROWS($O$2:O817),$O$2:$O$1001,0),1)&gt;=100000,INDEX($V$1005:$AE$1005,1,MATCH(COLUMNS($V$1006:AE1006),$V$1006:$AE$1006,0))&gt;=100000), " ",IF(INDEX($V$2:$AE$1001,MATCH(ROWS($O$2:O817),$O$2:$O$1001,0),MATCH(COLUMNS($V$1006:AE1006),$V$1006:$AE$1006,0)), HYPERLINK("#",""), HYPERLINK(CONCATENATE("#Metadata!", ADDRESS(INDEX($Q$2:$Q$1001,MATCH(ROWS($O$2:O817),$O$2:$O$1001,0),0), INDEX($V$1004:$AE$1004,1,MATCH(COLUMNS($V$1006:AE1006),$V$1006:$AE$1006,0)))),"Fix")))</f>
        <v>0</v>
      </c>
      <c r="O817">
        <v>0</v>
      </c>
      <c r="P817">
        <v>0</v>
      </c>
      <c r="Q817">
        <v>0</v>
      </c>
      <c r="R817">
        <f>IF(S817,TRUE,AND(V817:AE817))</f>
        <v>0</v>
      </c>
      <c r="S817">
        <f>COUNTBLANK(Metadata!B817:K817)=COLUMNS(Metadata!B817:K817)</f>
        <v>0</v>
      </c>
      <c r="T817">
        <v>0</v>
      </c>
      <c r="V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W817">
        <f>AND(IF(Metadata!C817="",FALSE,TRUE),exact(Metadata!C817,"animal secretion"))</f>
        <v>0</v>
      </c>
      <c r="X817">
        <f>AND(IF(Metadata!D817="",FALSE,TRUE),exact(Metadata!D817,"saliva"))</f>
        <v>0</v>
      </c>
      <c r="Y817">
        <f>AND(IF(Metadata!E817="",FALSE,TRUE),exact(Metadata!E817,"human-oral"))</f>
        <v>0</v>
      </c>
      <c r="Z817">
        <f>AND(IF(Metadata!F817="",FALSE,TRUE),exact(Metadata!F817,"UBERON:oral cavity"))</f>
        <v>0</v>
      </c>
      <c r="AA817">
        <f>AND(IF(Metadata!G817="",FALSE,TRUE),exact(Metadata!G817,"UBERON:saliva"))</f>
        <v>0</v>
      </c>
      <c r="AB817">
        <f>AND(IF(Metadata!H817="",FALSE,TRUE),exact(Metadata!H817,"UBERON:tongue"))</f>
        <v>0</v>
      </c>
      <c r="AC817">
        <f>AND(IF(Metadata!I817="",FALSE,TRUE),exact(Metadata!I817,"tongue"))</f>
        <v>0</v>
      </c>
      <c r="AD817">
        <f>AND(IF(Metadata!J817="",FALSE,TRUE),exact(Metadata!J817,"human oral metagenome"))</f>
        <v>0</v>
      </c>
      <c r="AE817">
        <f>AND(IF(Metadata!K817="",FALSE,TRUE),exact(Metadata!K817,"447426"))</f>
        <v>0</v>
      </c>
    </row>
    <row r="818" spans="1:31">
      <c r="A818" s="4">
        <f>IF(B818=" "," ",HYPERLINK(CONCATENATE("#metadata!",ADDRESS(INDEX($Q$2:$Q$1001,MATCH(ROWS($O$2:O818),$O$2:$O$1001,0),0),1)),INDEX($T$2:$T$1001,MATCH(ROWS($O$2:O818),$O$2:$O$1001,0),0)))</f>
        <v>0</v>
      </c>
      <c r="B818" s="3">
        <f>IF(OR(INDEX($P$2:$P$1001,MATCH(ROWS($O$2:O818),$O$2:$O$1001,0),1)&gt;=100000,INDEX($V$1005:$AE$1005,1,MATCH(COLUMNS($V$1006:V1006),$V$1006:$AE$1006,0))&gt;=100000), " ",IF(INDEX($V$2:$AE$1001,MATCH(ROWS($O$2:O818),$O$2:$O$1001,0),MATCH(COLUMNS($V$1006:V1006),$V$1006:$AE$1006,0)), HYPERLINK("#",""), HYPERLINK(CONCATENATE("#Metadata!", ADDRESS(INDEX($Q$2:$Q$1001,MATCH(ROWS($O$2:O818),$O$2:$O$1001,0),0), INDEX($V$1004:$AE$1004,1,MATCH(COLUMNS($V$1006:V1006),$V$1006:$AE$1006,0)))),"Fix")))</f>
        <v>0</v>
      </c>
      <c r="C818" s="3">
        <f>IF(OR(INDEX($P$2:$P$1001,MATCH(ROWS($O$2:O818),$O$2:$O$1001,0),1)&gt;=100000,INDEX($V$1005:$AE$1005,1,MATCH(COLUMNS($V$1006:W1006),$V$1006:$AE$1006,0))&gt;=100000), " ",IF(INDEX($V$2:$AE$1001,MATCH(ROWS($O$2:O818),$O$2:$O$1001,0),MATCH(COLUMNS($V$1006:W1006),$V$1006:$AE$1006,0)), HYPERLINK("#",""), HYPERLINK(CONCATENATE("#Metadata!", ADDRESS(INDEX($Q$2:$Q$1001,MATCH(ROWS($O$2:O818),$O$2:$O$1001,0),0), INDEX($V$1004:$AE$1004,1,MATCH(COLUMNS($V$1006:W1006),$V$1006:$AE$1006,0)))),"Fix")))</f>
        <v>0</v>
      </c>
      <c r="D818" s="3">
        <f>IF(OR(INDEX($P$2:$P$1001,MATCH(ROWS($O$2:O818),$O$2:$O$1001,0),1)&gt;=100000,INDEX($V$1005:$AE$1005,1,MATCH(COLUMNS($V$1006:X1006),$V$1006:$AE$1006,0))&gt;=100000), " ",IF(INDEX($V$2:$AE$1001,MATCH(ROWS($O$2:O818),$O$2:$O$1001,0),MATCH(COLUMNS($V$1006:X1006),$V$1006:$AE$1006,0)), HYPERLINK("#",""), HYPERLINK(CONCATENATE("#Metadata!", ADDRESS(INDEX($Q$2:$Q$1001,MATCH(ROWS($O$2:O818),$O$2:$O$1001,0),0), INDEX($V$1004:$AE$1004,1,MATCH(COLUMNS($V$1006:X1006),$V$1006:$AE$1006,0)))),"Fix")))</f>
        <v>0</v>
      </c>
      <c r="E818" s="3">
        <f>IF(OR(INDEX($P$2:$P$1001,MATCH(ROWS($O$2:O818),$O$2:$O$1001,0),1)&gt;=100000,INDEX($V$1005:$AE$1005,1,MATCH(COLUMNS($V$1006:Y1006),$V$1006:$AE$1006,0))&gt;=100000), " ",IF(INDEX($V$2:$AE$1001,MATCH(ROWS($O$2:O818),$O$2:$O$1001,0),MATCH(COLUMNS($V$1006:Y1006),$V$1006:$AE$1006,0)), HYPERLINK("#",""), HYPERLINK(CONCATENATE("#Metadata!", ADDRESS(INDEX($Q$2:$Q$1001,MATCH(ROWS($O$2:O818),$O$2:$O$1001,0),0), INDEX($V$1004:$AE$1004,1,MATCH(COLUMNS($V$1006:Y1006),$V$1006:$AE$1006,0)))),"Fix")))</f>
        <v>0</v>
      </c>
      <c r="F818" s="3">
        <f>IF(OR(INDEX($P$2:$P$1001,MATCH(ROWS($O$2:O818),$O$2:$O$1001,0),1)&gt;=100000,INDEX($V$1005:$AE$1005,1,MATCH(COLUMNS($V$1006:Z1006),$V$1006:$AE$1006,0))&gt;=100000), " ",IF(INDEX($V$2:$AE$1001,MATCH(ROWS($O$2:O818),$O$2:$O$1001,0),MATCH(COLUMNS($V$1006:Z1006),$V$1006:$AE$1006,0)), HYPERLINK("#",""), HYPERLINK(CONCATENATE("#Metadata!", ADDRESS(INDEX($Q$2:$Q$1001,MATCH(ROWS($O$2:O818),$O$2:$O$1001,0),0), INDEX($V$1004:$AE$1004,1,MATCH(COLUMNS($V$1006:Z1006),$V$1006:$AE$1006,0)))),"Fix")))</f>
        <v>0</v>
      </c>
      <c r="G818" s="3">
        <f>IF(OR(INDEX($P$2:$P$1001,MATCH(ROWS($O$2:O818),$O$2:$O$1001,0),1)&gt;=100000,INDEX($V$1005:$AE$1005,1,MATCH(COLUMNS($V$1006:AA1006),$V$1006:$AE$1006,0))&gt;=100000), " ",IF(INDEX($V$2:$AE$1001,MATCH(ROWS($O$2:O818),$O$2:$O$1001,0),MATCH(COLUMNS($V$1006:AA1006),$V$1006:$AE$1006,0)), HYPERLINK("#",""), HYPERLINK(CONCATENATE("#Metadata!", ADDRESS(INDEX($Q$2:$Q$1001,MATCH(ROWS($O$2:O818),$O$2:$O$1001,0),0), INDEX($V$1004:$AE$1004,1,MATCH(COLUMNS($V$1006:AA1006),$V$1006:$AE$1006,0)))),"Fix")))</f>
        <v>0</v>
      </c>
      <c r="H818" s="3">
        <f>IF(OR(INDEX($P$2:$P$1001,MATCH(ROWS($O$2:O818),$O$2:$O$1001,0),1)&gt;=100000,INDEX($V$1005:$AE$1005,1,MATCH(COLUMNS($V$1006:AB1006),$V$1006:$AE$1006,0))&gt;=100000), " ",IF(INDEX($V$2:$AE$1001,MATCH(ROWS($O$2:O818),$O$2:$O$1001,0),MATCH(COLUMNS($V$1006:AB1006),$V$1006:$AE$1006,0)), HYPERLINK("#",""), HYPERLINK(CONCATENATE("#Metadata!", ADDRESS(INDEX($Q$2:$Q$1001,MATCH(ROWS($O$2:O818),$O$2:$O$1001,0),0), INDEX($V$1004:$AE$1004,1,MATCH(COLUMNS($V$1006:AB1006),$V$1006:$AE$1006,0)))),"Fix")))</f>
        <v>0</v>
      </c>
      <c r="I818" s="3">
        <f>IF(OR(INDEX($P$2:$P$1001,MATCH(ROWS($O$2:O818),$O$2:$O$1001,0),1)&gt;=100000,INDEX($V$1005:$AE$1005,1,MATCH(COLUMNS($V$1006:AC1006),$V$1006:$AE$1006,0))&gt;=100000), " ",IF(INDEX($V$2:$AE$1001,MATCH(ROWS($O$2:O818),$O$2:$O$1001,0),MATCH(COLUMNS($V$1006:AC1006),$V$1006:$AE$1006,0)), HYPERLINK("#",""), HYPERLINK(CONCATENATE("#Metadata!", ADDRESS(INDEX($Q$2:$Q$1001,MATCH(ROWS($O$2:O818),$O$2:$O$1001,0),0), INDEX($V$1004:$AE$1004,1,MATCH(COLUMNS($V$1006:AC1006),$V$1006:$AE$1006,0)))),"Fix")))</f>
        <v>0</v>
      </c>
      <c r="J818" s="3">
        <f>IF(OR(INDEX($P$2:$P$1001,MATCH(ROWS($O$2:O818),$O$2:$O$1001,0),1)&gt;=100000,INDEX($V$1005:$AE$1005,1,MATCH(COLUMNS($V$1006:AD1006),$V$1006:$AE$1006,0))&gt;=100000), " ",IF(INDEX($V$2:$AE$1001,MATCH(ROWS($O$2:O818),$O$2:$O$1001,0),MATCH(COLUMNS($V$1006:AD1006),$V$1006:$AE$1006,0)), HYPERLINK("#",""), HYPERLINK(CONCATENATE("#Metadata!", ADDRESS(INDEX($Q$2:$Q$1001,MATCH(ROWS($O$2:O818),$O$2:$O$1001,0),0), INDEX($V$1004:$AE$1004,1,MATCH(COLUMNS($V$1006:AD1006),$V$1006:$AE$1006,0)))),"Fix")))</f>
        <v>0</v>
      </c>
      <c r="K818" s="3">
        <f>IF(OR(INDEX($P$2:$P$1001,MATCH(ROWS($O$2:O818),$O$2:$O$1001,0),1)&gt;=100000,INDEX($V$1005:$AE$1005,1,MATCH(COLUMNS($V$1006:AE1006),$V$1006:$AE$1006,0))&gt;=100000), " ",IF(INDEX($V$2:$AE$1001,MATCH(ROWS($O$2:O818),$O$2:$O$1001,0),MATCH(COLUMNS($V$1006:AE1006),$V$1006:$AE$1006,0)), HYPERLINK("#",""), HYPERLINK(CONCATENATE("#Metadata!", ADDRESS(INDEX($Q$2:$Q$1001,MATCH(ROWS($O$2:O818),$O$2:$O$1001,0),0), INDEX($V$1004:$AE$1004,1,MATCH(COLUMNS($V$1006:AE1006),$V$1006:$AE$1006,0)))),"Fix")))</f>
        <v>0</v>
      </c>
      <c r="O818">
        <v>0</v>
      </c>
      <c r="P818">
        <v>0</v>
      </c>
      <c r="Q818">
        <v>0</v>
      </c>
      <c r="R818">
        <f>IF(S818,TRUE,AND(V818:AE818))</f>
        <v>0</v>
      </c>
      <c r="S818">
        <f>COUNTBLANK(Metadata!B818:K818)=COLUMNS(Metadata!B818:K818)</f>
        <v>0</v>
      </c>
      <c r="T818">
        <v>0</v>
      </c>
      <c r="V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W818">
        <f>AND(IF(Metadata!C818="",FALSE,TRUE),exact(Metadata!C818,"animal secretion"))</f>
        <v>0</v>
      </c>
      <c r="X818">
        <f>AND(IF(Metadata!D818="",FALSE,TRUE),exact(Metadata!D818,"saliva"))</f>
        <v>0</v>
      </c>
      <c r="Y818">
        <f>AND(IF(Metadata!E818="",FALSE,TRUE),exact(Metadata!E818,"human-oral"))</f>
        <v>0</v>
      </c>
      <c r="Z818">
        <f>AND(IF(Metadata!F818="",FALSE,TRUE),exact(Metadata!F818,"UBERON:oral cavity"))</f>
        <v>0</v>
      </c>
      <c r="AA818">
        <f>AND(IF(Metadata!G818="",FALSE,TRUE),exact(Metadata!G818,"UBERON:saliva"))</f>
        <v>0</v>
      </c>
      <c r="AB818">
        <f>AND(IF(Metadata!H818="",FALSE,TRUE),exact(Metadata!H818,"UBERON:tongue"))</f>
        <v>0</v>
      </c>
      <c r="AC818">
        <f>AND(IF(Metadata!I818="",FALSE,TRUE),exact(Metadata!I818,"tongue"))</f>
        <v>0</v>
      </c>
      <c r="AD818">
        <f>AND(IF(Metadata!J818="",FALSE,TRUE),exact(Metadata!J818,"human oral metagenome"))</f>
        <v>0</v>
      </c>
      <c r="AE818">
        <f>AND(IF(Metadata!K818="",FALSE,TRUE),exact(Metadata!K818,"447426"))</f>
        <v>0</v>
      </c>
    </row>
    <row r="819" spans="1:31">
      <c r="A819" s="4">
        <f>IF(B819=" "," ",HYPERLINK(CONCATENATE("#metadata!",ADDRESS(INDEX($Q$2:$Q$1001,MATCH(ROWS($O$2:O819),$O$2:$O$1001,0),0),1)),INDEX($T$2:$T$1001,MATCH(ROWS($O$2:O819),$O$2:$O$1001,0),0)))</f>
        <v>0</v>
      </c>
      <c r="B819" s="3">
        <f>IF(OR(INDEX($P$2:$P$1001,MATCH(ROWS($O$2:O819),$O$2:$O$1001,0),1)&gt;=100000,INDEX($V$1005:$AE$1005,1,MATCH(COLUMNS($V$1006:V1006),$V$1006:$AE$1006,0))&gt;=100000), " ",IF(INDEX($V$2:$AE$1001,MATCH(ROWS($O$2:O819),$O$2:$O$1001,0),MATCH(COLUMNS($V$1006:V1006),$V$1006:$AE$1006,0)), HYPERLINK("#",""), HYPERLINK(CONCATENATE("#Metadata!", ADDRESS(INDEX($Q$2:$Q$1001,MATCH(ROWS($O$2:O819),$O$2:$O$1001,0),0), INDEX($V$1004:$AE$1004,1,MATCH(COLUMNS($V$1006:V1006),$V$1006:$AE$1006,0)))),"Fix")))</f>
        <v>0</v>
      </c>
      <c r="C819" s="3">
        <f>IF(OR(INDEX($P$2:$P$1001,MATCH(ROWS($O$2:O819),$O$2:$O$1001,0),1)&gt;=100000,INDEX($V$1005:$AE$1005,1,MATCH(COLUMNS($V$1006:W1006),$V$1006:$AE$1006,0))&gt;=100000), " ",IF(INDEX($V$2:$AE$1001,MATCH(ROWS($O$2:O819),$O$2:$O$1001,0),MATCH(COLUMNS($V$1006:W1006),$V$1006:$AE$1006,0)), HYPERLINK("#",""), HYPERLINK(CONCATENATE("#Metadata!", ADDRESS(INDEX($Q$2:$Q$1001,MATCH(ROWS($O$2:O819),$O$2:$O$1001,0),0), INDEX($V$1004:$AE$1004,1,MATCH(COLUMNS($V$1006:W1006),$V$1006:$AE$1006,0)))),"Fix")))</f>
        <v>0</v>
      </c>
      <c r="D819" s="3">
        <f>IF(OR(INDEX($P$2:$P$1001,MATCH(ROWS($O$2:O819),$O$2:$O$1001,0),1)&gt;=100000,INDEX($V$1005:$AE$1005,1,MATCH(COLUMNS($V$1006:X1006),$V$1006:$AE$1006,0))&gt;=100000), " ",IF(INDEX($V$2:$AE$1001,MATCH(ROWS($O$2:O819),$O$2:$O$1001,0),MATCH(COLUMNS($V$1006:X1006),$V$1006:$AE$1006,0)), HYPERLINK("#",""), HYPERLINK(CONCATENATE("#Metadata!", ADDRESS(INDEX($Q$2:$Q$1001,MATCH(ROWS($O$2:O819),$O$2:$O$1001,0),0), INDEX($V$1004:$AE$1004,1,MATCH(COLUMNS($V$1006:X1006),$V$1006:$AE$1006,0)))),"Fix")))</f>
        <v>0</v>
      </c>
      <c r="E819" s="3">
        <f>IF(OR(INDEX($P$2:$P$1001,MATCH(ROWS($O$2:O819),$O$2:$O$1001,0),1)&gt;=100000,INDEX($V$1005:$AE$1005,1,MATCH(COLUMNS($V$1006:Y1006),$V$1006:$AE$1006,0))&gt;=100000), " ",IF(INDEX($V$2:$AE$1001,MATCH(ROWS($O$2:O819),$O$2:$O$1001,0),MATCH(COLUMNS($V$1006:Y1006),$V$1006:$AE$1006,0)), HYPERLINK("#",""), HYPERLINK(CONCATENATE("#Metadata!", ADDRESS(INDEX($Q$2:$Q$1001,MATCH(ROWS($O$2:O819),$O$2:$O$1001,0),0), INDEX($V$1004:$AE$1004,1,MATCH(COLUMNS($V$1006:Y1006),$V$1006:$AE$1006,0)))),"Fix")))</f>
        <v>0</v>
      </c>
      <c r="F819" s="3">
        <f>IF(OR(INDEX($P$2:$P$1001,MATCH(ROWS($O$2:O819),$O$2:$O$1001,0),1)&gt;=100000,INDEX($V$1005:$AE$1005,1,MATCH(COLUMNS($V$1006:Z1006),$V$1006:$AE$1006,0))&gt;=100000), " ",IF(INDEX($V$2:$AE$1001,MATCH(ROWS($O$2:O819),$O$2:$O$1001,0),MATCH(COLUMNS($V$1006:Z1006),$V$1006:$AE$1006,0)), HYPERLINK("#",""), HYPERLINK(CONCATENATE("#Metadata!", ADDRESS(INDEX($Q$2:$Q$1001,MATCH(ROWS($O$2:O819),$O$2:$O$1001,0),0), INDEX($V$1004:$AE$1004,1,MATCH(COLUMNS($V$1006:Z1006),$V$1006:$AE$1006,0)))),"Fix")))</f>
        <v>0</v>
      </c>
      <c r="G819" s="3">
        <f>IF(OR(INDEX($P$2:$P$1001,MATCH(ROWS($O$2:O819),$O$2:$O$1001,0),1)&gt;=100000,INDEX($V$1005:$AE$1005,1,MATCH(COLUMNS($V$1006:AA1006),$V$1006:$AE$1006,0))&gt;=100000), " ",IF(INDEX($V$2:$AE$1001,MATCH(ROWS($O$2:O819),$O$2:$O$1001,0),MATCH(COLUMNS($V$1006:AA1006),$V$1006:$AE$1006,0)), HYPERLINK("#",""), HYPERLINK(CONCATENATE("#Metadata!", ADDRESS(INDEX($Q$2:$Q$1001,MATCH(ROWS($O$2:O819),$O$2:$O$1001,0),0), INDEX($V$1004:$AE$1004,1,MATCH(COLUMNS($V$1006:AA1006),$V$1006:$AE$1006,0)))),"Fix")))</f>
        <v>0</v>
      </c>
      <c r="H819" s="3">
        <f>IF(OR(INDEX($P$2:$P$1001,MATCH(ROWS($O$2:O819),$O$2:$O$1001,0),1)&gt;=100000,INDEX($V$1005:$AE$1005,1,MATCH(COLUMNS($V$1006:AB1006),$V$1006:$AE$1006,0))&gt;=100000), " ",IF(INDEX($V$2:$AE$1001,MATCH(ROWS($O$2:O819),$O$2:$O$1001,0),MATCH(COLUMNS($V$1006:AB1006),$V$1006:$AE$1006,0)), HYPERLINK("#",""), HYPERLINK(CONCATENATE("#Metadata!", ADDRESS(INDEX($Q$2:$Q$1001,MATCH(ROWS($O$2:O819),$O$2:$O$1001,0),0), INDEX($V$1004:$AE$1004,1,MATCH(COLUMNS($V$1006:AB1006),$V$1006:$AE$1006,0)))),"Fix")))</f>
        <v>0</v>
      </c>
      <c r="I819" s="3">
        <f>IF(OR(INDEX($P$2:$P$1001,MATCH(ROWS($O$2:O819),$O$2:$O$1001,0),1)&gt;=100000,INDEX($V$1005:$AE$1005,1,MATCH(COLUMNS($V$1006:AC1006),$V$1006:$AE$1006,0))&gt;=100000), " ",IF(INDEX($V$2:$AE$1001,MATCH(ROWS($O$2:O819),$O$2:$O$1001,0),MATCH(COLUMNS($V$1006:AC1006),$V$1006:$AE$1006,0)), HYPERLINK("#",""), HYPERLINK(CONCATENATE("#Metadata!", ADDRESS(INDEX($Q$2:$Q$1001,MATCH(ROWS($O$2:O819),$O$2:$O$1001,0),0), INDEX($V$1004:$AE$1004,1,MATCH(COLUMNS($V$1006:AC1006),$V$1006:$AE$1006,0)))),"Fix")))</f>
        <v>0</v>
      </c>
      <c r="J819" s="3">
        <f>IF(OR(INDEX($P$2:$P$1001,MATCH(ROWS($O$2:O819),$O$2:$O$1001,0),1)&gt;=100000,INDEX($V$1005:$AE$1005,1,MATCH(COLUMNS($V$1006:AD1006),$V$1006:$AE$1006,0))&gt;=100000), " ",IF(INDEX($V$2:$AE$1001,MATCH(ROWS($O$2:O819),$O$2:$O$1001,0),MATCH(COLUMNS($V$1006:AD1006),$V$1006:$AE$1006,0)), HYPERLINK("#",""), HYPERLINK(CONCATENATE("#Metadata!", ADDRESS(INDEX($Q$2:$Q$1001,MATCH(ROWS($O$2:O819),$O$2:$O$1001,0),0), INDEX($V$1004:$AE$1004,1,MATCH(COLUMNS($V$1006:AD1006),$V$1006:$AE$1006,0)))),"Fix")))</f>
        <v>0</v>
      </c>
      <c r="K819" s="3">
        <f>IF(OR(INDEX($P$2:$P$1001,MATCH(ROWS($O$2:O819),$O$2:$O$1001,0),1)&gt;=100000,INDEX($V$1005:$AE$1005,1,MATCH(COLUMNS($V$1006:AE1006),$V$1006:$AE$1006,0))&gt;=100000), " ",IF(INDEX($V$2:$AE$1001,MATCH(ROWS($O$2:O819),$O$2:$O$1001,0),MATCH(COLUMNS($V$1006:AE1006),$V$1006:$AE$1006,0)), HYPERLINK("#",""), HYPERLINK(CONCATENATE("#Metadata!", ADDRESS(INDEX($Q$2:$Q$1001,MATCH(ROWS($O$2:O819),$O$2:$O$1001,0),0), INDEX($V$1004:$AE$1004,1,MATCH(COLUMNS($V$1006:AE1006),$V$1006:$AE$1006,0)))),"Fix")))</f>
        <v>0</v>
      </c>
      <c r="O819">
        <v>0</v>
      </c>
      <c r="P819">
        <v>0</v>
      </c>
      <c r="Q819">
        <v>0</v>
      </c>
      <c r="R819">
        <f>IF(S819,TRUE,AND(V819:AE819))</f>
        <v>0</v>
      </c>
      <c r="S819">
        <f>COUNTBLANK(Metadata!B819:K819)=COLUMNS(Metadata!B819:K819)</f>
        <v>0</v>
      </c>
      <c r="T819">
        <v>0</v>
      </c>
      <c r="V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W819">
        <f>AND(IF(Metadata!C819="",FALSE,TRUE),exact(Metadata!C819,"animal secretion"))</f>
        <v>0</v>
      </c>
      <c r="X819">
        <f>AND(IF(Metadata!D819="",FALSE,TRUE),exact(Metadata!D819,"saliva"))</f>
        <v>0</v>
      </c>
      <c r="Y819">
        <f>AND(IF(Metadata!E819="",FALSE,TRUE),exact(Metadata!E819,"human-oral"))</f>
        <v>0</v>
      </c>
      <c r="Z819">
        <f>AND(IF(Metadata!F819="",FALSE,TRUE),exact(Metadata!F819,"UBERON:oral cavity"))</f>
        <v>0</v>
      </c>
      <c r="AA819">
        <f>AND(IF(Metadata!G819="",FALSE,TRUE),exact(Metadata!G819,"UBERON:saliva"))</f>
        <v>0</v>
      </c>
      <c r="AB819">
        <f>AND(IF(Metadata!H819="",FALSE,TRUE),exact(Metadata!H819,"UBERON:tongue"))</f>
        <v>0</v>
      </c>
      <c r="AC819">
        <f>AND(IF(Metadata!I819="",FALSE,TRUE),exact(Metadata!I819,"tongue"))</f>
        <v>0</v>
      </c>
      <c r="AD819">
        <f>AND(IF(Metadata!J819="",FALSE,TRUE),exact(Metadata!J819,"human oral metagenome"))</f>
        <v>0</v>
      </c>
      <c r="AE819">
        <f>AND(IF(Metadata!K819="",FALSE,TRUE),exact(Metadata!K819,"447426"))</f>
        <v>0</v>
      </c>
    </row>
    <row r="820" spans="1:31">
      <c r="A820" s="4">
        <f>IF(B820=" "," ",HYPERLINK(CONCATENATE("#metadata!",ADDRESS(INDEX($Q$2:$Q$1001,MATCH(ROWS($O$2:O820),$O$2:$O$1001,0),0),1)),INDEX($T$2:$T$1001,MATCH(ROWS($O$2:O820),$O$2:$O$1001,0),0)))</f>
        <v>0</v>
      </c>
      <c r="B820" s="3">
        <f>IF(OR(INDEX($P$2:$P$1001,MATCH(ROWS($O$2:O820),$O$2:$O$1001,0),1)&gt;=100000,INDEX($V$1005:$AE$1005,1,MATCH(COLUMNS($V$1006:V1006),$V$1006:$AE$1006,0))&gt;=100000), " ",IF(INDEX($V$2:$AE$1001,MATCH(ROWS($O$2:O820),$O$2:$O$1001,0),MATCH(COLUMNS($V$1006:V1006),$V$1006:$AE$1006,0)), HYPERLINK("#",""), HYPERLINK(CONCATENATE("#Metadata!", ADDRESS(INDEX($Q$2:$Q$1001,MATCH(ROWS($O$2:O820),$O$2:$O$1001,0),0), INDEX($V$1004:$AE$1004,1,MATCH(COLUMNS($V$1006:V1006),$V$1006:$AE$1006,0)))),"Fix")))</f>
        <v>0</v>
      </c>
      <c r="C820" s="3">
        <f>IF(OR(INDEX($P$2:$P$1001,MATCH(ROWS($O$2:O820),$O$2:$O$1001,0),1)&gt;=100000,INDEX($V$1005:$AE$1005,1,MATCH(COLUMNS($V$1006:W1006),$V$1006:$AE$1006,0))&gt;=100000), " ",IF(INDEX($V$2:$AE$1001,MATCH(ROWS($O$2:O820),$O$2:$O$1001,0),MATCH(COLUMNS($V$1006:W1006),$V$1006:$AE$1006,0)), HYPERLINK("#",""), HYPERLINK(CONCATENATE("#Metadata!", ADDRESS(INDEX($Q$2:$Q$1001,MATCH(ROWS($O$2:O820),$O$2:$O$1001,0),0), INDEX($V$1004:$AE$1004,1,MATCH(COLUMNS($V$1006:W1006),$V$1006:$AE$1006,0)))),"Fix")))</f>
        <v>0</v>
      </c>
      <c r="D820" s="3">
        <f>IF(OR(INDEX($P$2:$P$1001,MATCH(ROWS($O$2:O820),$O$2:$O$1001,0),1)&gt;=100000,INDEX($V$1005:$AE$1005,1,MATCH(COLUMNS($V$1006:X1006),$V$1006:$AE$1006,0))&gt;=100000), " ",IF(INDEX($V$2:$AE$1001,MATCH(ROWS($O$2:O820),$O$2:$O$1001,0),MATCH(COLUMNS($V$1006:X1006),$V$1006:$AE$1006,0)), HYPERLINK("#",""), HYPERLINK(CONCATENATE("#Metadata!", ADDRESS(INDEX($Q$2:$Q$1001,MATCH(ROWS($O$2:O820),$O$2:$O$1001,0),0), INDEX($V$1004:$AE$1004,1,MATCH(COLUMNS($V$1006:X1006),$V$1006:$AE$1006,0)))),"Fix")))</f>
        <v>0</v>
      </c>
      <c r="E820" s="3">
        <f>IF(OR(INDEX($P$2:$P$1001,MATCH(ROWS($O$2:O820),$O$2:$O$1001,0),1)&gt;=100000,INDEX($V$1005:$AE$1005,1,MATCH(COLUMNS($V$1006:Y1006),$V$1006:$AE$1006,0))&gt;=100000), " ",IF(INDEX($V$2:$AE$1001,MATCH(ROWS($O$2:O820),$O$2:$O$1001,0),MATCH(COLUMNS($V$1006:Y1006),$V$1006:$AE$1006,0)), HYPERLINK("#",""), HYPERLINK(CONCATENATE("#Metadata!", ADDRESS(INDEX($Q$2:$Q$1001,MATCH(ROWS($O$2:O820),$O$2:$O$1001,0),0), INDEX($V$1004:$AE$1004,1,MATCH(COLUMNS($V$1006:Y1006),$V$1006:$AE$1006,0)))),"Fix")))</f>
        <v>0</v>
      </c>
      <c r="F820" s="3">
        <f>IF(OR(INDEX($P$2:$P$1001,MATCH(ROWS($O$2:O820),$O$2:$O$1001,0),1)&gt;=100000,INDEX($V$1005:$AE$1005,1,MATCH(COLUMNS($V$1006:Z1006),$V$1006:$AE$1006,0))&gt;=100000), " ",IF(INDEX($V$2:$AE$1001,MATCH(ROWS($O$2:O820),$O$2:$O$1001,0),MATCH(COLUMNS($V$1006:Z1006),$V$1006:$AE$1006,0)), HYPERLINK("#",""), HYPERLINK(CONCATENATE("#Metadata!", ADDRESS(INDEX($Q$2:$Q$1001,MATCH(ROWS($O$2:O820),$O$2:$O$1001,0),0), INDEX($V$1004:$AE$1004,1,MATCH(COLUMNS($V$1006:Z1006),$V$1006:$AE$1006,0)))),"Fix")))</f>
        <v>0</v>
      </c>
      <c r="G820" s="3">
        <f>IF(OR(INDEX($P$2:$P$1001,MATCH(ROWS($O$2:O820),$O$2:$O$1001,0),1)&gt;=100000,INDEX($V$1005:$AE$1005,1,MATCH(COLUMNS($V$1006:AA1006),$V$1006:$AE$1006,0))&gt;=100000), " ",IF(INDEX($V$2:$AE$1001,MATCH(ROWS($O$2:O820),$O$2:$O$1001,0),MATCH(COLUMNS($V$1006:AA1006),$V$1006:$AE$1006,0)), HYPERLINK("#",""), HYPERLINK(CONCATENATE("#Metadata!", ADDRESS(INDEX($Q$2:$Q$1001,MATCH(ROWS($O$2:O820),$O$2:$O$1001,0),0), INDEX($V$1004:$AE$1004,1,MATCH(COLUMNS($V$1006:AA1006),$V$1006:$AE$1006,0)))),"Fix")))</f>
        <v>0</v>
      </c>
      <c r="H820" s="3">
        <f>IF(OR(INDEX($P$2:$P$1001,MATCH(ROWS($O$2:O820),$O$2:$O$1001,0),1)&gt;=100000,INDEX($V$1005:$AE$1005,1,MATCH(COLUMNS($V$1006:AB1006),$V$1006:$AE$1006,0))&gt;=100000), " ",IF(INDEX($V$2:$AE$1001,MATCH(ROWS($O$2:O820),$O$2:$O$1001,0),MATCH(COLUMNS($V$1006:AB1006),$V$1006:$AE$1006,0)), HYPERLINK("#",""), HYPERLINK(CONCATENATE("#Metadata!", ADDRESS(INDEX($Q$2:$Q$1001,MATCH(ROWS($O$2:O820),$O$2:$O$1001,0),0), INDEX($V$1004:$AE$1004,1,MATCH(COLUMNS($V$1006:AB1006),$V$1006:$AE$1006,0)))),"Fix")))</f>
        <v>0</v>
      </c>
      <c r="I820" s="3">
        <f>IF(OR(INDEX($P$2:$P$1001,MATCH(ROWS($O$2:O820),$O$2:$O$1001,0),1)&gt;=100000,INDEX($V$1005:$AE$1005,1,MATCH(COLUMNS($V$1006:AC1006),$V$1006:$AE$1006,0))&gt;=100000), " ",IF(INDEX($V$2:$AE$1001,MATCH(ROWS($O$2:O820),$O$2:$O$1001,0),MATCH(COLUMNS($V$1006:AC1006),$V$1006:$AE$1006,0)), HYPERLINK("#",""), HYPERLINK(CONCATENATE("#Metadata!", ADDRESS(INDEX($Q$2:$Q$1001,MATCH(ROWS($O$2:O820),$O$2:$O$1001,0),0), INDEX($V$1004:$AE$1004,1,MATCH(COLUMNS($V$1006:AC1006),$V$1006:$AE$1006,0)))),"Fix")))</f>
        <v>0</v>
      </c>
      <c r="J820" s="3">
        <f>IF(OR(INDEX($P$2:$P$1001,MATCH(ROWS($O$2:O820),$O$2:$O$1001,0),1)&gt;=100000,INDEX($V$1005:$AE$1005,1,MATCH(COLUMNS($V$1006:AD1006),$V$1006:$AE$1006,0))&gt;=100000), " ",IF(INDEX($V$2:$AE$1001,MATCH(ROWS($O$2:O820),$O$2:$O$1001,0),MATCH(COLUMNS($V$1006:AD1006),$V$1006:$AE$1006,0)), HYPERLINK("#",""), HYPERLINK(CONCATENATE("#Metadata!", ADDRESS(INDEX($Q$2:$Q$1001,MATCH(ROWS($O$2:O820),$O$2:$O$1001,0),0), INDEX($V$1004:$AE$1004,1,MATCH(COLUMNS($V$1006:AD1006),$V$1006:$AE$1006,0)))),"Fix")))</f>
        <v>0</v>
      </c>
      <c r="K820" s="3">
        <f>IF(OR(INDEX($P$2:$P$1001,MATCH(ROWS($O$2:O820),$O$2:$O$1001,0),1)&gt;=100000,INDEX($V$1005:$AE$1005,1,MATCH(COLUMNS($V$1006:AE1006),$V$1006:$AE$1006,0))&gt;=100000), " ",IF(INDEX($V$2:$AE$1001,MATCH(ROWS($O$2:O820),$O$2:$O$1001,0),MATCH(COLUMNS($V$1006:AE1006),$V$1006:$AE$1006,0)), HYPERLINK("#",""), HYPERLINK(CONCATENATE("#Metadata!", ADDRESS(INDEX($Q$2:$Q$1001,MATCH(ROWS($O$2:O820),$O$2:$O$1001,0),0), INDEX($V$1004:$AE$1004,1,MATCH(COLUMNS($V$1006:AE1006),$V$1006:$AE$1006,0)))),"Fix")))</f>
        <v>0</v>
      </c>
      <c r="O820">
        <v>0</v>
      </c>
      <c r="P820">
        <v>0</v>
      </c>
      <c r="Q820">
        <v>0</v>
      </c>
      <c r="R820">
        <f>IF(S820,TRUE,AND(V820:AE820))</f>
        <v>0</v>
      </c>
      <c r="S820">
        <f>COUNTBLANK(Metadata!B820:K820)=COLUMNS(Metadata!B820:K820)</f>
        <v>0</v>
      </c>
      <c r="T820">
        <v>0</v>
      </c>
      <c r="V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W820">
        <f>AND(IF(Metadata!C820="",FALSE,TRUE),exact(Metadata!C820,"animal secretion"))</f>
        <v>0</v>
      </c>
      <c r="X820">
        <f>AND(IF(Metadata!D820="",FALSE,TRUE),exact(Metadata!D820,"saliva"))</f>
        <v>0</v>
      </c>
      <c r="Y820">
        <f>AND(IF(Metadata!E820="",FALSE,TRUE),exact(Metadata!E820,"human-oral"))</f>
        <v>0</v>
      </c>
      <c r="Z820">
        <f>AND(IF(Metadata!F820="",FALSE,TRUE),exact(Metadata!F820,"UBERON:oral cavity"))</f>
        <v>0</v>
      </c>
      <c r="AA820">
        <f>AND(IF(Metadata!G820="",FALSE,TRUE),exact(Metadata!G820,"UBERON:saliva"))</f>
        <v>0</v>
      </c>
      <c r="AB820">
        <f>AND(IF(Metadata!H820="",FALSE,TRUE),exact(Metadata!H820,"UBERON:tongue"))</f>
        <v>0</v>
      </c>
      <c r="AC820">
        <f>AND(IF(Metadata!I820="",FALSE,TRUE),exact(Metadata!I820,"tongue"))</f>
        <v>0</v>
      </c>
      <c r="AD820">
        <f>AND(IF(Metadata!J820="",FALSE,TRUE),exact(Metadata!J820,"human oral metagenome"))</f>
        <v>0</v>
      </c>
      <c r="AE820">
        <f>AND(IF(Metadata!K820="",FALSE,TRUE),exact(Metadata!K820,"447426"))</f>
        <v>0</v>
      </c>
    </row>
    <row r="821" spans="1:31">
      <c r="A821" s="4">
        <f>IF(B821=" "," ",HYPERLINK(CONCATENATE("#metadata!",ADDRESS(INDEX($Q$2:$Q$1001,MATCH(ROWS($O$2:O821),$O$2:$O$1001,0),0),1)),INDEX($T$2:$T$1001,MATCH(ROWS($O$2:O821),$O$2:$O$1001,0),0)))</f>
        <v>0</v>
      </c>
      <c r="B821" s="3">
        <f>IF(OR(INDEX($P$2:$P$1001,MATCH(ROWS($O$2:O821),$O$2:$O$1001,0),1)&gt;=100000,INDEX($V$1005:$AE$1005,1,MATCH(COLUMNS($V$1006:V1006),$V$1006:$AE$1006,0))&gt;=100000), " ",IF(INDEX($V$2:$AE$1001,MATCH(ROWS($O$2:O821),$O$2:$O$1001,0),MATCH(COLUMNS($V$1006:V1006),$V$1006:$AE$1006,0)), HYPERLINK("#",""), HYPERLINK(CONCATENATE("#Metadata!", ADDRESS(INDEX($Q$2:$Q$1001,MATCH(ROWS($O$2:O821),$O$2:$O$1001,0),0), INDEX($V$1004:$AE$1004,1,MATCH(COLUMNS($V$1006:V1006),$V$1006:$AE$1006,0)))),"Fix")))</f>
        <v>0</v>
      </c>
      <c r="C821" s="3">
        <f>IF(OR(INDEX($P$2:$P$1001,MATCH(ROWS($O$2:O821),$O$2:$O$1001,0),1)&gt;=100000,INDEX($V$1005:$AE$1005,1,MATCH(COLUMNS($V$1006:W1006),$V$1006:$AE$1006,0))&gt;=100000), " ",IF(INDEX($V$2:$AE$1001,MATCH(ROWS($O$2:O821),$O$2:$O$1001,0),MATCH(COLUMNS($V$1006:W1006),$V$1006:$AE$1006,0)), HYPERLINK("#",""), HYPERLINK(CONCATENATE("#Metadata!", ADDRESS(INDEX($Q$2:$Q$1001,MATCH(ROWS($O$2:O821),$O$2:$O$1001,0),0), INDEX($V$1004:$AE$1004,1,MATCH(COLUMNS($V$1006:W1006),$V$1006:$AE$1006,0)))),"Fix")))</f>
        <v>0</v>
      </c>
      <c r="D821" s="3">
        <f>IF(OR(INDEX($P$2:$P$1001,MATCH(ROWS($O$2:O821),$O$2:$O$1001,0),1)&gt;=100000,INDEX($V$1005:$AE$1005,1,MATCH(COLUMNS($V$1006:X1006),$V$1006:$AE$1006,0))&gt;=100000), " ",IF(INDEX($V$2:$AE$1001,MATCH(ROWS($O$2:O821),$O$2:$O$1001,0),MATCH(COLUMNS($V$1006:X1006),$V$1006:$AE$1006,0)), HYPERLINK("#",""), HYPERLINK(CONCATENATE("#Metadata!", ADDRESS(INDEX($Q$2:$Q$1001,MATCH(ROWS($O$2:O821),$O$2:$O$1001,0),0), INDEX($V$1004:$AE$1004,1,MATCH(COLUMNS($V$1006:X1006),$V$1006:$AE$1006,0)))),"Fix")))</f>
        <v>0</v>
      </c>
      <c r="E821" s="3">
        <f>IF(OR(INDEX($P$2:$P$1001,MATCH(ROWS($O$2:O821),$O$2:$O$1001,0),1)&gt;=100000,INDEX($V$1005:$AE$1005,1,MATCH(COLUMNS($V$1006:Y1006),$V$1006:$AE$1006,0))&gt;=100000), " ",IF(INDEX($V$2:$AE$1001,MATCH(ROWS($O$2:O821),$O$2:$O$1001,0),MATCH(COLUMNS($V$1006:Y1006),$V$1006:$AE$1006,0)), HYPERLINK("#",""), HYPERLINK(CONCATENATE("#Metadata!", ADDRESS(INDEX($Q$2:$Q$1001,MATCH(ROWS($O$2:O821),$O$2:$O$1001,0),0), INDEX($V$1004:$AE$1004,1,MATCH(COLUMNS($V$1006:Y1006),$V$1006:$AE$1006,0)))),"Fix")))</f>
        <v>0</v>
      </c>
      <c r="F821" s="3">
        <f>IF(OR(INDEX($P$2:$P$1001,MATCH(ROWS($O$2:O821),$O$2:$O$1001,0),1)&gt;=100000,INDEX($V$1005:$AE$1005,1,MATCH(COLUMNS($V$1006:Z1006),$V$1006:$AE$1006,0))&gt;=100000), " ",IF(INDEX($V$2:$AE$1001,MATCH(ROWS($O$2:O821),$O$2:$O$1001,0),MATCH(COLUMNS($V$1006:Z1006),$V$1006:$AE$1006,0)), HYPERLINK("#",""), HYPERLINK(CONCATENATE("#Metadata!", ADDRESS(INDEX($Q$2:$Q$1001,MATCH(ROWS($O$2:O821),$O$2:$O$1001,0),0), INDEX($V$1004:$AE$1004,1,MATCH(COLUMNS($V$1006:Z1006),$V$1006:$AE$1006,0)))),"Fix")))</f>
        <v>0</v>
      </c>
      <c r="G821" s="3">
        <f>IF(OR(INDEX($P$2:$P$1001,MATCH(ROWS($O$2:O821),$O$2:$O$1001,0),1)&gt;=100000,INDEX($V$1005:$AE$1005,1,MATCH(COLUMNS($V$1006:AA1006),$V$1006:$AE$1006,0))&gt;=100000), " ",IF(INDEX($V$2:$AE$1001,MATCH(ROWS($O$2:O821),$O$2:$O$1001,0),MATCH(COLUMNS($V$1006:AA1006),$V$1006:$AE$1006,0)), HYPERLINK("#",""), HYPERLINK(CONCATENATE("#Metadata!", ADDRESS(INDEX($Q$2:$Q$1001,MATCH(ROWS($O$2:O821),$O$2:$O$1001,0),0), INDEX($V$1004:$AE$1004,1,MATCH(COLUMNS($V$1006:AA1006),$V$1006:$AE$1006,0)))),"Fix")))</f>
        <v>0</v>
      </c>
      <c r="H821" s="3">
        <f>IF(OR(INDEX($P$2:$P$1001,MATCH(ROWS($O$2:O821),$O$2:$O$1001,0),1)&gt;=100000,INDEX($V$1005:$AE$1005,1,MATCH(COLUMNS($V$1006:AB1006),$V$1006:$AE$1006,0))&gt;=100000), " ",IF(INDEX($V$2:$AE$1001,MATCH(ROWS($O$2:O821),$O$2:$O$1001,0),MATCH(COLUMNS($V$1006:AB1006),$V$1006:$AE$1006,0)), HYPERLINK("#",""), HYPERLINK(CONCATENATE("#Metadata!", ADDRESS(INDEX($Q$2:$Q$1001,MATCH(ROWS($O$2:O821),$O$2:$O$1001,0),0), INDEX($V$1004:$AE$1004,1,MATCH(COLUMNS($V$1006:AB1006),$V$1006:$AE$1006,0)))),"Fix")))</f>
        <v>0</v>
      </c>
      <c r="I821" s="3">
        <f>IF(OR(INDEX($P$2:$P$1001,MATCH(ROWS($O$2:O821),$O$2:$O$1001,0),1)&gt;=100000,INDEX($V$1005:$AE$1005,1,MATCH(COLUMNS($V$1006:AC1006),$V$1006:$AE$1006,0))&gt;=100000), " ",IF(INDEX($V$2:$AE$1001,MATCH(ROWS($O$2:O821),$O$2:$O$1001,0),MATCH(COLUMNS($V$1006:AC1006),$V$1006:$AE$1006,0)), HYPERLINK("#",""), HYPERLINK(CONCATENATE("#Metadata!", ADDRESS(INDEX($Q$2:$Q$1001,MATCH(ROWS($O$2:O821),$O$2:$O$1001,0),0), INDEX($V$1004:$AE$1004,1,MATCH(COLUMNS($V$1006:AC1006),$V$1006:$AE$1006,0)))),"Fix")))</f>
        <v>0</v>
      </c>
      <c r="J821" s="3">
        <f>IF(OR(INDEX($P$2:$P$1001,MATCH(ROWS($O$2:O821),$O$2:$O$1001,0),1)&gt;=100000,INDEX($V$1005:$AE$1005,1,MATCH(COLUMNS($V$1006:AD1006),$V$1006:$AE$1006,0))&gt;=100000), " ",IF(INDEX($V$2:$AE$1001,MATCH(ROWS($O$2:O821),$O$2:$O$1001,0),MATCH(COLUMNS($V$1006:AD1006),$V$1006:$AE$1006,0)), HYPERLINK("#",""), HYPERLINK(CONCATENATE("#Metadata!", ADDRESS(INDEX($Q$2:$Q$1001,MATCH(ROWS($O$2:O821),$O$2:$O$1001,0),0), INDEX($V$1004:$AE$1004,1,MATCH(COLUMNS($V$1006:AD1006),$V$1006:$AE$1006,0)))),"Fix")))</f>
        <v>0</v>
      </c>
      <c r="K821" s="3">
        <f>IF(OR(INDEX($P$2:$P$1001,MATCH(ROWS($O$2:O821),$O$2:$O$1001,0),1)&gt;=100000,INDEX($V$1005:$AE$1005,1,MATCH(COLUMNS($V$1006:AE1006),$V$1006:$AE$1006,0))&gt;=100000), " ",IF(INDEX($V$2:$AE$1001,MATCH(ROWS($O$2:O821),$O$2:$O$1001,0),MATCH(COLUMNS($V$1006:AE1006),$V$1006:$AE$1006,0)), HYPERLINK("#",""), HYPERLINK(CONCATENATE("#Metadata!", ADDRESS(INDEX($Q$2:$Q$1001,MATCH(ROWS($O$2:O821),$O$2:$O$1001,0),0), INDEX($V$1004:$AE$1004,1,MATCH(COLUMNS($V$1006:AE1006),$V$1006:$AE$1006,0)))),"Fix")))</f>
        <v>0</v>
      </c>
      <c r="O821">
        <v>0</v>
      </c>
      <c r="P821">
        <v>0</v>
      </c>
      <c r="Q821">
        <v>0</v>
      </c>
      <c r="R821">
        <f>IF(S821,TRUE,AND(V821:AE821))</f>
        <v>0</v>
      </c>
      <c r="S821">
        <f>COUNTBLANK(Metadata!B821:K821)=COLUMNS(Metadata!B821:K821)</f>
        <v>0</v>
      </c>
      <c r="T821">
        <v>0</v>
      </c>
      <c r="V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W821">
        <f>AND(IF(Metadata!C821="",FALSE,TRUE),exact(Metadata!C821,"animal secretion"))</f>
        <v>0</v>
      </c>
      <c r="X821">
        <f>AND(IF(Metadata!D821="",FALSE,TRUE),exact(Metadata!D821,"saliva"))</f>
        <v>0</v>
      </c>
      <c r="Y821">
        <f>AND(IF(Metadata!E821="",FALSE,TRUE),exact(Metadata!E821,"human-oral"))</f>
        <v>0</v>
      </c>
      <c r="Z821">
        <f>AND(IF(Metadata!F821="",FALSE,TRUE),exact(Metadata!F821,"UBERON:oral cavity"))</f>
        <v>0</v>
      </c>
      <c r="AA821">
        <f>AND(IF(Metadata!G821="",FALSE,TRUE),exact(Metadata!G821,"UBERON:saliva"))</f>
        <v>0</v>
      </c>
      <c r="AB821">
        <f>AND(IF(Metadata!H821="",FALSE,TRUE),exact(Metadata!H821,"UBERON:tongue"))</f>
        <v>0</v>
      </c>
      <c r="AC821">
        <f>AND(IF(Metadata!I821="",FALSE,TRUE),exact(Metadata!I821,"tongue"))</f>
        <v>0</v>
      </c>
      <c r="AD821">
        <f>AND(IF(Metadata!J821="",FALSE,TRUE),exact(Metadata!J821,"human oral metagenome"))</f>
        <v>0</v>
      </c>
      <c r="AE821">
        <f>AND(IF(Metadata!K821="",FALSE,TRUE),exact(Metadata!K821,"447426"))</f>
        <v>0</v>
      </c>
    </row>
    <row r="822" spans="1:31">
      <c r="A822" s="4">
        <f>IF(B822=" "," ",HYPERLINK(CONCATENATE("#metadata!",ADDRESS(INDEX($Q$2:$Q$1001,MATCH(ROWS($O$2:O822),$O$2:$O$1001,0),0),1)),INDEX($T$2:$T$1001,MATCH(ROWS($O$2:O822),$O$2:$O$1001,0),0)))</f>
        <v>0</v>
      </c>
      <c r="B822" s="3">
        <f>IF(OR(INDEX($P$2:$P$1001,MATCH(ROWS($O$2:O822),$O$2:$O$1001,0),1)&gt;=100000,INDEX($V$1005:$AE$1005,1,MATCH(COLUMNS($V$1006:V1006),$V$1006:$AE$1006,0))&gt;=100000), " ",IF(INDEX($V$2:$AE$1001,MATCH(ROWS($O$2:O822),$O$2:$O$1001,0),MATCH(COLUMNS($V$1006:V1006),$V$1006:$AE$1006,0)), HYPERLINK("#",""), HYPERLINK(CONCATENATE("#Metadata!", ADDRESS(INDEX($Q$2:$Q$1001,MATCH(ROWS($O$2:O822),$O$2:$O$1001,0),0), INDEX($V$1004:$AE$1004,1,MATCH(COLUMNS($V$1006:V1006),$V$1006:$AE$1006,0)))),"Fix")))</f>
        <v>0</v>
      </c>
      <c r="C822" s="3">
        <f>IF(OR(INDEX($P$2:$P$1001,MATCH(ROWS($O$2:O822),$O$2:$O$1001,0),1)&gt;=100000,INDEX($V$1005:$AE$1005,1,MATCH(COLUMNS($V$1006:W1006),$V$1006:$AE$1006,0))&gt;=100000), " ",IF(INDEX($V$2:$AE$1001,MATCH(ROWS($O$2:O822),$O$2:$O$1001,0),MATCH(COLUMNS($V$1006:W1006),$V$1006:$AE$1006,0)), HYPERLINK("#",""), HYPERLINK(CONCATENATE("#Metadata!", ADDRESS(INDEX($Q$2:$Q$1001,MATCH(ROWS($O$2:O822),$O$2:$O$1001,0),0), INDEX($V$1004:$AE$1004,1,MATCH(COLUMNS($V$1006:W1006),$V$1006:$AE$1006,0)))),"Fix")))</f>
        <v>0</v>
      </c>
      <c r="D822" s="3">
        <f>IF(OR(INDEX($P$2:$P$1001,MATCH(ROWS($O$2:O822),$O$2:$O$1001,0),1)&gt;=100000,INDEX($V$1005:$AE$1005,1,MATCH(COLUMNS($V$1006:X1006),$V$1006:$AE$1006,0))&gt;=100000), " ",IF(INDEX($V$2:$AE$1001,MATCH(ROWS($O$2:O822),$O$2:$O$1001,0),MATCH(COLUMNS($V$1006:X1006),$V$1006:$AE$1006,0)), HYPERLINK("#",""), HYPERLINK(CONCATENATE("#Metadata!", ADDRESS(INDEX($Q$2:$Q$1001,MATCH(ROWS($O$2:O822),$O$2:$O$1001,0),0), INDEX($V$1004:$AE$1004,1,MATCH(COLUMNS($V$1006:X1006),$V$1006:$AE$1006,0)))),"Fix")))</f>
        <v>0</v>
      </c>
      <c r="E822" s="3">
        <f>IF(OR(INDEX($P$2:$P$1001,MATCH(ROWS($O$2:O822),$O$2:$O$1001,0),1)&gt;=100000,INDEX($V$1005:$AE$1005,1,MATCH(COLUMNS($V$1006:Y1006),$V$1006:$AE$1006,0))&gt;=100000), " ",IF(INDEX($V$2:$AE$1001,MATCH(ROWS($O$2:O822),$O$2:$O$1001,0),MATCH(COLUMNS($V$1006:Y1006),$V$1006:$AE$1006,0)), HYPERLINK("#",""), HYPERLINK(CONCATENATE("#Metadata!", ADDRESS(INDEX($Q$2:$Q$1001,MATCH(ROWS($O$2:O822),$O$2:$O$1001,0),0), INDEX($V$1004:$AE$1004,1,MATCH(COLUMNS($V$1006:Y1006),$V$1006:$AE$1006,0)))),"Fix")))</f>
        <v>0</v>
      </c>
      <c r="F822" s="3">
        <f>IF(OR(INDEX($P$2:$P$1001,MATCH(ROWS($O$2:O822),$O$2:$O$1001,0),1)&gt;=100000,INDEX($V$1005:$AE$1005,1,MATCH(COLUMNS($V$1006:Z1006),$V$1006:$AE$1006,0))&gt;=100000), " ",IF(INDEX($V$2:$AE$1001,MATCH(ROWS($O$2:O822),$O$2:$O$1001,0),MATCH(COLUMNS($V$1006:Z1006),$V$1006:$AE$1006,0)), HYPERLINK("#",""), HYPERLINK(CONCATENATE("#Metadata!", ADDRESS(INDEX($Q$2:$Q$1001,MATCH(ROWS($O$2:O822),$O$2:$O$1001,0),0), INDEX($V$1004:$AE$1004,1,MATCH(COLUMNS($V$1006:Z1006),$V$1006:$AE$1006,0)))),"Fix")))</f>
        <v>0</v>
      </c>
      <c r="G822" s="3">
        <f>IF(OR(INDEX($P$2:$P$1001,MATCH(ROWS($O$2:O822),$O$2:$O$1001,0),1)&gt;=100000,INDEX($V$1005:$AE$1005,1,MATCH(COLUMNS($V$1006:AA1006),$V$1006:$AE$1006,0))&gt;=100000), " ",IF(INDEX($V$2:$AE$1001,MATCH(ROWS($O$2:O822),$O$2:$O$1001,0),MATCH(COLUMNS($V$1006:AA1006),$V$1006:$AE$1006,0)), HYPERLINK("#",""), HYPERLINK(CONCATENATE("#Metadata!", ADDRESS(INDEX($Q$2:$Q$1001,MATCH(ROWS($O$2:O822),$O$2:$O$1001,0),0), INDEX($V$1004:$AE$1004,1,MATCH(COLUMNS($V$1006:AA1006),$V$1006:$AE$1006,0)))),"Fix")))</f>
        <v>0</v>
      </c>
      <c r="H822" s="3">
        <f>IF(OR(INDEX($P$2:$P$1001,MATCH(ROWS($O$2:O822),$O$2:$O$1001,0),1)&gt;=100000,INDEX($V$1005:$AE$1005,1,MATCH(COLUMNS($V$1006:AB1006),$V$1006:$AE$1006,0))&gt;=100000), " ",IF(INDEX($V$2:$AE$1001,MATCH(ROWS($O$2:O822),$O$2:$O$1001,0),MATCH(COLUMNS($V$1006:AB1006),$V$1006:$AE$1006,0)), HYPERLINK("#",""), HYPERLINK(CONCATENATE("#Metadata!", ADDRESS(INDEX($Q$2:$Q$1001,MATCH(ROWS($O$2:O822),$O$2:$O$1001,0),0), INDEX($V$1004:$AE$1004,1,MATCH(COLUMNS($V$1006:AB1006),$V$1006:$AE$1006,0)))),"Fix")))</f>
        <v>0</v>
      </c>
      <c r="I822" s="3">
        <f>IF(OR(INDEX($P$2:$P$1001,MATCH(ROWS($O$2:O822),$O$2:$O$1001,0),1)&gt;=100000,INDEX($V$1005:$AE$1005,1,MATCH(COLUMNS($V$1006:AC1006),$V$1006:$AE$1006,0))&gt;=100000), " ",IF(INDEX($V$2:$AE$1001,MATCH(ROWS($O$2:O822),$O$2:$O$1001,0),MATCH(COLUMNS($V$1006:AC1006),$V$1006:$AE$1006,0)), HYPERLINK("#",""), HYPERLINK(CONCATENATE("#Metadata!", ADDRESS(INDEX($Q$2:$Q$1001,MATCH(ROWS($O$2:O822),$O$2:$O$1001,0),0), INDEX($V$1004:$AE$1004,1,MATCH(COLUMNS($V$1006:AC1006),$V$1006:$AE$1006,0)))),"Fix")))</f>
        <v>0</v>
      </c>
      <c r="J822" s="3">
        <f>IF(OR(INDEX($P$2:$P$1001,MATCH(ROWS($O$2:O822),$O$2:$O$1001,0),1)&gt;=100000,INDEX($V$1005:$AE$1005,1,MATCH(COLUMNS($V$1006:AD1006),$V$1006:$AE$1006,0))&gt;=100000), " ",IF(INDEX($V$2:$AE$1001,MATCH(ROWS($O$2:O822),$O$2:$O$1001,0),MATCH(COLUMNS($V$1006:AD1006),$V$1006:$AE$1006,0)), HYPERLINK("#",""), HYPERLINK(CONCATENATE("#Metadata!", ADDRESS(INDEX($Q$2:$Q$1001,MATCH(ROWS($O$2:O822),$O$2:$O$1001,0),0), INDEX($V$1004:$AE$1004,1,MATCH(COLUMNS($V$1006:AD1006),$V$1006:$AE$1006,0)))),"Fix")))</f>
        <v>0</v>
      </c>
      <c r="K822" s="3">
        <f>IF(OR(INDEX($P$2:$P$1001,MATCH(ROWS($O$2:O822),$O$2:$O$1001,0),1)&gt;=100000,INDEX($V$1005:$AE$1005,1,MATCH(COLUMNS($V$1006:AE1006),$V$1006:$AE$1006,0))&gt;=100000), " ",IF(INDEX($V$2:$AE$1001,MATCH(ROWS($O$2:O822),$O$2:$O$1001,0),MATCH(COLUMNS($V$1006:AE1006),$V$1006:$AE$1006,0)), HYPERLINK("#",""), HYPERLINK(CONCATENATE("#Metadata!", ADDRESS(INDEX($Q$2:$Q$1001,MATCH(ROWS($O$2:O822),$O$2:$O$1001,0),0), INDEX($V$1004:$AE$1004,1,MATCH(COLUMNS($V$1006:AE1006),$V$1006:$AE$1006,0)))),"Fix")))</f>
        <v>0</v>
      </c>
      <c r="O822">
        <v>0</v>
      </c>
      <c r="P822">
        <v>0</v>
      </c>
      <c r="Q822">
        <v>0</v>
      </c>
      <c r="R822">
        <f>IF(S822,TRUE,AND(V822:AE822))</f>
        <v>0</v>
      </c>
      <c r="S822">
        <f>COUNTBLANK(Metadata!B822:K822)=COLUMNS(Metadata!B822:K822)</f>
        <v>0</v>
      </c>
      <c r="T822">
        <v>0</v>
      </c>
      <c r="V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W822">
        <f>AND(IF(Metadata!C822="",FALSE,TRUE),exact(Metadata!C822,"animal secretion"))</f>
        <v>0</v>
      </c>
      <c r="X822">
        <f>AND(IF(Metadata!D822="",FALSE,TRUE),exact(Metadata!D822,"saliva"))</f>
        <v>0</v>
      </c>
      <c r="Y822">
        <f>AND(IF(Metadata!E822="",FALSE,TRUE),exact(Metadata!E822,"human-oral"))</f>
        <v>0</v>
      </c>
      <c r="Z822">
        <f>AND(IF(Metadata!F822="",FALSE,TRUE),exact(Metadata!F822,"UBERON:oral cavity"))</f>
        <v>0</v>
      </c>
      <c r="AA822">
        <f>AND(IF(Metadata!G822="",FALSE,TRUE),exact(Metadata!G822,"UBERON:saliva"))</f>
        <v>0</v>
      </c>
      <c r="AB822">
        <f>AND(IF(Metadata!H822="",FALSE,TRUE),exact(Metadata!H822,"UBERON:tongue"))</f>
        <v>0</v>
      </c>
      <c r="AC822">
        <f>AND(IF(Metadata!I822="",FALSE,TRUE),exact(Metadata!I822,"tongue"))</f>
        <v>0</v>
      </c>
      <c r="AD822">
        <f>AND(IF(Metadata!J822="",FALSE,TRUE),exact(Metadata!J822,"human oral metagenome"))</f>
        <v>0</v>
      </c>
      <c r="AE822">
        <f>AND(IF(Metadata!K822="",FALSE,TRUE),exact(Metadata!K822,"447426"))</f>
        <v>0</v>
      </c>
    </row>
    <row r="823" spans="1:31">
      <c r="A823" s="4">
        <f>IF(B823=" "," ",HYPERLINK(CONCATENATE("#metadata!",ADDRESS(INDEX($Q$2:$Q$1001,MATCH(ROWS($O$2:O823),$O$2:$O$1001,0),0),1)),INDEX($T$2:$T$1001,MATCH(ROWS($O$2:O823),$O$2:$O$1001,0),0)))</f>
        <v>0</v>
      </c>
      <c r="B823" s="3">
        <f>IF(OR(INDEX($P$2:$P$1001,MATCH(ROWS($O$2:O823),$O$2:$O$1001,0),1)&gt;=100000,INDEX($V$1005:$AE$1005,1,MATCH(COLUMNS($V$1006:V1006),$V$1006:$AE$1006,0))&gt;=100000), " ",IF(INDEX($V$2:$AE$1001,MATCH(ROWS($O$2:O823),$O$2:$O$1001,0),MATCH(COLUMNS($V$1006:V1006),$V$1006:$AE$1006,0)), HYPERLINK("#",""), HYPERLINK(CONCATENATE("#Metadata!", ADDRESS(INDEX($Q$2:$Q$1001,MATCH(ROWS($O$2:O823),$O$2:$O$1001,0),0), INDEX($V$1004:$AE$1004,1,MATCH(COLUMNS($V$1006:V1006),$V$1006:$AE$1006,0)))),"Fix")))</f>
        <v>0</v>
      </c>
      <c r="C823" s="3">
        <f>IF(OR(INDEX($P$2:$P$1001,MATCH(ROWS($O$2:O823),$O$2:$O$1001,0),1)&gt;=100000,INDEX($V$1005:$AE$1005,1,MATCH(COLUMNS($V$1006:W1006),$V$1006:$AE$1006,0))&gt;=100000), " ",IF(INDEX($V$2:$AE$1001,MATCH(ROWS($O$2:O823),$O$2:$O$1001,0),MATCH(COLUMNS($V$1006:W1006),$V$1006:$AE$1006,0)), HYPERLINK("#",""), HYPERLINK(CONCATENATE("#Metadata!", ADDRESS(INDEX($Q$2:$Q$1001,MATCH(ROWS($O$2:O823),$O$2:$O$1001,0),0), INDEX($V$1004:$AE$1004,1,MATCH(COLUMNS($V$1006:W1006),$V$1006:$AE$1006,0)))),"Fix")))</f>
        <v>0</v>
      </c>
      <c r="D823" s="3">
        <f>IF(OR(INDEX($P$2:$P$1001,MATCH(ROWS($O$2:O823),$O$2:$O$1001,0),1)&gt;=100000,INDEX($V$1005:$AE$1005,1,MATCH(COLUMNS($V$1006:X1006),$V$1006:$AE$1006,0))&gt;=100000), " ",IF(INDEX($V$2:$AE$1001,MATCH(ROWS($O$2:O823),$O$2:$O$1001,0),MATCH(COLUMNS($V$1006:X1006),$V$1006:$AE$1006,0)), HYPERLINK("#",""), HYPERLINK(CONCATENATE("#Metadata!", ADDRESS(INDEX($Q$2:$Q$1001,MATCH(ROWS($O$2:O823),$O$2:$O$1001,0),0), INDEX($V$1004:$AE$1004,1,MATCH(COLUMNS($V$1006:X1006),$V$1006:$AE$1006,0)))),"Fix")))</f>
        <v>0</v>
      </c>
      <c r="E823" s="3">
        <f>IF(OR(INDEX($P$2:$P$1001,MATCH(ROWS($O$2:O823),$O$2:$O$1001,0),1)&gt;=100000,INDEX($V$1005:$AE$1005,1,MATCH(COLUMNS($V$1006:Y1006),$V$1006:$AE$1006,0))&gt;=100000), " ",IF(INDEX($V$2:$AE$1001,MATCH(ROWS($O$2:O823),$O$2:$O$1001,0),MATCH(COLUMNS($V$1006:Y1006),$V$1006:$AE$1006,0)), HYPERLINK("#",""), HYPERLINK(CONCATENATE("#Metadata!", ADDRESS(INDEX($Q$2:$Q$1001,MATCH(ROWS($O$2:O823),$O$2:$O$1001,0),0), INDEX($V$1004:$AE$1004,1,MATCH(COLUMNS($V$1006:Y1006),$V$1006:$AE$1006,0)))),"Fix")))</f>
        <v>0</v>
      </c>
      <c r="F823" s="3">
        <f>IF(OR(INDEX($P$2:$P$1001,MATCH(ROWS($O$2:O823),$O$2:$O$1001,0),1)&gt;=100000,INDEX($V$1005:$AE$1005,1,MATCH(COLUMNS($V$1006:Z1006),$V$1006:$AE$1006,0))&gt;=100000), " ",IF(INDEX($V$2:$AE$1001,MATCH(ROWS($O$2:O823),$O$2:$O$1001,0),MATCH(COLUMNS($V$1006:Z1006),$V$1006:$AE$1006,0)), HYPERLINK("#",""), HYPERLINK(CONCATENATE("#Metadata!", ADDRESS(INDEX($Q$2:$Q$1001,MATCH(ROWS($O$2:O823),$O$2:$O$1001,0),0), INDEX($V$1004:$AE$1004,1,MATCH(COLUMNS($V$1006:Z1006),$V$1006:$AE$1006,0)))),"Fix")))</f>
        <v>0</v>
      </c>
      <c r="G823" s="3">
        <f>IF(OR(INDEX($P$2:$P$1001,MATCH(ROWS($O$2:O823),$O$2:$O$1001,0),1)&gt;=100000,INDEX($V$1005:$AE$1005,1,MATCH(COLUMNS($V$1006:AA1006),$V$1006:$AE$1006,0))&gt;=100000), " ",IF(INDEX($V$2:$AE$1001,MATCH(ROWS($O$2:O823),$O$2:$O$1001,0),MATCH(COLUMNS($V$1006:AA1006),$V$1006:$AE$1006,0)), HYPERLINK("#",""), HYPERLINK(CONCATENATE("#Metadata!", ADDRESS(INDEX($Q$2:$Q$1001,MATCH(ROWS($O$2:O823),$O$2:$O$1001,0),0), INDEX($V$1004:$AE$1004,1,MATCH(COLUMNS($V$1006:AA1006),$V$1006:$AE$1006,0)))),"Fix")))</f>
        <v>0</v>
      </c>
      <c r="H823" s="3">
        <f>IF(OR(INDEX($P$2:$P$1001,MATCH(ROWS($O$2:O823),$O$2:$O$1001,0),1)&gt;=100000,INDEX($V$1005:$AE$1005,1,MATCH(COLUMNS($V$1006:AB1006),$V$1006:$AE$1006,0))&gt;=100000), " ",IF(INDEX($V$2:$AE$1001,MATCH(ROWS($O$2:O823),$O$2:$O$1001,0),MATCH(COLUMNS($V$1006:AB1006),$V$1006:$AE$1006,0)), HYPERLINK("#",""), HYPERLINK(CONCATENATE("#Metadata!", ADDRESS(INDEX($Q$2:$Q$1001,MATCH(ROWS($O$2:O823),$O$2:$O$1001,0),0), INDEX($V$1004:$AE$1004,1,MATCH(COLUMNS($V$1006:AB1006),$V$1006:$AE$1006,0)))),"Fix")))</f>
        <v>0</v>
      </c>
      <c r="I823" s="3">
        <f>IF(OR(INDEX($P$2:$P$1001,MATCH(ROWS($O$2:O823),$O$2:$O$1001,0),1)&gt;=100000,INDEX($V$1005:$AE$1005,1,MATCH(COLUMNS($V$1006:AC1006),$V$1006:$AE$1006,0))&gt;=100000), " ",IF(INDEX($V$2:$AE$1001,MATCH(ROWS($O$2:O823),$O$2:$O$1001,0),MATCH(COLUMNS($V$1006:AC1006),$V$1006:$AE$1006,0)), HYPERLINK("#",""), HYPERLINK(CONCATENATE("#Metadata!", ADDRESS(INDEX($Q$2:$Q$1001,MATCH(ROWS($O$2:O823),$O$2:$O$1001,0),0), INDEX($V$1004:$AE$1004,1,MATCH(COLUMNS($V$1006:AC1006),$V$1006:$AE$1006,0)))),"Fix")))</f>
        <v>0</v>
      </c>
      <c r="J823" s="3">
        <f>IF(OR(INDEX($P$2:$P$1001,MATCH(ROWS($O$2:O823),$O$2:$O$1001,0),1)&gt;=100000,INDEX($V$1005:$AE$1005,1,MATCH(COLUMNS($V$1006:AD1006),$V$1006:$AE$1006,0))&gt;=100000), " ",IF(INDEX($V$2:$AE$1001,MATCH(ROWS($O$2:O823),$O$2:$O$1001,0),MATCH(COLUMNS($V$1006:AD1006),$V$1006:$AE$1006,0)), HYPERLINK("#",""), HYPERLINK(CONCATENATE("#Metadata!", ADDRESS(INDEX($Q$2:$Q$1001,MATCH(ROWS($O$2:O823),$O$2:$O$1001,0),0), INDEX($V$1004:$AE$1004,1,MATCH(COLUMNS($V$1006:AD1006),$V$1006:$AE$1006,0)))),"Fix")))</f>
        <v>0</v>
      </c>
      <c r="K823" s="3">
        <f>IF(OR(INDEX($P$2:$P$1001,MATCH(ROWS($O$2:O823),$O$2:$O$1001,0),1)&gt;=100000,INDEX($V$1005:$AE$1005,1,MATCH(COLUMNS($V$1006:AE1006),$V$1006:$AE$1006,0))&gt;=100000), " ",IF(INDEX($V$2:$AE$1001,MATCH(ROWS($O$2:O823),$O$2:$O$1001,0),MATCH(COLUMNS($V$1006:AE1006),$V$1006:$AE$1006,0)), HYPERLINK("#",""), HYPERLINK(CONCATENATE("#Metadata!", ADDRESS(INDEX($Q$2:$Q$1001,MATCH(ROWS($O$2:O823),$O$2:$O$1001,0),0), INDEX($V$1004:$AE$1004,1,MATCH(COLUMNS($V$1006:AE1006),$V$1006:$AE$1006,0)))),"Fix")))</f>
        <v>0</v>
      </c>
      <c r="O823">
        <v>0</v>
      </c>
      <c r="P823">
        <v>0</v>
      </c>
      <c r="Q823">
        <v>0</v>
      </c>
      <c r="R823">
        <f>IF(S823,TRUE,AND(V823:AE823))</f>
        <v>0</v>
      </c>
      <c r="S823">
        <f>COUNTBLANK(Metadata!B823:K823)=COLUMNS(Metadata!B823:K823)</f>
        <v>0</v>
      </c>
      <c r="T823">
        <v>0</v>
      </c>
      <c r="V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W823">
        <f>AND(IF(Metadata!C823="",FALSE,TRUE),exact(Metadata!C823,"animal secretion"))</f>
        <v>0</v>
      </c>
      <c r="X823">
        <f>AND(IF(Metadata!D823="",FALSE,TRUE),exact(Metadata!D823,"saliva"))</f>
        <v>0</v>
      </c>
      <c r="Y823">
        <f>AND(IF(Metadata!E823="",FALSE,TRUE),exact(Metadata!E823,"human-oral"))</f>
        <v>0</v>
      </c>
      <c r="Z823">
        <f>AND(IF(Metadata!F823="",FALSE,TRUE),exact(Metadata!F823,"UBERON:oral cavity"))</f>
        <v>0</v>
      </c>
      <c r="AA823">
        <f>AND(IF(Metadata!G823="",FALSE,TRUE),exact(Metadata!G823,"UBERON:saliva"))</f>
        <v>0</v>
      </c>
      <c r="AB823">
        <f>AND(IF(Metadata!H823="",FALSE,TRUE),exact(Metadata!H823,"UBERON:tongue"))</f>
        <v>0</v>
      </c>
      <c r="AC823">
        <f>AND(IF(Metadata!I823="",FALSE,TRUE),exact(Metadata!I823,"tongue"))</f>
        <v>0</v>
      </c>
      <c r="AD823">
        <f>AND(IF(Metadata!J823="",FALSE,TRUE),exact(Metadata!J823,"human oral metagenome"))</f>
        <v>0</v>
      </c>
      <c r="AE823">
        <f>AND(IF(Metadata!K823="",FALSE,TRUE),exact(Metadata!K823,"447426"))</f>
        <v>0</v>
      </c>
    </row>
    <row r="824" spans="1:31">
      <c r="A824" s="4">
        <f>IF(B824=" "," ",HYPERLINK(CONCATENATE("#metadata!",ADDRESS(INDEX($Q$2:$Q$1001,MATCH(ROWS($O$2:O824),$O$2:$O$1001,0),0),1)),INDEX($T$2:$T$1001,MATCH(ROWS($O$2:O824),$O$2:$O$1001,0),0)))</f>
        <v>0</v>
      </c>
      <c r="B824" s="3">
        <f>IF(OR(INDEX($P$2:$P$1001,MATCH(ROWS($O$2:O824),$O$2:$O$1001,0),1)&gt;=100000,INDEX($V$1005:$AE$1005,1,MATCH(COLUMNS($V$1006:V1006),$V$1006:$AE$1006,0))&gt;=100000), " ",IF(INDEX($V$2:$AE$1001,MATCH(ROWS($O$2:O824),$O$2:$O$1001,0),MATCH(COLUMNS($V$1006:V1006),$V$1006:$AE$1006,0)), HYPERLINK("#",""), HYPERLINK(CONCATENATE("#Metadata!", ADDRESS(INDEX($Q$2:$Q$1001,MATCH(ROWS($O$2:O824),$O$2:$O$1001,0),0), INDEX($V$1004:$AE$1004,1,MATCH(COLUMNS($V$1006:V1006),$V$1006:$AE$1006,0)))),"Fix")))</f>
        <v>0</v>
      </c>
      <c r="C824" s="3">
        <f>IF(OR(INDEX($P$2:$P$1001,MATCH(ROWS($O$2:O824),$O$2:$O$1001,0),1)&gt;=100000,INDEX($V$1005:$AE$1005,1,MATCH(COLUMNS($V$1006:W1006),$V$1006:$AE$1006,0))&gt;=100000), " ",IF(INDEX($V$2:$AE$1001,MATCH(ROWS($O$2:O824),$O$2:$O$1001,0),MATCH(COLUMNS($V$1006:W1006),$V$1006:$AE$1006,0)), HYPERLINK("#",""), HYPERLINK(CONCATENATE("#Metadata!", ADDRESS(INDEX($Q$2:$Q$1001,MATCH(ROWS($O$2:O824),$O$2:$O$1001,0),0), INDEX($V$1004:$AE$1004,1,MATCH(COLUMNS($V$1006:W1006),$V$1006:$AE$1006,0)))),"Fix")))</f>
        <v>0</v>
      </c>
      <c r="D824" s="3">
        <f>IF(OR(INDEX($P$2:$P$1001,MATCH(ROWS($O$2:O824),$O$2:$O$1001,0),1)&gt;=100000,INDEX($V$1005:$AE$1005,1,MATCH(COLUMNS($V$1006:X1006),$V$1006:$AE$1006,0))&gt;=100000), " ",IF(INDEX($V$2:$AE$1001,MATCH(ROWS($O$2:O824),$O$2:$O$1001,0),MATCH(COLUMNS($V$1006:X1006),$V$1006:$AE$1006,0)), HYPERLINK("#",""), HYPERLINK(CONCATENATE("#Metadata!", ADDRESS(INDEX($Q$2:$Q$1001,MATCH(ROWS($O$2:O824),$O$2:$O$1001,0),0), INDEX($V$1004:$AE$1004,1,MATCH(COLUMNS($V$1006:X1006),$V$1006:$AE$1006,0)))),"Fix")))</f>
        <v>0</v>
      </c>
      <c r="E824" s="3">
        <f>IF(OR(INDEX($P$2:$P$1001,MATCH(ROWS($O$2:O824),$O$2:$O$1001,0),1)&gt;=100000,INDEX($V$1005:$AE$1005,1,MATCH(COLUMNS($V$1006:Y1006),$V$1006:$AE$1006,0))&gt;=100000), " ",IF(INDEX($V$2:$AE$1001,MATCH(ROWS($O$2:O824),$O$2:$O$1001,0),MATCH(COLUMNS($V$1006:Y1006),$V$1006:$AE$1006,0)), HYPERLINK("#",""), HYPERLINK(CONCATENATE("#Metadata!", ADDRESS(INDEX($Q$2:$Q$1001,MATCH(ROWS($O$2:O824),$O$2:$O$1001,0),0), INDEX($V$1004:$AE$1004,1,MATCH(COLUMNS($V$1006:Y1006),$V$1006:$AE$1006,0)))),"Fix")))</f>
        <v>0</v>
      </c>
      <c r="F824" s="3">
        <f>IF(OR(INDEX($P$2:$P$1001,MATCH(ROWS($O$2:O824),$O$2:$O$1001,0),1)&gt;=100000,INDEX($V$1005:$AE$1005,1,MATCH(COLUMNS($V$1006:Z1006),$V$1006:$AE$1006,0))&gt;=100000), " ",IF(INDEX($V$2:$AE$1001,MATCH(ROWS($O$2:O824),$O$2:$O$1001,0),MATCH(COLUMNS($V$1006:Z1006),$V$1006:$AE$1006,0)), HYPERLINK("#",""), HYPERLINK(CONCATENATE("#Metadata!", ADDRESS(INDEX($Q$2:$Q$1001,MATCH(ROWS($O$2:O824),$O$2:$O$1001,0),0), INDEX($V$1004:$AE$1004,1,MATCH(COLUMNS($V$1006:Z1006),$V$1006:$AE$1006,0)))),"Fix")))</f>
        <v>0</v>
      </c>
      <c r="G824" s="3">
        <f>IF(OR(INDEX($P$2:$P$1001,MATCH(ROWS($O$2:O824),$O$2:$O$1001,0),1)&gt;=100000,INDEX($V$1005:$AE$1005,1,MATCH(COLUMNS($V$1006:AA1006),$V$1006:$AE$1006,0))&gt;=100000), " ",IF(INDEX($V$2:$AE$1001,MATCH(ROWS($O$2:O824),$O$2:$O$1001,0),MATCH(COLUMNS($V$1006:AA1006),$V$1006:$AE$1006,0)), HYPERLINK("#",""), HYPERLINK(CONCATENATE("#Metadata!", ADDRESS(INDEX($Q$2:$Q$1001,MATCH(ROWS($O$2:O824),$O$2:$O$1001,0),0), INDEX($V$1004:$AE$1004,1,MATCH(COLUMNS($V$1006:AA1006),$V$1006:$AE$1006,0)))),"Fix")))</f>
        <v>0</v>
      </c>
      <c r="H824" s="3">
        <f>IF(OR(INDEX($P$2:$P$1001,MATCH(ROWS($O$2:O824),$O$2:$O$1001,0),1)&gt;=100000,INDEX($V$1005:$AE$1005,1,MATCH(COLUMNS($V$1006:AB1006),$V$1006:$AE$1006,0))&gt;=100000), " ",IF(INDEX($V$2:$AE$1001,MATCH(ROWS($O$2:O824),$O$2:$O$1001,0),MATCH(COLUMNS($V$1006:AB1006),$V$1006:$AE$1006,0)), HYPERLINK("#",""), HYPERLINK(CONCATENATE("#Metadata!", ADDRESS(INDEX($Q$2:$Q$1001,MATCH(ROWS($O$2:O824),$O$2:$O$1001,0),0), INDEX($V$1004:$AE$1004,1,MATCH(COLUMNS($V$1006:AB1006),$V$1006:$AE$1006,0)))),"Fix")))</f>
        <v>0</v>
      </c>
      <c r="I824" s="3">
        <f>IF(OR(INDEX($P$2:$P$1001,MATCH(ROWS($O$2:O824),$O$2:$O$1001,0),1)&gt;=100000,INDEX($V$1005:$AE$1005,1,MATCH(COLUMNS($V$1006:AC1006),$V$1006:$AE$1006,0))&gt;=100000), " ",IF(INDEX($V$2:$AE$1001,MATCH(ROWS($O$2:O824),$O$2:$O$1001,0),MATCH(COLUMNS($V$1006:AC1006),$V$1006:$AE$1006,0)), HYPERLINK("#",""), HYPERLINK(CONCATENATE("#Metadata!", ADDRESS(INDEX($Q$2:$Q$1001,MATCH(ROWS($O$2:O824),$O$2:$O$1001,0),0), INDEX($V$1004:$AE$1004,1,MATCH(COLUMNS($V$1006:AC1006),$V$1006:$AE$1006,0)))),"Fix")))</f>
        <v>0</v>
      </c>
      <c r="J824" s="3">
        <f>IF(OR(INDEX($P$2:$P$1001,MATCH(ROWS($O$2:O824),$O$2:$O$1001,0),1)&gt;=100000,INDEX($V$1005:$AE$1005,1,MATCH(COLUMNS($V$1006:AD1006),$V$1006:$AE$1006,0))&gt;=100000), " ",IF(INDEX($V$2:$AE$1001,MATCH(ROWS($O$2:O824),$O$2:$O$1001,0),MATCH(COLUMNS($V$1006:AD1006),$V$1006:$AE$1006,0)), HYPERLINK("#",""), HYPERLINK(CONCATENATE("#Metadata!", ADDRESS(INDEX($Q$2:$Q$1001,MATCH(ROWS($O$2:O824),$O$2:$O$1001,0),0), INDEX($V$1004:$AE$1004,1,MATCH(COLUMNS($V$1006:AD1006),$V$1006:$AE$1006,0)))),"Fix")))</f>
        <v>0</v>
      </c>
      <c r="K824" s="3">
        <f>IF(OR(INDEX($P$2:$P$1001,MATCH(ROWS($O$2:O824),$O$2:$O$1001,0),1)&gt;=100000,INDEX($V$1005:$AE$1005,1,MATCH(COLUMNS($V$1006:AE1006),$V$1006:$AE$1006,0))&gt;=100000), " ",IF(INDEX($V$2:$AE$1001,MATCH(ROWS($O$2:O824),$O$2:$O$1001,0),MATCH(COLUMNS($V$1006:AE1006),$V$1006:$AE$1006,0)), HYPERLINK("#",""), HYPERLINK(CONCATENATE("#Metadata!", ADDRESS(INDEX($Q$2:$Q$1001,MATCH(ROWS($O$2:O824),$O$2:$O$1001,0),0), INDEX($V$1004:$AE$1004,1,MATCH(COLUMNS($V$1006:AE1006),$V$1006:$AE$1006,0)))),"Fix")))</f>
        <v>0</v>
      </c>
      <c r="O824">
        <v>0</v>
      </c>
      <c r="P824">
        <v>0</v>
      </c>
      <c r="Q824">
        <v>0</v>
      </c>
      <c r="R824">
        <f>IF(S824,TRUE,AND(V824:AE824))</f>
        <v>0</v>
      </c>
      <c r="S824">
        <f>COUNTBLANK(Metadata!B824:K824)=COLUMNS(Metadata!B824:K824)</f>
        <v>0</v>
      </c>
      <c r="T824">
        <v>0</v>
      </c>
      <c r="V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W824">
        <f>AND(IF(Metadata!C824="",FALSE,TRUE),exact(Metadata!C824,"animal secretion"))</f>
        <v>0</v>
      </c>
      <c r="X824">
        <f>AND(IF(Metadata!D824="",FALSE,TRUE),exact(Metadata!D824,"saliva"))</f>
        <v>0</v>
      </c>
      <c r="Y824">
        <f>AND(IF(Metadata!E824="",FALSE,TRUE),exact(Metadata!E824,"human-oral"))</f>
        <v>0</v>
      </c>
      <c r="Z824">
        <f>AND(IF(Metadata!F824="",FALSE,TRUE),exact(Metadata!F824,"UBERON:oral cavity"))</f>
        <v>0</v>
      </c>
      <c r="AA824">
        <f>AND(IF(Metadata!G824="",FALSE,TRUE),exact(Metadata!G824,"UBERON:saliva"))</f>
        <v>0</v>
      </c>
      <c r="AB824">
        <f>AND(IF(Metadata!H824="",FALSE,TRUE),exact(Metadata!H824,"UBERON:tongue"))</f>
        <v>0</v>
      </c>
      <c r="AC824">
        <f>AND(IF(Metadata!I824="",FALSE,TRUE),exact(Metadata!I824,"tongue"))</f>
        <v>0</v>
      </c>
      <c r="AD824">
        <f>AND(IF(Metadata!J824="",FALSE,TRUE),exact(Metadata!J824,"human oral metagenome"))</f>
        <v>0</v>
      </c>
      <c r="AE824">
        <f>AND(IF(Metadata!K824="",FALSE,TRUE),exact(Metadata!K824,"447426"))</f>
        <v>0</v>
      </c>
    </row>
    <row r="825" spans="1:31">
      <c r="A825" s="4">
        <f>IF(B825=" "," ",HYPERLINK(CONCATENATE("#metadata!",ADDRESS(INDEX($Q$2:$Q$1001,MATCH(ROWS($O$2:O825),$O$2:$O$1001,0),0),1)),INDEX($T$2:$T$1001,MATCH(ROWS($O$2:O825),$O$2:$O$1001,0),0)))</f>
        <v>0</v>
      </c>
      <c r="B825" s="3">
        <f>IF(OR(INDEX($P$2:$P$1001,MATCH(ROWS($O$2:O825),$O$2:$O$1001,0),1)&gt;=100000,INDEX($V$1005:$AE$1005,1,MATCH(COLUMNS($V$1006:V1006),$V$1006:$AE$1006,0))&gt;=100000), " ",IF(INDEX($V$2:$AE$1001,MATCH(ROWS($O$2:O825),$O$2:$O$1001,0),MATCH(COLUMNS($V$1006:V1006),$V$1006:$AE$1006,0)), HYPERLINK("#",""), HYPERLINK(CONCATENATE("#Metadata!", ADDRESS(INDEX($Q$2:$Q$1001,MATCH(ROWS($O$2:O825),$O$2:$O$1001,0),0), INDEX($V$1004:$AE$1004,1,MATCH(COLUMNS($V$1006:V1006),$V$1006:$AE$1006,0)))),"Fix")))</f>
        <v>0</v>
      </c>
      <c r="C825" s="3">
        <f>IF(OR(INDEX($P$2:$P$1001,MATCH(ROWS($O$2:O825),$O$2:$O$1001,0),1)&gt;=100000,INDEX($V$1005:$AE$1005,1,MATCH(COLUMNS($V$1006:W1006),$V$1006:$AE$1006,0))&gt;=100000), " ",IF(INDEX($V$2:$AE$1001,MATCH(ROWS($O$2:O825),$O$2:$O$1001,0),MATCH(COLUMNS($V$1006:W1006),$V$1006:$AE$1006,0)), HYPERLINK("#",""), HYPERLINK(CONCATENATE("#Metadata!", ADDRESS(INDEX($Q$2:$Q$1001,MATCH(ROWS($O$2:O825),$O$2:$O$1001,0),0), INDEX($V$1004:$AE$1004,1,MATCH(COLUMNS($V$1006:W1006),$V$1006:$AE$1006,0)))),"Fix")))</f>
        <v>0</v>
      </c>
      <c r="D825" s="3">
        <f>IF(OR(INDEX($P$2:$P$1001,MATCH(ROWS($O$2:O825),$O$2:$O$1001,0),1)&gt;=100000,INDEX($V$1005:$AE$1005,1,MATCH(COLUMNS($V$1006:X1006),$V$1006:$AE$1006,0))&gt;=100000), " ",IF(INDEX($V$2:$AE$1001,MATCH(ROWS($O$2:O825),$O$2:$O$1001,0),MATCH(COLUMNS($V$1006:X1006),$V$1006:$AE$1006,0)), HYPERLINK("#",""), HYPERLINK(CONCATENATE("#Metadata!", ADDRESS(INDEX($Q$2:$Q$1001,MATCH(ROWS($O$2:O825),$O$2:$O$1001,0),0), INDEX($V$1004:$AE$1004,1,MATCH(COLUMNS($V$1006:X1006),$V$1006:$AE$1006,0)))),"Fix")))</f>
        <v>0</v>
      </c>
      <c r="E825" s="3">
        <f>IF(OR(INDEX($P$2:$P$1001,MATCH(ROWS($O$2:O825),$O$2:$O$1001,0),1)&gt;=100000,INDEX($V$1005:$AE$1005,1,MATCH(COLUMNS($V$1006:Y1006),$V$1006:$AE$1006,0))&gt;=100000), " ",IF(INDEX($V$2:$AE$1001,MATCH(ROWS($O$2:O825),$O$2:$O$1001,0),MATCH(COLUMNS($V$1006:Y1006),$V$1006:$AE$1006,0)), HYPERLINK("#",""), HYPERLINK(CONCATENATE("#Metadata!", ADDRESS(INDEX($Q$2:$Q$1001,MATCH(ROWS($O$2:O825),$O$2:$O$1001,0),0), INDEX($V$1004:$AE$1004,1,MATCH(COLUMNS($V$1006:Y1006),$V$1006:$AE$1006,0)))),"Fix")))</f>
        <v>0</v>
      </c>
      <c r="F825" s="3">
        <f>IF(OR(INDEX($P$2:$P$1001,MATCH(ROWS($O$2:O825),$O$2:$O$1001,0),1)&gt;=100000,INDEX($V$1005:$AE$1005,1,MATCH(COLUMNS($V$1006:Z1006),$V$1006:$AE$1006,0))&gt;=100000), " ",IF(INDEX($V$2:$AE$1001,MATCH(ROWS($O$2:O825),$O$2:$O$1001,0),MATCH(COLUMNS($V$1006:Z1006),$V$1006:$AE$1006,0)), HYPERLINK("#",""), HYPERLINK(CONCATENATE("#Metadata!", ADDRESS(INDEX($Q$2:$Q$1001,MATCH(ROWS($O$2:O825),$O$2:$O$1001,0),0), INDEX($V$1004:$AE$1004,1,MATCH(COLUMNS($V$1006:Z1006),$V$1006:$AE$1006,0)))),"Fix")))</f>
        <v>0</v>
      </c>
      <c r="G825" s="3">
        <f>IF(OR(INDEX($P$2:$P$1001,MATCH(ROWS($O$2:O825),$O$2:$O$1001,0),1)&gt;=100000,INDEX($V$1005:$AE$1005,1,MATCH(COLUMNS($V$1006:AA1006),$V$1006:$AE$1006,0))&gt;=100000), " ",IF(INDEX($V$2:$AE$1001,MATCH(ROWS($O$2:O825),$O$2:$O$1001,0),MATCH(COLUMNS($V$1006:AA1006),$V$1006:$AE$1006,0)), HYPERLINK("#",""), HYPERLINK(CONCATENATE("#Metadata!", ADDRESS(INDEX($Q$2:$Q$1001,MATCH(ROWS($O$2:O825),$O$2:$O$1001,0),0), INDEX($V$1004:$AE$1004,1,MATCH(COLUMNS($V$1006:AA1006),$V$1006:$AE$1006,0)))),"Fix")))</f>
        <v>0</v>
      </c>
      <c r="H825" s="3">
        <f>IF(OR(INDEX($P$2:$P$1001,MATCH(ROWS($O$2:O825),$O$2:$O$1001,0),1)&gt;=100000,INDEX($V$1005:$AE$1005,1,MATCH(COLUMNS($V$1006:AB1006),$V$1006:$AE$1006,0))&gt;=100000), " ",IF(INDEX($V$2:$AE$1001,MATCH(ROWS($O$2:O825),$O$2:$O$1001,0),MATCH(COLUMNS($V$1006:AB1006),$V$1006:$AE$1006,0)), HYPERLINK("#",""), HYPERLINK(CONCATENATE("#Metadata!", ADDRESS(INDEX($Q$2:$Q$1001,MATCH(ROWS($O$2:O825),$O$2:$O$1001,0),0), INDEX($V$1004:$AE$1004,1,MATCH(COLUMNS($V$1006:AB1006),$V$1006:$AE$1006,0)))),"Fix")))</f>
        <v>0</v>
      </c>
      <c r="I825" s="3">
        <f>IF(OR(INDEX($P$2:$P$1001,MATCH(ROWS($O$2:O825),$O$2:$O$1001,0),1)&gt;=100000,INDEX($V$1005:$AE$1005,1,MATCH(COLUMNS($V$1006:AC1006),$V$1006:$AE$1006,0))&gt;=100000), " ",IF(INDEX($V$2:$AE$1001,MATCH(ROWS($O$2:O825),$O$2:$O$1001,0),MATCH(COLUMNS($V$1006:AC1006),$V$1006:$AE$1006,0)), HYPERLINK("#",""), HYPERLINK(CONCATENATE("#Metadata!", ADDRESS(INDEX($Q$2:$Q$1001,MATCH(ROWS($O$2:O825),$O$2:$O$1001,0),0), INDEX($V$1004:$AE$1004,1,MATCH(COLUMNS($V$1006:AC1006),$V$1006:$AE$1006,0)))),"Fix")))</f>
        <v>0</v>
      </c>
      <c r="J825" s="3">
        <f>IF(OR(INDEX($P$2:$P$1001,MATCH(ROWS($O$2:O825),$O$2:$O$1001,0),1)&gt;=100000,INDEX($V$1005:$AE$1005,1,MATCH(COLUMNS($V$1006:AD1006),$V$1006:$AE$1006,0))&gt;=100000), " ",IF(INDEX($V$2:$AE$1001,MATCH(ROWS($O$2:O825),$O$2:$O$1001,0),MATCH(COLUMNS($V$1006:AD1006),$V$1006:$AE$1006,0)), HYPERLINK("#",""), HYPERLINK(CONCATENATE("#Metadata!", ADDRESS(INDEX($Q$2:$Q$1001,MATCH(ROWS($O$2:O825),$O$2:$O$1001,0),0), INDEX($V$1004:$AE$1004,1,MATCH(COLUMNS($V$1006:AD1006),$V$1006:$AE$1006,0)))),"Fix")))</f>
        <v>0</v>
      </c>
      <c r="K825" s="3">
        <f>IF(OR(INDEX($P$2:$P$1001,MATCH(ROWS($O$2:O825),$O$2:$O$1001,0),1)&gt;=100000,INDEX($V$1005:$AE$1005,1,MATCH(COLUMNS($V$1006:AE1006),$V$1006:$AE$1006,0))&gt;=100000), " ",IF(INDEX($V$2:$AE$1001,MATCH(ROWS($O$2:O825),$O$2:$O$1001,0),MATCH(COLUMNS($V$1006:AE1006),$V$1006:$AE$1006,0)), HYPERLINK("#",""), HYPERLINK(CONCATENATE("#Metadata!", ADDRESS(INDEX($Q$2:$Q$1001,MATCH(ROWS($O$2:O825),$O$2:$O$1001,0),0), INDEX($V$1004:$AE$1004,1,MATCH(COLUMNS($V$1006:AE1006),$V$1006:$AE$1006,0)))),"Fix")))</f>
        <v>0</v>
      </c>
      <c r="O825">
        <v>0</v>
      </c>
      <c r="P825">
        <v>0</v>
      </c>
      <c r="Q825">
        <v>0</v>
      </c>
      <c r="R825">
        <f>IF(S825,TRUE,AND(V825:AE825))</f>
        <v>0</v>
      </c>
      <c r="S825">
        <f>COUNTBLANK(Metadata!B825:K825)=COLUMNS(Metadata!B825:K825)</f>
        <v>0</v>
      </c>
      <c r="T825">
        <v>0</v>
      </c>
      <c r="V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W825">
        <f>AND(IF(Metadata!C825="",FALSE,TRUE),exact(Metadata!C825,"animal secretion"))</f>
        <v>0</v>
      </c>
      <c r="X825">
        <f>AND(IF(Metadata!D825="",FALSE,TRUE),exact(Metadata!D825,"saliva"))</f>
        <v>0</v>
      </c>
      <c r="Y825">
        <f>AND(IF(Metadata!E825="",FALSE,TRUE),exact(Metadata!E825,"human-oral"))</f>
        <v>0</v>
      </c>
      <c r="Z825">
        <f>AND(IF(Metadata!F825="",FALSE,TRUE),exact(Metadata!F825,"UBERON:oral cavity"))</f>
        <v>0</v>
      </c>
      <c r="AA825">
        <f>AND(IF(Metadata!G825="",FALSE,TRUE),exact(Metadata!G825,"UBERON:saliva"))</f>
        <v>0</v>
      </c>
      <c r="AB825">
        <f>AND(IF(Metadata!H825="",FALSE,TRUE),exact(Metadata!H825,"UBERON:tongue"))</f>
        <v>0</v>
      </c>
      <c r="AC825">
        <f>AND(IF(Metadata!I825="",FALSE,TRUE),exact(Metadata!I825,"tongue"))</f>
        <v>0</v>
      </c>
      <c r="AD825">
        <f>AND(IF(Metadata!J825="",FALSE,TRUE),exact(Metadata!J825,"human oral metagenome"))</f>
        <v>0</v>
      </c>
      <c r="AE825">
        <f>AND(IF(Metadata!K825="",FALSE,TRUE),exact(Metadata!K825,"447426"))</f>
        <v>0</v>
      </c>
    </row>
    <row r="826" spans="1:31">
      <c r="A826" s="4">
        <f>IF(B826=" "," ",HYPERLINK(CONCATENATE("#metadata!",ADDRESS(INDEX($Q$2:$Q$1001,MATCH(ROWS($O$2:O826),$O$2:$O$1001,0),0),1)),INDEX($T$2:$T$1001,MATCH(ROWS($O$2:O826),$O$2:$O$1001,0),0)))</f>
        <v>0</v>
      </c>
      <c r="B826" s="3">
        <f>IF(OR(INDEX($P$2:$P$1001,MATCH(ROWS($O$2:O826),$O$2:$O$1001,0),1)&gt;=100000,INDEX($V$1005:$AE$1005,1,MATCH(COLUMNS($V$1006:V1006),$V$1006:$AE$1006,0))&gt;=100000), " ",IF(INDEX($V$2:$AE$1001,MATCH(ROWS($O$2:O826),$O$2:$O$1001,0),MATCH(COLUMNS($V$1006:V1006),$V$1006:$AE$1006,0)), HYPERLINK("#",""), HYPERLINK(CONCATENATE("#Metadata!", ADDRESS(INDEX($Q$2:$Q$1001,MATCH(ROWS($O$2:O826),$O$2:$O$1001,0),0), INDEX($V$1004:$AE$1004,1,MATCH(COLUMNS($V$1006:V1006),$V$1006:$AE$1006,0)))),"Fix")))</f>
        <v>0</v>
      </c>
      <c r="C826" s="3">
        <f>IF(OR(INDEX($P$2:$P$1001,MATCH(ROWS($O$2:O826),$O$2:$O$1001,0),1)&gt;=100000,INDEX($V$1005:$AE$1005,1,MATCH(COLUMNS($V$1006:W1006),$V$1006:$AE$1006,0))&gt;=100000), " ",IF(INDEX($V$2:$AE$1001,MATCH(ROWS($O$2:O826),$O$2:$O$1001,0),MATCH(COLUMNS($V$1006:W1006),$V$1006:$AE$1006,0)), HYPERLINK("#",""), HYPERLINK(CONCATENATE("#Metadata!", ADDRESS(INDEX($Q$2:$Q$1001,MATCH(ROWS($O$2:O826),$O$2:$O$1001,0),0), INDEX($V$1004:$AE$1004,1,MATCH(COLUMNS($V$1006:W1006),$V$1006:$AE$1006,0)))),"Fix")))</f>
        <v>0</v>
      </c>
      <c r="D826" s="3">
        <f>IF(OR(INDEX($P$2:$P$1001,MATCH(ROWS($O$2:O826),$O$2:$O$1001,0),1)&gt;=100000,INDEX($V$1005:$AE$1005,1,MATCH(COLUMNS($V$1006:X1006),$V$1006:$AE$1006,0))&gt;=100000), " ",IF(INDEX($V$2:$AE$1001,MATCH(ROWS($O$2:O826),$O$2:$O$1001,0),MATCH(COLUMNS($V$1006:X1006),$V$1006:$AE$1006,0)), HYPERLINK("#",""), HYPERLINK(CONCATENATE("#Metadata!", ADDRESS(INDEX($Q$2:$Q$1001,MATCH(ROWS($O$2:O826),$O$2:$O$1001,0),0), INDEX($V$1004:$AE$1004,1,MATCH(COLUMNS($V$1006:X1006),$V$1006:$AE$1006,0)))),"Fix")))</f>
        <v>0</v>
      </c>
      <c r="E826" s="3">
        <f>IF(OR(INDEX($P$2:$P$1001,MATCH(ROWS($O$2:O826),$O$2:$O$1001,0),1)&gt;=100000,INDEX($V$1005:$AE$1005,1,MATCH(COLUMNS($V$1006:Y1006),$V$1006:$AE$1006,0))&gt;=100000), " ",IF(INDEX($V$2:$AE$1001,MATCH(ROWS($O$2:O826),$O$2:$O$1001,0),MATCH(COLUMNS($V$1006:Y1006),$V$1006:$AE$1006,0)), HYPERLINK("#",""), HYPERLINK(CONCATENATE("#Metadata!", ADDRESS(INDEX($Q$2:$Q$1001,MATCH(ROWS($O$2:O826),$O$2:$O$1001,0),0), INDEX($V$1004:$AE$1004,1,MATCH(COLUMNS($V$1006:Y1006),$V$1006:$AE$1006,0)))),"Fix")))</f>
        <v>0</v>
      </c>
      <c r="F826" s="3">
        <f>IF(OR(INDEX($P$2:$P$1001,MATCH(ROWS($O$2:O826),$O$2:$O$1001,0),1)&gt;=100000,INDEX($V$1005:$AE$1005,1,MATCH(COLUMNS($V$1006:Z1006),$V$1006:$AE$1006,0))&gt;=100000), " ",IF(INDEX($V$2:$AE$1001,MATCH(ROWS($O$2:O826),$O$2:$O$1001,0),MATCH(COLUMNS($V$1006:Z1006),$V$1006:$AE$1006,0)), HYPERLINK("#",""), HYPERLINK(CONCATENATE("#Metadata!", ADDRESS(INDEX($Q$2:$Q$1001,MATCH(ROWS($O$2:O826),$O$2:$O$1001,0),0), INDEX($V$1004:$AE$1004,1,MATCH(COLUMNS($V$1006:Z1006),$V$1006:$AE$1006,0)))),"Fix")))</f>
        <v>0</v>
      </c>
      <c r="G826" s="3">
        <f>IF(OR(INDEX($P$2:$P$1001,MATCH(ROWS($O$2:O826),$O$2:$O$1001,0),1)&gt;=100000,INDEX($V$1005:$AE$1005,1,MATCH(COLUMNS($V$1006:AA1006),$V$1006:$AE$1006,0))&gt;=100000), " ",IF(INDEX($V$2:$AE$1001,MATCH(ROWS($O$2:O826),$O$2:$O$1001,0),MATCH(COLUMNS($V$1006:AA1006),$V$1006:$AE$1006,0)), HYPERLINK("#",""), HYPERLINK(CONCATENATE("#Metadata!", ADDRESS(INDEX($Q$2:$Q$1001,MATCH(ROWS($O$2:O826),$O$2:$O$1001,0),0), INDEX($V$1004:$AE$1004,1,MATCH(COLUMNS($V$1006:AA1006),$V$1006:$AE$1006,0)))),"Fix")))</f>
        <v>0</v>
      </c>
      <c r="H826" s="3">
        <f>IF(OR(INDEX($P$2:$P$1001,MATCH(ROWS($O$2:O826),$O$2:$O$1001,0),1)&gt;=100000,INDEX($V$1005:$AE$1005,1,MATCH(COLUMNS($V$1006:AB1006),$V$1006:$AE$1006,0))&gt;=100000), " ",IF(INDEX($V$2:$AE$1001,MATCH(ROWS($O$2:O826),$O$2:$O$1001,0),MATCH(COLUMNS($V$1006:AB1006),$V$1006:$AE$1006,0)), HYPERLINK("#",""), HYPERLINK(CONCATENATE("#Metadata!", ADDRESS(INDEX($Q$2:$Q$1001,MATCH(ROWS($O$2:O826),$O$2:$O$1001,0),0), INDEX($V$1004:$AE$1004,1,MATCH(COLUMNS($V$1006:AB1006),$V$1006:$AE$1006,0)))),"Fix")))</f>
        <v>0</v>
      </c>
      <c r="I826" s="3">
        <f>IF(OR(INDEX($P$2:$P$1001,MATCH(ROWS($O$2:O826),$O$2:$O$1001,0),1)&gt;=100000,INDEX($V$1005:$AE$1005,1,MATCH(COLUMNS($V$1006:AC1006),$V$1006:$AE$1006,0))&gt;=100000), " ",IF(INDEX($V$2:$AE$1001,MATCH(ROWS($O$2:O826),$O$2:$O$1001,0),MATCH(COLUMNS($V$1006:AC1006),$V$1006:$AE$1006,0)), HYPERLINK("#",""), HYPERLINK(CONCATENATE("#Metadata!", ADDRESS(INDEX($Q$2:$Q$1001,MATCH(ROWS($O$2:O826),$O$2:$O$1001,0),0), INDEX($V$1004:$AE$1004,1,MATCH(COLUMNS($V$1006:AC1006),$V$1006:$AE$1006,0)))),"Fix")))</f>
        <v>0</v>
      </c>
      <c r="J826" s="3">
        <f>IF(OR(INDEX($P$2:$P$1001,MATCH(ROWS($O$2:O826),$O$2:$O$1001,0),1)&gt;=100000,INDEX($V$1005:$AE$1005,1,MATCH(COLUMNS($V$1006:AD1006),$V$1006:$AE$1006,0))&gt;=100000), " ",IF(INDEX($V$2:$AE$1001,MATCH(ROWS($O$2:O826),$O$2:$O$1001,0),MATCH(COLUMNS($V$1006:AD1006),$V$1006:$AE$1006,0)), HYPERLINK("#",""), HYPERLINK(CONCATENATE("#Metadata!", ADDRESS(INDEX($Q$2:$Q$1001,MATCH(ROWS($O$2:O826),$O$2:$O$1001,0),0), INDEX($V$1004:$AE$1004,1,MATCH(COLUMNS($V$1006:AD1006),$V$1006:$AE$1006,0)))),"Fix")))</f>
        <v>0</v>
      </c>
      <c r="K826" s="3">
        <f>IF(OR(INDEX($P$2:$P$1001,MATCH(ROWS($O$2:O826),$O$2:$O$1001,0),1)&gt;=100000,INDEX($V$1005:$AE$1005,1,MATCH(COLUMNS($V$1006:AE1006),$V$1006:$AE$1006,0))&gt;=100000), " ",IF(INDEX($V$2:$AE$1001,MATCH(ROWS($O$2:O826),$O$2:$O$1001,0),MATCH(COLUMNS($V$1006:AE1006),$V$1006:$AE$1006,0)), HYPERLINK("#",""), HYPERLINK(CONCATENATE("#Metadata!", ADDRESS(INDEX($Q$2:$Q$1001,MATCH(ROWS($O$2:O826),$O$2:$O$1001,0),0), INDEX($V$1004:$AE$1004,1,MATCH(COLUMNS($V$1006:AE1006),$V$1006:$AE$1006,0)))),"Fix")))</f>
        <v>0</v>
      </c>
      <c r="O826">
        <v>0</v>
      </c>
      <c r="P826">
        <v>0</v>
      </c>
      <c r="Q826">
        <v>0</v>
      </c>
      <c r="R826">
        <f>IF(S826,TRUE,AND(V826:AE826))</f>
        <v>0</v>
      </c>
      <c r="S826">
        <f>COUNTBLANK(Metadata!B826:K826)=COLUMNS(Metadata!B826:K826)</f>
        <v>0</v>
      </c>
      <c r="T826">
        <v>0</v>
      </c>
      <c r="V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W826">
        <f>AND(IF(Metadata!C826="",FALSE,TRUE),exact(Metadata!C826,"animal secretion"))</f>
        <v>0</v>
      </c>
      <c r="X826">
        <f>AND(IF(Metadata!D826="",FALSE,TRUE),exact(Metadata!D826,"saliva"))</f>
        <v>0</v>
      </c>
      <c r="Y826">
        <f>AND(IF(Metadata!E826="",FALSE,TRUE),exact(Metadata!E826,"human-oral"))</f>
        <v>0</v>
      </c>
      <c r="Z826">
        <f>AND(IF(Metadata!F826="",FALSE,TRUE),exact(Metadata!F826,"UBERON:oral cavity"))</f>
        <v>0</v>
      </c>
      <c r="AA826">
        <f>AND(IF(Metadata!G826="",FALSE,TRUE),exact(Metadata!G826,"UBERON:saliva"))</f>
        <v>0</v>
      </c>
      <c r="AB826">
        <f>AND(IF(Metadata!H826="",FALSE,TRUE),exact(Metadata!H826,"UBERON:tongue"))</f>
        <v>0</v>
      </c>
      <c r="AC826">
        <f>AND(IF(Metadata!I826="",FALSE,TRUE),exact(Metadata!I826,"tongue"))</f>
        <v>0</v>
      </c>
      <c r="AD826">
        <f>AND(IF(Metadata!J826="",FALSE,TRUE),exact(Metadata!J826,"human oral metagenome"))</f>
        <v>0</v>
      </c>
      <c r="AE826">
        <f>AND(IF(Metadata!K826="",FALSE,TRUE),exact(Metadata!K826,"447426"))</f>
        <v>0</v>
      </c>
    </row>
    <row r="827" spans="1:31">
      <c r="A827" s="4">
        <f>IF(B827=" "," ",HYPERLINK(CONCATENATE("#metadata!",ADDRESS(INDEX($Q$2:$Q$1001,MATCH(ROWS($O$2:O827),$O$2:$O$1001,0),0),1)),INDEX($T$2:$T$1001,MATCH(ROWS($O$2:O827),$O$2:$O$1001,0),0)))</f>
        <v>0</v>
      </c>
      <c r="B827" s="3">
        <f>IF(OR(INDEX($P$2:$P$1001,MATCH(ROWS($O$2:O827),$O$2:$O$1001,0),1)&gt;=100000,INDEX($V$1005:$AE$1005,1,MATCH(COLUMNS($V$1006:V1006),$V$1006:$AE$1006,0))&gt;=100000), " ",IF(INDEX($V$2:$AE$1001,MATCH(ROWS($O$2:O827),$O$2:$O$1001,0),MATCH(COLUMNS($V$1006:V1006),$V$1006:$AE$1006,0)), HYPERLINK("#",""), HYPERLINK(CONCATENATE("#Metadata!", ADDRESS(INDEX($Q$2:$Q$1001,MATCH(ROWS($O$2:O827),$O$2:$O$1001,0),0), INDEX($V$1004:$AE$1004,1,MATCH(COLUMNS($V$1006:V1006),$V$1006:$AE$1006,0)))),"Fix")))</f>
        <v>0</v>
      </c>
      <c r="C827" s="3">
        <f>IF(OR(INDEX($P$2:$P$1001,MATCH(ROWS($O$2:O827),$O$2:$O$1001,0),1)&gt;=100000,INDEX($V$1005:$AE$1005,1,MATCH(COLUMNS($V$1006:W1006),$V$1006:$AE$1006,0))&gt;=100000), " ",IF(INDEX($V$2:$AE$1001,MATCH(ROWS($O$2:O827),$O$2:$O$1001,0),MATCH(COLUMNS($V$1006:W1006),$V$1006:$AE$1006,0)), HYPERLINK("#",""), HYPERLINK(CONCATENATE("#Metadata!", ADDRESS(INDEX($Q$2:$Q$1001,MATCH(ROWS($O$2:O827),$O$2:$O$1001,0),0), INDEX($V$1004:$AE$1004,1,MATCH(COLUMNS($V$1006:W1006),$V$1006:$AE$1006,0)))),"Fix")))</f>
        <v>0</v>
      </c>
      <c r="D827" s="3">
        <f>IF(OR(INDEX($P$2:$P$1001,MATCH(ROWS($O$2:O827),$O$2:$O$1001,0),1)&gt;=100000,INDEX($V$1005:$AE$1005,1,MATCH(COLUMNS($V$1006:X1006),$V$1006:$AE$1006,0))&gt;=100000), " ",IF(INDEX($V$2:$AE$1001,MATCH(ROWS($O$2:O827),$O$2:$O$1001,0),MATCH(COLUMNS($V$1006:X1006),$V$1006:$AE$1006,0)), HYPERLINK("#",""), HYPERLINK(CONCATENATE("#Metadata!", ADDRESS(INDEX($Q$2:$Q$1001,MATCH(ROWS($O$2:O827),$O$2:$O$1001,0),0), INDEX($V$1004:$AE$1004,1,MATCH(COLUMNS($V$1006:X1006),$V$1006:$AE$1006,0)))),"Fix")))</f>
        <v>0</v>
      </c>
      <c r="E827" s="3">
        <f>IF(OR(INDEX($P$2:$P$1001,MATCH(ROWS($O$2:O827),$O$2:$O$1001,0),1)&gt;=100000,INDEX($V$1005:$AE$1005,1,MATCH(COLUMNS($V$1006:Y1006),$V$1006:$AE$1006,0))&gt;=100000), " ",IF(INDEX($V$2:$AE$1001,MATCH(ROWS($O$2:O827),$O$2:$O$1001,0),MATCH(COLUMNS($V$1006:Y1006),$V$1006:$AE$1006,0)), HYPERLINK("#",""), HYPERLINK(CONCATENATE("#Metadata!", ADDRESS(INDEX($Q$2:$Q$1001,MATCH(ROWS($O$2:O827),$O$2:$O$1001,0),0), INDEX($V$1004:$AE$1004,1,MATCH(COLUMNS($V$1006:Y1006),$V$1006:$AE$1006,0)))),"Fix")))</f>
        <v>0</v>
      </c>
      <c r="F827" s="3">
        <f>IF(OR(INDEX($P$2:$P$1001,MATCH(ROWS($O$2:O827),$O$2:$O$1001,0),1)&gt;=100000,INDEX($V$1005:$AE$1005,1,MATCH(COLUMNS($V$1006:Z1006),$V$1006:$AE$1006,0))&gt;=100000), " ",IF(INDEX($V$2:$AE$1001,MATCH(ROWS($O$2:O827),$O$2:$O$1001,0),MATCH(COLUMNS($V$1006:Z1006),$V$1006:$AE$1006,0)), HYPERLINK("#",""), HYPERLINK(CONCATENATE("#Metadata!", ADDRESS(INDEX($Q$2:$Q$1001,MATCH(ROWS($O$2:O827),$O$2:$O$1001,0),0), INDEX($V$1004:$AE$1004,1,MATCH(COLUMNS($V$1006:Z1006),$V$1006:$AE$1006,0)))),"Fix")))</f>
        <v>0</v>
      </c>
      <c r="G827" s="3">
        <f>IF(OR(INDEX($P$2:$P$1001,MATCH(ROWS($O$2:O827),$O$2:$O$1001,0),1)&gt;=100000,INDEX($V$1005:$AE$1005,1,MATCH(COLUMNS($V$1006:AA1006),$V$1006:$AE$1006,0))&gt;=100000), " ",IF(INDEX($V$2:$AE$1001,MATCH(ROWS($O$2:O827),$O$2:$O$1001,0),MATCH(COLUMNS($V$1006:AA1006),$V$1006:$AE$1006,0)), HYPERLINK("#",""), HYPERLINK(CONCATENATE("#Metadata!", ADDRESS(INDEX($Q$2:$Q$1001,MATCH(ROWS($O$2:O827),$O$2:$O$1001,0),0), INDEX($V$1004:$AE$1004,1,MATCH(COLUMNS($V$1006:AA1006),$V$1006:$AE$1006,0)))),"Fix")))</f>
        <v>0</v>
      </c>
      <c r="H827" s="3">
        <f>IF(OR(INDEX($P$2:$P$1001,MATCH(ROWS($O$2:O827),$O$2:$O$1001,0),1)&gt;=100000,INDEX($V$1005:$AE$1005,1,MATCH(COLUMNS($V$1006:AB1006),$V$1006:$AE$1006,0))&gt;=100000), " ",IF(INDEX($V$2:$AE$1001,MATCH(ROWS($O$2:O827),$O$2:$O$1001,0),MATCH(COLUMNS($V$1006:AB1006),$V$1006:$AE$1006,0)), HYPERLINK("#",""), HYPERLINK(CONCATENATE("#Metadata!", ADDRESS(INDEX($Q$2:$Q$1001,MATCH(ROWS($O$2:O827),$O$2:$O$1001,0),0), INDEX($V$1004:$AE$1004,1,MATCH(COLUMNS($V$1006:AB1006),$V$1006:$AE$1006,0)))),"Fix")))</f>
        <v>0</v>
      </c>
      <c r="I827" s="3">
        <f>IF(OR(INDEX($P$2:$P$1001,MATCH(ROWS($O$2:O827),$O$2:$O$1001,0),1)&gt;=100000,INDEX($V$1005:$AE$1005,1,MATCH(COLUMNS($V$1006:AC1006),$V$1006:$AE$1006,0))&gt;=100000), " ",IF(INDEX($V$2:$AE$1001,MATCH(ROWS($O$2:O827),$O$2:$O$1001,0),MATCH(COLUMNS($V$1006:AC1006),$V$1006:$AE$1006,0)), HYPERLINK("#",""), HYPERLINK(CONCATENATE("#Metadata!", ADDRESS(INDEX($Q$2:$Q$1001,MATCH(ROWS($O$2:O827),$O$2:$O$1001,0),0), INDEX($V$1004:$AE$1004,1,MATCH(COLUMNS($V$1006:AC1006),$V$1006:$AE$1006,0)))),"Fix")))</f>
        <v>0</v>
      </c>
      <c r="J827" s="3">
        <f>IF(OR(INDEX($P$2:$P$1001,MATCH(ROWS($O$2:O827),$O$2:$O$1001,0),1)&gt;=100000,INDEX($V$1005:$AE$1005,1,MATCH(COLUMNS($V$1006:AD1006),$V$1006:$AE$1006,0))&gt;=100000), " ",IF(INDEX($V$2:$AE$1001,MATCH(ROWS($O$2:O827),$O$2:$O$1001,0),MATCH(COLUMNS($V$1006:AD1006),$V$1006:$AE$1006,0)), HYPERLINK("#",""), HYPERLINK(CONCATENATE("#Metadata!", ADDRESS(INDEX($Q$2:$Q$1001,MATCH(ROWS($O$2:O827),$O$2:$O$1001,0),0), INDEX($V$1004:$AE$1004,1,MATCH(COLUMNS($V$1006:AD1006),$V$1006:$AE$1006,0)))),"Fix")))</f>
        <v>0</v>
      </c>
      <c r="K827" s="3">
        <f>IF(OR(INDEX($P$2:$P$1001,MATCH(ROWS($O$2:O827),$O$2:$O$1001,0),1)&gt;=100000,INDEX($V$1005:$AE$1005,1,MATCH(COLUMNS($V$1006:AE1006),$V$1006:$AE$1006,0))&gt;=100000), " ",IF(INDEX($V$2:$AE$1001,MATCH(ROWS($O$2:O827),$O$2:$O$1001,0),MATCH(COLUMNS($V$1006:AE1006),$V$1006:$AE$1006,0)), HYPERLINK("#",""), HYPERLINK(CONCATENATE("#Metadata!", ADDRESS(INDEX($Q$2:$Q$1001,MATCH(ROWS($O$2:O827),$O$2:$O$1001,0),0), INDEX($V$1004:$AE$1004,1,MATCH(COLUMNS($V$1006:AE1006),$V$1006:$AE$1006,0)))),"Fix")))</f>
        <v>0</v>
      </c>
      <c r="O827">
        <v>0</v>
      </c>
      <c r="P827">
        <v>0</v>
      </c>
      <c r="Q827">
        <v>0</v>
      </c>
      <c r="R827">
        <f>IF(S827,TRUE,AND(V827:AE827))</f>
        <v>0</v>
      </c>
      <c r="S827">
        <f>COUNTBLANK(Metadata!B827:K827)=COLUMNS(Metadata!B827:K827)</f>
        <v>0</v>
      </c>
      <c r="T827">
        <v>0</v>
      </c>
      <c r="V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W827">
        <f>AND(IF(Metadata!C827="",FALSE,TRUE),exact(Metadata!C827,"animal secretion"))</f>
        <v>0</v>
      </c>
      <c r="X827">
        <f>AND(IF(Metadata!D827="",FALSE,TRUE),exact(Metadata!D827,"saliva"))</f>
        <v>0</v>
      </c>
      <c r="Y827">
        <f>AND(IF(Metadata!E827="",FALSE,TRUE),exact(Metadata!E827,"human-oral"))</f>
        <v>0</v>
      </c>
      <c r="Z827">
        <f>AND(IF(Metadata!F827="",FALSE,TRUE),exact(Metadata!F827,"UBERON:oral cavity"))</f>
        <v>0</v>
      </c>
      <c r="AA827">
        <f>AND(IF(Metadata!G827="",FALSE,TRUE),exact(Metadata!G827,"UBERON:saliva"))</f>
        <v>0</v>
      </c>
      <c r="AB827">
        <f>AND(IF(Metadata!H827="",FALSE,TRUE),exact(Metadata!H827,"UBERON:tongue"))</f>
        <v>0</v>
      </c>
      <c r="AC827">
        <f>AND(IF(Metadata!I827="",FALSE,TRUE),exact(Metadata!I827,"tongue"))</f>
        <v>0</v>
      </c>
      <c r="AD827">
        <f>AND(IF(Metadata!J827="",FALSE,TRUE),exact(Metadata!J827,"human oral metagenome"))</f>
        <v>0</v>
      </c>
      <c r="AE827">
        <f>AND(IF(Metadata!K827="",FALSE,TRUE),exact(Metadata!K827,"447426"))</f>
        <v>0</v>
      </c>
    </row>
    <row r="828" spans="1:31">
      <c r="A828" s="4">
        <f>IF(B828=" "," ",HYPERLINK(CONCATENATE("#metadata!",ADDRESS(INDEX($Q$2:$Q$1001,MATCH(ROWS($O$2:O828),$O$2:$O$1001,0),0),1)),INDEX($T$2:$T$1001,MATCH(ROWS($O$2:O828),$O$2:$O$1001,0),0)))</f>
        <v>0</v>
      </c>
      <c r="B828" s="3">
        <f>IF(OR(INDEX($P$2:$P$1001,MATCH(ROWS($O$2:O828),$O$2:$O$1001,0),1)&gt;=100000,INDEX($V$1005:$AE$1005,1,MATCH(COLUMNS($V$1006:V1006),$V$1006:$AE$1006,0))&gt;=100000), " ",IF(INDEX($V$2:$AE$1001,MATCH(ROWS($O$2:O828),$O$2:$O$1001,0),MATCH(COLUMNS($V$1006:V1006),$V$1006:$AE$1006,0)), HYPERLINK("#",""), HYPERLINK(CONCATENATE("#Metadata!", ADDRESS(INDEX($Q$2:$Q$1001,MATCH(ROWS($O$2:O828),$O$2:$O$1001,0),0), INDEX($V$1004:$AE$1004,1,MATCH(COLUMNS($V$1006:V1006),$V$1006:$AE$1006,0)))),"Fix")))</f>
        <v>0</v>
      </c>
      <c r="C828" s="3">
        <f>IF(OR(INDEX($P$2:$P$1001,MATCH(ROWS($O$2:O828),$O$2:$O$1001,0),1)&gt;=100000,INDEX($V$1005:$AE$1005,1,MATCH(COLUMNS($V$1006:W1006),$V$1006:$AE$1006,0))&gt;=100000), " ",IF(INDEX($V$2:$AE$1001,MATCH(ROWS($O$2:O828),$O$2:$O$1001,0),MATCH(COLUMNS($V$1006:W1006),$V$1006:$AE$1006,0)), HYPERLINK("#",""), HYPERLINK(CONCATENATE("#Metadata!", ADDRESS(INDEX($Q$2:$Q$1001,MATCH(ROWS($O$2:O828),$O$2:$O$1001,0),0), INDEX($V$1004:$AE$1004,1,MATCH(COLUMNS($V$1006:W1006),$V$1006:$AE$1006,0)))),"Fix")))</f>
        <v>0</v>
      </c>
      <c r="D828" s="3">
        <f>IF(OR(INDEX($P$2:$P$1001,MATCH(ROWS($O$2:O828),$O$2:$O$1001,0),1)&gt;=100000,INDEX($V$1005:$AE$1005,1,MATCH(COLUMNS($V$1006:X1006),$V$1006:$AE$1006,0))&gt;=100000), " ",IF(INDEX($V$2:$AE$1001,MATCH(ROWS($O$2:O828),$O$2:$O$1001,0),MATCH(COLUMNS($V$1006:X1006),$V$1006:$AE$1006,0)), HYPERLINK("#",""), HYPERLINK(CONCATENATE("#Metadata!", ADDRESS(INDEX($Q$2:$Q$1001,MATCH(ROWS($O$2:O828),$O$2:$O$1001,0),0), INDEX($V$1004:$AE$1004,1,MATCH(COLUMNS($V$1006:X1006),$V$1006:$AE$1006,0)))),"Fix")))</f>
        <v>0</v>
      </c>
      <c r="E828" s="3">
        <f>IF(OR(INDEX($P$2:$P$1001,MATCH(ROWS($O$2:O828),$O$2:$O$1001,0),1)&gt;=100000,INDEX($V$1005:$AE$1005,1,MATCH(COLUMNS($V$1006:Y1006),$V$1006:$AE$1006,0))&gt;=100000), " ",IF(INDEX($V$2:$AE$1001,MATCH(ROWS($O$2:O828),$O$2:$O$1001,0),MATCH(COLUMNS($V$1006:Y1006),$V$1006:$AE$1006,0)), HYPERLINK("#",""), HYPERLINK(CONCATENATE("#Metadata!", ADDRESS(INDEX($Q$2:$Q$1001,MATCH(ROWS($O$2:O828),$O$2:$O$1001,0),0), INDEX($V$1004:$AE$1004,1,MATCH(COLUMNS($V$1006:Y1006),$V$1006:$AE$1006,0)))),"Fix")))</f>
        <v>0</v>
      </c>
      <c r="F828" s="3">
        <f>IF(OR(INDEX($P$2:$P$1001,MATCH(ROWS($O$2:O828),$O$2:$O$1001,0),1)&gt;=100000,INDEX($V$1005:$AE$1005,1,MATCH(COLUMNS($V$1006:Z1006),$V$1006:$AE$1006,0))&gt;=100000), " ",IF(INDEX($V$2:$AE$1001,MATCH(ROWS($O$2:O828),$O$2:$O$1001,0),MATCH(COLUMNS($V$1006:Z1006),$V$1006:$AE$1006,0)), HYPERLINK("#",""), HYPERLINK(CONCATENATE("#Metadata!", ADDRESS(INDEX($Q$2:$Q$1001,MATCH(ROWS($O$2:O828),$O$2:$O$1001,0),0), INDEX($V$1004:$AE$1004,1,MATCH(COLUMNS($V$1006:Z1006),$V$1006:$AE$1006,0)))),"Fix")))</f>
        <v>0</v>
      </c>
      <c r="G828" s="3">
        <f>IF(OR(INDEX($P$2:$P$1001,MATCH(ROWS($O$2:O828),$O$2:$O$1001,0),1)&gt;=100000,INDEX($V$1005:$AE$1005,1,MATCH(COLUMNS($V$1006:AA1006),$V$1006:$AE$1006,0))&gt;=100000), " ",IF(INDEX($V$2:$AE$1001,MATCH(ROWS($O$2:O828),$O$2:$O$1001,0),MATCH(COLUMNS($V$1006:AA1006),$V$1006:$AE$1006,0)), HYPERLINK("#",""), HYPERLINK(CONCATENATE("#Metadata!", ADDRESS(INDEX($Q$2:$Q$1001,MATCH(ROWS($O$2:O828),$O$2:$O$1001,0),0), INDEX($V$1004:$AE$1004,1,MATCH(COLUMNS($V$1006:AA1006),$V$1006:$AE$1006,0)))),"Fix")))</f>
        <v>0</v>
      </c>
      <c r="H828" s="3">
        <f>IF(OR(INDEX($P$2:$P$1001,MATCH(ROWS($O$2:O828),$O$2:$O$1001,0),1)&gt;=100000,INDEX($V$1005:$AE$1005,1,MATCH(COLUMNS($V$1006:AB1006),$V$1006:$AE$1006,0))&gt;=100000), " ",IF(INDEX($V$2:$AE$1001,MATCH(ROWS($O$2:O828),$O$2:$O$1001,0),MATCH(COLUMNS($V$1006:AB1006),$V$1006:$AE$1006,0)), HYPERLINK("#",""), HYPERLINK(CONCATENATE("#Metadata!", ADDRESS(INDEX($Q$2:$Q$1001,MATCH(ROWS($O$2:O828),$O$2:$O$1001,0),0), INDEX($V$1004:$AE$1004,1,MATCH(COLUMNS($V$1006:AB1006),$V$1006:$AE$1006,0)))),"Fix")))</f>
        <v>0</v>
      </c>
      <c r="I828" s="3">
        <f>IF(OR(INDEX($P$2:$P$1001,MATCH(ROWS($O$2:O828),$O$2:$O$1001,0),1)&gt;=100000,INDEX($V$1005:$AE$1005,1,MATCH(COLUMNS($V$1006:AC1006),$V$1006:$AE$1006,0))&gt;=100000), " ",IF(INDEX($V$2:$AE$1001,MATCH(ROWS($O$2:O828),$O$2:$O$1001,0),MATCH(COLUMNS($V$1006:AC1006),$V$1006:$AE$1006,0)), HYPERLINK("#",""), HYPERLINK(CONCATENATE("#Metadata!", ADDRESS(INDEX($Q$2:$Q$1001,MATCH(ROWS($O$2:O828),$O$2:$O$1001,0),0), INDEX($V$1004:$AE$1004,1,MATCH(COLUMNS($V$1006:AC1006),$V$1006:$AE$1006,0)))),"Fix")))</f>
        <v>0</v>
      </c>
      <c r="J828" s="3">
        <f>IF(OR(INDEX($P$2:$P$1001,MATCH(ROWS($O$2:O828),$O$2:$O$1001,0),1)&gt;=100000,INDEX($V$1005:$AE$1005,1,MATCH(COLUMNS($V$1006:AD1006),$V$1006:$AE$1006,0))&gt;=100000), " ",IF(INDEX($V$2:$AE$1001,MATCH(ROWS($O$2:O828),$O$2:$O$1001,0),MATCH(COLUMNS($V$1006:AD1006),$V$1006:$AE$1006,0)), HYPERLINK("#",""), HYPERLINK(CONCATENATE("#Metadata!", ADDRESS(INDEX($Q$2:$Q$1001,MATCH(ROWS($O$2:O828),$O$2:$O$1001,0),0), INDEX($V$1004:$AE$1004,1,MATCH(COLUMNS($V$1006:AD1006),$V$1006:$AE$1006,0)))),"Fix")))</f>
        <v>0</v>
      </c>
      <c r="K828" s="3">
        <f>IF(OR(INDEX($P$2:$P$1001,MATCH(ROWS($O$2:O828),$O$2:$O$1001,0),1)&gt;=100000,INDEX($V$1005:$AE$1005,1,MATCH(COLUMNS($V$1006:AE1006),$V$1006:$AE$1006,0))&gt;=100000), " ",IF(INDEX($V$2:$AE$1001,MATCH(ROWS($O$2:O828),$O$2:$O$1001,0),MATCH(COLUMNS($V$1006:AE1006),$V$1006:$AE$1006,0)), HYPERLINK("#",""), HYPERLINK(CONCATENATE("#Metadata!", ADDRESS(INDEX($Q$2:$Q$1001,MATCH(ROWS($O$2:O828),$O$2:$O$1001,0),0), INDEX($V$1004:$AE$1004,1,MATCH(COLUMNS($V$1006:AE1006),$V$1006:$AE$1006,0)))),"Fix")))</f>
        <v>0</v>
      </c>
      <c r="O828">
        <v>0</v>
      </c>
      <c r="P828">
        <v>0</v>
      </c>
      <c r="Q828">
        <v>0</v>
      </c>
      <c r="R828">
        <f>IF(S828,TRUE,AND(V828:AE828))</f>
        <v>0</v>
      </c>
      <c r="S828">
        <f>COUNTBLANK(Metadata!B828:K828)=COLUMNS(Metadata!B828:K828)</f>
        <v>0</v>
      </c>
      <c r="T828">
        <v>0</v>
      </c>
      <c r="V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W828">
        <f>AND(IF(Metadata!C828="",FALSE,TRUE),exact(Metadata!C828,"animal secretion"))</f>
        <v>0</v>
      </c>
      <c r="X828">
        <f>AND(IF(Metadata!D828="",FALSE,TRUE),exact(Metadata!D828,"saliva"))</f>
        <v>0</v>
      </c>
      <c r="Y828">
        <f>AND(IF(Metadata!E828="",FALSE,TRUE),exact(Metadata!E828,"human-oral"))</f>
        <v>0</v>
      </c>
      <c r="Z828">
        <f>AND(IF(Metadata!F828="",FALSE,TRUE),exact(Metadata!F828,"UBERON:oral cavity"))</f>
        <v>0</v>
      </c>
      <c r="AA828">
        <f>AND(IF(Metadata!G828="",FALSE,TRUE),exact(Metadata!G828,"UBERON:saliva"))</f>
        <v>0</v>
      </c>
      <c r="AB828">
        <f>AND(IF(Metadata!H828="",FALSE,TRUE),exact(Metadata!H828,"UBERON:tongue"))</f>
        <v>0</v>
      </c>
      <c r="AC828">
        <f>AND(IF(Metadata!I828="",FALSE,TRUE),exact(Metadata!I828,"tongue"))</f>
        <v>0</v>
      </c>
      <c r="AD828">
        <f>AND(IF(Metadata!J828="",FALSE,TRUE),exact(Metadata!J828,"human oral metagenome"))</f>
        <v>0</v>
      </c>
      <c r="AE828">
        <f>AND(IF(Metadata!K828="",FALSE,TRUE),exact(Metadata!K828,"447426"))</f>
        <v>0</v>
      </c>
    </row>
    <row r="829" spans="1:31">
      <c r="A829" s="4">
        <f>IF(B829=" "," ",HYPERLINK(CONCATENATE("#metadata!",ADDRESS(INDEX($Q$2:$Q$1001,MATCH(ROWS($O$2:O829),$O$2:$O$1001,0),0),1)),INDEX($T$2:$T$1001,MATCH(ROWS($O$2:O829),$O$2:$O$1001,0),0)))</f>
        <v>0</v>
      </c>
      <c r="B829" s="3">
        <f>IF(OR(INDEX($P$2:$P$1001,MATCH(ROWS($O$2:O829),$O$2:$O$1001,0),1)&gt;=100000,INDEX($V$1005:$AE$1005,1,MATCH(COLUMNS($V$1006:V1006),$V$1006:$AE$1006,0))&gt;=100000), " ",IF(INDEX($V$2:$AE$1001,MATCH(ROWS($O$2:O829),$O$2:$O$1001,0),MATCH(COLUMNS($V$1006:V1006),$V$1006:$AE$1006,0)), HYPERLINK("#",""), HYPERLINK(CONCATENATE("#Metadata!", ADDRESS(INDEX($Q$2:$Q$1001,MATCH(ROWS($O$2:O829),$O$2:$O$1001,0),0), INDEX($V$1004:$AE$1004,1,MATCH(COLUMNS($V$1006:V1006),$V$1006:$AE$1006,0)))),"Fix")))</f>
        <v>0</v>
      </c>
      <c r="C829" s="3">
        <f>IF(OR(INDEX($P$2:$P$1001,MATCH(ROWS($O$2:O829),$O$2:$O$1001,0),1)&gt;=100000,INDEX($V$1005:$AE$1005,1,MATCH(COLUMNS($V$1006:W1006),$V$1006:$AE$1006,0))&gt;=100000), " ",IF(INDEX($V$2:$AE$1001,MATCH(ROWS($O$2:O829),$O$2:$O$1001,0),MATCH(COLUMNS($V$1006:W1006),$V$1006:$AE$1006,0)), HYPERLINK("#",""), HYPERLINK(CONCATENATE("#Metadata!", ADDRESS(INDEX($Q$2:$Q$1001,MATCH(ROWS($O$2:O829),$O$2:$O$1001,0),0), INDEX($V$1004:$AE$1004,1,MATCH(COLUMNS($V$1006:W1006),$V$1006:$AE$1006,0)))),"Fix")))</f>
        <v>0</v>
      </c>
      <c r="D829" s="3">
        <f>IF(OR(INDEX($P$2:$P$1001,MATCH(ROWS($O$2:O829),$O$2:$O$1001,0),1)&gt;=100000,INDEX($V$1005:$AE$1005,1,MATCH(COLUMNS($V$1006:X1006),$V$1006:$AE$1006,0))&gt;=100000), " ",IF(INDEX($V$2:$AE$1001,MATCH(ROWS($O$2:O829),$O$2:$O$1001,0),MATCH(COLUMNS($V$1006:X1006),$V$1006:$AE$1006,0)), HYPERLINK("#",""), HYPERLINK(CONCATENATE("#Metadata!", ADDRESS(INDEX($Q$2:$Q$1001,MATCH(ROWS($O$2:O829),$O$2:$O$1001,0),0), INDEX($V$1004:$AE$1004,1,MATCH(COLUMNS($V$1006:X1006),$V$1006:$AE$1006,0)))),"Fix")))</f>
        <v>0</v>
      </c>
      <c r="E829" s="3">
        <f>IF(OR(INDEX($P$2:$P$1001,MATCH(ROWS($O$2:O829),$O$2:$O$1001,0),1)&gt;=100000,INDEX($V$1005:$AE$1005,1,MATCH(COLUMNS($V$1006:Y1006),$V$1006:$AE$1006,0))&gt;=100000), " ",IF(INDEX($V$2:$AE$1001,MATCH(ROWS($O$2:O829),$O$2:$O$1001,0),MATCH(COLUMNS($V$1006:Y1006),$V$1006:$AE$1006,0)), HYPERLINK("#",""), HYPERLINK(CONCATENATE("#Metadata!", ADDRESS(INDEX($Q$2:$Q$1001,MATCH(ROWS($O$2:O829),$O$2:$O$1001,0),0), INDEX($V$1004:$AE$1004,1,MATCH(COLUMNS($V$1006:Y1006),$V$1006:$AE$1006,0)))),"Fix")))</f>
        <v>0</v>
      </c>
      <c r="F829" s="3">
        <f>IF(OR(INDEX($P$2:$P$1001,MATCH(ROWS($O$2:O829),$O$2:$O$1001,0),1)&gt;=100000,INDEX($V$1005:$AE$1005,1,MATCH(COLUMNS($V$1006:Z1006),$V$1006:$AE$1006,0))&gt;=100000), " ",IF(INDEX($V$2:$AE$1001,MATCH(ROWS($O$2:O829),$O$2:$O$1001,0),MATCH(COLUMNS($V$1006:Z1006),$V$1006:$AE$1006,0)), HYPERLINK("#",""), HYPERLINK(CONCATENATE("#Metadata!", ADDRESS(INDEX($Q$2:$Q$1001,MATCH(ROWS($O$2:O829),$O$2:$O$1001,0),0), INDEX($V$1004:$AE$1004,1,MATCH(COLUMNS($V$1006:Z1006),$V$1006:$AE$1006,0)))),"Fix")))</f>
        <v>0</v>
      </c>
      <c r="G829" s="3">
        <f>IF(OR(INDEX($P$2:$P$1001,MATCH(ROWS($O$2:O829),$O$2:$O$1001,0),1)&gt;=100000,INDEX($V$1005:$AE$1005,1,MATCH(COLUMNS($V$1006:AA1006),$V$1006:$AE$1006,0))&gt;=100000), " ",IF(INDEX($V$2:$AE$1001,MATCH(ROWS($O$2:O829),$O$2:$O$1001,0),MATCH(COLUMNS($V$1006:AA1006),$V$1006:$AE$1006,0)), HYPERLINK("#",""), HYPERLINK(CONCATENATE("#Metadata!", ADDRESS(INDEX($Q$2:$Q$1001,MATCH(ROWS($O$2:O829),$O$2:$O$1001,0),0), INDEX($V$1004:$AE$1004,1,MATCH(COLUMNS($V$1006:AA1006),$V$1006:$AE$1006,0)))),"Fix")))</f>
        <v>0</v>
      </c>
      <c r="H829" s="3">
        <f>IF(OR(INDEX($P$2:$P$1001,MATCH(ROWS($O$2:O829),$O$2:$O$1001,0),1)&gt;=100000,INDEX($V$1005:$AE$1005,1,MATCH(COLUMNS($V$1006:AB1006),$V$1006:$AE$1006,0))&gt;=100000), " ",IF(INDEX($V$2:$AE$1001,MATCH(ROWS($O$2:O829),$O$2:$O$1001,0),MATCH(COLUMNS($V$1006:AB1006),$V$1006:$AE$1006,0)), HYPERLINK("#",""), HYPERLINK(CONCATENATE("#Metadata!", ADDRESS(INDEX($Q$2:$Q$1001,MATCH(ROWS($O$2:O829),$O$2:$O$1001,0),0), INDEX($V$1004:$AE$1004,1,MATCH(COLUMNS($V$1006:AB1006),$V$1006:$AE$1006,0)))),"Fix")))</f>
        <v>0</v>
      </c>
      <c r="I829" s="3">
        <f>IF(OR(INDEX($P$2:$P$1001,MATCH(ROWS($O$2:O829),$O$2:$O$1001,0),1)&gt;=100000,INDEX($V$1005:$AE$1005,1,MATCH(COLUMNS($V$1006:AC1006),$V$1006:$AE$1006,0))&gt;=100000), " ",IF(INDEX($V$2:$AE$1001,MATCH(ROWS($O$2:O829),$O$2:$O$1001,0),MATCH(COLUMNS($V$1006:AC1006),$V$1006:$AE$1006,0)), HYPERLINK("#",""), HYPERLINK(CONCATENATE("#Metadata!", ADDRESS(INDEX($Q$2:$Q$1001,MATCH(ROWS($O$2:O829),$O$2:$O$1001,0),0), INDEX($V$1004:$AE$1004,1,MATCH(COLUMNS($V$1006:AC1006),$V$1006:$AE$1006,0)))),"Fix")))</f>
        <v>0</v>
      </c>
      <c r="J829" s="3">
        <f>IF(OR(INDEX($P$2:$P$1001,MATCH(ROWS($O$2:O829),$O$2:$O$1001,0),1)&gt;=100000,INDEX($V$1005:$AE$1005,1,MATCH(COLUMNS($V$1006:AD1006),$V$1006:$AE$1006,0))&gt;=100000), " ",IF(INDEX($V$2:$AE$1001,MATCH(ROWS($O$2:O829),$O$2:$O$1001,0),MATCH(COLUMNS($V$1006:AD1006),$V$1006:$AE$1006,0)), HYPERLINK("#",""), HYPERLINK(CONCATENATE("#Metadata!", ADDRESS(INDEX($Q$2:$Q$1001,MATCH(ROWS($O$2:O829),$O$2:$O$1001,0),0), INDEX($V$1004:$AE$1004,1,MATCH(COLUMNS($V$1006:AD1006),$V$1006:$AE$1006,0)))),"Fix")))</f>
        <v>0</v>
      </c>
      <c r="K829" s="3">
        <f>IF(OR(INDEX($P$2:$P$1001,MATCH(ROWS($O$2:O829),$O$2:$O$1001,0),1)&gt;=100000,INDEX($V$1005:$AE$1005,1,MATCH(COLUMNS($V$1006:AE1006),$V$1006:$AE$1006,0))&gt;=100000), " ",IF(INDEX($V$2:$AE$1001,MATCH(ROWS($O$2:O829),$O$2:$O$1001,0),MATCH(COLUMNS($V$1006:AE1006),$V$1006:$AE$1006,0)), HYPERLINK("#",""), HYPERLINK(CONCATENATE("#Metadata!", ADDRESS(INDEX($Q$2:$Q$1001,MATCH(ROWS($O$2:O829),$O$2:$O$1001,0),0), INDEX($V$1004:$AE$1004,1,MATCH(COLUMNS($V$1006:AE1006),$V$1006:$AE$1006,0)))),"Fix")))</f>
        <v>0</v>
      </c>
      <c r="O829">
        <v>0</v>
      </c>
      <c r="P829">
        <v>0</v>
      </c>
      <c r="Q829">
        <v>0</v>
      </c>
      <c r="R829">
        <f>IF(S829,TRUE,AND(V829:AE829))</f>
        <v>0</v>
      </c>
      <c r="S829">
        <f>COUNTBLANK(Metadata!B829:K829)=COLUMNS(Metadata!B829:K829)</f>
        <v>0</v>
      </c>
      <c r="T829">
        <v>0</v>
      </c>
      <c r="V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W829">
        <f>AND(IF(Metadata!C829="",FALSE,TRUE),exact(Metadata!C829,"animal secretion"))</f>
        <v>0</v>
      </c>
      <c r="X829">
        <f>AND(IF(Metadata!D829="",FALSE,TRUE),exact(Metadata!D829,"saliva"))</f>
        <v>0</v>
      </c>
      <c r="Y829">
        <f>AND(IF(Metadata!E829="",FALSE,TRUE),exact(Metadata!E829,"human-oral"))</f>
        <v>0</v>
      </c>
      <c r="Z829">
        <f>AND(IF(Metadata!F829="",FALSE,TRUE),exact(Metadata!F829,"UBERON:oral cavity"))</f>
        <v>0</v>
      </c>
      <c r="AA829">
        <f>AND(IF(Metadata!G829="",FALSE,TRUE),exact(Metadata!G829,"UBERON:saliva"))</f>
        <v>0</v>
      </c>
      <c r="AB829">
        <f>AND(IF(Metadata!H829="",FALSE,TRUE),exact(Metadata!H829,"UBERON:tongue"))</f>
        <v>0</v>
      </c>
      <c r="AC829">
        <f>AND(IF(Metadata!I829="",FALSE,TRUE),exact(Metadata!I829,"tongue"))</f>
        <v>0</v>
      </c>
      <c r="AD829">
        <f>AND(IF(Metadata!J829="",FALSE,TRUE),exact(Metadata!J829,"human oral metagenome"))</f>
        <v>0</v>
      </c>
      <c r="AE829">
        <f>AND(IF(Metadata!K829="",FALSE,TRUE),exact(Metadata!K829,"447426"))</f>
        <v>0</v>
      </c>
    </row>
    <row r="830" spans="1:31">
      <c r="A830" s="4">
        <f>IF(B830=" "," ",HYPERLINK(CONCATENATE("#metadata!",ADDRESS(INDEX($Q$2:$Q$1001,MATCH(ROWS($O$2:O830),$O$2:$O$1001,0),0),1)),INDEX($T$2:$T$1001,MATCH(ROWS($O$2:O830),$O$2:$O$1001,0),0)))</f>
        <v>0</v>
      </c>
      <c r="B830" s="3">
        <f>IF(OR(INDEX($P$2:$P$1001,MATCH(ROWS($O$2:O830),$O$2:$O$1001,0),1)&gt;=100000,INDEX($V$1005:$AE$1005,1,MATCH(COLUMNS($V$1006:V1006),$V$1006:$AE$1006,0))&gt;=100000), " ",IF(INDEX($V$2:$AE$1001,MATCH(ROWS($O$2:O830),$O$2:$O$1001,0),MATCH(COLUMNS($V$1006:V1006),$V$1006:$AE$1006,0)), HYPERLINK("#",""), HYPERLINK(CONCATENATE("#Metadata!", ADDRESS(INDEX($Q$2:$Q$1001,MATCH(ROWS($O$2:O830),$O$2:$O$1001,0),0), INDEX($V$1004:$AE$1004,1,MATCH(COLUMNS($V$1006:V1006),$V$1006:$AE$1006,0)))),"Fix")))</f>
        <v>0</v>
      </c>
      <c r="C830" s="3">
        <f>IF(OR(INDEX($P$2:$P$1001,MATCH(ROWS($O$2:O830),$O$2:$O$1001,0),1)&gt;=100000,INDEX($V$1005:$AE$1005,1,MATCH(COLUMNS($V$1006:W1006),$V$1006:$AE$1006,0))&gt;=100000), " ",IF(INDEX($V$2:$AE$1001,MATCH(ROWS($O$2:O830),$O$2:$O$1001,0),MATCH(COLUMNS($V$1006:W1006),$V$1006:$AE$1006,0)), HYPERLINK("#",""), HYPERLINK(CONCATENATE("#Metadata!", ADDRESS(INDEX($Q$2:$Q$1001,MATCH(ROWS($O$2:O830),$O$2:$O$1001,0),0), INDEX($V$1004:$AE$1004,1,MATCH(COLUMNS($V$1006:W1006),$V$1006:$AE$1006,0)))),"Fix")))</f>
        <v>0</v>
      </c>
      <c r="D830" s="3">
        <f>IF(OR(INDEX($P$2:$P$1001,MATCH(ROWS($O$2:O830),$O$2:$O$1001,0),1)&gt;=100000,INDEX($V$1005:$AE$1005,1,MATCH(COLUMNS($V$1006:X1006),$V$1006:$AE$1006,0))&gt;=100000), " ",IF(INDEX($V$2:$AE$1001,MATCH(ROWS($O$2:O830),$O$2:$O$1001,0),MATCH(COLUMNS($V$1006:X1006),$V$1006:$AE$1006,0)), HYPERLINK("#",""), HYPERLINK(CONCATENATE("#Metadata!", ADDRESS(INDEX($Q$2:$Q$1001,MATCH(ROWS($O$2:O830),$O$2:$O$1001,0),0), INDEX($V$1004:$AE$1004,1,MATCH(COLUMNS($V$1006:X1006),$V$1006:$AE$1006,0)))),"Fix")))</f>
        <v>0</v>
      </c>
      <c r="E830" s="3">
        <f>IF(OR(INDEX($P$2:$P$1001,MATCH(ROWS($O$2:O830),$O$2:$O$1001,0),1)&gt;=100000,INDEX($V$1005:$AE$1005,1,MATCH(COLUMNS($V$1006:Y1006),$V$1006:$AE$1006,0))&gt;=100000), " ",IF(INDEX($V$2:$AE$1001,MATCH(ROWS($O$2:O830),$O$2:$O$1001,0),MATCH(COLUMNS($V$1006:Y1006),$V$1006:$AE$1006,0)), HYPERLINK("#",""), HYPERLINK(CONCATENATE("#Metadata!", ADDRESS(INDEX($Q$2:$Q$1001,MATCH(ROWS($O$2:O830),$O$2:$O$1001,0),0), INDEX($V$1004:$AE$1004,1,MATCH(COLUMNS($V$1006:Y1006),$V$1006:$AE$1006,0)))),"Fix")))</f>
        <v>0</v>
      </c>
      <c r="F830" s="3">
        <f>IF(OR(INDEX($P$2:$P$1001,MATCH(ROWS($O$2:O830),$O$2:$O$1001,0),1)&gt;=100000,INDEX($V$1005:$AE$1005,1,MATCH(COLUMNS($V$1006:Z1006),$V$1006:$AE$1006,0))&gt;=100000), " ",IF(INDEX($V$2:$AE$1001,MATCH(ROWS($O$2:O830),$O$2:$O$1001,0),MATCH(COLUMNS($V$1006:Z1006),$V$1006:$AE$1006,0)), HYPERLINK("#",""), HYPERLINK(CONCATENATE("#Metadata!", ADDRESS(INDEX($Q$2:$Q$1001,MATCH(ROWS($O$2:O830),$O$2:$O$1001,0),0), INDEX($V$1004:$AE$1004,1,MATCH(COLUMNS($V$1006:Z1006),$V$1006:$AE$1006,0)))),"Fix")))</f>
        <v>0</v>
      </c>
      <c r="G830" s="3">
        <f>IF(OR(INDEX($P$2:$P$1001,MATCH(ROWS($O$2:O830),$O$2:$O$1001,0),1)&gt;=100000,INDEX($V$1005:$AE$1005,1,MATCH(COLUMNS($V$1006:AA1006),$V$1006:$AE$1006,0))&gt;=100000), " ",IF(INDEX($V$2:$AE$1001,MATCH(ROWS($O$2:O830),$O$2:$O$1001,0),MATCH(COLUMNS($V$1006:AA1006),$V$1006:$AE$1006,0)), HYPERLINK("#",""), HYPERLINK(CONCATENATE("#Metadata!", ADDRESS(INDEX($Q$2:$Q$1001,MATCH(ROWS($O$2:O830),$O$2:$O$1001,0),0), INDEX($V$1004:$AE$1004,1,MATCH(COLUMNS($V$1006:AA1006),$V$1006:$AE$1006,0)))),"Fix")))</f>
        <v>0</v>
      </c>
      <c r="H830" s="3">
        <f>IF(OR(INDEX($P$2:$P$1001,MATCH(ROWS($O$2:O830),$O$2:$O$1001,0),1)&gt;=100000,INDEX($V$1005:$AE$1005,1,MATCH(COLUMNS($V$1006:AB1006),$V$1006:$AE$1006,0))&gt;=100000), " ",IF(INDEX($V$2:$AE$1001,MATCH(ROWS($O$2:O830),$O$2:$O$1001,0),MATCH(COLUMNS($V$1006:AB1006),$V$1006:$AE$1006,0)), HYPERLINK("#",""), HYPERLINK(CONCATENATE("#Metadata!", ADDRESS(INDEX($Q$2:$Q$1001,MATCH(ROWS($O$2:O830),$O$2:$O$1001,0),0), INDEX($V$1004:$AE$1004,1,MATCH(COLUMNS($V$1006:AB1006),$V$1006:$AE$1006,0)))),"Fix")))</f>
        <v>0</v>
      </c>
      <c r="I830" s="3">
        <f>IF(OR(INDEX($P$2:$P$1001,MATCH(ROWS($O$2:O830),$O$2:$O$1001,0),1)&gt;=100000,INDEX($V$1005:$AE$1005,1,MATCH(COLUMNS($V$1006:AC1006),$V$1006:$AE$1006,0))&gt;=100000), " ",IF(INDEX($V$2:$AE$1001,MATCH(ROWS($O$2:O830),$O$2:$O$1001,0),MATCH(COLUMNS($V$1006:AC1006),$V$1006:$AE$1006,0)), HYPERLINK("#",""), HYPERLINK(CONCATENATE("#Metadata!", ADDRESS(INDEX($Q$2:$Q$1001,MATCH(ROWS($O$2:O830),$O$2:$O$1001,0),0), INDEX($V$1004:$AE$1004,1,MATCH(COLUMNS($V$1006:AC1006),$V$1006:$AE$1006,0)))),"Fix")))</f>
        <v>0</v>
      </c>
      <c r="J830" s="3">
        <f>IF(OR(INDEX($P$2:$P$1001,MATCH(ROWS($O$2:O830),$O$2:$O$1001,0),1)&gt;=100000,INDEX($V$1005:$AE$1005,1,MATCH(COLUMNS($V$1006:AD1006),$V$1006:$AE$1006,0))&gt;=100000), " ",IF(INDEX($V$2:$AE$1001,MATCH(ROWS($O$2:O830),$O$2:$O$1001,0),MATCH(COLUMNS($V$1006:AD1006),$V$1006:$AE$1006,0)), HYPERLINK("#",""), HYPERLINK(CONCATENATE("#Metadata!", ADDRESS(INDEX($Q$2:$Q$1001,MATCH(ROWS($O$2:O830),$O$2:$O$1001,0),0), INDEX($V$1004:$AE$1004,1,MATCH(COLUMNS($V$1006:AD1006),$V$1006:$AE$1006,0)))),"Fix")))</f>
        <v>0</v>
      </c>
      <c r="K830" s="3">
        <f>IF(OR(INDEX($P$2:$P$1001,MATCH(ROWS($O$2:O830),$O$2:$O$1001,0),1)&gt;=100000,INDEX($V$1005:$AE$1005,1,MATCH(COLUMNS($V$1006:AE1006),$V$1006:$AE$1006,0))&gt;=100000), " ",IF(INDEX($V$2:$AE$1001,MATCH(ROWS($O$2:O830),$O$2:$O$1001,0),MATCH(COLUMNS($V$1006:AE1006),$V$1006:$AE$1006,0)), HYPERLINK("#",""), HYPERLINK(CONCATENATE("#Metadata!", ADDRESS(INDEX($Q$2:$Q$1001,MATCH(ROWS($O$2:O830),$O$2:$O$1001,0),0), INDEX($V$1004:$AE$1004,1,MATCH(COLUMNS($V$1006:AE1006),$V$1006:$AE$1006,0)))),"Fix")))</f>
        <v>0</v>
      </c>
      <c r="O830">
        <v>0</v>
      </c>
      <c r="P830">
        <v>0</v>
      </c>
      <c r="Q830">
        <v>0</v>
      </c>
      <c r="R830">
        <f>IF(S830,TRUE,AND(V830:AE830))</f>
        <v>0</v>
      </c>
      <c r="S830">
        <f>COUNTBLANK(Metadata!B830:K830)=COLUMNS(Metadata!B830:K830)</f>
        <v>0</v>
      </c>
      <c r="T830">
        <v>0</v>
      </c>
      <c r="V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W830">
        <f>AND(IF(Metadata!C830="",FALSE,TRUE),exact(Metadata!C830,"animal secretion"))</f>
        <v>0</v>
      </c>
      <c r="X830">
        <f>AND(IF(Metadata!D830="",FALSE,TRUE),exact(Metadata!D830,"saliva"))</f>
        <v>0</v>
      </c>
      <c r="Y830">
        <f>AND(IF(Metadata!E830="",FALSE,TRUE),exact(Metadata!E830,"human-oral"))</f>
        <v>0</v>
      </c>
      <c r="Z830">
        <f>AND(IF(Metadata!F830="",FALSE,TRUE),exact(Metadata!F830,"UBERON:oral cavity"))</f>
        <v>0</v>
      </c>
      <c r="AA830">
        <f>AND(IF(Metadata!G830="",FALSE,TRUE),exact(Metadata!G830,"UBERON:saliva"))</f>
        <v>0</v>
      </c>
      <c r="AB830">
        <f>AND(IF(Metadata!H830="",FALSE,TRUE),exact(Metadata!H830,"UBERON:tongue"))</f>
        <v>0</v>
      </c>
      <c r="AC830">
        <f>AND(IF(Metadata!I830="",FALSE,TRUE),exact(Metadata!I830,"tongue"))</f>
        <v>0</v>
      </c>
      <c r="AD830">
        <f>AND(IF(Metadata!J830="",FALSE,TRUE),exact(Metadata!J830,"human oral metagenome"))</f>
        <v>0</v>
      </c>
      <c r="AE830">
        <f>AND(IF(Metadata!K830="",FALSE,TRUE),exact(Metadata!K830,"447426"))</f>
        <v>0</v>
      </c>
    </row>
    <row r="831" spans="1:31">
      <c r="A831" s="4">
        <f>IF(B831=" "," ",HYPERLINK(CONCATENATE("#metadata!",ADDRESS(INDEX($Q$2:$Q$1001,MATCH(ROWS($O$2:O831),$O$2:$O$1001,0),0),1)),INDEX($T$2:$T$1001,MATCH(ROWS($O$2:O831),$O$2:$O$1001,0),0)))</f>
        <v>0</v>
      </c>
      <c r="B831" s="3">
        <f>IF(OR(INDEX($P$2:$P$1001,MATCH(ROWS($O$2:O831),$O$2:$O$1001,0),1)&gt;=100000,INDEX($V$1005:$AE$1005,1,MATCH(COLUMNS($V$1006:V1006),$V$1006:$AE$1006,0))&gt;=100000), " ",IF(INDEX($V$2:$AE$1001,MATCH(ROWS($O$2:O831),$O$2:$O$1001,0),MATCH(COLUMNS($V$1006:V1006),$V$1006:$AE$1006,0)), HYPERLINK("#",""), HYPERLINK(CONCATENATE("#Metadata!", ADDRESS(INDEX($Q$2:$Q$1001,MATCH(ROWS($O$2:O831),$O$2:$O$1001,0),0), INDEX($V$1004:$AE$1004,1,MATCH(COLUMNS($V$1006:V1006),$V$1006:$AE$1006,0)))),"Fix")))</f>
        <v>0</v>
      </c>
      <c r="C831" s="3">
        <f>IF(OR(INDEX($P$2:$P$1001,MATCH(ROWS($O$2:O831),$O$2:$O$1001,0),1)&gt;=100000,INDEX($V$1005:$AE$1005,1,MATCH(COLUMNS($V$1006:W1006),$V$1006:$AE$1006,0))&gt;=100000), " ",IF(INDEX($V$2:$AE$1001,MATCH(ROWS($O$2:O831),$O$2:$O$1001,0),MATCH(COLUMNS($V$1006:W1006),$V$1006:$AE$1006,0)), HYPERLINK("#",""), HYPERLINK(CONCATENATE("#Metadata!", ADDRESS(INDEX($Q$2:$Q$1001,MATCH(ROWS($O$2:O831),$O$2:$O$1001,0),0), INDEX($V$1004:$AE$1004,1,MATCH(COLUMNS($V$1006:W1006),$V$1006:$AE$1006,0)))),"Fix")))</f>
        <v>0</v>
      </c>
      <c r="D831" s="3">
        <f>IF(OR(INDEX($P$2:$P$1001,MATCH(ROWS($O$2:O831),$O$2:$O$1001,0),1)&gt;=100000,INDEX($V$1005:$AE$1005,1,MATCH(COLUMNS($V$1006:X1006),$V$1006:$AE$1006,0))&gt;=100000), " ",IF(INDEX($V$2:$AE$1001,MATCH(ROWS($O$2:O831),$O$2:$O$1001,0),MATCH(COLUMNS($V$1006:X1006),$V$1006:$AE$1006,0)), HYPERLINK("#",""), HYPERLINK(CONCATENATE("#Metadata!", ADDRESS(INDEX($Q$2:$Q$1001,MATCH(ROWS($O$2:O831),$O$2:$O$1001,0),0), INDEX($V$1004:$AE$1004,1,MATCH(COLUMNS($V$1006:X1006),$V$1006:$AE$1006,0)))),"Fix")))</f>
        <v>0</v>
      </c>
      <c r="E831" s="3">
        <f>IF(OR(INDEX($P$2:$P$1001,MATCH(ROWS($O$2:O831),$O$2:$O$1001,0),1)&gt;=100000,INDEX($V$1005:$AE$1005,1,MATCH(COLUMNS($V$1006:Y1006),$V$1006:$AE$1006,0))&gt;=100000), " ",IF(INDEX($V$2:$AE$1001,MATCH(ROWS($O$2:O831),$O$2:$O$1001,0),MATCH(COLUMNS($V$1006:Y1006),$V$1006:$AE$1006,0)), HYPERLINK("#",""), HYPERLINK(CONCATENATE("#Metadata!", ADDRESS(INDEX($Q$2:$Q$1001,MATCH(ROWS($O$2:O831),$O$2:$O$1001,0),0), INDEX($V$1004:$AE$1004,1,MATCH(COLUMNS($V$1006:Y1006),$V$1006:$AE$1006,0)))),"Fix")))</f>
        <v>0</v>
      </c>
      <c r="F831" s="3">
        <f>IF(OR(INDEX($P$2:$P$1001,MATCH(ROWS($O$2:O831),$O$2:$O$1001,0),1)&gt;=100000,INDEX($V$1005:$AE$1005,1,MATCH(COLUMNS($V$1006:Z1006),$V$1006:$AE$1006,0))&gt;=100000), " ",IF(INDEX($V$2:$AE$1001,MATCH(ROWS($O$2:O831),$O$2:$O$1001,0),MATCH(COLUMNS($V$1006:Z1006),$V$1006:$AE$1006,0)), HYPERLINK("#",""), HYPERLINK(CONCATENATE("#Metadata!", ADDRESS(INDEX($Q$2:$Q$1001,MATCH(ROWS($O$2:O831),$O$2:$O$1001,0),0), INDEX($V$1004:$AE$1004,1,MATCH(COLUMNS($V$1006:Z1006),$V$1006:$AE$1006,0)))),"Fix")))</f>
        <v>0</v>
      </c>
      <c r="G831" s="3">
        <f>IF(OR(INDEX($P$2:$P$1001,MATCH(ROWS($O$2:O831),$O$2:$O$1001,0),1)&gt;=100000,INDEX($V$1005:$AE$1005,1,MATCH(COLUMNS($V$1006:AA1006),$V$1006:$AE$1006,0))&gt;=100000), " ",IF(INDEX($V$2:$AE$1001,MATCH(ROWS($O$2:O831),$O$2:$O$1001,0),MATCH(COLUMNS($V$1006:AA1006),$V$1006:$AE$1006,0)), HYPERLINK("#",""), HYPERLINK(CONCATENATE("#Metadata!", ADDRESS(INDEX($Q$2:$Q$1001,MATCH(ROWS($O$2:O831),$O$2:$O$1001,0),0), INDEX($V$1004:$AE$1004,1,MATCH(COLUMNS($V$1006:AA1006),$V$1006:$AE$1006,0)))),"Fix")))</f>
        <v>0</v>
      </c>
      <c r="H831" s="3">
        <f>IF(OR(INDEX($P$2:$P$1001,MATCH(ROWS($O$2:O831),$O$2:$O$1001,0),1)&gt;=100000,INDEX($V$1005:$AE$1005,1,MATCH(COLUMNS($V$1006:AB1006),$V$1006:$AE$1006,0))&gt;=100000), " ",IF(INDEX($V$2:$AE$1001,MATCH(ROWS($O$2:O831),$O$2:$O$1001,0),MATCH(COLUMNS($V$1006:AB1006),$V$1006:$AE$1006,0)), HYPERLINK("#",""), HYPERLINK(CONCATENATE("#Metadata!", ADDRESS(INDEX($Q$2:$Q$1001,MATCH(ROWS($O$2:O831),$O$2:$O$1001,0),0), INDEX($V$1004:$AE$1004,1,MATCH(COLUMNS($V$1006:AB1006),$V$1006:$AE$1006,0)))),"Fix")))</f>
        <v>0</v>
      </c>
      <c r="I831" s="3">
        <f>IF(OR(INDEX($P$2:$P$1001,MATCH(ROWS($O$2:O831),$O$2:$O$1001,0),1)&gt;=100000,INDEX($V$1005:$AE$1005,1,MATCH(COLUMNS($V$1006:AC1006),$V$1006:$AE$1006,0))&gt;=100000), " ",IF(INDEX($V$2:$AE$1001,MATCH(ROWS($O$2:O831),$O$2:$O$1001,0),MATCH(COLUMNS($V$1006:AC1006),$V$1006:$AE$1006,0)), HYPERLINK("#",""), HYPERLINK(CONCATENATE("#Metadata!", ADDRESS(INDEX($Q$2:$Q$1001,MATCH(ROWS($O$2:O831),$O$2:$O$1001,0),0), INDEX($V$1004:$AE$1004,1,MATCH(COLUMNS($V$1006:AC1006),$V$1006:$AE$1006,0)))),"Fix")))</f>
        <v>0</v>
      </c>
      <c r="J831" s="3">
        <f>IF(OR(INDEX($P$2:$P$1001,MATCH(ROWS($O$2:O831),$O$2:$O$1001,0),1)&gt;=100000,INDEX($V$1005:$AE$1005,1,MATCH(COLUMNS($V$1006:AD1006),$V$1006:$AE$1006,0))&gt;=100000), " ",IF(INDEX($V$2:$AE$1001,MATCH(ROWS($O$2:O831),$O$2:$O$1001,0),MATCH(COLUMNS($V$1006:AD1006),$V$1006:$AE$1006,0)), HYPERLINK("#",""), HYPERLINK(CONCATENATE("#Metadata!", ADDRESS(INDEX($Q$2:$Q$1001,MATCH(ROWS($O$2:O831),$O$2:$O$1001,0),0), INDEX($V$1004:$AE$1004,1,MATCH(COLUMNS($V$1006:AD1006),$V$1006:$AE$1006,0)))),"Fix")))</f>
        <v>0</v>
      </c>
      <c r="K831" s="3">
        <f>IF(OR(INDEX($P$2:$P$1001,MATCH(ROWS($O$2:O831),$O$2:$O$1001,0),1)&gt;=100000,INDEX($V$1005:$AE$1005,1,MATCH(COLUMNS($V$1006:AE1006),$V$1006:$AE$1006,0))&gt;=100000), " ",IF(INDEX($V$2:$AE$1001,MATCH(ROWS($O$2:O831),$O$2:$O$1001,0),MATCH(COLUMNS($V$1006:AE1006),$V$1006:$AE$1006,0)), HYPERLINK("#",""), HYPERLINK(CONCATENATE("#Metadata!", ADDRESS(INDEX($Q$2:$Q$1001,MATCH(ROWS($O$2:O831),$O$2:$O$1001,0),0), INDEX($V$1004:$AE$1004,1,MATCH(COLUMNS($V$1006:AE1006),$V$1006:$AE$1006,0)))),"Fix")))</f>
        <v>0</v>
      </c>
      <c r="O831">
        <v>0</v>
      </c>
      <c r="P831">
        <v>0</v>
      </c>
      <c r="Q831">
        <v>0</v>
      </c>
      <c r="R831">
        <f>IF(S831,TRUE,AND(V831:AE831))</f>
        <v>0</v>
      </c>
      <c r="S831">
        <f>COUNTBLANK(Metadata!B831:K831)=COLUMNS(Metadata!B831:K831)</f>
        <v>0</v>
      </c>
      <c r="T831">
        <v>0</v>
      </c>
      <c r="V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W831">
        <f>AND(IF(Metadata!C831="",FALSE,TRUE),exact(Metadata!C831,"animal secretion"))</f>
        <v>0</v>
      </c>
      <c r="X831">
        <f>AND(IF(Metadata!D831="",FALSE,TRUE),exact(Metadata!D831,"saliva"))</f>
        <v>0</v>
      </c>
      <c r="Y831">
        <f>AND(IF(Metadata!E831="",FALSE,TRUE),exact(Metadata!E831,"human-oral"))</f>
        <v>0</v>
      </c>
      <c r="Z831">
        <f>AND(IF(Metadata!F831="",FALSE,TRUE),exact(Metadata!F831,"UBERON:oral cavity"))</f>
        <v>0</v>
      </c>
      <c r="AA831">
        <f>AND(IF(Metadata!G831="",FALSE,TRUE),exact(Metadata!G831,"UBERON:saliva"))</f>
        <v>0</v>
      </c>
      <c r="AB831">
        <f>AND(IF(Metadata!H831="",FALSE,TRUE),exact(Metadata!H831,"UBERON:tongue"))</f>
        <v>0</v>
      </c>
      <c r="AC831">
        <f>AND(IF(Metadata!I831="",FALSE,TRUE),exact(Metadata!I831,"tongue"))</f>
        <v>0</v>
      </c>
      <c r="AD831">
        <f>AND(IF(Metadata!J831="",FALSE,TRUE),exact(Metadata!J831,"human oral metagenome"))</f>
        <v>0</v>
      </c>
      <c r="AE831">
        <f>AND(IF(Metadata!K831="",FALSE,TRUE),exact(Metadata!K831,"447426"))</f>
        <v>0</v>
      </c>
    </row>
    <row r="832" spans="1:31">
      <c r="A832" s="4">
        <f>IF(B832=" "," ",HYPERLINK(CONCATENATE("#metadata!",ADDRESS(INDEX($Q$2:$Q$1001,MATCH(ROWS($O$2:O832),$O$2:$O$1001,0),0),1)),INDEX($T$2:$T$1001,MATCH(ROWS($O$2:O832),$O$2:$O$1001,0),0)))</f>
        <v>0</v>
      </c>
      <c r="B832" s="3">
        <f>IF(OR(INDEX($P$2:$P$1001,MATCH(ROWS($O$2:O832),$O$2:$O$1001,0),1)&gt;=100000,INDEX($V$1005:$AE$1005,1,MATCH(COLUMNS($V$1006:V1006),$V$1006:$AE$1006,0))&gt;=100000), " ",IF(INDEX($V$2:$AE$1001,MATCH(ROWS($O$2:O832),$O$2:$O$1001,0),MATCH(COLUMNS($V$1006:V1006),$V$1006:$AE$1006,0)), HYPERLINK("#",""), HYPERLINK(CONCATENATE("#Metadata!", ADDRESS(INDEX($Q$2:$Q$1001,MATCH(ROWS($O$2:O832),$O$2:$O$1001,0),0), INDEX($V$1004:$AE$1004,1,MATCH(COLUMNS($V$1006:V1006),$V$1006:$AE$1006,0)))),"Fix")))</f>
        <v>0</v>
      </c>
      <c r="C832" s="3">
        <f>IF(OR(INDEX($P$2:$P$1001,MATCH(ROWS($O$2:O832),$O$2:$O$1001,0),1)&gt;=100000,INDEX($V$1005:$AE$1005,1,MATCH(COLUMNS($V$1006:W1006),$V$1006:$AE$1006,0))&gt;=100000), " ",IF(INDEX($V$2:$AE$1001,MATCH(ROWS($O$2:O832),$O$2:$O$1001,0),MATCH(COLUMNS($V$1006:W1006),$V$1006:$AE$1006,0)), HYPERLINK("#",""), HYPERLINK(CONCATENATE("#Metadata!", ADDRESS(INDEX($Q$2:$Q$1001,MATCH(ROWS($O$2:O832),$O$2:$O$1001,0),0), INDEX($V$1004:$AE$1004,1,MATCH(COLUMNS($V$1006:W1006),$V$1006:$AE$1006,0)))),"Fix")))</f>
        <v>0</v>
      </c>
      <c r="D832" s="3">
        <f>IF(OR(INDEX($P$2:$P$1001,MATCH(ROWS($O$2:O832),$O$2:$O$1001,0),1)&gt;=100000,INDEX($V$1005:$AE$1005,1,MATCH(COLUMNS($V$1006:X1006),$V$1006:$AE$1006,0))&gt;=100000), " ",IF(INDEX($V$2:$AE$1001,MATCH(ROWS($O$2:O832),$O$2:$O$1001,0),MATCH(COLUMNS($V$1006:X1006),$V$1006:$AE$1006,0)), HYPERLINK("#",""), HYPERLINK(CONCATENATE("#Metadata!", ADDRESS(INDEX($Q$2:$Q$1001,MATCH(ROWS($O$2:O832),$O$2:$O$1001,0),0), INDEX($V$1004:$AE$1004,1,MATCH(COLUMNS($V$1006:X1006),$V$1006:$AE$1006,0)))),"Fix")))</f>
        <v>0</v>
      </c>
      <c r="E832" s="3">
        <f>IF(OR(INDEX($P$2:$P$1001,MATCH(ROWS($O$2:O832),$O$2:$O$1001,0),1)&gt;=100000,INDEX($V$1005:$AE$1005,1,MATCH(COLUMNS($V$1006:Y1006),$V$1006:$AE$1006,0))&gt;=100000), " ",IF(INDEX($V$2:$AE$1001,MATCH(ROWS($O$2:O832),$O$2:$O$1001,0),MATCH(COLUMNS($V$1006:Y1006),$V$1006:$AE$1006,0)), HYPERLINK("#",""), HYPERLINK(CONCATENATE("#Metadata!", ADDRESS(INDEX($Q$2:$Q$1001,MATCH(ROWS($O$2:O832),$O$2:$O$1001,0),0), INDEX($V$1004:$AE$1004,1,MATCH(COLUMNS($V$1006:Y1006),$V$1006:$AE$1006,0)))),"Fix")))</f>
        <v>0</v>
      </c>
      <c r="F832" s="3">
        <f>IF(OR(INDEX($P$2:$P$1001,MATCH(ROWS($O$2:O832),$O$2:$O$1001,0),1)&gt;=100000,INDEX($V$1005:$AE$1005,1,MATCH(COLUMNS($V$1006:Z1006),$V$1006:$AE$1006,0))&gt;=100000), " ",IF(INDEX($V$2:$AE$1001,MATCH(ROWS($O$2:O832),$O$2:$O$1001,0),MATCH(COLUMNS($V$1006:Z1006),$V$1006:$AE$1006,0)), HYPERLINK("#",""), HYPERLINK(CONCATENATE("#Metadata!", ADDRESS(INDEX($Q$2:$Q$1001,MATCH(ROWS($O$2:O832),$O$2:$O$1001,0),0), INDEX($V$1004:$AE$1004,1,MATCH(COLUMNS($V$1006:Z1006),$V$1006:$AE$1006,0)))),"Fix")))</f>
        <v>0</v>
      </c>
      <c r="G832" s="3">
        <f>IF(OR(INDEX($P$2:$P$1001,MATCH(ROWS($O$2:O832),$O$2:$O$1001,0),1)&gt;=100000,INDEX($V$1005:$AE$1005,1,MATCH(COLUMNS($V$1006:AA1006),$V$1006:$AE$1006,0))&gt;=100000), " ",IF(INDEX($V$2:$AE$1001,MATCH(ROWS($O$2:O832),$O$2:$O$1001,0),MATCH(COLUMNS($V$1006:AA1006),$V$1006:$AE$1006,0)), HYPERLINK("#",""), HYPERLINK(CONCATENATE("#Metadata!", ADDRESS(INDEX($Q$2:$Q$1001,MATCH(ROWS($O$2:O832),$O$2:$O$1001,0),0), INDEX($V$1004:$AE$1004,1,MATCH(COLUMNS($V$1006:AA1006),$V$1006:$AE$1006,0)))),"Fix")))</f>
        <v>0</v>
      </c>
      <c r="H832" s="3">
        <f>IF(OR(INDEX($P$2:$P$1001,MATCH(ROWS($O$2:O832),$O$2:$O$1001,0),1)&gt;=100000,INDEX($V$1005:$AE$1005,1,MATCH(COLUMNS($V$1006:AB1006),$V$1006:$AE$1006,0))&gt;=100000), " ",IF(INDEX($V$2:$AE$1001,MATCH(ROWS($O$2:O832),$O$2:$O$1001,0),MATCH(COLUMNS($V$1006:AB1006),$V$1006:$AE$1006,0)), HYPERLINK("#",""), HYPERLINK(CONCATENATE("#Metadata!", ADDRESS(INDEX($Q$2:$Q$1001,MATCH(ROWS($O$2:O832),$O$2:$O$1001,0),0), INDEX($V$1004:$AE$1004,1,MATCH(COLUMNS($V$1006:AB1006),$V$1006:$AE$1006,0)))),"Fix")))</f>
        <v>0</v>
      </c>
      <c r="I832" s="3">
        <f>IF(OR(INDEX($P$2:$P$1001,MATCH(ROWS($O$2:O832),$O$2:$O$1001,0),1)&gt;=100000,INDEX($V$1005:$AE$1005,1,MATCH(COLUMNS($V$1006:AC1006),$V$1006:$AE$1006,0))&gt;=100000), " ",IF(INDEX($V$2:$AE$1001,MATCH(ROWS($O$2:O832),$O$2:$O$1001,0),MATCH(COLUMNS($V$1006:AC1006),$V$1006:$AE$1006,0)), HYPERLINK("#",""), HYPERLINK(CONCATENATE("#Metadata!", ADDRESS(INDEX($Q$2:$Q$1001,MATCH(ROWS($O$2:O832),$O$2:$O$1001,0),0), INDEX($V$1004:$AE$1004,1,MATCH(COLUMNS($V$1006:AC1006),$V$1006:$AE$1006,0)))),"Fix")))</f>
        <v>0</v>
      </c>
      <c r="J832" s="3">
        <f>IF(OR(INDEX($P$2:$P$1001,MATCH(ROWS($O$2:O832),$O$2:$O$1001,0),1)&gt;=100000,INDEX($V$1005:$AE$1005,1,MATCH(COLUMNS($V$1006:AD1006),$V$1006:$AE$1006,0))&gt;=100000), " ",IF(INDEX($V$2:$AE$1001,MATCH(ROWS($O$2:O832),$O$2:$O$1001,0),MATCH(COLUMNS($V$1006:AD1006),$V$1006:$AE$1006,0)), HYPERLINK("#",""), HYPERLINK(CONCATENATE("#Metadata!", ADDRESS(INDEX($Q$2:$Q$1001,MATCH(ROWS($O$2:O832),$O$2:$O$1001,0),0), INDEX($V$1004:$AE$1004,1,MATCH(COLUMNS($V$1006:AD1006),$V$1006:$AE$1006,0)))),"Fix")))</f>
        <v>0</v>
      </c>
      <c r="K832" s="3">
        <f>IF(OR(INDEX($P$2:$P$1001,MATCH(ROWS($O$2:O832),$O$2:$O$1001,0),1)&gt;=100000,INDEX($V$1005:$AE$1005,1,MATCH(COLUMNS($V$1006:AE1006),$V$1006:$AE$1006,0))&gt;=100000), " ",IF(INDEX($V$2:$AE$1001,MATCH(ROWS($O$2:O832),$O$2:$O$1001,0),MATCH(COLUMNS($V$1006:AE1006),$V$1006:$AE$1006,0)), HYPERLINK("#",""), HYPERLINK(CONCATENATE("#Metadata!", ADDRESS(INDEX($Q$2:$Q$1001,MATCH(ROWS($O$2:O832),$O$2:$O$1001,0),0), INDEX($V$1004:$AE$1004,1,MATCH(COLUMNS($V$1006:AE1006),$V$1006:$AE$1006,0)))),"Fix")))</f>
        <v>0</v>
      </c>
      <c r="O832">
        <v>0</v>
      </c>
      <c r="P832">
        <v>0</v>
      </c>
      <c r="Q832">
        <v>0</v>
      </c>
      <c r="R832">
        <f>IF(S832,TRUE,AND(V832:AE832))</f>
        <v>0</v>
      </c>
      <c r="S832">
        <f>COUNTBLANK(Metadata!B832:K832)=COLUMNS(Metadata!B832:K832)</f>
        <v>0</v>
      </c>
      <c r="T832">
        <v>0</v>
      </c>
      <c r="V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W832">
        <f>AND(IF(Metadata!C832="",FALSE,TRUE),exact(Metadata!C832,"animal secretion"))</f>
        <v>0</v>
      </c>
      <c r="X832">
        <f>AND(IF(Metadata!D832="",FALSE,TRUE),exact(Metadata!D832,"saliva"))</f>
        <v>0</v>
      </c>
      <c r="Y832">
        <f>AND(IF(Metadata!E832="",FALSE,TRUE),exact(Metadata!E832,"human-oral"))</f>
        <v>0</v>
      </c>
      <c r="Z832">
        <f>AND(IF(Metadata!F832="",FALSE,TRUE),exact(Metadata!F832,"UBERON:oral cavity"))</f>
        <v>0</v>
      </c>
      <c r="AA832">
        <f>AND(IF(Metadata!G832="",FALSE,TRUE),exact(Metadata!G832,"UBERON:saliva"))</f>
        <v>0</v>
      </c>
      <c r="AB832">
        <f>AND(IF(Metadata!H832="",FALSE,TRUE),exact(Metadata!H832,"UBERON:tongue"))</f>
        <v>0</v>
      </c>
      <c r="AC832">
        <f>AND(IF(Metadata!I832="",FALSE,TRUE),exact(Metadata!I832,"tongue"))</f>
        <v>0</v>
      </c>
      <c r="AD832">
        <f>AND(IF(Metadata!J832="",FALSE,TRUE),exact(Metadata!J832,"human oral metagenome"))</f>
        <v>0</v>
      </c>
      <c r="AE832">
        <f>AND(IF(Metadata!K832="",FALSE,TRUE),exact(Metadata!K832,"447426"))</f>
        <v>0</v>
      </c>
    </row>
    <row r="833" spans="1:31">
      <c r="A833" s="4">
        <f>IF(B833=" "," ",HYPERLINK(CONCATENATE("#metadata!",ADDRESS(INDEX($Q$2:$Q$1001,MATCH(ROWS($O$2:O833),$O$2:$O$1001,0),0),1)),INDEX($T$2:$T$1001,MATCH(ROWS($O$2:O833),$O$2:$O$1001,0),0)))</f>
        <v>0</v>
      </c>
      <c r="B833" s="3">
        <f>IF(OR(INDEX($P$2:$P$1001,MATCH(ROWS($O$2:O833),$O$2:$O$1001,0),1)&gt;=100000,INDEX($V$1005:$AE$1005,1,MATCH(COLUMNS($V$1006:V1006),$V$1006:$AE$1006,0))&gt;=100000), " ",IF(INDEX($V$2:$AE$1001,MATCH(ROWS($O$2:O833),$O$2:$O$1001,0),MATCH(COLUMNS($V$1006:V1006),$V$1006:$AE$1006,0)), HYPERLINK("#",""), HYPERLINK(CONCATENATE("#Metadata!", ADDRESS(INDEX($Q$2:$Q$1001,MATCH(ROWS($O$2:O833),$O$2:$O$1001,0),0), INDEX($V$1004:$AE$1004,1,MATCH(COLUMNS($V$1006:V1006),$V$1006:$AE$1006,0)))),"Fix")))</f>
        <v>0</v>
      </c>
      <c r="C833" s="3">
        <f>IF(OR(INDEX($P$2:$P$1001,MATCH(ROWS($O$2:O833),$O$2:$O$1001,0),1)&gt;=100000,INDEX($V$1005:$AE$1005,1,MATCH(COLUMNS($V$1006:W1006),$V$1006:$AE$1006,0))&gt;=100000), " ",IF(INDEX($V$2:$AE$1001,MATCH(ROWS($O$2:O833),$O$2:$O$1001,0),MATCH(COLUMNS($V$1006:W1006),$V$1006:$AE$1006,0)), HYPERLINK("#",""), HYPERLINK(CONCATENATE("#Metadata!", ADDRESS(INDEX($Q$2:$Q$1001,MATCH(ROWS($O$2:O833),$O$2:$O$1001,0),0), INDEX($V$1004:$AE$1004,1,MATCH(COLUMNS($V$1006:W1006),$V$1006:$AE$1006,0)))),"Fix")))</f>
        <v>0</v>
      </c>
      <c r="D833" s="3">
        <f>IF(OR(INDEX($P$2:$P$1001,MATCH(ROWS($O$2:O833),$O$2:$O$1001,0),1)&gt;=100000,INDEX($V$1005:$AE$1005,1,MATCH(COLUMNS($V$1006:X1006),$V$1006:$AE$1006,0))&gt;=100000), " ",IF(INDEX($V$2:$AE$1001,MATCH(ROWS($O$2:O833),$O$2:$O$1001,0),MATCH(COLUMNS($V$1006:X1006),$V$1006:$AE$1006,0)), HYPERLINK("#",""), HYPERLINK(CONCATENATE("#Metadata!", ADDRESS(INDEX($Q$2:$Q$1001,MATCH(ROWS($O$2:O833),$O$2:$O$1001,0),0), INDEX($V$1004:$AE$1004,1,MATCH(COLUMNS($V$1006:X1006),$V$1006:$AE$1006,0)))),"Fix")))</f>
        <v>0</v>
      </c>
      <c r="E833" s="3">
        <f>IF(OR(INDEX($P$2:$P$1001,MATCH(ROWS($O$2:O833),$O$2:$O$1001,0),1)&gt;=100000,INDEX($V$1005:$AE$1005,1,MATCH(COLUMNS($V$1006:Y1006),$V$1006:$AE$1006,0))&gt;=100000), " ",IF(INDEX($V$2:$AE$1001,MATCH(ROWS($O$2:O833),$O$2:$O$1001,0),MATCH(COLUMNS($V$1006:Y1006),$V$1006:$AE$1006,0)), HYPERLINK("#",""), HYPERLINK(CONCATENATE("#Metadata!", ADDRESS(INDEX($Q$2:$Q$1001,MATCH(ROWS($O$2:O833),$O$2:$O$1001,0),0), INDEX($V$1004:$AE$1004,1,MATCH(COLUMNS($V$1006:Y1006),$V$1006:$AE$1006,0)))),"Fix")))</f>
        <v>0</v>
      </c>
      <c r="F833" s="3">
        <f>IF(OR(INDEX($P$2:$P$1001,MATCH(ROWS($O$2:O833),$O$2:$O$1001,0),1)&gt;=100000,INDEX($V$1005:$AE$1005,1,MATCH(COLUMNS($V$1006:Z1006),$V$1006:$AE$1006,0))&gt;=100000), " ",IF(INDEX($V$2:$AE$1001,MATCH(ROWS($O$2:O833),$O$2:$O$1001,0),MATCH(COLUMNS($V$1006:Z1006),$V$1006:$AE$1006,0)), HYPERLINK("#",""), HYPERLINK(CONCATENATE("#Metadata!", ADDRESS(INDEX($Q$2:$Q$1001,MATCH(ROWS($O$2:O833),$O$2:$O$1001,0),0), INDEX($V$1004:$AE$1004,1,MATCH(COLUMNS($V$1006:Z1006),$V$1006:$AE$1006,0)))),"Fix")))</f>
        <v>0</v>
      </c>
      <c r="G833" s="3">
        <f>IF(OR(INDEX($P$2:$P$1001,MATCH(ROWS($O$2:O833),$O$2:$O$1001,0),1)&gt;=100000,INDEX($V$1005:$AE$1005,1,MATCH(COLUMNS($V$1006:AA1006),$V$1006:$AE$1006,0))&gt;=100000), " ",IF(INDEX($V$2:$AE$1001,MATCH(ROWS($O$2:O833),$O$2:$O$1001,0),MATCH(COLUMNS($V$1006:AA1006),$V$1006:$AE$1006,0)), HYPERLINK("#",""), HYPERLINK(CONCATENATE("#Metadata!", ADDRESS(INDEX($Q$2:$Q$1001,MATCH(ROWS($O$2:O833),$O$2:$O$1001,0),0), INDEX($V$1004:$AE$1004,1,MATCH(COLUMNS($V$1006:AA1006),$V$1006:$AE$1006,0)))),"Fix")))</f>
        <v>0</v>
      </c>
      <c r="H833" s="3">
        <f>IF(OR(INDEX($P$2:$P$1001,MATCH(ROWS($O$2:O833),$O$2:$O$1001,0),1)&gt;=100000,INDEX($V$1005:$AE$1005,1,MATCH(COLUMNS($V$1006:AB1006),$V$1006:$AE$1006,0))&gt;=100000), " ",IF(INDEX($V$2:$AE$1001,MATCH(ROWS($O$2:O833),$O$2:$O$1001,0),MATCH(COLUMNS($V$1006:AB1006),$V$1006:$AE$1006,0)), HYPERLINK("#",""), HYPERLINK(CONCATENATE("#Metadata!", ADDRESS(INDEX($Q$2:$Q$1001,MATCH(ROWS($O$2:O833),$O$2:$O$1001,0),0), INDEX($V$1004:$AE$1004,1,MATCH(COLUMNS($V$1006:AB1006),$V$1006:$AE$1006,0)))),"Fix")))</f>
        <v>0</v>
      </c>
      <c r="I833" s="3">
        <f>IF(OR(INDEX($P$2:$P$1001,MATCH(ROWS($O$2:O833),$O$2:$O$1001,0),1)&gt;=100000,INDEX($V$1005:$AE$1005,1,MATCH(COLUMNS($V$1006:AC1006),$V$1006:$AE$1006,0))&gt;=100000), " ",IF(INDEX($V$2:$AE$1001,MATCH(ROWS($O$2:O833),$O$2:$O$1001,0),MATCH(COLUMNS($V$1006:AC1006),$V$1006:$AE$1006,0)), HYPERLINK("#",""), HYPERLINK(CONCATENATE("#Metadata!", ADDRESS(INDEX($Q$2:$Q$1001,MATCH(ROWS($O$2:O833),$O$2:$O$1001,0),0), INDEX($V$1004:$AE$1004,1,MATCH(COLUMNS($V$1006:AC1006),$V$1006:$AE$1006,0)))),"Fix")))</f>
        <v>0</v>
      </c>
      <c r="J833" s="3">
        <f>IF(OR(INDEX($P$2:$P$1001,MATCH(ROWS($O$2:O833),$O$2:$O$1001,0),1)&gt;=100000,INDEX($V$1005:$AE$1005,1,MATCH(COLUMNS($V$1006:AD1006),$V$1006:$AE$1006,0))&gt;=100000), " ",IF(INDEX($V$2:$AE$1001,MATCH(ROWS($O$2:O833),$O$2:$O$1001,0),MATCH(COLUMNS($V$1006:AD1006),$V$1006:$AE$1006,0)), HYPERLINK("#",""), HYPERLINK(CONCATENATE("#Metadata!", ADDRESS(INDEX($Q$2:$Q$1001,MATCH(ROWS($O$2:O833),$O$2:$O$1001,0),0), INDEX($V$1004:$AE$1004,1,MATCH(COLUMNS($V$1006:AD1006),$V$1006:$AE$1006,0)))),"Fix")))</f>
        <v>0</v>
      </c>
      <c r="K833" s="3">
        <f>IF(OR(INDEX($P$2:$P$1001,MATCH(ROWS($O$2:O833),$O$2:$O$1001,0),1)&gt;=100000,INDEX($V$1005:$AE$1005,1,MATCH(COLUMNS($V$1006:AE1006),$V$1006:$AE$1006,0))&gt;=100000), " ",IF(INDEX($V$2:$AE$1001,MATCH(ROWS($O$2:O833),$O$2:$O$1001,0),MATCH(COLUMNS($V$1006:AE1006),$V$1006:$AE$1006,0)), HYPERLINK("#",""), HYPERLINK(CONCATENATE("#Metadata!", ADDRESS(INDEX($Q$2:$Q$1001,MATCH(ROWS($O$2:O833),$O$2:$O$1001,0),0), INDEX($V$1004:$AE$1004,1,MATCH(COLUMNS($V$1006:AE1006),$V$1006:$AE$1006,0)))),"Fix")))</f>
        <v>0</v>
      </c>
      <c r="O833">
        <v>0</v>
      </c>
      <c r="P833">
        <v>0</v>
      </c>
      <c r="Q833">
        <v>0</v>
      </c>
      <c r="R833">
        <f>IF(S833,TRUE,AND(V833:AE833))</f>
        <v>0</v>
      </c>
      <c r="S833">
        <f>COUNTBLANK(Metadata!B833:K833)=COLUMNS(Metadata!B833:K833)</f>
        <v>0</v>
      </c>
      <c r="T833">
        <v>0</v>
      </c>
      <c r="V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W833">
        <f>AND(IF(Metadata!C833="",FALSE,TRUE),exact(Metadata!C833,"animal secretion"))</f>
        <v>0</v>
      </c>
      <c r="X833">
        <f>AND(IF(Metadata!D833="",FALSE,TRUE),exact(Metadata!D833,"saliva"))</f>
        <v>0</v>
      </c>
      <c r="Y833">
        <f>AND(IF(Metadata!E833="",FALSE,TRUE),exact(Metadata!E833,"human-oral"))</f>
        <v>0</v>
      </c>
      <c r="Z833">
        <f>AND(IF(Metadata!F833="",FALSE,TRUE),exact(Metadata!F833,"UBERON:oral cavity"))</f>
        <v>0</v>
      </c>
      <c r="AA833">
        <f>AND(IF(Metadata!G833="",FALSE,TRUE),exact(Metadata!G833,"UBERON:saliva"))</f>
        <v>0</v>
      </c>
      <c r="AB833">
        <f>AND(IF(Metadata!H833="",FALSE,TRUE),exact(Metadata!H833,"UBERON:tongue"))</f>
        <v>0</v>
      </c>
      <c r="AC833">
        <f>AND(IF(Metadata!I833="",FALSE,TRUE),exact(Metadata!I833,"tongue"))</f>
        <v>0</v>
      </c>
      <c r="AD833">
        <f>AND(IF(Metadata!J833="",FALSE,TRUE),exact(Metadata!J833,"human oral metagenome"))</f>
        <v>0</v>
      </c>
      <c r="AE833">
        <f>AND(IF(Metadata!K833="",FALSE,TRUE),exact(Metadata!K833,"447426"))</f>
        <v>0</v>
      </c>
    </row>
    <row r="834" spans="1:31">
      <c r="A834" s="4">
        <f>IF(B834=" "," ",HYPERLINK(CONCATENATE("#metadata!",ADDRESS(INDEX($Q$2:$Q$1001,MATCH(ROWS($O$2:O834),$O$2:$O$1001,0),0),1)),INDEX($T$2:$T$1001,MATCH(ROWS($O$2:O834),$O$2:$O$1001,0),0)))</f>
        <v>0</v>
      </c>
      <c r="B834" s="3">
        <f>IF(OR(INDEX($P$2:$P$1001,MATCH(ROWS($O$2:O834),$O$2:$O$1001,0),1)&gt;=100000,INDEX($V$1005:$AE$1005,1,MATCH(COLUMNS($V$1006:V1006),$V$1006:$AE$1006,0))&gt;=100000), " ",IF(INDEX($V$2:$AE$1001,MATCH(ROWS($O$2:O834),$O$2:$O$1001,0),MATCH(COLUMNS($V$1006:V1006),$V$1006:$AE$1006,0)), HYPERLINK("#",""), HYPERLINK(CONCATENATE("#Metadata!", ADDRESS(INDEX($Q$2:$Q$1001,MATCH(ROWS($O$2:O834),$O$2:$O$1001,0),0), INDEX($V$1004:$AE$1004,1,MATCH(COLUMNS($V$1006:V1006),$V$1006:$AE$1006,0)))),"Fix")))</f>
        <v>0</v>
      </c>
      <c r="C834" s="3">
        <f>IF(OR(INDEX($P$2:$P$1001,MATCH(ROWS($O$2:O834),$O$2:$O$1001,0),1)&gt;=100000,INDEX($V$1005:$AE$1005,1,MATCH(COLUMNS($V$1006:W1006),$V$1006:$AE$1006,0))&gt;=100000), " ",IF(INDEX($V$2:$AE$1001,MATCH(ROWS($O$2:O834),$O$2:$O$1001,0),MATCH(COLUMNS($V$1006:W1006),$V$1006:$AE$1006,0)), HYPERLINK("#",""), HYPERLINK(CONCATENATE("#Metadata!", ADDRESS(INDEX($Q$2:$Q$1001,MATCH(ROWS($O$2:O834),$O$2:$O$1001,0),0), INDEX($V$1004:$AE$1004,1,MATCH(COLUMNS($V$1006:W1006),$V$1006:$AE$1006,0)))),"Fix")))</f>
        <v>0</v>
      </c>
      <c r="D834" s="3">
        <f>IF(OR(INDEX($P$2:$P$1001,MATCH(ROWS($O$2:O834),$O$2:$O$1001,0),1)&gt;=100000,INDEX($V$1005:$AE$1005,1,MATCH(COLUMNS($V$1006:X1006),$V$1006:$AE$1006,0))&gt;=100000), " ",IF(INDEX($V$2:$AE$1001,MATCH(ROWS($O$2:O834),$O$2:$O$1001,0),MATCH(COLUMNS($V$1006:X1006),$V$1006:$AE$1006,0)), HYPERLINK("#",""), HYPERLINK(CONCATENATE("#Metadata!", ADDRESS(INDEX($Q$2:$Q$1001,MATCH(ROWS($O$2:O834),$O$2:$O$1001,0),0), INDEX($V$1004:$AE$1004,1,MATCH(COLUMNS($V$1006:X1006),$V$1006:$AE$1006,0)))),"Fix")))</f>
        <v>0</v>
      </c>
      <c r="E834" s="3">
        <f>IF(OR(INDEX($P$2:$P$1001,MATCH(ROWS($O$2:O834),$O$2:$O$1001,0),1)&gt;=100000,INDEX($V$1005:$AE$1005,1,MATCH(COLUMNS($V$1006:Y1006),$V$1006:$AE$1006,0))&gt;=100000), " ",IF(INDEX($V$2:$AE$1001,MATCH(ROWS($O$2:O834),$O$2:$O$1001,0),MATCH(COLUMNS($V$1006:Y1006),$V$1006:$AE$1006,0)), HYPERLINK("#",""), HYPERLINK(CONCATENATE("#Metadata!", ADDRESS(INDEX($Q$2:$Q$1001,MATCH(ROWS($O$2:O834),$O$2:$O$1001,0),0), INDEX($V$1004:$AE$1004,1,MATCH(COLUMNS($V$1006:Y1006),$V$1006:$AE$1006,0)))),"Fix")))</f>
        <v>0</v>
      </c>
      <c r="F834" s="3">
        <f>IF(OR(INDEX($P$2:$P$1001,MATCH(ROWS($O$2:O834),$O$2:$O$1001,0),1)&gt;=100000,INDEX($V$1005:$AE$1005,1,MATCH(COLUMNS($V$1006:Z1006),$V$1006:$AE$1006,0))&gt;=100000), " ",IF(INDEX($V$2:$AE$1001,MATCH(ROWS($O$2:O834),$O$2:$O$1001,0),MATCH(COLUMNS($V$1006:Z1006),$V$1006:$AE$1006,0)), HYPERLINK("#",""), HYPERLINK(CONCATENATE("#Metadata!", ADDRESS(INDEX($Q$2:$Q$1001,MATCH(ROWS($O$2:O834),$O$2:$O$1001,0),0), INDEX($V$1004:$AE$1004,1,MATCH(COLUMNS($V$1006:Z1006),$V$1006:$AE$1006,0)))),"Fix")))</f>
        <v>0</v>
      </c>
      <c r="G834" s="3">
        <f>IF(OR(INDEX($P$2:$P$1001,MATCH(ROWS($O$2:O834),$O$2:$O$1001,0),1)&gt;=100000,INDEX($V$1005:$AE$1005,1,MATCH(COLUMNS($V$1006:AA1006),$V$1006:$AE$1006,0))&gt;=100000), " ",IF(INDEX($V$2:$AE$1001,MATCH(ROWS($O$2:O834),$O$2:$O$1001,0),MATCH(COLUMNS($V$1006:AA1006),$V$1006:$AE$1006,0)), HYPERLINK("#",""), HYPERLINK(CONCATENATE("#Metadata!", ADDRESS(INDEX($Q$2:$Q$1001,MATCH(ROWS($O$2:O834),$O$2:$O$1001,0),0), INDEX($V$1004:$AE$1004,1,MATCH(COLUMNS($V$1006:AA1006),$V$1006:$AE$1006,0)))),"Fix")))</f>
        <v>0</v>
      </c>
      <c r="H834" s="3">
        <f>IF(OR(INDEX($P$2:$P$1001,MATCH(ROWS($O$2:O834),$O$2:$O$1001,0),1)&gt;=100000,INDEX($V$1005:$AE$1005,1,MATCH(COLUMNS($V$1006:AB1006),$V$1006:$AE$1006,0))&gt;=100000), " ",IF(INDEX($V$2:$AE$1001,MATCH(ROWS($O$2:O834),$O$2:$O$1001,0),MATCH(COLUMNS($V$1006:AB1006),$V$1006:$AE$1006,0)), HYPERLINK("#",""), HYPERLINK(CONCATENATE("#Metadata!", ADDRESS(INDEX($Q$2:$Q$1001,MATCH(ROWS($O$2:O834),$O$2:$O$1001,0),0), INDEX($V$1004:$AE$1004,1,MATCH(COLUMNS($V$1006:AB1006),$V$1006:$AE$1006,0)))),"Fix")))</f>
        <v>0</v>
      </c>
      <c r="I834" s="3">
        <f>IF(OR(INDEX($P$2:$P$1001,MATCH(ROWS($O$2:O834),$O$2:$O$1001,0),1)&gt;=100000,INDEX($V$1005:$AE$1005,1,MATCH(COLUMNS($V$1006:AC1006),$V$1006:$AE$1006,0))&gt;=100000), " ",IF(INDEX($V$2:$AE$1001,MATCH(ROWS($O$2:O834),$O$2:$O$1001,0),MATCH(COLUMNS($V$1006:AC1006),$V$1006:$AE$1006,0)), HYPERLINK("#",""), HYPERLINK(CONCATENATE("#Metadata!", ADDRESS(INDEX($Q$2:$Q$1001,MATCH(ROWS($O$2:O834),$O$2:$O$1001,0),0), INDEX($V$1004:$AE$1004,1,MATCH(COLUMNS($V$1006:AC1006),$V$1006:$AE$1006,0)))),"Fix")))</f>
        <v>0</v>
      </c>
      <c r="J834" s="3">
        <f>IF(OR(INDEX($P$2:$P$1001,MATCH(ROWS($O$2:O834),$O$2:$O$1001,0),1)&gt;=100000,INDEX($V$1005:$AE$1005,1,MATCH(COLUMNS($V$1006:AD1006),$V$1006:$AE$1006,0))&gt;=100000), " ",IF(INDEX($V$2:$AE$1001,MATCH(ROWS($O$2:O834),$O$2:$O$1001,0),MATCH(COLUMNS($V$1006:AD1006),$V$1006:$AE$1006,0)), HYPERLINK("#",""), HYPERLINK(CONCATENATE("#Metadata!", ADDRESS(INDEX($Q$2:$Q$1001,MATCH(ROWS($O$2:O834),$O$2:$O$1001,0),0), INDEX($V$1004:$AE$1004,1,MATCH(COLUMNS($V$1006:AD1006),$V$1006:$AE$1006,0)))),"Fix")))</f>
        <v>0</v>
      </c>
      <c r="K834" s="3">
        <f>IF(OR(INDEX($P$2:$P$1001,MATCH(ROWS($O$2:O834),$O$2:$O$1001,0),1)&gt;=100000,INDEX($V$1005:$AE$1005,1,MATCH(COLUMNS($V$1006:AE1006),$V$1006:$AE$1006,0))&gt;=100000), " ",IF(INDEX($V$2:$AE$1001,MATCH(ROWS($O$2:O834),$O$2:$O$1001,0),MATCH(COLUMNS($V$1006:AE1006),$V$1006:$AE$1006,0)), HYPERLINK("#",""), HYPERLINK(CONCATENATE("#Metadata!", ADDRESS(INDEX($Q$2:$Q$1001,MATCH(ROWS($O$2:O834),$O$2:$O$1001,0),0), INDEX($V$1004:$AE$1004,1,MATCH(COLUMNS($V$1006:AE1006),$V$1006:$AE$1006,0)))),"Fix")))</f>
        <v>0</v>
      </c>
      <c r="O834">
        <v>0</v>
      </c>
      <c r="P834">
        <v>0</v>
      </c>
      <c r="Q834">
        <v>0</v>
      </c>
      <c r="R834">
        <f>IF(S834,TRUE,AND(V834:AE834))</f>
        <v>0</v>
      </c>
      <c r="S834">
        <f>COUNTBLANK(Metadata!B834:K834)=COLUMNS(Metadata!B834:K834)</f>
        <v>0</v>
      </c>
      <c r="T834">
        <v>0</v>
      </c>
      <c r="V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W834">
        <f>AND(IF(Metadata!C834="",FALSE,TRUE),exact(Metadata!C834,"animal secretion"))</f>
        <v>0</v>
      </c>
      <c r="X834">
        <f>AND(IF(Metadata!D834="",FALSE,TRUE),exact(Metadata!D834,"saliva"))</f>
        <v>0</v>
      </c>
      <c r="Y834">
        <f>AND(IF(Metadata!E834="",FALSE,TRUE),exact(Metadata!E834,"human-oral"))</f>
        <v>0</v>
      </c>
      <c r="Z834">
        <f>AND(IF(Metadata!F834="",FALSE,TRUE),exact(Metadata!F834,"UBERON:oral cavity"))</f>
        <v>0</v>
      </c>
      <c r="AA834">
        <f>AND(IF(Metadata!G834="",FALSE,TRUE),exact(Metadata!G834,"UBERON:saliva"))</f>
        <v>0</v>
      </c>
      <c r="AB834">
        <f>AND(IF(Metadata!H834="",FALSE,TRUE),exact(Metadata!H834,"UBERON:tongue"))</f>
        <v>0</v>
      </c>
      <c r="AC834">
        <f>AND(IF(Metadata!I834="",FALSE,TRUE),exact(Metadata!I834,"tongue"))</f>
        <v>0</v>
      </c>
      <c r="AD834">
        <f>AND(IF(Metadata!J834="",FALSE,TRUE),exact(Metadata!J834,"human oral metagenome"))</f>
        <v>0</v>
      </c>
      <c r="AE834">
        <f>AND(IF(Metadata!K834="",FALSE,TRUE),exact(Metadata!K834,"447426"))</f>
        <v>0</v>
      </c>
    </row>
    <row r="835" spans="1:31">
      <c r="A835" s="4">
        <f>IF(B835=" "," ",HYPERLINK(CONCATENATE("#metadata!",ADDRESS(INDEX($Q$2:$Q$1001,MATCH(ROWS($O$2:O835),$O$2:$O$1001,0),0),1)),INDEX($T$2:$T$1001,MATCH(ROWS($O$2:O835),$O$2:$O$1001,0),0)))</f>
        <v>0</v>
      </c>
      <c r="B835" s="3">
        <f>IF(OR(INDEX($P$2:$P$1001,MATCH(ROWS($O$2:O835),$O$2:$O$1001,0),1)&gt;=100000,INDEX($V$1005:$AE$1005,1,MATCH(COLUMNS($V$1006:V1006),$V$1006:$AE$1006,0))&gt;=100000), " ",IF(INDEX($V$2:$AE$1001,MATCH(ROWS($O$2:O835),$O$2:$O$1001,0),MATCH(COLUMNS($V$1006:V1006),$V$1006:$AE$1006,0)), HYPERLINK("#",""), HYPERLINK(CONCATENATE("#Metadata!", ADDRESS(INDEX($Q$2:$Q$1001,MATCH(ROWS($O$2:O835),$O$2:$O$1001,0),0), INDEX($V$1004:$AE$1004,1,MATCH(COLUMNS($V$1006:V1006),$V$1006:$AE$1006,0)))),"Fix")))</f>
        <v>0</v>
      </c>
      <c r="C835" s="3">
        <f>IF(OR(INDEX($P$2:$P$1001,MATCH(ROWS($O$2:O835),$O$2:$O$1001,0),1)&gt;=100000,INDEX($V$1005:$AE$1005,1,MATCH(COLUMNS($V$1006:W1006),$V$1006:$AE$1006,0))&gt;=100000), " ",IF(INDEX($V$2:$AE$1001,MATCH(ROWS($O$2:O835),$O$2:$O$1001,0),MATCH(COLUMNS($V$1006:W1006),$V$1006:$AE$1006,0)), HYPERLINK("#",""), HYPERLINK(CONCATENATE("#Metadata!", ADDRESS(INDEX($Q$2:$Q$1001,MATCH(ROWS($O$2:O835),$O$2:$O$1001,0),0), INDEX($V$1004:$AE$1004,1,MATCH(COLUMNS($V$1006:W1006),$V$1006:$AE$1006,0)))),"Fix")))</f>
        <v>0</v>
      </c>
      <c r="D835" s="3">
        <f>IF(OR(INDEX($P$2:$P$1001,MATCH(ROWS($O$2:O835),$O$2:$O$1001,0),1)&gt;=100000,INDEX($V$1005:$AE$1005,1,MATCH(COLUMNS($V$1006:X1006),$V$1006:$AE$1006,0))&gt;=100000), " ",IF(INDEX($V$2:$AE$1001,MATCH(ROWS($O$2:O835),$O$2:$O$1001,0),MATCH(COLUMNS($V$1006:X1006),$V$1006:$AE$1006,0)), HYPERLINK("#",""), HYPERLINK(CONCATENATE("#Metadata!", ADDRESS(INDEX($Q$2:$Q$1001,MATCH(ROWS($O$2:O835),$O$2:$O$1001,0),0), INDEX($V$1004:$AE$1004,1,MATCH(COLUMNS($V$1006:X1006),$V$1006:$AE$1006,0)))),"Fix")))</f>
        <v>0</v>
      </c>
      <c r="E835" s="3">
        <f>IF(OR(INDEX($P$2:$P$1001,MATCH(ROWS($O$2:O835),$O$2:$O$1001,0),1)&gt;=100000,INDEX($V$1005:$AE$1005,1,MATCH(COLUMNS($V$1006:Y1006),$V$1006:$AE$1006,0))&gt;=100000), " ",IF(INDEX($V$2:$AE$1001,MATCH(ROWS($O$2:O835),$O$2:$O$1001,0),MATCH(COLUMNS($V$1006:Y1006),$V$1006:$AE$1006,0)), HYPERLINK("#",""), HYPERLINK(CONCATENATE("#Metadata!", ADDRESS(INDEX($Q$2:$Q$1001,MATCH(ROWS($O$2:O835),$O$2:$O$1001,0),0), INDEX($V$1004:$AE$1004,1,MATCH(COLUMNS($V$1006:Y1006),$V$1006:$AE$1006,0)))),"Fix")))</f>
        <v>0</v>
      </c>
      <c r="F835" s="3">
        <f>IF(OR(INDEX($P$2:$P$1001,MATCH(ROWS($O$2:O835),$O$2:$O$1001,0),1)&gt;=100000,INDEX($V$1005:$AE$1005,1,MATCH(COLUMNS($V$1006:Z1006),$V$1006:$AE$1006,0))&gt;=100000), " ",IF(INDEX($V$2:$AE$1001,MATCH(ROWS($O$2:O835),$O$2:$O$1001,0),MATCH(COLUMNS($V$1006:Z1006),$V$1006:$AE$1006,0)), HYPERLINK("#",""), HYPERLINK(CONCATENATE("#Metadata!", ADDRESS(INDEX($Q$2:$Q$1001,MATCH(ROWS($O$2:O835),$O$2:$O$1001,0),0), INDEX($V$1004:$AE$1004,1,MATCH(COLUMNS($V$1006:Z1006),$V$1006:$AE$1006,0)))),"Fix")))</f>
        <v>0</v>
      </c>
      <c r="G835" s="3">
        <f>IF(OR(INDEX($P$2:$P$1001,MATCH(ROWS($O$2:O835),$O$2:$O$1001,0),1)&gt;=100000,INDEX($V$1005:$AE$1005,1,MATCH(COLUMNS($V$1006:AA1006),$V$1006:$AE$1006,0))&gt;=100000), " ",IF(INDEX($V$2:$AE$1001,MATCH(ROWS($O$2:O835),$O$2:$O$1001,0),MATCH(COLUMNS($V$1006:AA1006),$V$1006:$AE$1006,0)), HYPERLINK("#",""), HYPERLINK(CONCATENATE("#Metadata!", ADDRESS(INDEX($Q$2:$Q$1001,MATCH(ROWS($O$2:O835),$O$2:$O$1001,0),0), INDEX($V$1004:$AE$1004,1,MATCH(COLUMNS($V$1006:AA1006),$V$1006:$AE$1006,0)))),"Fix")))</f>
        <v>0</v>
      </c>
      <c r="H835" s="3">
        <f>IF(OR(INDEX($P$2:$P$1001,MATCH(ROWS($O$2:O835),$O$2:$O$1001,0),1)&gt;=100000,INDEX($V$1005:$AE$1005,1,MATCH(COLUMNS($V$1006:AB1006),$V$1006:$AE$1006,0))&gt;=100000), " ",IF(INDEX($V$2:$AE$1001,MATCH(ROWS($O$2:O835),$O$2:$O$1001,0),MATCH(COLUMNS($V$1006:AB1006),$V$1006:$AE$1006,0)), HYPERLINK("#",""), HYPERLINK(CONCATENATE("#Metadata!", ADDRESS(INDEX($Q$2:$Q$1001,MATCH(ROWS($O$2:O835),$O$2:$O$1001,0),0), INDEX($V$1004:$AE$1004,1,MATCH(COLUMNS($V$1006:AB1006),$V$1006:$AE$1006,0)))),"Fix")))</f>
        <v>0</v>
      </c>
      <c r="I835" s="3">
        <f>IF(OR(INDEX($P$2:$P$1001,MATCH(ROWS($O$2:O835),$O$2:$O$1001,0),1)&gt;=100000,INDEX($V$1005:$AE$1005,1,MATCH(COLUMNS($V$1006:AC1006),$V$1006:$AE$1006,0))&gt;=100000), " ",IF(INDEX($V$2:$AE$1001,MATCH(ROWS($O$2:O835),$O$2:$O$1001,0),MATCH(COLUMNS($V$1006:AC1006),$V$1006:$AE$1006,0)), HYPERLINK("#",""), HYPERLINK(CONCATENATE("#Metadata!", ADDRESS(INDEX($Q$2:$Q$1001,MATCH(ROWS($O$2:O835),$O$2:$O$1001,0),0), INDEX($V$1004:$AE$1004,1,MATCH(COLUMNS($V$1006:AC1006),$V$1006:$AE$1006,0)))),"Fix")))</f>
        <v>0</v>
      </c>
      <c r="J835" s="3">
        <f>IF(OR(INDEX($P$2:$P$1001,MATCH(ROWS($O$2:O835),$O$2:$O$1001,0),1)&gt;=100000,INDEX($V$1005:$AE$1005,1,MATCH(COLUMNS($V$1006:AD1006),$V$1006:$AE$1006,0))&gt;=100000), " ",IF(INDEX($V$2:$AE$1001,MATCH(ROWS($O$2:O835),$O$2:$O$1001,0),MATCH(COLUMNS($V$1006:AD1006),$V$1006:$AE$1006,0)), HYPERLINK("#",""), HYPERLINK(CONCATENATE("#Metadata!", ADDRESS(INDEX($Q$2:$Q$1001,MATCH(ROWS($O$2:O835),$O$2:$O$1001,0),0), INDEX($V$1004:$AE$1004,1,MATCH(COLUMNS($V$1006:AD1006),$V$1006:$AE$1006,0)))),"Fix")))</f>
        <v>0</v>
      </c>
      <c r="K835" s="3">
        <f>IF(OR(INDEX($P$2:$P$1001,MATCH(ROWS($O$2:O835),$O$2:$O$1001,0),1)&gt;=100000,INDEX($V$1005:$AE$1005,1,MATCH(COLUMNS($V$1006:AE1006),$V$1006:$AE$1006,0))&gt;=100000), " ",IF(INDEX($V$2:$AE$1001,MATCH(ROWS($O$2:O835),$O$2:$O$1001,0),MATCH(COLUMNS($V$1006:AE1006),$V$1006:$AE$1006,0)), HYPERLINK("#",""), HYPERLINK(CONCATENATE("#Metadata!", ADDRESS(INDEX($Q$2:$Q$1001,MATCH(ROWS($O$2:O835),$O$2:$O$1001,0),0), INDEX($V$1004:$AE$1004,1,MATCH(COLUMNS($V$1006:AE1006),$V$1006:$AE$1006,0)))),"Fix")))</f>
        <v>0</v>
      </c>
      <c r="O835">
        <v>0</v>
      </c>
      <c r="P835">
        <v>0</v>
      </c>
      <c r="Q835">
        <v>0</v>
      </c>
      <c r="R835">
        <f>IF(S835,TRUE,AND(V835:AE835))</f>
        <v>0</v>
      </c>
      <c r="S835">
        <f>COUNTBLANK(Metadata!B835:K835)=COLUMNS(Metadata!B835:K835)</f>
        <v>0</v>
      </c>
      <c r="T835">
        <v>0</v>
      </c>
      <c r="V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W835">
        <f>AND(IF(Metadata!C835="",FALSE,TRUE),exact(Metadata!C835,"animal secretion"))</f>
        <v>0</v>
      </c>
      <c r="X835">
        <f>AND(IF(Metadata!D835="",FALSE,TRUE),exact(Metadata!D835,"saliva"))</f>
        <v>0</v>
      </c>
      <c r="Y835">
        <f>AND(IF(Metadata!E835="",FALSE,TRUE),exact(Metadata!E835,"human-oral"))</f>
        <v>0</v>
      </c>
      <c r="Z835">
        <f>AND(IF(Metadata!F835="",FALSE,TRUE),exact(Metadata!F835,"UBERON:oral cavity"))</f>
        <v>0</v>
      </c>
      <c r="AA835">
        <f>AND(IF(Metadata!G835="",FALSE,TRUE),exact(Metadata!G835,"UBERON:saliva"))</f>
        <v>0</v>
      </c>
      <c r="AB835">
        <f>AND(IF(Metadata!H835="",FALSE,TRUE),exact(Metadata!H835,"UBERON:tongue"))</f>
        <v>0</v>
      </c>
      <c r="AC835">
        <f>AND(IF(Metadata!I835="",FALSE,TRUE),exact(Metadata!I835,"tongue"))</f>
        <v>0</v>
      </c>
      <c r="AD835">
        <f>AND(IF(Metadata!J835="",FALSE,TRUE),exact(Metadata!J835,"human oral metagenome"))</f>
        <v>0</v>
      </c>
      <c r="AE835">
        <f>AND(IF(Metadata!K835="",FALSE,TRUE),exact(Metadata!K835,"447426"))</f>
        <v>0</v>
      </c>
    </row>
    <row r="836" spans="1:31">
      <c r="A836" s="4">
        <f>IF(B836=" "," ",HYPERLINK(CONCATENATE("#metadata!",ADDRESS(INDEX($Q$2:$Q$1001,MATCH(ROWS($O$2:O836),$O$2:$O$1001,0),0),1)),INDEX($T$2:$T$1001,MATCH(ROWS($O$2:O836),$O$2:$O$1001,0),0)))</f>
        <v>0</v>
      </c>
      <c r="B836" s="3">
        <f>IF(OR(INDEX($P$2:$P$1001,MATCH(ROWS($O$2:O836),$O$2:$O$1001,0),1)&gt;=100000,INDEX($V$1005:$AE$1005,1,MATCH(COLUMNS($V$1006:V1006),$V$1006:$AE$1006,0))&gt;=100000), " ",IF(INDEX($V$2:$AE$1001,MATCH(ROWS($O$2:O836),$O$2:$O$1001,0),MATCH(COLUMNS($V$1006:V1006),$V$1006:$AE$1006,0)), HYPERLINK("#",""), HYPERLINK(CONCATENATE("#Metadata!", ADDRESS(INDEX($Q$2:$Q$1001,MATCH(ROWS($O$2:O836),$O$2:$O$1001,0),0), INDEX($V$1004:$AE$1004,1,MATCH(COLUMNS($V$1006:V1006),$V$1006:$AE$1006,0)))),"Fix")))</f>
        <v>0</v>
      </c>
      <c r="C836" s="3">
        <f>IF(OR(INDEX($P$2:$P$1001,MATCH(ROWS($O$2:O836),$O$2:$O$1001,0),1)&gt;=100000,INDEX($V$1005:$AE$1005,1,MATCH(COLUMNS($V$1006:W1006),$V$1006:$AE$1006,0))&gt;=100000), " ",IF(INDEX($V$2:$AE$1001,MATCH(ROWS($O$2:O836),$O$2:$O$1001,0),MATCH(COLUMNS($V$1006:W1006),$V$1006:$AE$1006,0)), HYPERLINK("#",""), HYPERLINK(CONCATENATE("#Metadata!", ADDRESS(INDEX($Q$2:$Q$1001,MATCH(ROWS($O$2:O836),$O$2:$O$1001,0),0), INDEX($V$1004:$AE$1004,1,MATCH(COLUMNS($V$1006:W1006),$V$1006:$AE$1006,0)))),"Fix")))</f>
        <v>0</v>
      </c>
      <c r="D836" s="3">
        <f>IF(OR(INDEX($P$2:$P$1001,MATCH(ROWS($O$2:O836),$O$2:$O$1001,0),1)&gt;=100000,INDEX($V$1005:$AE$1005,1,MATCH(COLUMNS($V$1006:X1006),$V$1006:$AE$1006,0))&gt;=100000), " ",IF(INDEX($V$2:$AE$1001,MATCH(ROWS($O$2:O836),$O$2:$O$1001,0),MATCH(COLUMNS($V$1006:X1006),$V$1006:$AE$1006,0)), HYPERLINK("#",""), HYPERLINK(CONCATENATE("#Metadata!", ADDRESS(INDEX($Q$2:$Q$1001,MATCH(ROWS($O$2:O836),$O$2:$O$1001,0),0), INDEX($V$1004:$AE$1004,1,MATCH(COLUMNS($V$1006:X1006),$V$1006:$AE$1006,0)))),"Fix")))</f>
        <v>0</v>
      </c>
      <c r="E836" s="3">
        <f>IF(OR(INDEX($P$2:$P$1001,MATCH(ROWS($O$2:O836),$O$2:$O$1001,0),1)&gt;=100000,INDEX($V$1005:$AE$1005,1,MATCH(COLUMNS($V$1006:Y1006),$V$1006:$AE$1006,0))&gt;=100000), " ",IF(INDEX($V$2:$AE$1001,MATCH(ROWS($O$2:O836),$O$2:$O$1001,0),MATCH(COLUMNS($V$1006:Y1006),$V$1006:$AE$1006,0)), HYPERLINK("#",""), HYPERLINK(CONCATENATE("#Metadata!", ADDRESS(INDEX($Q$2:$Q$1001,MATCH(ROWS($O$2:O836),$O$2:$O$1001,0),0), INDEX($V$1004:$AE$1004,1,MATCH(COLUMNS($V$1006:Y1006),$V$1006:$AE$1006,0)))),"Fix")))</f>
        <v>0</v>
      </c>
      <c r="F836" s="3">
        <f>IF(OR(INDEX($P$2:$P$1001,MATCH(ROWS($O$2:O836),$O$2:$O$1001,0),1)&gt;=100000,INDEX($V$1005:$AE$1005,1,MATCH(COLUMNS($V$1006:Z1006),$V$1006:$AE$1006,0))&gt;=100000), " ",IF(INDEX($V$2:$AE$1001,MATCH(ROWS($O$2:O836),$O$2:$O$1001,0),MATCH(COLUMNS($V$1006:Z1006),$V$1006:$AE$1006,0)), HYPERLINK("#",""), HYPERLINK(CONCATENATE("#Metadata!", ADDRESS(INDEX($Q$2:$Q$1001,MATCH(ROWS($O$2:O836),$O$2:$O$1001,0),0), INDEX($V$1004:$AE$1004,1,MATCH(COLUMNS($V$1006:Z1006),$V$1006:$AE$1006,0)))),"Fix")))</f>
        <v>0</v>
      </c>
      <c r="G836" s="3">
        <f>IF(OR(INDEX($P$2:$P$1001,MATCH(ROWS($O$2:O836),$O$2:$O$1001,0),1)&gt;=100000,INDEX($V$1005:$AE$1005,1,MATCH(COLUMNS($V$1006:AA1006),$V$1006:$AE$1006,0))&gt;=100000), " ",IF(INDEX($V$2:$AE$1001,MATCH(ROWS($O$2:O836),$O$2:$O$1001,0),MATCH(COLUMNS($V$1006:AA1006),$V$1006:$AE$1006,0)), HYPERLINK("#",""), HYPERLINK(CONCATENATE("#Metadata!", ADDRESS(INDEX($Q$2:$Q$1001,MATCH(ROWS($O$2:O836),$O$2:$O$1001,0),0), INDEX($V$1004:$AE$1004,1,MATCH(COLUMNS($V$1006:AA1006),$V$1006:$AE$1006,0)))),"Fix")))</f>
        <v>0</v>
      </c>
      <c r="H836" s="3">
        <f>IF(OR(INDEX($P$2:$P$1001,MATCH(ROWS($O$2:O836),$O$2:$O$1001,0),1)&gt;=100000,INDEX($V$1005:$AE$1005,1,MATCH(COLUMNS($V$1006:AB1006),$V$1006:$AE$1006,0))&gt;=100000), " ",IF(INDEX($V$2:$AE$1001,MATCH(ROWS($O$2:O836),$O$2:$O$1001,0),MATCH(COLUMNS($V$1006:AB1006),$V$1006:$AE$1006,0)), HYPERLINK("#",""), HYPERLINK(CONCATENATE("#Metadata!", ADDRESS(INDEX($Q$2:$Q$1001,MATCH(ROWS($O$2:O836),$O$2:$O$1001,0),0), INDEX($V$1004:$AE$1004,1,MATCH(COLUMNS($V$1006:AB1006),$V$1006:$AE$1006,0)))),"Fix")))</f>
        <v>0</v>
      </c>
      <c r="I836" s="3">
        <f>IF(OR(INDEX($P$2:$P$1001,MATCH(ROWS($O$2:O836),$O$2:$O$1001,0),1)&gt;=100000,INDEX($V$1005:$AE$1005,1,MATCH(COLUMNS($V$1006:AC1006),$V$1006:$AE$1006,0))&gt;=100000), " ",IF(INDEX($V$2:$AE$1001,MATCH(ROWS($O$2:O836),$O$2:$O$1001,0),MATCH(COLUMNS($V$1006:AC1006),$V$1006:$AE$1006,0)), HYPERLINK("#",""), HYPERLINK(CONCATENATE("#Metadata!", ADDRESS(INDEX($Q$2:$Q$1001,MATCH(ROWS($O$2:O836),$O$2:$O$1001,0),0), INDEX($V$1004:$AE$1004,1,MATCH(COLUMNS($V$1006:AC1006),$V$1006:$AE$1006,0)))),"Fix")))</f>
        <v>0</v>
      </c>
      <c r="J836" s="3">
        <f>IF(OR(INDEX($P$2:$P$1001,MATCH(ROWS($O$2:O836),$O$2:$O$1001,0),1)&gt;=100000,INDEX($V$1005:$AE$1005,1,MATCH(COLUMNS($V$1006:AD1006),$V$1006:$AE$1006,0))&gt;=100000), " ",IF(INDEX($V$2:$AE$1001,MATCH(ROWS($O$2:O836),$O$2:$O$1001,0),MATCH(COLUMNS($V$1006:AD1006),$V$1006:$AE$1006,0)), HYPERLINK("#",""), HYPERLINK(CONCATENATE("#Metadata!", ADDRESS(INDEX($Q$2:$Q$1001,MATCH(ROWS($O$2:O836),$O$2:$O$1001,0),0), INDEX($V$1004:$AE$1004,1,MATCH(COLUMNS($V$1006:AD1006),$V$1006:$AE$1006,0)))),"Fix")))</f>
        <v>0</v>
      </c>
      <c r="K836" s="3">
        <f>IF(OR(INDEX($P$2:$P$1001,MATCH(ROWS($O$2:O836),$O$2:$O$1001,0),1)&gt;=100000,INDEX($V$1005:$AE$1005,1,MATCH(COLUMNS($V$1006:AE1006),$V$1006:$AE$1006,0))&gt;=100000), " ",IF(INDEX($V$2:$AE$1001,MATCH(ROWS($O$2:O836),$O$2:$O$1001,0),MATCH(COLUMNS($V$1006:AE1006),$V$1006:$AE$1006,0)), HYPERLINK("#",""), HYPERLINK(CONCATENATE("#Metadata!", ADDRESS(INDEX($Q$2:$Q$1001,MATCH(ROWS($O$2:O836),$O$2:$O$1001,0),0), INDEX($V$1004:$AE$1004,1,MATCH(COLUMNS($V$1006:AE1006),$V$1006:$AE$1006,0)))),"Fix")))</f>
        <v>0</v>
      </c>
      <c r="O836">
        <v>0</v>
      </c>
      <c r="P836">
        <v>0</v>
      </c>
      <c r="Q836">
        <v>0</v>
      </c>
      <c r="R836">
        <f>IF(S836,TRUE,AND(V836:AE836))</f>
        <v>0</v>
      </c>
      <c r="S836">
        <f>COUNTBLANK(Metadata!B836:K836)=COLUMNS(Metadata!B836:K836)</f>
        <v>0</v>
      </c>
      <c r="T836">
        <v>0</v>
      </c>
      <c r="V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W836">
        <f>AND(IF(Metadata!C836="",FALSE,TRUE),exact(Metadata!C836,"animal secretion"))</f>
        <v>0</v>
      </c>
      <c r="X836">
        <f>AND(IF(Metadata!D836="",FALSE,TRUE),exact(Metadata!D836,"saliva"))</f>
        <v>0</v>
      </c>
      <c r="Y836">
        <f>AND(IF(Metadata!E836="",FALSE,TRUE),exact(Metadata!E836,"human-oral"))</f>
        <v>0</v>
      </c>
      <c r="Z836">
        <f>AND(IF(Metadata!F836="",FALSE,TRUE),exact(Metadata!F836,"UBERON:oral cavity"))</f>
        <v>0</v>
      </c>
      <c r="AA836">
        <f>AND(IF(Metadata!G836="",FALSE,TRUE),exact(Metadata!G836,"UBERON:saliva"))</f>
        <v>0</v>
      </c>
      <c r="AB836">
        <f>AND(IF(Metadata!H836="",FALSE,TRUE),exact(Metadata!H836,"UBERON:tongue"))</f>
        <v>0</v>
      </c>
      <c r="AC836">
        <f>AND(IF(Metadata!I836="",FALSE,TRUE),exact(Metadata!I836,"tongue"))</f>
        <v>0</v>
      </c>
      <c r="AD836">
        <f>AND(IF(Metadata!J836="",FALSE,TRUE),exact(Metadata!J836,"human oral metagenome"))</f>
        <v>0</v>
      </c>
      <c r="AE836">
        <f>AND(IF(Metadata!K836="",FALSE,TRUE),exact(Metadata!K836,"447426"))</f>
        <v>0</v>
      </c>
    </row>
    <row r="837" spans="1:31">
      <c r="A837" s="4">
        <f>IF(B837=" "," ",HYPERLINK(CONCATENATE("#metadata!",ADDRESS(INDEX($Q$2:$Q$1001,MATCH(ROWS($O$2:O837),$O$2:$O$1001,0),0),1)),INDEX($T$2:$T$1001,MATCH(ROWS($O$2:O837),$O$2:$O$1001,0),0)))</f>
        <v>0</v>
      </c>
      <c r="B837" s="3">
        <f>IF(OR(INDEX($P$2:$P$1001,MATCH(ROWS($O$2:O837),$O$2:$O$1001,0),1)&gt;=100000,INDEX($V$1005:$AE$1005,1,MATCH(COLUMNS($V$1006:V1006),$V$1006:$AE$1006,0))&gt;=100000), " ",IF(INDEX($V$2:$AE$1001,MATCH(ROWS($O$2:O837),$O$2:$O$1001,0),MATCH(COLUMNS($V$1006:V1006),$V$1006:$AE$1006,0)), HYPERLINK("#",""), HYPERLINK(CONCATENATE("#Metadata!", ADDRESS(INDEX($Q$2:$Q$1001,MATCH(ROWS($O$2:O837),$O$2:$O$1001,0),0), INDEX($V$1004:$AE$1004,1,MATCH(COLUMNS($V$1006:V1006),$V$1006:$AE$1006,0)))),"Fix")))</f>
        <v>0</v>
      </c>
      <c r="C837" s="3">
        <f>IF(OR(INDEX($P$2:$P$1001,MATCH(ROWS($O$2:O837),$O$2:$O$1001,0),1)&gt;=100000,INDEX($V$1005:$AE$1005,1,MATCH(COLUMNS($V$1006:W1006),$V$1006:$AE$1006,0))&gt;=100000), " ",IF(INDEX($V$2:$AE$1001,MATCH(ROWS($O$2:O837),$O$2:$O$1001,0),MATCH(COLUMNS($V$1006:W1006),$V$1006:$AE$1006,0)), HYPERLINK("#",""), HYPERLINK(CONCATENATE("#Metadata!", ADDRESS(INDEX($Q$2:$Q$1001,MATCH(ROWS($O$2:O837),$O$2:$O$1001,0),0), INDEX($V$1004:$AE$1004,1,MATCH(COLUMNS($V$1006:W1006),$V$1006:$AE$1006,0)))),"Fix")))</f>
        <v>0</v>
      </c>
      <c r="D837" s="3">
        <f>IF(OR(INDEX($P$2:$P$1001,MATCH(ROWS($O$2:O837),$O$2:$O$1001,0),1)&gt;=100000,INDEX($V$1005:$AE$1005,1,MATCH(COLUMNS($V$1006:X1006),$V$1006:$AE$1006,0))&gt;=100000), " ",IF(INDEX($V$2:$AE$1001,MATCH(ROWS($O$2:O837),$O$2:$O$1001,0),MATCH(COLUMNS($V$1006:X1006),$V$1006:$AE$1006,0)), HYPERLINK("#",""), HYPERLINK(CONCATENATE("#Metadata!", ADDRESS(INDEX($Q$2:$Q$1001,MATCH(ROWS($O$2:O837),$O$2:$O$1001,0),0), INDEX($V$1004:$AE$1004,1,MATCH(COLUMNS($V$1006:X1006),$V$1006:$AE$1006,0)))),"Fix")))</f>
        <v>0</v>
      </c>
      <c r="E837" s="3">
        <f>IF(OR(INDEX($P$2:$P$1001,MATCH(ROWS($O$2:O837),$O$2:$O$1001,0),1)&gt;=100000,INDEX($V$1005:$AE$1005,1,MATCH(COLUMNS($V$1006:Y1006),$V$1006:$AE$1006,0))&gt;=100000), " ",IF(INDEX($V$2:$AE$1001,MATCH(ROWS($O$2:O837),$O$2:$O$1001,0),MATCH(COLUMNS($V$1006:Y1006),$V$1006:$AE$1006,0)), HYPERLINK("#",""), HYPERLINK(CONCATENATE("#Metadata!", ADDRESS(INDEX($Q$2:$Q$1001,MATCH(ROWS($O$2:O837),$O$2:$O$1001,0),0), INDEX($V$1004:$AE$1004,1,MATCH(COLUMNS($V$1006:Y1006),$V$1006:$AE$1006,0)))),"Fix")))</f>
        <v>0</v>
      </c>
      <c r="F837" s="3">
        <f>IF(OR(INDEX($P$2:$P$1001,MATCH(ROWS($O$2:O837),$O$2:$O$1001,0),1)&gt;=100000,INDEX($V$1005:$AE$1005,1,MATCH(COLUMNS($V$1006:Z1006),$V$1006:$AE$1006,0))&gt;=100000), " ",IF(INDEX($V$2:$AE$1001,MATCH(ROWS($O$2:O837),$O$2:$O$1001,0),MATCH(COLUMNS($V$1006:Z1006),$V$1006:$AE$1006,0)), HYPERLINK("#",""), HYPERLINK(CONCATENATE("#Metadata!", ADDRESS(INDEX($Q$2:$Q$1001,MATCH(ROWS($O$2:O837),$O$2:$O$1001,0),0), INDEX($V$1004:$AE$1004,1,MATCH(COLUMNS($V$1006:Z1006),$V$1006:$AE$1006,0)))),"Fix")))</f>
        <v>0</v>
      </c>
      <c r="G837" s="3">
        <f>IF(OR(INDEX($P$2:$P$1001,MATCH(ROWS($O$2:O837),$O$2:$O$1001,0),1)&gt;=100000,INDEX($V$1005:$AE$1005,1,MATCH(COLUMNS($V$1006:AA1006),$V$1006:$AE$1006,0))&gt;=100000), " ",IF(INDEX($V$2:$AE$1001,MATCH(ROWS($O$2:O837),$O$2:$O$1001,0),MATCH(COLUMNS($V$1006:AA1006),$V$1006:$AE$1006,0)), HYPERLINK("#",""), HYPERLINK(CONCATENATE("#Metadata!", ADDRESS(INDEX($Q$2:$Q$1001,MATCH(ROWS($O$2:O837),$O$2:$O$1001,0),0), INDEX($V$1004:$AE$1004,1,MATCH(COLUMNS($V$1006:AA1006),$V$1006:$AE$1006,0)))),"Fix")))</f>
        <v>0</v>
      </c>
      <c r="H837" s="3">
        <f>IF(OR(INDEX($P$2:$P$1001,MATCH(ROWS($O$2:O837),$O$2:$O$1001,0),1)&gt;=100000,INDEX($V$1005:$AE$1005,1,MATCH(COLUMNS($V$1006:AB1006),$V$1006:$AE$1006,0))&gt;=100000), " ",IF(INDEX($V$2:$AE$1001,MATCH(ROWS($O$2:O837),$O$2:$O$1001,0),MATCH(COLUMNS($V$1006:AB1006),$V$1006:$AE$1006,0)), HYPERLINK("#",""), HYPERLINK(CONCATENATE("#Metadata!", ADDRESS(INDEX($Q$2:$Q$1001,MATCH(ROWS($O$2:O837),$O$2:$O$1001,0),0), INDEX($V$1004:$AE$1004,1,MATCH(COLUMNS($V$1006:AB1006),$V$1006:$AE$1006,0)))),"Fix")))</f>
        <v>0</v>
      </c>
      <c r="I837" s="3">
        <f>IF(OR(INDEX($P$2:$P$1001,MATCH(ROWS($O$2:O837),$O$2:$O$1001,0),1)&gt;=100000,INDEX($V$1005:$AE$1005,1,MATCH(COLUMNS($V$1006:AC1006),$V$1006:$AE$1006,0))&gt;=100000), " ",IF(INDEX($V$2:$AE$1001,MATCH(ROWS($O$2:O837),$O$2:$O$1001,0),MATCH(COLUMNS($V$1006:AC1006),$V$1006:$AE$1006,0)), HYPERLINK("#",""), HYPERLINK(CONCATENATE("#Metadata!", ADDRESS(INDEX($Q$2:$Q$1001,MATCH(ROWS($O$2:O837),$O$2:$O$1001,0),0), INDEX($V$1004:$AE$1004,1,MATCH(COLUMNS($V$1006:AC1006),$V$1006:$AE$1006,0)))),"Fix")))</f>
        <v>0</v>
      </c>
      <c r="J837" s="3">
        <f>IF(OR(INDEX($P$2:$P$1001,MATCH(ROWS($O$2:O837),$O$2:$O$1001,0),1)&gt;=100000,INDEX($V$1005:$AE$1005,1,MATCH(COLUMNS($V$1006:AD1006),$V$1006:$AE$1006,0))&gt;=100000), " ",IF(INDEX($V$2:$AE$1001,MATCH(ROWS($O$2:O837),$O$2:$O$1001,0),MATCH(COLUMNS($V$1006:AD1006),$V$1006:$AE$1006,0)), HYPERLINK("#",""), HYPERLINK(CONCATENATE("#Metadata!", ADDRESS(INDEX($Q$2:$Q$1001,MATCH(ROWS($O$2:O837),$O$2:$O$1001,0),0), INDEX($V$1004:$AE$1004,1,MATCH(COLUMNS($V$1006:AD1006),$V$1006:$AE$1006,0)))),"Fix")))</f>
        <v>0</v>
      </c>
      <c r="K837" s="3">
        <f>IF(OR(INDEX($P$2:$P$1001,MATCH(ROWS($O$2:O837),$O$2:$O$1001,0),1)&gt;=100000,INDEX($V$1005:$AE$1005,1,MATCH(COLUMNS($V$1006:AE1006),$V$1006:$AE$1006,0))&gt;=100000), " ",IF(INDEX($V$2:$AE$1001,MATCH(ROWS($O$2:O837),$O$2:$O$1001,0),MATCH(COLUMNS($V$1006:AE1006),$V$1006:$AE$1006,0)), HYPERLINK("#",""), HYPERLINK(CONCATENATE("#Metadata!", ADDRESS(INDEX($Q$2:$Q$1001,MATCH(ROWS($O$2:O837),$O$2:$O$1001,0),0), INDEX($V$1004:$AE$1004,1,MATCH(COLUMNS($V$1006:AE1006),$V$1006:$AE$1006,0)))),"Fix")))</f>
        <v>0</v>
      </c>
      <c r="O837">
        <v>0</v>
      </c>
      <c r="P837">
        <v>0</v>
      </c>
      <c r="Q837">
        <v>0</v>
      </c>
      <c r="R837">
        <f>IF(S837,TRUE,AND(V837:AE837))</f>
        <v>0</v>
      </c>
      <c r="S837">
        <f>COUNTBLANK(Metadata!B837:K837)=COLUMNS(Metadata!B837:K837)</f>
        <v>0</v>
      </c>
      <c r="T837">
        <v>0</v>
      </c>
      <c r="V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W837">
        <f>AND(IF(Metadata!C837="",FALSE,TRUE),exact(Metadata!C837,"animal secretion"))</f>
        <v>0</v>
      </c>
      <c r="X837">
        <f>AND(IF(Metadata!D837="",FALSE,TRUE),exact(Metadata!D837,"saliva"))</f>
        <v>0</v>
      </c>
      <c r="Y837">
        <f>AND(IF(Metadata!E837="",FALSE,TRUE),exact(Metadata!E837,"human-oral"))</f>
        <v>0</v>
      </c>
      <c r="Z837">
        <f>AND(IF(Metadata!F837="",FALSE,TRUE),exact(Metadata!F837,"UBERON:oral cavity"))</f>
        <v>0</v>
      </c>
      <c r="AA837">
        <f>AND(IF(Metadata!G837="",FALSE,TRUE),exact(Metadata!G837,"UBERON:saliva"))</f>
        <v>0</v>
      </c>
      <c r="AB837">
        <f>AND(IF(Metadata!H837="",FALSE,TRUE),exact(Metadata!H837,"UBERON:tongue"))</f>
        <v>0</v>
      </c>
      <c r="AC837">
        <f>AND(IF(Metadata!I837="",FALSE,TRUE),exact(Metadata!I837,"tongue"))</f>
        <v>0</v>
      </c>
      <c r="AD837">
        <f>AND(IF(Metadata!J837="",FALSE,TRUE),exact(Metadata!J837,"human oral metagenome"))</f>
        <v>0</v>
      </c>
      <c r="AE837">
        <f>AND(IF(Metadata!K837="",FALSE,TRUE),exact(Metadata!K837,"447426"))</f>
        <v>0</v>
      </c>
    </row>
    <row r="838" spans="1:31">
      <c r="A838" s="4">
        <f>IF(B838=" "," ",HYPERLINK(CONCATENATE("#metadata!",ADDRESS(INDEX($Q$2:$Q$1001,MATCH(ROWS($O$2:O838),$O$2:$O$1001,0),0),1)),INDEX($T$2:$T$1001,MATCH(ROWS($O$2:O838),$O$2:$O$1001,0),0)))</f>
        <v>0</v>
      </c>
      <c r="B838" s="3">
        <f>IF(OR(INDEX($P$2:$P$1001,MATCH(ROWS($O$2:O838),$O$2:$O$1001,0),1)&gt;=100000,INDEX($V$1005:$AE$1005,1,MATCH(COLUMNS($V$1006:V1006),$V$1006:$AE$1006,0))&gt;=100000), " ",IF(INDEX($V$2:$AE$1001,MATCH(ROWS($O$2:O838),$O$2:$O$1001,0),MATCH(COLUMNS($V$1006:V1006),$V$1006:$AE$1006,0)), HYPERLINK("#",""), HYPERLINK(CONCATENATE("#Metadata!", ADDRESS(INDEX($Q$2:$Q$1001,MATCH(ROWS($O$2:O838),$O$2:$O$1001,0),0), INDEX($V$1004:$AE$1004,1,MATCH(COLUMNS($V$1006:V1006),$V$1006:$AE$1006,0)))),"Fix")))</f>
        <v>0</v>
      </c>
      <c r="C838" s="3">
        <f>IF(OR(INDEX($P$2:$P$1001,MATCH(ROWS($O$2:O838),$O$2:$O$1001,0),1)&gt;=100000,INDEX($V$1005:$AE$1005,1,MATCH(COLUMNS($V$1006:W1006),$V$1006:$AE$1006,0))&gt;=100000), " ",IF(INDEX($V$2:$AE$1001,MATCH(ROWS($O$2:O838),$O$2:$O$1001,0),MATCH(COLUMNS($V$1006:W1006),$V$1006:$AE$1006,0)), HYPERLINK("#",""), HYPERLINK(CONCATENATE("#Metadata!", ADDRESS(INDEX($Q$2:$Q$1001,MATCH(ROWS($O$2:O838),$O$2:$O$1001,0),0), INDEX($V$1004:$AE$1004,1,MATCH(COLUMNS($V$1006:W1006),$V$1006:$AE$1006,0)))),"Fix")))</f>
        <v>0</v>
      </c>
      <c r="D838" s="3">
        <f>IF(OR(INDEX($P$2:$P$1001,MATCH(ROWS($O$2:O838),$O$2:$O$1001,0),1)&gt;=100000,INDEX($V$1005:$AE$1005,1,MATCH(COLUMNS($V$1006:X1006),$V$1006:$AE$1006,0))&gt;=100000), " ",IF(INDEX($V$2:$AE$1001,MATCH(ROWS($O$2:O838),$O$2:$O$1001,0),MATCH(COLUMNS($V$1006:X1006),$V$1006:$AE$1006,0)), HYPERLINK("#",""), HYPERLINK(CONCATENATE("#Metadata!", ADDRESS(INDEX($Q$2:$Q$1001,MATCH(ROWS($O$2:O838),$O$2:$O$1001,0),0), INDEX($V$1004:$AE$1004,1,MATCH(COLUMNS($V$1006:X1006),$V$1006:$AE$1006,0)))),"Fix")))</f>
        <v>0</v>
      </c>
      <c r="E838" s="3">
        <f>IF(OR(INDEX($P$2:$P$1001,MATCH(ROWS($O$2:O838),$O$2:$O$1001,0),1)&gt;=100000,INDEX($V$1005:$AE$1005,1,MATCH(COLUMNS($V$1006:Y1006),$V$1006:$AE$1006,0))&gt;=100000), " ",IF(INDEX($V$2:$AE$1001,MATCH(ROWS($O$2:O838),$O$2:$O$1001,0),MATCH(COLUMNS($V$1006:Y1006),$V$1006:$AE$1006,0)), HYPERLINK("#",""), HYPERLINK(CONCATENATE("#Metadata!", ADDRESS(INDEX($Q$2:$Q$1001,MATCH(ROWS($O$2:O838),$O$2:$O$1001,0),0), INDEX($V$1004:$AE$1004,1,MATCH(COLUMNS($V$1006:Y1006),$V$1006:$AE$1006,0)))),"Fix")))</f>
        <v>0</v>
      </c>
      <c r="F838" s="3">
        <f>IF(OR(INDEX($P$2:$P$1001,MATCH(ROWS($O$2:O838),$O$2:$O$1001,0),1)&gt;=100000,INDEX($V$1005:$AE$1005,1,MATCH(COLUMNS($V$1006:Z1006),$V$1006:$AE$1006,0))&gt;=100000), " ",IF(INDEX($V$2:$AE$1001,MATCH(ROWS($O$2:O838),$O$2:$O$1001,0),MATCH(COLUMNS($V$1006:Z1006),$V$1006:$AE$1006,0)), HYPERLINK("#",""), HYPERLINK(CONCATENATE("#Metadata!", ADDRESS(INDEX($Q$2:$Q$1001,MATCH(ROWS($O$2:O838),$O$2:$O$1001,0),0), INDEX($V$1004:$AE$1004,1,MATCH(COLUMNS($V$1006:Z1006),$V$1006:$AE$1006,0)))),"Fix")))</f>
        <v>0</v>
      </c>
      <c r="G838" s="3">
        <f>IF(OR(INDEX($P$2:$P$1001,MATCH(ROWS($O$2:O838),$O$2:$O$1001,0),1)&gt;=100000,INDEX($V$1005:$AE$1005,1,MATCH(COLUMNS($V$1006:AA1006),$V$1006:$AE$1006,0))&gt;=100000), " ",IF(INDEX($V$2:$AE$1001,MATCH(ROWS($O$2:O838),$O$2:$O$1001,0),MATCH(COLUMNS($V$1006:AA1006),$V$1006:$AE$1006,0)), HYPERLINK("#",""), HYPERLINK(CONCATENATE("#Metadata!", ADDRESS(INDEX($Q$2:$Q$1001,MATCH(ROWS($O$2:O838),$O$2:$O$1001,0),0), INDEX($V$1004:$AE$1004,1,MATCH(COLUMNS($V$1006:AA1006),$V$1006:$AE$1006,0)))),"Fix")))</f>
        <v>0</v>
      </c>
      <c r="H838" s="3">
        <f>IF(OR(INDEX($P$2:$P$1001,MATCH(ROWS($O$2:O838),$O$2:$O$1001,0),1)&gt;=100000,INDEX($V$1005:$AE$1005,1,MATCH(COLUMNS($V$1006:AB1006),$V$1006:$AE$1006,0))&gt;=100000), " ",IF(INDEX($V$2:$AE$1001,MATCH(ROWS($O$2:O838),$O$2:$O$1001,0),MATCH(COLUMNS($V$1006:AB1006),$V$1006:$AE$1006,0)), HYPERLINK("#",""), HYPERLINK(CONCATENATE("#Metadata!", ADDRESS(INDEX($Q$2:$Q$1001,MATCH(ROWS($O$2:O838),$O$2:$O$1001,0),0), INDEX($V$1004:$AE$1004,1,MATCH(COLUMNS($V$1006:AB1006),$V$1006:$AE$1006,0)))),"Fix")))</f>
        <v>0</v>
      </c>
      <c r="I838" s="3">
        <f>IF(OR(INDEX($P$2:$P$1001,MATCH(ROWS($O$2:O838),$O$2:$O$1001,0),1)&gt;=100000,INDEX($V$1005:$AE$1005,1,MATCH(COLUMNS($V$1006:AC1006),$V$1006:$AE$1006,0))&gt;=100000), " ",IF(INDEX($V$2:$AE$1001,MATCH(ROWS($O$2:O838),$O$2:$O$1001,0),MATCH(COLUMNS($V$1006:AC1006),$V$1006:$AE$1006,0)), HYPERLINK("#",""), HYPERLINK(CONCATENATE("#Metadata!", ADDRESS(INDEX($Q$2:$Q$1001,MATCH(ROWS($O$2:O838),$O$2:$O$1001,0),0), INDEX($V$1004:$AE$1004,1,MATCH(COLUMNS($V$1006:AC1006),$V$1006:$AE$1006,0)))),"Fix")))</f>
        <v>0</v>
      </c>
      <c r="J838" s="3">
        <f>IF(OR(INDEX($P$2:$P$1001,MATCH(ROWS($O$2:O838),$O$2:$O$1001,0),1)&gt;=100000,INDEX($V$1005:$AE$1005,1,MATCH(COLUMNS($V$1006:AD1006),$V$1006:$AE$1006,0))&gt;=100000), " ",IF(INDEX($V$2:$AE$1001,MATCH(ROWS($O$2:O838),$O$2:$O$1001,0),MATCH(COLUMNS($V$1006:AD1006),$V$1006:$AE$1006,0)), HYPERLINK("#",""), HYPERLINK(CONCATENATE("#Metadata!", ADDRESS(INDEX($Q$2:$Q$1001,MATCH(ROWS($O$2:O838),$O$2:$O$1001,0),0), INDEX($V$1004:$AE$1004,1,MATCH(COLUMNS($V$1006:AD1006),$V$1006:$AE$1006,0)))),"Fix")))</f>
        <v>0</v>
      </c>
      <c r="K838" s="3">
        <f>IF(OR(INDEX($P$2:$P$1001,MATCH(ROWS($O$2:O838),$O$2:$O$1001,0),1)&gt;=100000,INDEX($V$1005:$AE$1005,1,MATCH(COLUMNS($V$1006:AE1006),$V$1006:$AE$1006,0))&gt;=100000), " ",IF(INDEX($V$2:$AE$1001,MATCH(ROWS($O$2:O838),$O$2:$O$1001,0),MATCH(COLUMNS($V$1006:AE1006),$V$1006:$AE$1006,0)), HYPERLINK("#",""), HYPERLINK(CONCATENATE("#Metadata!", ADDRESS(INDEX($Q$2:$Q$1001,MATCH(ROWS($O$2:O838),$O$2:$O$1001,0),0), INDEX($V$1004:$AE$1004,1,MATCH(COLUMNS($V$1006:AE1006),$V$1006:$AE$1006,0)))),"Fix")))</f>
        <v>0</v>
      </c>
      <c r="O838">
        <v>0</v>
      </c>
      <c r="P838">
        <v>0</v>
      </c>
      <c r="Q838">
        <v>0</v>
      </c>
      <c r="R838">
        <f>IF(S838,TRUE,AND(V838:AE838))</f>
        <v>0</v>
      </c>
      <c r="S838">
        <f>COUNTBLANK(Metadata!B838:K838)=COLUMNS(Metadata!B838:K838)</f>
        <v>0</v>
      </c>
      <c r="T838">
        <v>0</v>
      </c>
      <c r="V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W838">
        <f>AND(IF(Metadata!C838="",FALSE,TRUE),exact(Metadata!C838,"animal secretion"))</f>
        <v>0</v>
      </c>
      <c r="X838">
        <f>AND(IF(Metadata!D838="",FALSE,TRUE),exact(Metadata!D838,"saliva"))</f>
        <v>0</v>
      </c>
      <c r="Y838">
        <f>AND(IF(Metadata!E838="",FALSE,TRUE),exact(Metadata!E838,"human-oral"))</f>
        <v>0</v>
      </c>
      <c r="Z838">
        <f>AND(IF(Metadata!F838="",FALSE,TRUE),exact(Metadata!F838,"UBERON:oral cavity"))</f>
        <v>0</v>
      </c>
      <c r="AA838">
        <f>AND(IF(Metadata!G838="",FALSE,TRUE),exact(Metadata!G838,"UBERON:saliva"))</f>
        <v>0</v>
      </c>
      <c r="AB838">
        <f>AND(IF(Metadata!H838="",FALSE,TRUE),exact(Metadata!H838,"UBERON:tongue"))</f>
        <v>0</v>
      </c>
      <c r="AC838">
        <f>AND(IF(Metadata!I838="",FALSE,TRUE),exact(Metadata!I838,"tongue"))</f>
        <v>0</v>
      </c>
      <c r="AD838">
        <f>AND(IF(Metadata!J838="",FALSE,TRUE),exact(Metadata!J838,"human oral metagenome"))</f>
        <v>0</v>
      </c>
      <c r="AE838">
        <f>AND(IF(Metadata!K838="",FALSE,TRUE),exact(Metadata!K838,"447426"))</f>
        <v>0</v>
      </c>
    </row>
    <row r="839" spans="1:31">
      <c r="A839" s="4">
        <f>IF(B839=" "," ",HYPERLINK(CONCATENATE("#metadata!",ADDRESS(INDEX($Q$2:$Q$1001,MATCH(ROWS($O$2:O839),$O$2:$O$1001,0),0),1)),INDEX($T$2:$T$1001,MATCH(ROWS($O$2:O839),$O$2:$O$1001,0),0)))</f>
        <v>0</v>
      </c>
      <c r="B839" s="3">
        <f>IF(OR(INDEX($P$2:$P$1001,MATCH(ROWS($O$2:O839),$O$2:$O$1001,0),1)&gt;=100000,INDEX($V$1005:$AE$1005,1,MATCH(COLUMNS($V$1006:V1006),$V$1006:$AE$1006,0))&gt;=100000), " ",IF(INDEX($V$2:$AE$1001,MATCH(ROWS($O$2:O839),$O$2:$O$1001,0),MATCH(COLUMNS($V$1006:V1006),$V$1006:$AE$1006,0)), HYPERLINK("#",""), HYPERLINK(CONCATENATE("#Metadata!", ADDRESS(INDEX($Q$2:$Q$1001,MATCH(ROWS($O$2:O839),$O$2:$O$1001,0),0), INDEX($V$1004:$AE$1004,1,MATCH(COLUMNS($V$1006:V1006),$V$1006:$AE$1006,0)))),"Fix")))</f>
        <v>0</v>
      </c>
      <c r="C839" s="3">
        <f>IF(OR(INDEX($P$2:$P$1001,MATCH(ROWS($O$2:O839),$O$2:$O$1001,0),1)&gt;=100000,INDEX($V$1005:$AE$1005,1,MATCH(COLUMNS($V$1006:W1006),$V$1006:$AE$1006,0))&gt;=100000), " ",IF(INDEX($V$2:$AE$1001,MATCH(ROWS($O$2:O839),$O$2:$O$1001,0),MATCH(COLUMNS($V$1006:W1006),$V$1006:$AE$1006,0)), HYPERLINK("#",""), HYPERLINK(CONCATENATE("#Metadata!", ADDRESS(INDEX($Q$2:$Q$1001,MATCH(ROWS($O$2:O839),$O$2:$O$1001,0),0), INDEX($V$1004:$AE$1004,1,MATCH(COLUMNS($V$1006:W1006),$V$1006:$AE$1006,0)))),"Fix")))</f>
        <v>0</v>
      </c>
      <c r="D839" s="3">
        <f>IF(OR(INDEX($P$2:$P$1001,MATCH(ROWS($O$2:O839),$O$2:$O$1001,0),1)&gt;=100000,INDEX($V$1005:$AE$1005,1,MATCH(COLUMNS($V$1006:X1006),$V$1006:$AE$1006,0))&gt;=100000), " ",IF(INDEX($V$2:$AE$1001,MATCH(ROWS($O$2:O839),$O$2:$O$1001,0),MATCH(COLUMNS($V$1006:X1006),$V$1006:$AE$1006,0)), HYPERLINK("#",""), HYPERLINK(CONCATENATE("#Metadata!", ADDRESS(INDEX($Q$2:$Q$1001,MATCH(ROWS($O$2:O839),$O$2:$O$1001,0),0), INDEX($V$1004:$AE$1004,1,MATCH(COLUMNS($V$1006:X1006),$V$1006:$AE$1006,0)))),"Fix")))</f>
        <v>0</v>
      </c>
      <c r="E839" s="3">
        <f>IF(OR(INDEX($P$2:$P$1001,MATCH(ROWS($O$2:O839),$O$2:$O$1001,0),1)&gt;=100000,INDEX($V$1005:$AE$1005,1,MATCH(COLUMNS($V$1006:Y1006),$V$1006:$AE$1006,0))&gt;=100000), " ",IF(INDEX($V$2:$AE$1001,MATCH(ROWS($O$2:O839),$O$2:$O$1001,0),MATCH(COLUMNS($V$1006:Y1006),$V$1006:$AE$1006,0)), HYPERLINK("#",""), HYPERLINK(CONCATENATE("#Metadata!", ADDRESS(INDEX($Q$2:$Q$1001,MATCH(ROWS($O$2:O839),$O$2:$O$1001,0),0), INDEX($V$1004:$AE$1004,1,MATCH(COLUMNS($V$1006:Y1006),$V$1006:$AE$1006,0)))),"Fix")))</f>
        <v>0</v>
      </c>
      <c r="F839" s="3">
        <f>IF(OR(INDEX($P$2:$P$1001,MATCH(ROWS($O$2:O839),$O$2:$O$1001,0),1)&gt;=100000,INDEX($V$1005:$AE$1005,1,MATCH(COLUMNS($V$1006:Z1006),$V$1006:$AE$1006,0))&gt;=100000), " ",IF(INDEX($V$2:$AE$1001,MATCH(ROWS($O$2:O839),$O$2:$O$1001,0),MATCH(COLUMNS($V$1006:Z1006),$V$1006:$AE$1006,0)), HYPERLINK("#",""), HYPERLINK(CONCATENATE("#Metadata!", ADDRESS(INDEX($Q$2:$Q$1001,MATCH(ROWS($O$2:O839),$O$2:$O$1001,0),0), INDEX($V$1004:$AE$1004,1,MATCH(COLUMNS($V$1006:Z1006),$V$1006:$AE$1006,0)))),"Fix")))</f>
        <v>0</v>
      </c>
      <c r="G839" s="3">
        <f>IF(OR(INDEX($P$2:$P$1001,MATCH(ROWS($O$2:O839),$O$2:$O$1001,0),1)&gt;=100000,INDEX($V$1005:$AE$1005,1,MATCH(COLUMNS($V$1006:AA1006),$V$1006:$AE$1006,0))&gt;=100000), " ",IF(INDEX($V$2:$AE$1001,MATCH(ROWS($O$2:O839),$O$2:$O$1001,0),MATCH(COLUMNS($V$1006:AA1006),$V$1006:$AE$1006,0)), HYPERLINK("#",""), HYPERLINK(CONCATENATE("#Metadata!", ADDRESS(INDEX($Q$2:$Q$1001,MATCH(ROWS($O$2:O839),$O$2:$O$1001,0),0), INDEX($V$1004:$AE$1004,1,MATCH(COLUMNS($V$1006:AA1006),$V$1006:$AE$1006,0)))),"Fix")))</f>
        <v>0</v>
      </c>
      <c r="H839" s="3">
        <f>IF(OR(INDEX($P$2:$P$1001,MATCH(ROWS($O$2:O839),$O$2:$O$1001,0),1)&gt;=100000,INDEX($V$1005:$AE$1005,1,MATCH(COLUMNS($V$1006:AB1006),$V$1006:$AE$1006,0))&gt;=100000), " ",IF(INDEX($V$2:$AE$1001,MATCH(ROWS($O$2:O839),$O$2:$O$1001,0),MATCH(COLUMNS($V$1006:AB1006),$V$1006:$AE$1006,0)), HYPERLINK("#",""), HYPERLINK(CONCATENATE("#Metadata!", ADDRESS(INDEX($Q$2:$Q$1001,MATCH(ROWS($O$2:O839),$O$2:$O$1001,0),0), INDEX($V$1004:$AE$1004,1,MATCH(COLUMNS($V$1006:AB1006),$V$1006:$AE$1006,0)))),"Fix")))</f>
        <v>0</v>
      </c>
      <c r="I839" s="3">
        <f>IF(OR(INDEX($P$2:$P$1001,MATCH(ROWS($O$2:O839),$O$2:$O$1001,0),1)&gt;=100000,INDEX($V$1005:$AE$1005,1,MATCH(COLUMNS($V$1006:AC1006),$V$1006:$AE$1006,0))&gt;=100000), " ",IF(INDEX($V$2:$AE$1001,MATCH(ROWS($O$2:O839),$O$2:$O$1001,0),MATCH(COLUMNS($V$1006:AC1006),$V$1006:$AE$1006,0)), HYPERLINK("#",""), HYPERLINK(CONCATENATE("#Metadata!", ADDRESS(INDEX($Q$2:$Q$1001,MATCH(ROWS($O$2:O839),$O$2:$O$1001,0),0), INDEX($V$1004:$AE$1004,1,MATCH(COLUMNS($V$1006:AC1006),$V$1006:$AE$1006,0)))),"Fix")))</f>
        <v>0</v>
      </c>
      <c r="J839" s="3">
        <f>IF(OR(INDEX($P$2:$P$1001,MATCH(ROWS($O$2:O839),$O$2:$O$1001,0),1)&gt;=100000,INDEX($V$1005:$AE$1005,1,MATCH(COLUMNS($V$1006:AD1006),$V$1006:$AE$1006,0))&gt;=100000), " ",IF(INDEX($V$2:$AE$1001,MATCH(ROWS($O$2:O839),$O$2:$O$1001,0),MATCH(COLUMNS($V$1006:AD1006),$V$1006:$AE$1006,0)), HYPERLINK("#",""), HYPERLINK(CONCATENATE("#Metadata!", ADDRESS(INDEX($Q$2:$Q$1001,MATCH(ROWS($O$2:O839),$O$2:$O$1001,0),0), INDEX($V$1004:$AE$1004,1,MATCH(COLUMNS($V$1006:AD1006),$V$1006:$AE$1006,0)))),"Fix")))</f>
        <v>0</v>
      </c>
      <c r="K839" s="3">
        <f>IF(OR(INDEX($P$2:$P$1001,MATCH(ROWS($O$2:O839),$O$2:$O$1001,0),1)&gt;=100000,INDEX($V$1005:$AE$1005,1,MATCH(COLUMNS($V$1006:AE1006),$V$1006:$AE$1006,0))&gt;=100000), " ",IF(INDEX($V$2:$AE$1001,MATCH(ROWS($O$2:O839),$O$2:$O$1001,0),MATCH(COLUMNS($V$1006:AE1006),$V$1006:$AE$1006,0)), HYPERLINK("#",""), HYPERLINK(CONCATENATE("#Metadata!", ADDRESS(INDEX($Q$2:$Q$1001,MATCH(ROWS($O$2:O839),$O$2:$O$1001,0),0), INDEX($V$1004:$AE$1004,1,MATCH(COLUMNS($V$1006:AE1006),$V$1006:$AE$1006,0)))),"Fix")))</f>
        <v>0</v>
      </c>
      <c r="O839">
        <v>0</v>
      </c>
      <c r="P839">
        <v>0</v>
      </c>
      <c r="Q839">
        <v>0</v>
      </c>
      <c r="R839">
        <f>IF(S839,TRUE,AND(V839:AE839))</f>
        <v>0</v>
      </c>
      <c r="S839">
        <f>COUNTBLANK(Metadata!B839:K839)=COLUMNS(Metadata!B839:K839)</f>
        <v>0</v>
      </c>
      <c r="T839">
        <v>0</v>
      </c>
      <c r="V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W839">
        <f>AND(IF(Metadata!C839="",FALSE,TRUE),exact(Metadata!C839,"animal secretion"))</f>
        <v>0</v>
      </c>
      <c r="X839">
        <f>AND(IF(Metadata!D839="",FALSE,TRUE),exact(Metadata!D839,"saliva"))</f>
        <v>0</v>
      </c>
      <c r="Y839">
        <f>AND(IF(Metadata!E839="",FALSE,TRUE),exact(Metadata!E839,"human-oral"))</f>
        <v>0</v>
      </c>
      <c r="Z839">
        <f>AND(IF(Metadata!F839="",FALSE,TRUE),exact(Metadata!F839,"UBERON:oral cavity"))</f>
        <v>0</v>
      </c>
      <c r="AA839">
        <f>AND(IF(Metadata!G839="",FALSE,TRUE),exact(Metadata!G839,"UBERON:saliva"))</f>
        <v>0</v>
      </c>
      <c r="AB839">
        <f>AND(IF(Metadata!H839="",FALSE,TRUE),exact(Metadata!H839,"UBERON:tongue"))</f>
        <v>0</v>
      </c>
      <c r="AC839">
        <f>AND(IF(Metadata!I839="",FALSE,TRUE),exact(Metadata!I839,"tongue"))</f>
        <v>0</v>
      </c>
      <c r="AD839">
        <f>AND(IF(Metadata!J839="",FALSE,TRUE),exact(Metadata!J839,"human oral metagenome"))</f>
        <v>0</v>
      </c>
      <c r="AE839">
        <f>AND(IF(Metadata!K839="",FALSE,TRUE),exact(Metadata!K839,"447426"))</f>
        <v>0</v>
      </c>
    </row>
    <row r="840" spans="1:31">
      <c r="A840" s="4">
        <f>IF(B840=" "," ",HYPERLINK(CONCATENATE("#metadata!",ADDRESS(INDEX($Q$2:$Q$1001,MATCH(ROWS($O$2:O840),$O$2:$O$1001,0),0),1)),INDEX($T$2:$T$1001,MATCH(ROWS($O$2:O840),$O$2:$O$1001,0),0)))</f>
        <v>0</v>
      </c>
      <c r="B840" s="3">
        <f>IF(OR(INDEX($P$2:$P$1001,MATCH(ROWS($O$2:O840),$O$2:$O$1001,0),1)&gt;=100000,INDEX($V$1005:$AE$1005,1,MATCH(COLUMNS($V$1006:V1006),$V$1006:$AE$1006,0))&gt;=100000), " ",IF(INDEX($V$2:$AE$1001,MATCH(ROWS($O$2:O840),$O$2:$O$1001,0),MATCH(COLUMNS($V$1006:V1006),$V$1006:$AE$1006,0)), HYPERLINK("#",""), HYPERLINK(CONCATENATE("#Metadata!", ADDRESS(INDEX($Q$2:$Q$1001,MATCH(ROWS($O$2:O840),$O$2:$O$1001,0),0), INDEX($V$1004:$AE$1004,1,MATCH(COLUMNS($V$1006:V1006),$V$1006:$AE$1006,0)))),"Fix")))</f>
        <v>0</v>
      </c>
      <c r="C840" s="3">
        <f>IF(OR(INDEX($P$2:$P$1001,MATCH(ROWS($O$2:O840),$O$2:$O$1001,0),1)&gt;=100000,INDEX($V$1005:$AE$1005,1,MATCH(COLUMNS($V$1006:W1006),$V$1006:$AE$1006,0))&gt;=100000), " ",IF(INDEX($V$2:$AE$1001,MATCH(ROWS($O$2:O840),$O$2:$O$1001,0),MATCH(COLUMNS($V$1006:W1006),$V$1006:$AE$1006,0)), HYPERLINK("#",""), HYPERLINK(CONCATENATE("#Metadata!", ADDRESS(INDEX($Q$2:$Q$1001,MATCH(ROWS($O$2:O840),$O$2:$O$1001,0),0), INDEX($V$1004:$AE$1004,1,MATCH(COLUMNS($V$1006:W1006),$V$1006:$AE$1006,0)))),"Fix")))</f>
        <v>0</v>
      </c>
      <c r="D840" s="3">
        <f>IF(OR(INDEX($P$2:$P$1001,MATCH(ROWS($O$2:O840),$O$2:$O$1001,0),1)&gt;=100000,INDEX($V$1005:$AE$1005,1,MATCH(COLUMNS($V$1006:X1006),$V$1006:$AE$1006,0))&gt;=100000), " ",IF(INDEX($V$2:$AE$1001,MATCH(ROWS($O$2:O840),$O$2:$O$1001,0),MATCH(COLUMNS($V$1006:X1006),$V$1006:$AE$1006,0)), HYPERLINK("#",""), HYPERLINK(CONCATENATE("#Metadata!", ADDRESS(INDEX($Q$2:$Q$1001,MATCH(ROWS($O$2:O840),$O$2:$O$1001,0),0), INDEX($V$1004:$AE$1004,1,MATCH(COLUMNS($V$1006:X1006),$V$1006:$AE$1006,0)))),"Fix")))</f>
        <v>0</v>
      </c>
      <c r="E840" s="3">
        <f>IF(OR(INDEX($P$2:$P$1001,MATCH(ROWS($O$2:O840),$O$2:$O$1001,0),1)&gt;=100000,INDEX($V$1005:$AE$1005,1,MATCH(COLUMNS($V$1006:Y1006),$V$1006:$AE$1006,0))&gt;=100000), " ",IF(INDEX($V$2:$AE$1001,MATCH(ROWS($O$2:O840),$O$2:$O$1001,0),MATCH(COLUMNS($V$1006:Y1006),$V$1006:$AE$1006,0)), HYPERLINK("#",""), HYPERLINK(CONCATENATE("#Metadata!", ADDRESS(INDEX($Q$2:$Q$1001,MATCH(ROWS($O$2:O840),$O$2:$O$1001,0),0), INDEX($V$1004:$AE$1004,1,MATCH(COLUMNS($V$1006:Y1006),$V$1006:$AE$1006,0)))),"Fix")))</f>
        <v>0</v>
      </c>
      <c r="F840" s="3">
        <f>IF(OR(INDEX($P$2:$P$1001,MATCH(ROWS($O$2:O840),$O$2:$O$1001,0),1)&gt;=100000,INDEX($V$1005:$AE$1005,1,MATCH(COLUMNS($V$1006:Z1006),$V$1006:$AE$1006,0))&gt;=100000), " ",IF(INDEX($V$2:$AE$1001,MATCH(ROWS($O$2:O840),$O$2:$O$1001,0),MATCH(COLUMNS($V$1006:Z1006),$V$1006:$AE$1006,0)), HYPERLINK("#",""), HYPERLINK(CONCATENATE("#Metadata!", ADDRESS(INDEX($Q$2:$Q$1001,MATCH(ROWS($O$2:O840),$O$2:$O$1001,0),0), INDEX($V$1004:$AE$1004,1,MATCH(COLUMNS($V$1006:Z1006),$V$1006:$AE$1006,0)))),"Fix")))</f>
        <v>0</v>
      </c>
      <c r="G840" s="3">
        <f>IF(OR(INDEX($P$2:$P$1001,MATCH(ROWS($O$2:O840),$O$2:$O$1001,0),1)&gt;=100000,INDEX($V$1005:$AE$1005,1,MATCH(COLUMNS($V$1006:AA1006),$V$1006:$AE$1006,0))&gt;=100000), " ",IF(INDEX($V$2:$AE$1001,MATCH(ROWS($O$2:O840),$O$2:$O$1001,0),MATCH(COLUMNS($V$1006:AA1006),$V$1006:$AE$1006,0)), HYPERLINK("#",""), HYPERLINK(CONCATENATE("#Metadata!", ADDRESS(INDEX($Q$2:$Q$1001,MATCH(ROWS($O$2:O840),$O$2:$O$1001,0),0), INDEX($V$1004:$AE$1004,1,MATCH(COLUMNS($V$1006:AA1006),$V$1006:$AE$1006,0)))),"Fix")))</f>
        <v>0</v>
      </c>
      <c r="H840" s="3">
        <f>IF(OR(INDEX($P$2:$P$1001,MATCH(ROWS($O$2:O840),$O$2:$O$1001,0),1)&gt;=100000,INDEX($V$1005:$AE$1005,1,MATCH(COLUMNS($V$1006:AB1006),$V$1006:$AE$1006,0))&gt;=100000), " ",IF(INDEX($V$2:$AE$1001,MATCH(ROWS($O$2:O840),$O$2:$O$1001,0),MATCH(COLUMNS($V$1006:AB1006),$V$1006:$AE$1006,0)), HYPERLINK("#",""), HYPERLINK(CONCATENATE("#Metadata!", ADDRESS(INDEX($Q$2:$Q$1001,MATCH(ROWS($O$2:O840),$O$2:$O$1001,0),0), INDEX($V$1004:$AE$1004,1,MATCH(COLUMNS($V$1006:AB1006),$V$1006:$AE$1006,0)))),"Fix")))</f>
        <v>0</v>
      </c>
      <c r="I840" s="3">
        <f>IF(OR(INDEX($P$2:$P$1001,MATCH(ROWS($O$2:O840),$O$2:$O$1001,0),1)&gt;=100000,INDEX($V$1005:$AE$1005,1,MATCH(COLUMNS($V$1006:AC1006),$V$1006:$AE$1006,0))&gt;=100000), " ",IF(INDEX($V$2:$AE$1001,MATCH(ROWS($O$2:O840),$O$2:$O$1001,0),MATCH(COLUMNS($V$1006:AC1006),$V$1006:$AE$1006,0)), HYPERLINK("#",""), HYPERLINK(CONCATENATE("#Metadata!", ADDRESS(INDEX($Q$2:$Q$1001,MATCH(ROWS($O$2:O840),$O$2:$O$1001,0),0), INDEX($V$1004:$AE$1004,1,MATCH(COLUMNS($V$1006:AC1006),$V$1006:$AE$1006,0)))),"Fix")))</f>
        <v>0</v>
      </c>
      <c r="J840" s="3">
        <f>IF(OR(INDEX($P$2:$P$1001,MATCH(ROWS($O$2:O840),$O$2:$O$1001,0),1)&gt;=100000,INDEX($V$1005:$AE$1005,1,MATCH(COLUMNS($V$1006:AD1006),$V$1006:$AE$1006,0))&gt;=100000), " ",IF(INDEX($V$2:$AE$1001,MATCH(ROWS($O$2:O840),$O$2:$O$1001,0),MATCH(COLUMNS($V$1006:AD1006),$V$1006:$AE$1006,0)), HYPERLINK("#",""), HYPERLINK(CONCATENATE("#Metadata!", ADDRESS(INDEX($Q$2:$Q$1001,MATCH(ROWS($O$2:O840),$O$2:$O$1001,0),0), INDEX($V$1004:$AE$1004,1,MATCH(COLUMNS($V$1006:AD1006),$V$1006:$AE$1006,0)))),"Fix")))</f>
        <v>0</v>
      </c>
      <c r="K840" s="3">
        <f>IF(OR(INDEX($P$2:$P$1001,MATCH(ROWS($O$2:O840),$O$2:$O$1001,0),1)&gt;=100000,INDEX($V$1005:$AE$1005,1,MATCH(COLUMNS($V$1006:AE1006),$V$1006:$AE$1006,0))&gt;=100000), " ",IF(INDEX($V$2:$AE$1001,MATCH(ROWS($O$2:O840),$O$2:$O$1001,0),MATCH(COLUMNS($V$1006:AE1006),$V$1006:$AE$1006,0)), HYPERLINK("#",""), HYPERLINK(CONCATENATE("#Metadata!", ADDRESS(INDEX($Q$2:$Q$1001,MATCH(ROWS($O$2:O840),$O$2:$O$1001,0),0), INDEX($V$1004:$AE$1004,1,MATCH(COLUMNS($V$1006:AE1006),$V$1006:$AE$1006,0)))),"Fix")))</f>
        <v>0</v>
      </c>
      <c r="O840">
        <v>0</v>
      </c>
      <c r="P840">
        <v>0</v>
      </c>
      <c r="Q840">
        <v>0</v>
      </c>
      <c r="R840">
        <f>IF(S840,TRUE,AND(V840:AE840))</f>
        <v>0</v>
      </c>
      <c r="S840">
        <f>COUNTBLANK(Metadata!B840:K840)=COLUMNS(Metadata!B840:K840)</f>
        <v>0</v>
      </c>
      <c r="T840">
        <v>0</v>
      </c>
      <c r="V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W840">
        <f>AND(IF(Metadata!C840="",FALSE,TRUE),exact(Metadata!C840,"animal secretion"))</f>
        <v>0</v>
      </c>
      <c r="X840">
        <f>AND(IF(Metadata!D840="",FALSE,TRUE),exact(Metadata!D840,"saliva"))</f>
        <v>0</v>
      </c>
      <c r="Y840">
        <f>AND(IF(Metadata!E840="",FALSE,TRUE),exact(Metadata!E840,"human-oral"))</f>
        <v>0</v>
      </c>
      <c r="Z840">
        <f>AND(IF(Metadata!F840="",FALSE,TRUE),exact(Metadata!F840,"UBERON:oral cavity"))</f>
        <v>0</v>
      </c>
      <c r="AA840">
        <f>AND(IF(Metadata!G840="",FALSE,TRUE),exact(Metadata!G840,"UBERON:saliva"))</f>
        <v>0</v>
      </c>
      <c r="AB840">
        <f>AND(IF(Metadata!H840="",FALSE,TRUE),exact(Metadata!H840,"UBERON:tongue"))</f>
        <v>0</v>
      </c>
      <c r="AC840">
        <f>AND(IF(Metadata!I840="",FALSE,TRUE),exact(Metadata!I840,"tongue"))</f>
        <v>0</v>
      </c>
      <c r="AD840">
        <f>AND(IF(Metadata!J840="",FALSE,TRUE),exact(Metadata!J840,"human oral metagenome"))</f>
        <v>0</v>
      </c>
      <c r="AE840">
        <f>AND(IF(Metadata!K840="",FALSE,TRUE),exact(Metadata!K840,"447426"))</f>
        <v>0</v>
      </c>
    </row>
    <row r="841" spans="1:31">
      <c r="A841" s="4">
        <f>IF(B841=" "," ",HYPERLINK(CONCATENATE("#metadata!",ADDRESS(INDEX($Q$2:$Q$1001,MATCH(ROWS($O$2:O841),$O$2:$O$1001,0),0),1)),INDEX($T$2:$T$1001,MATCH(ROWS($O$2:O841),$O$2:$O$1001,0),0)))</f>
        <v>0</v>
      </c>
      <c r="B841" s="3">
        <f>IF(OR(INDEX($P$2:$P$1001,MATCH(ROWS($O$2:O841),$O$2:$O$1001,0),1)&gt;=100000,INDEX($V$1005:$AE$1005,1,MATCH(COLUMNS($V$1006:V1006),$V$1006:$AE$1006,0))&gt;=100000), " ",IF(INDEX($V$2:$AE$1001,MATCH(ROWS($O$2:O841),$O$2:$O$1001,0),MATCH(COLUMNS($V$1006:V1006),$V$1006:$AE$1006,0)), HYPERLINK("#",""), HYPERLINK(CONCATENATE("#Metadata!", ADDRESS(INDEX($Q$2:$Q$1001,MATCH(ROWS($O$2:O841),$O$2:$O$1001,0),0), INDEX($V$1004:$AE$1004,1,MATCH(COLUMNS($V$1006:V1006),$V$1006:$AE$1006,0)))),"Fix")))</f>
        <v>0</v>
      </c>
      <c r="C841" s="3">
        <f>IF(OR(INDEX($P$2:$P$1001,MATCH(ROWS($O$2:O841),$O$2:$O$1001,0),1)&gt;=100000,INDEX($V$1005:$AE$1005,1,MATCH(COLUMNS($V$1006:W1006),$V$1006:$AE$1006,0))&gt;=100000), " ",IF(INDEX($V$2:$AE$1001,MATCH(ROWS($O$2:O841),$O$2:$O$1001,0),MATCH(COLUMNS($V$1006:W1006),$V$1006:$AE$1006,0)), HYPERLINK("#",""), HYPERLINK(CONCATENATE("#Metadata!", ADDRESS(INDEX($Q$2:$Q$1001,MATCH(ROWS($O$2:O841),$O$2:$O$1001,0),0), INDEX($V$1004:$AE$1004,1,MATCH(COLUMNS($V$1006:W1006),$V$1006:$AE$1006,0)))),"Fix")))</f>
        <v>0</v>
      </c>
      <c r="D841" s="3">
        <f>IF(OR(INDEX($P$2:$P$1001,MATCH(ROWS($O$2:O841),$O$2:$O$1001,0),1)&gt;=100000,INDEX($V$1005:$AE$1005,1,MATCH(COLUMNS($V$1006:X1006),$V$1006:$AE$1006,0))&gt;=100000), " ",IF(INDEX($V$2:$AE$1001,MATCH(ROWS($O$2:O841),$O$2:$O$1001,0),MATCH(COLUMNS($V$1006:X1006),$V$1006:$AE$1006,0)), HYPERLINK("#",""), HYPERLINK(CONCATENATE("#Metadata!", ADDRESS(INDEX($Q$2:$Q$1001,MATCH(ROWS($O$2:O841),$O$2:$O$1001,0),0), INDEX($V$1004:$AE$1004,1,MATCH(COLUMNS($V$1006:X1006),$V$1006:$AE$1006,0)))),"Fix")))</f>
        <v>0</v>
      </c>
      <c r="E841" s="3">
        <f>IF(OR(INDEX($P$2:$P$1001,MATCH(ROWS($O$2:O841),$O$2:$O$1001,0),1)&gt;=100000,INDEX($V$1005:$AE$1005,1,MATCH(COLUMNS($V$1006:Y1006),$V$1006:$AE$1006,0))&gt;=100000), " ",IF(INDEX($V$2:$AE$1001,MATCH(ROWS($O$2:O841),$O$2:$O$1001,0),MATCH(COLUMNS($V$1006:Y1006),$V$1006:$AE$1006,0)), HYPERLINK("#",""), HYPERLINK(CONCATENATE("#Metadata!", ADDRESS(INDEX($Q$2:$Q$1001,MATCH(ROWS($O$2:O841),$O$2:$O$1001,0),0), INDEX($V$1004:$AE$1004,1,MATCH(COLUMNS($V$1006:Y1006),$V$1006:$AE$1006,0)))),"Fix")))</f>
        <v>0</v>
      </c>
      <c r="F841" s="3">
        <f>IF(OR(INDEX($P$2:$P$1001,MATCH(ROWS($O$2:O841),$O$2:$O$1001,0),1)&gt;=100000,INDEX($V$1005:$AE$1005,1,MATCH(COLUMNS($V$1006:Z1006),$V$1006:$AE$1006,0))&gt;=100000), " ",IF(INDEX($V$2:$AE$1001,MATCH(ROWS($O$2:O841),$O$2:$O$1001,0),MATCH(COLUMNS($V$1006:Z1006),$V$1006:$AE$1006,0)), HYPERLINK("#",""), HYPERLINK(CONCATENATE("#Metadata!", ADDRESS(INDEX($Q$2:$Q$1001,MATCH(ROWS($O$2:O841),$O$2:$O$1001,0),0), INDEX($V$1004:$AE$1004,1,MATCH(COLUMNS($V$1006:Z1006),$V$1006:$AE$1006,0)))),"Fix")))</f>
        <v>0</v>
      </c>
      <c r="G841" s="3">
        <f>IF(OR(INDEX($P$2:$P$1001,MATCH(ROWS($O$2:O841),$O$2:$O$1001,0),1)&gt;=100000,INDEX($V$1005:$AE$1005,1,MATCH(COLUMNS($V$1006:AA1006),$V$1006:$AE$1006,0))&gt;=100000), " ",IF(INDEX($V$2:$AE$1001,MATCH(ROWS($O$2:O841),$O$2:$O$1001,0),MATCH(COLUMNS($V$1006:AA1006),$V$1006:$AE$1006,0)), HYPERLINK("#",""), HYPERLINK(CONCATENATE("#Metadata!", ADDRESS(INDEX($Q$2:$Q$1001,MATCH(ROWS($O$2:O841),$O$2:$O$1001,0),0), INDEX($V$1004:$AE$1004,1,MATCH(COLUMNS($V$1006:AA1006),$V$1006:$AE$1006,0)))),"Fix")))</f>
        <v>0</v>
      </c>
      <c r="H841" s="3">
        <f>IF(OR(INDEX($P$2:$P$1001,MATCH(ROWS($O$2:O841),$O$2:$O$1001,0),1)&gt;=100000,INDEX($V$1005:$AE$1005,1,MATCH(COLUMNS($V$1006:AB1006),$V$1006:$AE$1006,0))&gt;=100000), " ",IF(INDEX($V$2:$AE$1001,MATCH(ROWS($O$2:O841),$O$2:$O$1001,0),MATCH(COLUMNS($V$1006:AB1006),$V$1006:$AE$1006,0)), HYPERLINK("#",""), HYPERLINK(CONCATENATE("#Metadata!", ADDRESS(INDEX($Q$2:$Q$1001,MATCH(ROWS($O$2:O841),$O$2:$O$1001,0),0), INDEX($V$1004:$AE$1004,1,MATCH(COLUMNS($V$1006:AB1006),$V$1006:$AE$1006,0)))),"Fix")))</f>
        <v>0</v>
      </c>
      <c r="I841" s="3">
        <f>IF(OR(INDEX($P$2:$P$1001,MATCH(ROWS($O$2:O841),$O$2:$O$1001,0),1)&gt;=100000,INDEX($V$1005:$AE$1005,1,MATCH(COLUMNS($V$1006:AC1006),$V$1006:$AE$1006,0))&gt;=100000), " ",IF(INDEX($V$2:$AE$1001,MATCH(ROWS($O$2:O841),$O$2:$O$1001,0),MATCH(COLUMNS($V$1006:AC1006),$V$1006:$AE$1006,0)), HYPERLINK("#",""), HYPERLINK(CONCATENATE("#Metadata!", ADDRESS(INDEX($Q$2:$Q$1001,MATCH(ROWS($O$2:O841),$O$2:$O$1001,0),0), INDEX($V$1004:$AE$1004,1,MATCH(COLUMNS($V$1006:AC1006),$V$1006:$AE$1006,0)))),"Fix")))</f>
        <v>0</v>
      </c>
      <c r="J841" s="3">
        <f>IF(OR(INDEX($P$2:$P$1001,MATCH(ROWS($O$2:O841),$O$2:$O$1001,0),1)&gt;=100000,INDEX($V$1005:$AE$1005,1,MATCH(COLUMNS($V$1006:AD1006),$V$1006:$AE$1006,0))&gt;=100000), " ",IF(INDEX($V$2:$AE$1001,MATCH(ROWS($O$2:O841),$O$2:$O$1001,0),MATCH(COLUMNS($V$1006:AD1006),$V$1006:$AE$1006,0)), HYPERLINK("#",""), HYPERLINK(CONCATENATE("#Metadata!", ADDRESS(INDEX($Q$2:$Q$1001,MATCH(ROWS($O$2:O841),$O$2:$O$1001,0),0), INDEX($V$1004:$AE$1004,1,MATCH(COLUMNS($V$1006:AD1006),$V$1006:$AE$1006,0)))),"Fix")))</f>
        <v>0</v>
      </c>
      <c r="K841" s="3">
        <f>IF(OR(INDEX($P$2:$P$1001,MATCH(ROWS($O$2:O841),$O$2:$O$1001,0),1)&gt;=100000,INDEX($V$1005:$AE$1005,1,MATCH(COLUMNS($V$1006:AE1006),$V$1006:$AE$1006,0))&gt;=100000), " ",IF(INDEX($V$2:$AE$1001,MATCH(ROWS($O$2:O841),$O$2:$O$1001,0),MATCH(COLUMNS($V$1006:AE1006),$V$1006:$AE$1006,0)), HYPERLINK("#",""), HYPERLINK(CONCATENATE("#Metadata!", ADDRESS(INDEX($Q$2:$Q$1001,MATCH(ROWS($O$2:O841),$O$2:$O$1001,0),0), INDEX($V$1004:$AE$1004,1,MATCH(COLUMNS($V$1006:AE1006),$V$1006:$AE$1006,0)))),"Fix")))</f>
        <v>0</v>
      </c>
      <c r="O841">
        <v>0</v>
      </c>
      <c r="P841">
        <v>0</v>
      </c>
      <c r="Q841">
        <v>0</v>
      </c>
      <c r="R841">
        <f>IF(S841,TRUE,AND(V841:AE841))</f>
        <v>0</v>
      </c>
      <c r="S841">
        <f>COUNTBLANK(Metadata!B841:K841)=COLUMNS(Metadata!B841:K841)</f>
        <v>0</v>
      </c>
      <c r="T841">
        <v>0</v>
      </c>
      <c r="V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W841">
        <f>AND(IF(Metadata!C841="",FALSE,TRUE),exact(Metadata!C841,"animal secretion"))</f>
        <v>0</v>
      </c>
      <c r="X841">
        <f>AND(IF(Metadata!D841="",FALSE,TRUE),exact(Metadata!D841,"saliva"))</f>
        <v>0</v>
      </c>
      <c r="Y841">
        <f>AND(IF(Metadata!E841="",FALSE,TRUE),exact(Metadata!E841,"human-oral"))</f>
        <v>0</v>
      </c>
      <c r="Z841">
        <f>AND(IF(Metadata!F841="",FALSE,TRUE),exact(Metadata!F841,"UBERON:oral cavity"))</f>
        <v>0</v>
      </c>
      <c r="AA841">
        <f>AND(IF(Metadata!G841="",FALSE,TRUE),exact(Metadata!G841,"UBERON:saliva"))</f>
        <v>0</v>
      </c>
      <c r="AB841">
        <f>AND(IF(Metadata!H841="",FALSE,TRUE),exact(Metadata!H841,"UBERON:tongue"))</f>
        <v>0</v>
      </c>
      <c r="AC841">
        <f>AND(IF(Metadata!I841="",FALSE,TRUE),exact(Metadata!I841,"tongue"))</f>
        <v>0</v>
      </c>
      <c r="AD841">
        <f>AND(IF(Metadata!J841="",FALSE,TRUE),exact(Metadata!J841,"human oral metagenome"))</f>
        <v>0</v>
      </c>
      <c r="AE841">
        <f>AND(IF(Metadata!K841="",FALSE,TRUE),exact(Metadata!K841,"447426"))</f>
        <v>0</v>
      </c>
    </row>
    <row r="842" spans="1:31">
      <c r="A842" s="4">
        <f>IF(B842=" "," ",HYPERLINK(CONCATENATE("#metadata!",ADDRESS(INDEX($Q$2:$Q$1001,MATCH(ROWS($O$2:O842),$O$2:$O$1001,0),0),1)),INDEX($T$2:$T$1001,MATCH(ROWS($O$2:O842),$O$2:$O$1001,0),0)))</f>
        <v>0</v>
      </c>
      <c r="B842" s="3">
        <f>IF(OR(INDEX($P$2:$P$1001,MATCH(ROWS($O$2:O842),$O$2:$O$1001,0),1)&gt;=100000,INDEX($V$1005:$AE$1005,1,MATCH(COLUMNS($V$1006:V1006),$V$1006:$AE$1006,0))&gt;=100000), " ",IF(INDEX($V$2:$AE$1001,MATCH(ROWS($O$2:O842),$O$2:$O$1001,0),MATCH(COLUMNS($V$1006:V1006),$V$1006:$AE$1006,0)), HYPERLINK("#",""), HYPERLINK(CONCATENATE("#Metadata!", ADDRESS(INDEX($Q$2:$Q$1001,MATCH(ROWS($O$2:O842),$O$2:$O$1001,0),0), INDEX($V$1004:$AE$1004,1,MATCH(COLUMNS($V$1006:V1006),$V$1006:$AE$1006,0)))),"Fix")))</f>
        <v>0</v>
      </c>
      <c r="C842" s="3">
        <f>IF(OR(INDEX($P$2:$P$1001,MATCH(ROWS($O$2:O842),$O$2:$O$1001,0),1)&gt;=100000,INDEX($V$1005:$AE$1005,1,MATCH(COLUMNS($V$1006:W1006),$V$1006:$AE$1006,0))&gt;=100000), " ",IF(INDEX($V$2:$AE$1001,MATCH(ROWS($O$2:O842),$O$2:$O$1001,0),MATCH(COLUMNS($V$1006:W1006),$V$1006:$AE$1006,0)), HYPERLINK("#",""), HYPERLINK(CONCATENATE("#Metadata!", ADDRESS(INDEX($Q$2:$Q$1001,MATCH(ROWS($O$2:O842),$O$2:$O$1001,0),0), INDEX($V$1004:$AE$1004,1,MATCH(COLUMNS($V$1006:W1006),$V$1006:$AE$1006,0)))),"Fix")))</f>
        <v>0</v>
      </c>
      <c r="D842" s="3">
        <f>IF(OR(INDEX($P$2:$P$1001,MATCH(ROWS($O$2:O842),$O$2:$O$1001,0),1)&gt;=100000,INDEX($V$1005:$AE$1005,1,MATCH(COLUMNS($V$1006:X1006),$V$1006:$AE$1006,0))&gt;=100000), " ",IF(INDEX($V$2:$AE$1001,MATCH(ROWS($O$2:O842),$O$2:$O$1001,0),MATCH(COLUMNS($V$1006:X1006),$V$1006:$AE$1006,0)), HYPERLINK("#",""), HYPERLINK(CONCATENATE("#Metadata!", ADDRESS(INDEX($Q$2:$Q$1001,MATCH(ROWS($O$2:O842),$O$2:$O$1001,0),0), INDEX($V$1004:$AE$1004,1,MATCH(COLUMNS($V$1006:X1006),$V$1006:$AE$1006,0)))),"Fix")))</f>
        <v>0</v>
      </c>
      <c r="E842" s="3">
        <f>IF(OR(INDEX($P$2:$P$1001,MATCH(ROWS($O$2:O842),$O$2:$O$1001,0),1)&gt;=100000,INDEX($V$1005:$AE$1005,1,MATCH(COLUMNS($V$1006:Y1006),$V$1006:$AE$1006,0))&gt;=100000), " ",IF(INDEX($V$2:$AE$1001,MATCH(ROWS($O$2:O842),$O$2:$O$1001,0),MATCH(COLUMNS($V$1006:Y1006),$V$1006:$AE$1006,0)), HYPERLINK("#",""), HYPERLINK(CONCATENATE("#Metadata!", ADDRESS(INDEX($Q$2:$Q$1001,MATCH(ROWS($O$2:O842),$O$2:$O$1001,0),0), INDEX($V$1004:$AE$1004,1,MATCH(COLUMNS($V$1006:Y1006),$V$1006:$AE$1006,0)))),"Fix")))</f>
        <v>0</v>
      </c>
      <c r="F842" s="3">
        <f>IF(OR(INDEX($P$2:$P$1001,MATCH(ROWS($O$2:O842),$O$2:$O$1001,0),1)&gt;=100000,INDEX($V$1005:$AE$1005,1,MATCH(COLUMNS($V$1006:Z1006),$V$1006:$AE$1006,0))&gt;=100000), " ",IF(INDEX($V$2:$AE$1001,MATCH(ROWS($O$2:O842),$O$2:$O$1001,0),MATCH(COLUMNS($V$1006:Z1006),$V$1006:$AE$1006,0)), HYPERLINK("#",""), HYPERLINK(CONCATENATE("#Metadata!", ADDRESS(INDEX($Q$2:$Q$1001,MATCH(ROWS($O$2:O842),$O$2:$O$1001,0),0), INDEX($V$1004:$AE$1004,1,MATCH(COLUMNS($V$1006:Z1006),$V$1006:$AE$1006,0)))),"Fix")))</f>
        <v>0</v>
      </c>
      <c r="G842" s="3">
        <f>IF(OR(INDEX($P$2:$P$1001,MATCH(ROWS($O$2:O842),$O$2:$O$1001,0),1)&gt;=100000,INDEX($V$1005:$AE$1005,1,MATCH(COLUMNS($V$1006:AA1006),$V$1006:$AE$1006,0))&gt;=100000), " ",IF(INDEX($V$2:$AE$1001,MATCH(ROWS($O$2:O842),$O$2:$O$1001,0),MATCH(COLUMNS($V$1006:AA1006),$V$1006:$AE$1006,0)), HYPERLINK("#",""), HYPERLINK(CONCATENATE("#Metadata!", ADDRESS(INDEX($Q$2:$Q$1001,MATCH(ROWS($O$2:O842),$O$2:$O$1001,0),0), INDEX($V$1004:$AE$1004,1,MATCH(COLUMNS($V$1006:AA1006),$V$1006:$AE$1006,0)))),"Fix")))</f>
        <v>0</v>
      </c>
      <c r="H842" s="3">
        <f>IF(OR(INDEX($P$2:$P$1001,MATCH(ROWS($O$2:O842),$O$2:$O$1001,0),1)&gt;=100000,INDEX($V$1005:$AE$1005,1,MATCH(COLUMNS($V$1006:AB1006),$V$1006:$AE$1006,0))&gt;=100000), " ",IF(INDEX($V$2:$AE$1001,MATCH(ROWS($O$2:O842),$O$2:$O$1001,0),MATCH(COLUMNS($V$1006:AB1006),$V$1006:$AE$1006,0)), HYPERLINK("#",""), HYPERLINK(CONCATENATE("#Metadata!", ADDRESS(INDEX($Q$2:$Q$1001,MATCH(ROWS($O$2:O842),$O$2:$O$1001,0),0), INDEX($V$1004:$AE$1004,1,MATCH(COLUMNS($V$1006:AB1006),$V$1006:$AE$1006,0)))),"Fix")))</f>
        <v>0</v>
      </c>
      <c r="I842" s="3">
        <f>IF(OR(INDEX($P$2:$P$1001,MATCH(ROWS($O$2:O842),$O$2:$O$1001,0),1)&gt;=100000,INDEX($V$1005:$AE$1005,1,MATCH(COLUMNS($V$1006:AC1006),$V$1006:$AE$1006,0))&gt;=100000), " ",IF(INDEX($V$2:$AE$1001,MATCH(ROWS($O$2:O842),$O$2:$O$1001,0),MATCH(COLUMNS($V$1006:AC1006),$V$1006:$AE$1006,0)), HYPERLINK("#",""), HYPERLINK(CONCATENATE("#Metadata!", ADDRESS(INDEX($Q$2:$Q$1001,MATCH(ROWS($O$2:O842),$O$2:$O$1001,0),0), INDEX($V$1004:$AE$1004,1,MATCH(COLUMNS($V$1006:AC1006),$V$1006:$AE$1006,0)))),"Fix")))</f>
        <v>0</v>
      </c>
      <c r="J842" s="3">
        <f>IF(OR(INDEX($P$2:$P$1001,MATCH(ROWS($O$2:O842),$O$2:$O$1001,0),1)&gt;=100000,INDEX($V$1005:$AE$1005,1,MATCH(COLUMNS($V$1006:AD1006),$V$1006:$AE$1006,0))&gt;=100000), " ",IF(INDEX($V$2:$AE$1001,MATCH(ROWS($O$2:O842),$O$2:$O$1001,0),MATCH(COLUMNS($V$1006:AD1006),$V$1006:$AE$1006,0)), HYPERLINK("#",""), HYPERLINK(CONCATENATE("#Metadata!", ADDRESS(INDEX($Q$2:$Q$1001,MATCH(ROWS($O$2:O842),$O$2:$O$1001,0),0), INDEX($V$1004:$AE$1004,1,MATCH(COLUMNS($V$1006:AD1006),$V$1006:$AE$1006,0)))),"Fix")))</f>
        <v>0</v>
      </c>
      <c r="K842" s="3">
        <f>IF(OR(INDEX($P$2:$P$1001,MATCH(ROWS($O$2:O842),$O$2:$O$1001,0),1)&gt;=100000,INDEX($V$1005:$AE$1005,1,MATCH(COLUMNS($V$1006:AE1006),$V$1006:$AE$1006,0))&gt;=100000), " ",IF(INDEX($V$2:$AE$1001,MATCH(ROWS($O$2:O842),$O$2:$O$1001,0),MATCH(COLUMNS($V$1006:AE1006),$V$1006:$AE$1006,0)), HYPERLINK("#",""), HYPERLINK(CONCATENATE("#Metadata!", ADDRESS(INDEX($Q$2:$Q$1001,MATCH(ROWS($O$2:O842),$O$2:$O$1001,0),0), INDEX($V$1004:$AE$1004,1,MATCH(COLUMNS($V$1006:AE1006),$V$1006:$AE$1006,0)))),"Fix")))</f>
        <v>0</v>
      </c>
      <c r="O842">
        <v>0</v>
      </c>
      <c r="P842">
        <v>0</v>
      </c>
      <c r="Q842">
        <v>0</v>
      </c>
      <c r="R842">
        <f>IF(S842,TRUE,AND(V842:AE842))</f>
        <v>0</v>
      </c>
      <c r="S842">
        <f>COUNTBLANK(Metadata!B842:K842)=COLUMNS(Metadata!B842:K842)</f>
        <v>0</v>
      </c>
      <c r="T842">
        <v>0</v>
      </c>
      <c r="V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W842">
        <f>AND(IF(Metadata!C842="",FALSE,TRUE),exact(Metadata!C842,"animal secretion"))</f>
        <v>0</v>
      </c>
      <c r="X842">
        <f>AND(IF(Metadata!D842="",FALSE,TRUE),exact(Metadata!D842,"saliva"))</f>
        <v>0</v>
      </c>
      <c r="Y842">
        <f>AND(IF(Metadata!E842="",FALSE,TRUE),exact(Metadata!E842,"human-oral"))</f>
        <v>0</v>
      </c>
      <c r="Z842">
        <f>AND(IF(Metadata!F842="",FALSE,TRUE),exact(Metadata!F842,"UBERON:oral cavity"))</f>
        <v>0</v>
      </c>
      <c r="AA842">
        <f>AND(IF(Metadata!G842="",FALSE,TRUE),exact(Metadata!G842,"UBERON:saliva"))</f>
        <v>0</v>
      </c>
      <c r="AB842">
        <f>AND(IF(Metadata!H842="",FALSE,TRUE),exact(Metadata!H842,"UBERON:tongue"))</f>
        <v>0</v>
      </c>
      <c r="AC842">
        <f>AND(IF(Metadata!I842="",FALSE,TRUE),exact(Metadata!I842,"tongue"))</f>
        <v>0</v>
      </c>
      <c r="AD842">
        <f>AND(IF(Metadata!J842="",FALSE,TRUE),exact(Metadata!J842,"human oral metagenome"))</f>
        <v>0</v>
      </c>
      <c r="AE842">
        <f>AND(IF(Metadata!K842="",FALSE,TRUE),exact(Metadata!K842,"447426"))</f>
        <v>0</v>
      </c>
    </row>
    <row r="843" spans="1:31">
      <c r="A843" s="4">
        <f>IF(B843=" "," ",HYPERLINK(CONCATENATE("#metadata!",ADDRESS(INDEX($Q$2:$Q$1001,MATCH(ROWS($O$2:O843),$O$2:$O$1001,0),0),1)),INDEX($T$2:$T$1001,MATCH(ROWS($O$2:O843),$O$2:$O$1001,0),0)))</f>
        <v>0</v>
      </c>
      <c r="B843" s="3">
        <f>IF(OR(INDEX($P$2:$P$1001,MATCH(ROWS($O$2:O843),$O$2:$O$1001,0),1)&gt;=100000,INDEX($V$1005:$AE$1005,1,MATCH(COLUMNS($V$1006:V1006),$V$1006:$AE$1006,0))&gt;=100000), " ",IF(INDEX($V$2:$AE$1001,MATCH(ROWS($O$2:O843),$O$2:$O$1001,0),MATCH(COLUMNS($V$1006:V1006),$V$1006:$AE$1006,0)), HYPERLINK("#",""), HYPERLINK(CONCATENATE("#Metadata!", ADDRESS(INDEX($Q$2:$Q$1001,MATCH(ROWS($O$2:O843),$O$2:$O$1001,0),0), INDEX($V$1004:$AE$1004,1,MATCH(COLUMNS($V$1006:V1006),$V$1006:$AE$1006,0)))),"Fix")))</f>
        <v>0</v>
      </c>
      <c r="C843" s="3">
        <f>IF(OR(INDEX($P$2:$P$1001,MATCH(ROWS($O$2:O843),$O$2:$O$1001,0),1)&gt;=100000,INDEX($V$1005:$AE$1005,1,MATCH(COLUMNS($V$1006:W1006),$V$1006:$AE$1006,0))&gt;=100000), " ",IF(INDEX($V$2:$AE$1001,MATCH(ROWS($O$2:O843),$O$2:$O$1001,0),MATCH(COLUMNS($V$1006:W1006),$V$1006:$AE$1006,0)), HYPERLINK("#",""), HYPERLINK(CONCATENATE("#Metadata!", ADDRESS(INDEX($Q$2:$Q$1001,MATCH(ROWS($O$2:O843),$O$2:$O$1001,0),0), INDEX($V$1004:$AE$1004,1,MATCH(COLUMNS($V$1006:W1006),$V$1006:$AE$1006,0)))),"Fix")))</f>
        <v>0</v>
      </c>
      <c r="D843" s="3">
        <f>IF(OR(INDEX($P$2:$P$1001,MATCH(ROWS($O$2:O843),$O$2:$O$1001,0),1)&gt;=100000,INDEX($V$1005:$AE$1005,1,MATCH(COLUMNS($V$1006:X1006),$V$1006:$AE$1006,0))&gt;=100000), " ",IF(INDEX($V$2:$AE$1001,MATCH(ROWS($O$2:O843),$O$2:$O$1001,0),MATCH(COLUMNS($V$1006:X1006),$V$1006:$AE$1006,0)), HYPERLINK("#",""), HYPERLINK(CONCATENATE("#Metadata!", ADDRESS(INDEX($Q$2:$Q$1001,MATCH(ROWS($O$2:O843),$O$2:$O$1001,0),0), INDEX($V$1004:$AE$1004,1,MATCH(COLUMNS($V$1006:X1006),$V$1006:$AE$1006,0)))),"Fix")))</f>
        <v>0</v>
      </c>
      <c r="E843" s="3">
        <f>IF(OR(INDEX($P$2:$P$1001,MATCH(ROWS($O$2:O843),$O$2:$O$1001,0),1)&gt;=100000,INDEX($V$1005:$AE$1005,1,MATCH(COLUMNS($V$1006:Y1006),$V$1006:$AE$1006,0))&gt;=100000), " ",IF(INDEX($V$2:$AE$1001,MATCH(ROWS($O$2:O843),$O$2:$O$1001,0),MATCH(COLUMNS($V$1006:Y1006),$V$1006:$AE$1006,0)), HYPERLINK("#",""), HYPERLINK(CONCATENATE("#Metadata!", ADDRESS(INDEX($Q$2:$Q$1001,MATCH(ROWS($O$2:O843),$O$2:$O$1001,0),0), INDEX($V$1004:$AE$1004,1,MATCH(COLUMNS($V$1006:Y1006),$V$1006:$AE$1006,0)))),"Fix")))</f>
        <v>0</v>
      </c>
      <c r="F843" s="3">
        <f>IF(OR(INDEX($P$2:$P$1001,MATCH(ROWS($O$2:O843),$O$2:$O$1001,0),1)&gt;=100000,INDEX($V$1005:$AE$1005,1,MATCH(COLUMNS($V$1006:Z1006),$V$1006:$AE$1006,0))&gt;=100000), " ",IF(INDEX($V$2:$AE$1001,MATCH(ROWS($O$2:O843),$O$2:$O$1001,0),MATCH(COLUMNS($V$1006:Z1006),$V$1006:$AE$1006,0)), HYPERLINK("#",""), HYPERLINK(CONCATENATE("#Metadata!", ADDRESS(INDEX($Q$2:$Q$1001,MATCH(ROWS($O$2:O843),$O$2:$O$1001,0),0), INDEX($V$1004:$AE$1004,1,MATCH(COLUMNS($V$1006:Z1006),$V$1006:$AE$1006,0)))),"Fix")))</f>
        <v>0</v>
      </c>
      <c r="G843" s="3">
        <f>IF(OR(INDEX($P$2:$P$1001,MATCH(ROWS($O$2:O843),$O$2:$O$1001,0),1)&gt;=100000,INDEX($V$1005:$AE$1005,1,MATCH(COLUMNS($V$1006:AA1006),$V$1006:$AE$1006,0))&gt;=100000), " ",IF(INDEX($V$2:$AE$1001,MATCH(ROWS($O$2:O843),$O$2:$O$1001,0),MATCH(COLUMNS($V$1006:AA1006),$V$1006:$AE$1006,0)), HYPERLINK("#",""), HYPERLINK(CONCATENATE("#Metadata!", ADDRESS(INDEX($Q$2:$Q$1001,MATCH(ROWS($O$2:O843),$O$2:$O$1001,0),0), INDEX($V$1004:$AE$1004,1,MATCH(COLUMNS($V$1006:AA1006),$V$1006:$AE$1006,0)))),"Fix")))</f>
        <v>0</v>
      </c>
      <c r="H843" s="3">
        <f>IF(OR(INDEX($P$2:$P$1001,MATCH(ROWS($O$2:O843),$O$2:$O$1001,0),1)&gt;=100000,INDEX($V$1005:$AE$1005,1,MATCH(COLUMNS($V$1006:AB1006),$V$1006:$AE$1006,0))&gt;=100000), " ",IF(INDEX($V$2:$AE$1001,MATCH(ROWS($O$2:O843),$O$2:$O$1001,0),MATCH(COLUMNS($V$1006:AB1006),$V$1006:$AE$1006,0)), HYPERLINK("#",""), HYPERLINK(CONCATENATE("#Metadata!", ADDRESS(INDEX($Q$2:$Q$1001,MATCH(ROWS($O$2:O843),$O$2:$O$1001,0),0), INDEX($V$1004:$AE$1004,1,MATCH(COLUMNS($V$1006:AB1006),$V$1006:$AE$1006,0)))),"Fix")))</f>
        <v>0</v>
      </c>
      <c r="I843" s="3">
        <f>IF(OR(INDEX($P$2:$P$1001,MATCH(ROWS($O$2:O843),$O$2:$O$1001,0),1)&gt;=100000,INDEX($V$1005:$AE$1005,1,MATCH(COLUMNS($V$1006:AC1006),$V$1006:$AE$1006,0))&gt;=100000), " ",IF(INDEX($V$2:$AE$1001,MATCH(ROWS($O$2:O843),$O$2:$O$1001,0),MATCH(COLUMNS($V$1006:AC1006),$V$1006:$AE$1006,0)), HYPERLINK("#",""), HYPERLINK(CONCATENATE("#Metadata!", ADDRESS(INDEX($Q$2:$Q$1001,MATCH(ROWS($O$2:O843),$O$2:$O$1001,0),0), INDEX($V$1004:$AE$1004,1,MATCH(COLUMNS($V$1006:AC1006),$V$1006:$AE$1006,0)))),"Fix")))</f>
        <v>0</v>
      </c>
      <c r="J843" s="3">
        <f>IF(OR(INDEX($P$2:$P$1001,MATCH(ROWS($O$2:O843),$O$2:$O$1001,0),1)&gt;=100000,INDEX($V$1005:$AE$1005,1,MATCH(COLUMNS($V$1006:AD1006),$V$1006:$AE$1006,0))&gt;=100000), " ",IF(INDEX($V$2:$AE$1001,MATCH(ROWS($O$2:O843),$O$2:$O$1001,0),MATCH(COLUMNS($V$1006:AD1006),$V$1006:$AE$1006,0)), HYPERLINK("#",""), HYPERLINK(CONCATENATE("#Metadata!", ADDRESS(INDEX($Q$2:$Q$1001,MATCH(ROWS($O$2:O843),$O$2:$O$1001,0),0), INDEX($V$1004:$AE$1004,1,MATCH(COLUMNS($V$1006:AD1006),$V$1006:$AE$1006,0)))),"Fix")))</f>
        <v>0</v>
      </c>
      <c r="K843" s="3">
        <f>IF(OR(INDEX($P$2:$P$1001,MATCH(ROWS($O$2:O843),$O$2:$O$1001,0),1)&gt;=100000,INDEX($V$1005:$AE$1005,1,MATCH(COLUMNS($V$1006:AE1006),$V$1006:$AE$1006,0))&gt;=100000), " ",IF(INDEX($V$2:$AE$1001,MATCH(ROWS($O$2:O843),$O$2:$O$1001,0),MATCH(COLUMNS($V$1006:AE1006),$V$1006:$AE$1006,0)), HYPERLINK("#",""), HYPERLINK(CONCATENATE("#Metadata!", ADDRESS(INDEX($Q$2:$Q$1001,MATCH(ROWS($O$2:O843),$O$2:$O$1001,0),0), INDEX($V$1004:$AE$1004,1,MATCH(COLUMNS($V$1006:AE1006),$V$1006:$AE$1006,0)))),"Fix")))</f>
        <v>0</v>
      </c>
      <c r="O843">
        <v>0</v>
      </c>
      <c r="P843">
        <v>0</v>
      </c>
      <c r="Q843">
        <v>0</v>
      </c>
      <c r="R843">
        <f>IF(S843,TRUE,AND(V843:AE843))</f>
        <v>0</v>
      </c>
      <c r="S843">
        <f>COUNTBLANK(Metadata!B843:K843)=COLUMNS(Metadata!B843:K843)</f>
        <v>0</v>
      </c>
      <c r="T843">
        <v>0</v>
      </c>
      <c r="V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W843">
        <f>AND(IF(Metadata!C843="",FALSE,TRUE),exact(Metadata!C843,"animal secretion"))</f>
        <v>0</v>
      </c>
      <c r="X843">
        <f>AND(IF(Metadata!D843="",FALSE,TRUE),exact(Metadata!D843,"saliva"))</f>
        <v>0</v>
      </c>
      <c r="Y843">
        <f>AND(IF(Metadata!E843="",FALSE,TRUE),exact(Metadata!E843,"human-oral"))</f>
        <v>0</v>
      </c>
      <c r="Z843">
        <f>AND(IF(Metadata!F843="",FALSE,TRUE),exact(Metadata!F843,"UBERON:oral cavity"))</f>
        <v>0</v>
      </c>
      <c r="AA843">
        <f>AND(IF(Metadata!G843="",FALSE,TRUE),exact(Metadata!G843,"UBERON:saliva"))</f>
        <v>0</v>
      </c>
      <c r="AB843">
        <f>AND(IF(Metadata!H843="",FALSE,TRUE),exact(Metadata!H843,"UBERON:tongue"))</f>
        <v>0</v>
      </c>
      <c r="AC843">
        <f>AND(IF(Metadata!I843="",FALSE,TRUE),exact(Metadata!I843,"tongue"))</f>
        <v>0</v>
      </c>
      <c r="AD843">
        <f>AND(IF(Metadata!J843="",FALSE,TRUE),exact(Metadata!J843,"human oral metagenome"))</f>
        <v>0</v>
      </c>
      <c r="AE843">
        <f>AND(IF(Metadata!K843="",FALSE,TRUE),exact(Metadata!K843,"447426"))</f>
        <v>0</v>
      </c>
    </row>
    <row r="844" spans="1:31">
      <c r="A844" s="4">
        <f>IF(B844=" "," ",HYPERLINK(CONCATENATE("#metadata!",ADDRESS(INDEX($Q$2:$Q$1001,MATCH(ROWS($O$2:O844),$O$2:$O$1001,0),0),1)),INDEX($T$2:$T$1001,MATCH(ROWS($O$2:O844),$O$2:$O$1001,0),0)))</f>
        <v>0</v>
      </c>
      <c r="B844" s="3">
        <f>IF(OR(INDEX($P$2:$P$1001,MATCH(ROWS($O$2:O844),$O$2:$O$1001,0),1)&gt;=100000,INDEX($V$1005:$AE$1005,1,MATCH(COLUMNS($V$1006:V1006),$V$1006:$AE$1006,0))&gt;=100000), " ",IF(INDEX($V$2:$AE$1001,MATCH(ROWS($O$2:O844),$O$2:$O$1001,0),MATCH(COLUMNS($V$1006:V1006),$V$1006:$AE$1006,0)), HYPERLINK("#",""), HYPERLINK(CONCATENATE("#Metadata!", ADDRESS(INDEX($Q$2:$Q$1001,MATCH(ROWS($O$2:O844),$O$2:$O$1001,0),0), INDEX($V$1004:$AE$1004,1,MATCH(COLUMNS($V$1006:V1006),$V$1006:$AE$1006,0)))),"Fix")))</f>
        <v>0</v>
      </c>
      <c r="C844" s="3">
        <f>IF(OR(INDEX($P$2:$P$1001,MATCH(ROWS($O$2:O844),$O$2:$O$1001,0),1)&gt;=100000,INDEX($V$1005:$AE$1005,1,MATCH(COLUMNS($V$1006:W1006),$V$1006:$AE$1006,0))&gt;=100000), " ",IF(INDEX($V$2:$AE$1001,MATCH(ROWS($O$2:O844),$O$2:$O$1001,0),MATCH(COLUMNS($V$1006:W1006),$V$1006:$AE$1006,0)), HYPERLINK("#",""), HYPERLINK(CONCATENATE("#Metadata!", ADDRESS(INDEX($Q$2:$Q$1001,MATCH(ROWS($O$2:O844),$O$2:$O$1001,0),0), INDEX($V$1004:$AE$1004,1,MATCH(COLUMNS($V$1006:W1006),$V$1006:$AE$1006,0)))),"Fix")))</f>
        <v>0</v>
      </c>
      <c r="D844" s="3">
        <f>IF(OR(INDEX($P$2:$P$1001,MATCH(ROWS($O$2:O844),$O$2:$O$1001,0),1)&gt;=100000,INDEX($V$1005:$AE$1005,1,MATCH(COLUMNS($V$1006:X1006),$V$1006:$AE$1006,0))&gt;=100000), " ",IF(INDEX($V$2:$AE$1001,MATCH(ROWS($O$2:O844),$O$2:$O$1001,0),MATCH(COLUMNS($V$1006:X1006),$V$1006:$AE$1006,0)), HYPERLINK("#",""), HYPERLINK(CONCATENATE("#Metadata!", ADDRESS(INDEX($Q$2:$Q$1001,MATCH(ROWS($O$2:O844),$O$2:$O$1001,0),0), INDEX($V$1004:$AE$1004,1,MATCH(COLUMNS($V$1006:X1006),$V$1006:$AE$1006,0)))),"Fix")))</f>
        <v>0</v>
      </c>
      <c r="E844" s="3">
        <f>IF(OR(INDEX($P$2:$P$1001,MATCH(ROWS($O$2:O844),$O$2:$O$1001,0),1)&gt;=100000,INDEX($V$1005:$AE$1005,1,MATCH(COLUMNS($V$1006:Y1006),$V$1006:$AE$1006,0))&gt;=100000), " ",IF(INDEX($V$2:$AE$1001,MATCH(ROWS($O$2:O844),$O$2:$O$1001,0),MATCH(COLUMNS($V$1006:Y1006),$V$1006:$AE$1006,0)), HYPERLINK("#",""), HYPERLINK(CONCATENATE("#Metadata!", ADDRESS(INDEX($Q$2:$Q$1001,MATCH(ROWS($O$2:O844),$O$2:$O$1001,0),0), INDEX($V$1004:$AE$1004,1,MATCH(COLUMNS($V$1006:Y1006),$V$1006:$AE$1006,0)))),"Fix")))</f>
        <v>0</v>
      </c>
      <c r="F844" s="3">
        <f>IF(OR(INDEX($P$2:$P$1001,MATCH(ROWS($O$2:O844),$O$2:$O$1001,0),1)&gt;=100000,INDEX($V$1005:$AE$1005,1,MATCH(COLUMNS($V$1006:Z1006),$V$1006:$AE$1006,0))&gt;=100000), " ",IF(INDEX($V$2:$AE$1001,MATCH(ROWS($O$2:O844),$O$2:$O$1001,0),MATCH(COLUMNS($V$1006:Z1006),$V$1006:$AE$1006,0)), HYPERLINK("#",""), HYPERLINK(CONCATENATE("#Metadata!", ADDRESS(INDEX($Q$2:$Q$1001,MATCH(ROWS($O$2:O844),$O$2:$O$1001,0),0), INDEX($V$1004:$AE$1004,1,MATCH(COLUMNS($V$1006:Z1006),$V$1006:$AE$1006,0)))),"Fix")))</f>
        <v>0</v>
      </c>
      <c r="G844" s="3">
        <f>IF(OR(INDEX($P$2:$P$1001,MATCH(ROWS($O$2:O844),$O$2:$O$1001,0),1)&gt;=100000,INDEX($V$1005:$AE$1005,1,MATCH(COLUMNS($V$1006:AA1006),$V$1006:$AE$1006,0))&gt;=100000), " ",IF(INDEX($V$2:$AE$1001,MATCH(ROWS($O$2:O844),$O$2:$O$1001,0),MATCH(COLUMNS($V$1006:AA1006),$V$1006:$AE$1006,0)), HYPERLINK("#",""), HYPERLINK(CONCATENATE("#Metadata!", ADDRESS(INDEX($Q$2:$Q$1001,MATCH(ROWS($O$2:O844),$O$2:$O$1001,0),0), INDEX($V$1004:$AE$1004,1,MATCH(COLUMNS($V$1006:AA1006),$V$1006:$AE$1006,0)))),"Fix")))</f>
        <v>0</v>
      </c>
      <c r="H844" s="3">
        <f>IF(OR(INDEX($P$2:$P$1001,MATCH(ROWS($O$2:O844),$O$2:$O$1001,0),1)&gt;=100000,INDEX($V$1005:$AE$1005,1,MATCH(COLUMNS($V$1006:AB1006),$V$1006:$AE$1006,0))&gt;=100000), " ",IF(INDEX($V$2:$AE$1001,MATCH(ROWS($O$2:O844),$O$2:$O$1001,0),MATCH(COLUMNS($V$1006:AB1006),$V$1006:$AE$1006,0)), HYPERLINK("#",""), HYPERLINK(CONCATENATE("#Metadata!", ADDRESS(INDEX($Q$2:$Q$1001,MATCH(ROWS($O$2:O844),$O$2:$O$1001,0),0), INDEX($V$1004:$AE$1004,1,MATCH(COLUMNS($V$1006:AB1006),$V$1006:$AE$1006,0)))),"Fix")))</f>
        <v>0</v>
      </c>
      <c r="I844" s="3">
        <f>IF(OR(INDEX($P$2:$P$1001,MATCH(ROWS($O$2:O844),$O$2:$O$1001,0),1)&gt;=100000,INDEX($V$1005:$AE$1005,1,MATCH(COLUMNS($V$1006:AC1006),$V$1006:$AE$1006,0))&gt;=100000), " ",IF(INDEX($V$2:$AE$1001,MATCH(ROWS($O$2:O844),$O$2:$O$1001,0),MATCH(COLUMNS($V$1006:AC1006),$V$1006:$AE$1006,0)), HYPERLINK("#",""), HYPERLINK(CONCATENATE("#Metadata!", ADDRESS(INDEX($Q$2:$Q$1001,MATCH(ROWS($O$2:O844),$O$2:$O$1001,0),0), INDEX($V$1004:$AE$1004,1,MATCH(COLUMNS($V$1006:AC1006),$V$1006:$AE$1006,0)))),"Fix")))</f>
        <v>0</v>
      </c>
      <c r="J844" s="3">
        <f>IF(OR(INDEX($P$2:$P$1001,MATCH(ROWS($O$2:O844),$O$2:$O$1001,0),1)&gt;=100000,INDEX($V$1005:$AE$1005,1,MATCH(COLUMNS($V$1006:AD1006),$V$1006:$AE$1006,0))&gt;=100000), " ",IF(INDEX($V$2:$AE$1001,MATCH(ROWS($O$2:O844),$O$2:$O$1001,0),MATCH(COLUMNS($V$1006:AD1006),$V$1006:$AE$1006,0)), HYPERLINK("#",""), HYPERLINK(CONCATENATE("#Metadata!", ADDRESS(INDEX($Q$2:$Q$1001,MATCH(ROWS($O$2:O844),$O$2:$O$1001,0),0), INDEX($V$1004:$AE$1004,1,MATCH(COLUMNS($V$1006:AD1006),$V$1006:$AE$1006,0)))),"Fix")))</f>
        <v>0</v>
      </c>
      <c r="K844" s="3">
        <f>IF(OR(INDEX($P$2:$P$1001,MATCH(ROWS($O$2:O844),$O$2:$O$1001,0),1)&gt;=100000,INDEX($V$1005:$AE$1005,1,MATCH(COLUMNS($V$1006:AE1006),$V$1006:$AE$1006,0))&gt;=100000), " ",IF(INDEX($V$2:$AE$1001,MATCH(ROWS($O$2:O844),$O$2:$O$1001,0),MATCH(COLUMNS($V$1006:AE1006),$V$1006:$AE$1006,0)), HYPERLINK("#",""), HYPERLINK(CONCATENATE("#Metadata!", ADDRESS(INDEX($Q$2:$Q$1001,MATCH(ROWS($O$2:O844),$O$2:$O$1001,0),0), INDEX($V$1004:$AE$1004,1,MATCH(COLUMNS($V$1006:AE1006),$V$1006:$AE$1006,0)))),"Fix")))</f>
        <v>0</v>
      </c>
      <c r="O844">
        <v>0</v>
      </c>
      <c r="P844">
        <v>0</v>
      </c>
      <c r="Q844">
        <v>0</v>
      </c>
      <c r="R844">
        <f>IF(S844,TRUE,AND(V844:AE844))</f>
        <v>0</v>
      </c>
      <c r="S844">
        <f>COUNTBLANK(Metadata!B844:K844)=COLUMNS(Metadata!B844:K844)</f>
        <v>0</v>
      </c>
      <c r="T844">
        <v>0</v>
      </c>
      <c r="V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W844">
        <f>AND(IF(Metadata!C844="",FALSE,TRUE),exact(Metadata!C844,"animal secretion"))</f>
        <v>0</v>
      </c>
      <c r="X844">
        <f>AND(IF(Metadata!D844="",FALSE,TRUE),exact(Metadata!D844,"saliva"))</f>
        <v>0</v>
      </c>
      <c r="Y844">
        <f>AND(IF(Metadata!E844="",FALSE,TRUE),exact(Metadata!E844,"human-oral"))</f>
        <v>0</v>
      </c>
      <c r="Z844">
        <f>AND(IF(Metadata!F844="",FALSE,TRUE),exact(Metadata!F844,"UBERON:oral cavity"))</f>
        <v>0</v>
      </c>
      <c r="AA844">
        <f>AND(IF(Metadata!G844="",FALSE,TRUE),exact(Metadata!G844,"UBERON:saliva"))</f>
        <v>0</v>
      </c>
      <c r="AB844">
        <f>AND(IF(Metadata!H844="",FALSE,TRUE),exact(Metadata!H844,"UBERON:tongue"))</f>
        <v>0</v>
      </c>
      <c r="AC844">
        <f>AND(IF(Metadata!I844="",FALSE,TRUE),exact(Metadata!I844,"tongue"))</f>
        <v>0</v>
      </c>
      <c r="AD844">
        <f>AND(IF(Metadata!J844="",FALSE,TRUE),exact(Metadata!J844,"human oral metagenome"))</f>
        <v>0</v>
      </c>
      <c r="AE844">
        <f>AND(IF(Metadata!K844="",FALSE,TRUE),exact(Metadata!K844,"447426"))</f>
        <v>0</v>
      </c>
    </row>
    <row r="845" spans="1:31">
      <c r="A845" s="4">
        <f>IF(B845=" "," ",HYPERLINK(CONCATENATE("#metadata!",ADDRESS(INDEX($Q$2:$Q$1001,MATCH(ROWS($O$2:O845),$O$2:$O$1001,0),0),1)),INDEX($T$2:$T$1001,MATCH(ROWS($O$2:O845),$O$2:$O$1001,0),0)))</f>
        <v>0</v>
      </c>
      <c r="B845" s="3">
        <f>IF(OR(INDEX($P$2:$P$1001,MATCH(ROWS($O$2:O845),$O$2:$O$1001,0),1)&gt;=100000,INDEX($V$1005:$AE$1005,1,MATCH(COLUMNS($V$1006:V1006),$V$1006:$AE$1006,0))&gt;=100000), " ",IF(INDEX($V$2:$AE$1001,MATCH(ROWS($O$2:O845),$O$2:$O$1001,0),MATCH(COLUMNS($V$1006:V1006),$V$1006:$AE$1006,0)), HYPERLINK("#",""), HYPERLINK(CONCATENATE("#Metadata!", ADDRESS(INDEX($Q$2:$Q$1001,MATCH(ROWS($O$2:O845),$O$2:$O$1001,0),0), INDEX($V$1004:$AE$1004,1,MATCH(COLUMNS($V$1006:V1006),$V$1006:$AE$1006,0)))),"Fix")))</f>
        <v>0</v>
      </c>
      <c r="C845" s="3">
        <f>IF(OR(INDEX($P$2:$P$1001,MATCH(ROWS($O$2:O845),$O$2:$O$1001,0),1)&gt;=100000,INDEX($V$1005:$AE$1005,1,MATCH(COLUMNS($V$1006:W1006),$V$1006:$AE$1006,0))&gt;=100000), " ",IF(INDEX($V$2:$AE$1001,MATCH(ROWS($O$2:O845),$O$2:$O$1001,0),MATCH(COLUMNS($V$1006:W1006),$V$1006:$AE$1006,0)), HYPERLINK("#",""), HYPERLINK(CONCATENATE("#Metadata!", ADDRESS(INDEX($Q$2:$Q$1001,MATCH(ROWS($O$2:O845),$O$2:$O$1001,0),0), INDEX($V$1004:$AE$1004,1,MATCH(COLUMNS($V$1006:W1006),$V$1006:$AE$1006,0)))),"Fix")))</f>
        <v>0</v>
      </c>
      <c r="D845" s="3">
        <f>IF(OR(INDEX($P$2:$P$1001,MATCH(ROWS($O$2:O845),$O$2:$O$1001,0),1)&gt;=100000,INDEX($V$1005:$AE$1005,1,MATCH(COLUMNS($V$1006:X1006),$V$1006:$AE$1006,0))&gt;=100000), " ",IF(INDEX($V$2:$AE$1001,MATCH(ROWS($O$2:O845),$O$2:$O$1001,0),MATCH(COLUMNS($V$1006:X1006),$V$1006:$AE$1006,0)), HYPERLINK("#",""), HYPERLINK(CONCATENATE("#Metadata!", ADDRESS(INDEX($Q$2:$Q$1001,MATCH(ROWS($O$2:O845),$O$2:$O$1001,0),0), INDEX($V$1004:$AE$1004,1,MATCH(COLUMNS($V$1006:X1006),$V$1006:$AE$1006,0)))),"Fix")))</f>
        <v>0</v>
      </c>
      <c r="E845" s="3">
        <f>IF(OR(INDEX($P$2:$P$1001,MATCH(ROWS($O$2:O845),$O$2:$O$1001,0),1)&gt;=100000,INDEX($V$1005:$AE$1005,1,MATCH(COLUMNS($V$1006:Y1006),$V$1006:$AE$1006,0))&gt;=100000), " ",IF(INDEX($V$2:$AE$1001,MATCH(ROWS($O$2:O845),$O$2:$O$1001,0),MATCH(COLUMNS($V$1006:Y1006),$V$1006:$AE$1006,0)), HYPERLINK("#",""), HYPERLINK(CONCATENATE("#Metadata!", ADDRESS(INDEX($Q$2:$Q$1001,MATCH(ROWS($O$2:O845),$O$2:$O$1001,0),0), INDEX($V$1004:$AE$1004,1,MATCH(COLUMNS($V$1006:Y1006),$V$1006:$AE$1006,0)))),"Fix")))</f>
        <v>0</v>
      </c>
      <c r="F845" s="3">
        <f>IF(OR(INDEX($P$2:$P$1001,MATCH(ROWS($O$2:O845),$O$2:$O$1001,0),1)&gt;=100000,INDEX($V$1005:$AE$1005,1,MATCH(COLUMNS($V$1006:Z1006),$V$1006:$AE$1006,0))&gt;=100000), " ",IF(INDEX($V$2:$AE$1001,MATCH(ROWS($O$2:O845),$O$2:$O$1001,0),MATCH(COLUMNS($V$1006:Z1006),$V$1006:$AE$1006,0)), HYPERLINK("#",""), HYPERLINK(CONCATENATE("#Metadata!", ADDRESS(INDEX($Q$2:$Q$1001,MATCH(ROWS($O$2:O845),$O$2:$O$1001,0),0), INDEX($V$1004:$AE$1004,1,MATCH(COLUMNS($V$1006:Z1006),$V$1006:$AE$1006,0)))),"Fix")))</f>
        <v>0</v>
      </c>
      <c r="G845" s="3">
        <f>IF(OR(INDEX($P$2:$P$1001,MATCH(ROWS($O$2:O845),$O$2:$O$1001,0),1)&gt;=100000,INDEX($V$1005:$AE$1005,1,MATCH(COLUMNS($V$1006:AA1006),$V$1006:$AE$1006,0))&gt;=100000), " ",IF(INDEX($V$2:$AE$1001,MATCH(ROWS($O$2:O845),$O$2:$O$1001,0),MATCH(COLUMNS($V$1006:AA1006),$V$1006:$AE$1006,0)), HYPERLINK("#",""), HYPERLINK(CONCATENATE("#Metadata!", ADDRESS(INDEX($Q$2:$Q$1001,MATCH(ROWS($O$2:O845),$O$2:$O$1001,0),0), INDEX($V$1004:$AE$1004,1,MATCH(COLUMNS($V$1006:AA1006),$V$1006:$AE$1006,0)))),"Fix")))</f>
        <v>0</v>
      </c>
      <c r="H845" s="3">
        <f>IF(OR(INDEX($P$2:$P$1001,MATCH(ROWS($O$2:O845),$O$2:$O$1001,0),1)&gt;=100000,INDEX($V$1005:$AE$1005,1,MATCH(COLUMNS($V$1006:AB1006),$V$1006:$AE$1006,0))&gt;=100000), " ",IF(INDEX($V$2:$AE$1001,MATCH(ROWS($O$2:O845),$O$2:$O$1001,0),MATCH(COLUMNS($V$1006:AB1006),$V$1006:$AE$1006,0)), HYPERLINK("#",""), HYPERLINK(CONCATENATE("#Metadata!", ADDRESS(INDEX($Q$2:$Q$1001,MATCH(ROWS($O$2:O845),$O$2:$O$1001,0),0), INDEX($V$1004:$AE$1004,1,MATCH(COLUMNS($V$1006:AB1006),$V$1006:$AE$1006,0)))),"Fix")))</f>
        <v>0</v>
      </c>
      <c r="I845" s="3">
        <f>IF(OR(INDEX($P$2:$P$1001,MATCH(ROWS($O$2:O845),$O$2:$O$1001,0),1)&gt;=100000,INDEX($V$1005:$AE$1005,1,MATCH(COLUMNS($V$1006:AC1006),$V$1006:$AE$1006,0))&gt;=100000), " ",IF(INDEX($V$2:$AE$1001,MATCH(ROWS($O$2:O845),$O$2:$O$1001,0),MATCH(COLUMNS($V$1006:AC1006),$V$1006:$AE$1006,0)), HYPERLINK("#",""), HYPERLINK(CONCATENATE("#Metadata!", ADDRESS(INDEX($Q$2:$Q$1001,MATCH(ROWS($O$2:O845),$O$2:$O$1001,0),0), INDEX($V$1004:$AE$1004,1,MATCH(COLUMNS($V$1006:AC1006),$V$1006:$AE$1006,0)))),"Fix")))</f>
        <v>0</v>
      </c>
      <c r="J845" s="3">
        <f>IF(OR(INDEX($P$2:$P$1001,MATCH(ROWS($O$2:O845),$O$2:$O$1001,0),1)&gt;=100000,INDEX($V$1005:$AE$1005,1,MATCH(COLUMNS($V$1006:AD1006),$V$1006:$AE$1006,0))&gt;=100000), " ",IF(INDEX($V$2:$AE$1001,MATCH(ROWS($O$2:O845),$O$2:$O$1001,0),MATCH(COLUMNS($V$1006:AD1006),$V$1006:$AE$1006,0)), HYPERLINK("#",""), HYPERLINK(CONCATENATE("#Metadata!", ADDRESS(INDEX($Q$2:$Q$1001,MATCH(ROWS($O$2:O845),$O$2:$O$1001,0),0), INDEX($V$1004:$AE$1004,1,MATCH(COLUMNS($V$1006:AD1006),$V$1006:$AE$1006,0)))),"Fix")))</f>
        <v>0</v>
      </c>
      <c r="K845" s="3">
        <f>IF(OR(INDEX($P$2:$P$1001,MATCH(ROWS($O$2:O845),$O$2:$O$1001,0),1)&gt;=100000,INDEX($V$1005:$AE$1005,1,MATCH(COLUMNS($V$1006:AE1006),$V$1006:$AE$1006,0))&gt;=100000), " ",IF(INDEX($V$2:$AE$1001,MATCH(ROWS($O$2:O845),$O$2:$O$1001,0),MATCH(COLUMNS($V$1006:AE1006),$V$1006:$AE$1006,0)), HYPERLINK("#",""), HYPERLINK(CONCATENATE("#Metadata!", ADDRESS(INDEX($Q$2:$Q$1001,MATCH(ROWS($O$2:O845),$O$2:$O$1001,0),0), INDEX($V$1004:$AE$1004,1,MATCH(COLUMNS($V$1006:AE1006),$V$1006:$AE$1006,0)))),"Fix")))</f>
        <v>0</v>
      </c>
      <c r="O845">
        <v>0</v>
      </c>
      <c r="P845">
        <v>0</v>
      </c>
      <c r="Q845">
        <v>0</v>
      </c>
      <c r="R845">
        <f>IF(S845,TRUE,AND(V845:AE845))</f>
        <v>0</v>
      </c>
      <c r="S845">
        <f>COUNTBLANK(Metadata!B845:K845)=COLUMNS(Metadata!B845:K845)</f>
        <v>0</v>
      </c>
      <c r="T845">
        <v>0</v>
      </c>
      <c r="V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W845">
        <f>AND(IF(Metadata!C845="",FALSE,TRUE),exact(Metadata!C845,"animal secretion"))</f>
        <v>0</v>
      </c>
      <c r="X845">
        <f>AND(IF(Metadata!D845="",FALSE,TRUE),exact(Metadata!D845,"saliva"))</f>
        <v>0</v>
      </c>
      <c r="Y845">
        <f>AND(IF(Metadata!E845="",FALSE,TRUE),exact(Metadata!E845,"human-oral"))</f>
        <v>0</v>
      </c>
      <c r="Z845">
        <f>AND(IF(Metadata!F845="",FALSE,TRUE),exact(Metadata!F845,"UBERON:oral cavity"))</f>
        <v>0</v>
      </c>
      <c r="AA845">
        <f>AND(IF(Metadata!G845="",FALSE,TRUE),exact(Metadata!G845,"UBERON:saliva"))</f>
        <v>0</v>
      </c>
      <c r="AB845">
        <f>AND(IF(Metadata!H845="",FALSE,TRUE),exact(Metadata!H845,"UBERON:tongue"))</f>
        <v>0</v>
      </c>
      <c r="AC845">
        <f>AND(IF(Metadata!I845="",FALSE,TRUE),exact(Metadata!I845,"tongue"))</f>
        <v>0</v>
      </c>
      <c r="AD845">
        <f>AND(IF(Metadata!J845="",FALSE,TRUE),exact(Metadata!J845,"human oral metagenome"))</f>
        <v>0</v>
      </c>
      <c r="AE845">
        <f>AND(IF(Metadata!K845="",FALSE,TRUE),exact(Metadata!K845,"447426"))</f>
        <v>0</v>
      </c>
    </row>
    <row r="846" spans="1:31">
      <c r="A846" s="4">
        <f>IF(B846=" "," ",HYPERLINK(CONCATENATE("#metadata!",ADDRESS(INDEX($Q$2:$Q$1001,MATCH(ROWS($O$2:O846),$O$2:$O$1001,0),0),1)),INDEX($T$2:$T$1001,MATCH(ROWS($O$2:O846),$O$2:$O$1001,0),0)))</f>
        <v>0</v>
      </c>
      <c r="B846" s="3">
        <f>IF(OR(INDEX($P$2:$P$1001,MATCH(ROWS($O$2:O846),$O$2:$O$1001,0),1)&gt;=100000,INDEX($V$1005:$AE$1005,1,MATCH(COLUMNS($V$1006:V1006),$V$1006:$AE$1006,0))&gt;=100000), " ",IF(INDEX($V$2:$AE$1001,MATCH(ROWS($O$2:O846),$O$2:$O$1001,0),MATCH(COLUMNS($V$1006:V1006),$V$1006:$AE$1006,0)), HYPERLINK("#",""), HYPERLINK(CONCATENATE("#Metadata!", ADDRESS(INDEX($Q$2:$Q$1001,MATCH(ROWS($O$2:O846),$O$2:$O$1001,0),0), INDEX($V$1004:$AE$1004,1,MATCH(COLUMNS($V$1006:V1006),$V$1006:$AE$1006,0)))),"Fix")))</f>
        <v>0</v>
      </c>
      <c r="C846" s="3">
        <f>IF(OR(INDEX($P$2:$P$1001,MATCH(ROWS($O$2:O846),$O$2:$O$1001,0),1)&gt;=100000,INDEX($V$1005:$AE$1005,1,MATCH(COLUMNS($V$1006:W1006),$V$1006:$AE$1006,0))&gt;=100000), " ",IF(INDEX($V$2:$AE$1001,MATCH(ROWS($O$2:O846),$O$2:$O$1001,0),MATCH(COLUMNS($V$1006:W1006),$V$1006:$AE$1006,0)), HYPERLINK("#",""), HYPERLINK(CONCATENATE("#Metadata!", ADDRESS(INDEX($Q$2:$Q$1001,MATCH(ROWS($O$2:O846),$O$2:$O$1001,0),0), INDEX($V$1004:$AE$1004,1,MATCH(COLUMNS($V$1006:W1006),$V$1006:$AE$1006,0)))),"Fix")))</f>
        <v>0</v>
      </c>
      <c r="D846" s="3">
        <f>IF(OR(INDEX($P$2:$P$1001,MATCH(ROWS($O$2:O846),$O$2:$O$1001,0),1)&gt;=100000,INDEX($V$1005:$AE$1005,1,MATCH(COLUMNS($V$1006:X1006),$V$1006:$AE$1006,0))&gt;=100000), " ",IF(INDEX($V$2:$AE$1001,MATCH(ROWS($O$2:O846),$O$2:$O$1001,0),MATCH(COLUMNS($V$1006:X1006),$V$1006:$AE$1006,0)), HYPERLINK("#",""), HYPERLINK(CONCATENATE("#Metadata!", ADDRESS(INDEX($Q$2:$Q$1001,MATCH(ROWS($O$2:O846),$O$2:$O$1001,0),0), INDEX($V$1004:$AE$1004,1,MATCH(COLUMNS($V$1006:X1006),$V$1006:$AE$1006,0)))),"Fix")))</f>
        <v>0</v>
      </c>
      <c r="E846" s="3">
        <f>IF(OR(INDEX($P$2:$P$1001,MATCH(ROWS($O$2:O846),$O$2:$O$1001,0),1)&gt;=100000,INDEX($V$1005:$AE$1005,1,MATCH(COLUMNS($V$1006:Y1006),$V$1006:$AE$1006,0))&gt;=100000), " ",IF(INDEX($V$2:$AE$1001,MATCH(ROWS($O$2:O846),$O$2:$O$1001,0),MATCH(COLUMNS($V$1006:Y1006),$V$1006:$AE$1006,0)), HYPERLINK("#",""), HYPERLINK(CONCATENATE("#Metadata!", ADDRESS(INDEX($Q$2:$Q$1001,MATCH(ROWS($O$2:O846),$O$2:$O$1001,0),0), INDEX($V$1004:$AE$1004,1,MATCH(COLUMNS($V$1006:Y1006),$V$1006:$AE$1006,0)))),"Fix")))</f>
        <v>0</v>
      </c>
      <c r="F846" s="3">
        <f>IF(OR(INDEX($P$2:$P$1001,MATCH(ROWS($O$2:O846),$O$2:$O$1001,0),1)&gt;=100000,INDEX($V$1005:$AE$1005,1,MATCH(COLUMNS($V$1006:Z1006),$V$1006:$AE$1006,0))&gt;=100000), " ",IF(INDEX($V$2:$AE$1001,MATCH(ROWS($O$2:O846),$O$2:$O$1001,0),MATCH(COLUMNS($V$1006:Z1006),$V$1006:$AE$1006,0)), HYPERLINK("#",""), HYPERLINK(CONCATENATE("#Metadata!", ADDRESS(INDEX($Q$2:$Q$1001,MATCH(ROWS($O$2:O846),$O$2:$O$1001,0),0), INDEX($V$1004:$AE$1004,1,MATCH(COLUMNS($V$1006:Z1006),$V$1006:$AE$1006,0)))),"Fix")))</f>
        <v>0</v>
      </c>
      <c r="G846" s="3">
        <f>IF(OR(INDEX($P$2:$P$1001,MATCH(ROWS($O$2:O846),$O$2:$O$1001,0),1)&gt;=100000,INDEX($V$1005:$AE$1005,1,MATCH(COLUMNS($V$1006:AA1006),$V$1006:$AE$1006,0))&gt;=100000), " ",IF(INDEX($V$2:$AE$1001,MATCH(ROWS($O$2:O846),$O$2:$O$1001,0),MATCH(COLUMNS($V$1006:AA1006),$V$1006:$AE$1006,0)), HYPERLINK("#",""), HYPERLINK(CONCATENATE("#Metadata!", ADDRESS(INDEX($Q$2:$Q$1001,MATCH(ROWS($O$2:O846),$O$2:$O$1001,0),0), INDEX($V$1004:$AE$1004,1,MATCH(COLUMNS($V$1006:AA1006),$V$1006:$AE$1006,0)))),"Fix")))</f>
        <v>0</v>
      </c>
      <c r="H846" s="3">
        <f>IF(OR(INDEX($P$2:$P$1001,MATCH(ROWS($O$2:O846),$O$2:$O$1001,0),1)&gt;=100000,INDEX($V$1005:$AE$1005,1,MATCH(COLUMNS($V$1006:AB1006),$V$1006:$AE$1006,0))&gt;=100000), " ",IF(INDEX($V$2:$AE$1001,MATCH(ROWS($O$2:O846),$O$2:$O$1001,0),MATCH(COLUMNS($V$1006:AB1006),$V$1006:$AE$1006,0)), HYPERLINK("#",""), HYPERLINK(CONCATENATE("#Metadata!", ADDRESS(INDEX($Q$2:$Q$1001,MATCH(ROWS($O$2:O846),$O$2:$O$1001,0),0), INDEX($V$1004:$AE$1004,1,MATCH(COLUMNS($V$1006:AB1006),$V$1006:$AE$1006,0)))),"Fix")))</f>
        <v>0</v>
      </c>
      <c r="I846" s="3">
        <f>IF(OR(INDEX($P$2:$P$1001,MATCH(ROWS($O$2:O846),$O$2:$O$1001,0),1)&gt;=100000,INDEX($V$1005:$AE$1005,1,MATCH(COLUMNS($V$1006:AC1006),$V$1006:$AE$1006,0))&gt;=100000), " ",IF(INDEX($V$2:$AE$1001,MATCH(ROWS($O$2:O846),$O$2:$O$1001,0),MATCH(COLUMNS($V$1006:AC1006),$V$1006:$AE$1006,0)), HYPERLINK("#",""), HYPERLINK(CONCATENATE("#Metadata!", ADDRESS(INDEX($Q$2:$Q$1001,MATCH(ROWS($O$2:O846),$O$2:$O$1001,0),0), INDEX($V$1004:$AE$1004,1,MATCH(COLUMNS($V$1006:AC1006),$V$1006:$AE$1006,0)))),"Fix")))</f>
        <v>0</v>
      </c>
      <c r="J846" s="3">
        <f>IF(OR(INDEX($P$2:$P$1001,MATCH(ROWS($O$2:O846),$O$2:$O$1001,0),1)&gt;=100000,INDEX($V$1005:$AE$1005,1,MATCH(COLUMNS($V$1006:AD1006),$V$1006:$AE$1006,0))&gt;=100000), " ",IF(INDEX($V$2:$AE$1001,MATCH(ROWS($O$2:O846),$O$2:$O$1001,0),MATCH(COLUMNS($V$1006:AD1006),$V$1006:$AE$1006,0)), HYPERLINK("#",""), HYPERLINK(CONCATENATE("#Metadata!", ADDRESS(INDEX($Q$2:$Q$1001,MATCH(ROWS($O$2:O846),$O$2:$O$1001,0),0), INDEX($V$1004:$AE$1004,1,MATCH(COLUMNS($V$1006:AD1006),$V$1006:$AE$1006,0)))),"Fix")))</f>
        <v>0</v>
      </c>
      <c r="K846" s="3">
        <f>IF(OR(INDEX($P$2:$P$1001,MATCH(ROWS($O$2:O846),$O$2:$O$1001,0),1)&gt;=100000,INDEX($V$1005:$AE$1005,1,MATCH(COLUMNS($V$1006:AE1006),$V$1006:$AE$1006,0))&gt;=100000), " ",IF(INDEX($V$2:$AE$1001,MATCH(ROWS($O$2:O846),$O$2:$O$1001,0),MATCH(COLUMNS($V$1006:AE1006),$V$1006:$AE$1006,0)), HYPERLINK("#",""), HYPERLINK(CONCATENATE("#Metadata!", ADDRESS(INDEX($Q$2:$Q$1001,MATCH(ROWS($O$2:O846),$O$2:$O$1001,0),0), INDEX($V$1004:$AE$1004,1,MATCH(COLUMNS($V$1006:AE1006),$V$1006:$AE$1006,0)))),"Fix")))</f>
        <v>0</v>
      </c>
      <c r="O846">
        <v>0</v>
      </c>
      <c r="P846">
        <v>0</v>
      </c>
      <c r="Q846">
        <v>0</v>
      </c>
      <c r="R846">
        <f>IF(S846,TRUE,AND(V846:AE846))</f>
        <v>0</v>
      </c>
      <c r="S846">
        <f>COUNTBLANK(Metadata!B846:K846)=COLUMNS(Metadata!B846:K846)</f>
        <v>0</v>
      </c>
      <c r="T846">
        <v>0</v>
      </c>
      <c r="V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W846">
        <f>AND(IF(Metadata!C846="",FALSE,TRUE),exact(Metadata!C846,"animal secretion"))</f>
        <v>0</v>
      </c>
      <c r="X846">
        <f>AND(IF(Metadata!D846="",FALSE,TRUE),exact(Metadata!D846,"saliva"))</f>
        <v>0</v>
      </c>
      <c r="Y846">
        <f>AND(IF(Metadata!E846="",FALSE,TRUE),exact(Metadata!E846,"human-oral"))</f>
        <v>0</v>
      </c>
      <c r="Z846">
        <f>AND(IF(Metadata!F846="",FALSE,TRUE),exact(Metadata!F846,"UBERON:oral cavity"))</f>
        <v>0</v>
      </c>
      <c r="AA846">
        <f>AND(IF(Metadata!G846="",FALSE,TRUE),exact(Metadata!G846,"UBERON:saliva"))</f>
        <v>0</v>
      </c>
      <c r="AB846">
        <f>AND(IF(Metadata!H846="",FALSE,TRUE),exact(Metadata!H846,"UBERON:tongue"))</f>
        <v>0</v>
      </c>
      <c r="AC846">
        <f>AND(IF(Metadata!I846="",FALSE,TRUE),exact(Metadata!I846,"tongue"))</f>
        <v>0</v>
      </c>
      <c r="AD846">
        <f>AND(IF(Metadata!J846="",FALSE,TRUE),exact(Metadata!J846,"human oral metagenome"))</f>
        <v>0</v>
      </c>
      <c r="AE846">
        <f>AND(IF(Metadata!K846="",FALSE,TRUE),exact(Metadata!K846,"447426"))</f>
        <v>0</v>
      </c>
    </row>
    <row r="847" spans="1:31">
      <c r="A847" s="4">
        <f>IF(B847=" "," ",HYPERLINK(CONCATENATE("#metadata!",ADDRESS(INDEX($Q$2:$Q$1001,MATCH(ROWS($O$2:O847),$O$2:$O$1001,0),0),1)),INDEX($T$2:$T$1001,MATCH(ROWS($O$2:O847),$O$2:$O$1001,0),0)))</f>
        <v>0</v>
      </c>
      <c r="B847" s="3">
        <f>IF(OR(INDEX($P$2:$P$1001,MATCH(ROWS($O$2:O847),$O$2:$O$1001,0),1)&gt;=100000,INDEX($V$1005:$AE$1005,1,MATCH(COLUMNS($V$1006:V1006),$V$1006:$AE$1006,0))&gt;=100000), " ",IF(INDEX($V$2:$AE$1001,MATCH(ROWS($O$2:O847),$O$2:$O$1001,0),MATCH(COLUMNS($V$1006:V1006),$V$1006:$AE$1006,0)), HYPERLINK("#",""), HYPERLINK(CONCATENATE("#Metadata!", ADDRESS(INDEX($Q$2:$Q$1001,MATCH(ROWS($O$2:O847),$O$2:$O$1001,0),0), INDEX($V$1004:$AE$1004,1,MATCH(COLUMNS($V$1006:V1006),$V$1006:$AE$1006,0)))),"Fix")))</f>
        <v>0</v>
      </c>
      <c r="C847" s="3">
        <f>IF(OR(INDEX($P$2:$P$1001,MATCH(ROWS($O$2:O847),$O$2:$O$1001,0),1)&gt;=100000,INDEX($V$1005:$AE$1005,1,MATCH(COLUMNS($V$1006:W1006),$V$1006:$AE$1006,0))&gt;=100000), " ",IF(INDEX($V$2:$AE$1001,MATCH(ROWS($O$2:O847),$O$2:$O$1001,0),MATCH(COLUMNS($V$1006:W1006),$V$1006:$AE$1006,0)), HYPERLINK("#",""), HYPERLINK(CONCATENATE("#Metadata!", ADDRESS(INDEX($Q$2:$Q$1001,MATCH(ROWS($O$2:O847),$O$2:$O$1001,0),0), INDEX($V$1004:$AE$1004,1,MATCH(COLUMNS($V$1006:W1006),$V$1006:$AE$1006,0)))),"Fix")))</f>
        <v>0</v>
      </c>
      <c r="D847" s="3">
        <f>IF(OR(INDEX($P$2:$P$1001,MATCH(ROWS($O$2:O847),$O$2:$O$1001,0),1)&gt;=100000,INDEX($V$1005:$AE$1005,1,MATCH(COLUMNS($V$1006:X1006),$V$1006:$AE$1006,0))&gt;=100000), " ",IF(INDEX($V$2:$AE$1001,MATCH(ROWS($O$2:O847),$O$2:$O$1001,0),MATCH(COLUMNS($V$1006:X1006),$V$1006:$AE$1006,0)), HYPERLINK("#",""), HYPERLINK(CONCATENATE("#Metadata!", ADDRESS(INDEX($Q$2:$Q$1001,MATCH(ROWS($O$2:O847),$O$2:$O$1001,0),0), INDEX($V$1004:$AE$1004,1,MATCH(COLUMNS($V$1006:X1006),$V$1006:$AE$1006,0)))),"Fix")))</f>
        <v>0</v>
      </c>
      <c r="E847" s="3">
        <f>IF(OR(INDEX($P$2:$P$1001,MATCH(ROWS($O$2:O847),$O$2:$O$1001,0),1)&gt;=100000,INDEX($V$1005:$AE$1005,1,MATCH(COLUMNS($V$1006:Y1006),$V$1006:$AE$1006,0))&gt;=100000), " ",IF(INDEX($V$2:$AE$1001,MATCH(ROWS($O$2:O847),$O$2:$O$1001,0),MATCH(COLUMNS($V$1006:Y1006),$V$1006:$AE$1006,0)), HYPERLINK("#",""), HYPERLINK(CONCATENATE("#Metadata!", ADDRESS(INDEX($Q$2:$Q$1001,MATCH(ROWS($O$2:O847),$O$2:$O$1001,0),0), INDEX($V$1004:$AE$1004,1,MATCH(COLUMNS($V$1006:Y1006),$V$1006:$AE$1006,0)))),"Fix")))</f>
        <v>0</v>
      </c>
      <c r="F847" s="3">
        <f>IF(OR(INDEX($P$2:$P$1001,MATCH(ROWS($O$2:O847),$O$2:$O$1001,0),1)&gt;=100000,INDEX($V$1005:$AE$1005,1,MATCH(COLUMNS($V$1006:Z1006),$V$1006:$AE$1006,0))&gt;=100000), " ",IF(INDEX($V$2:$AE$1001,MATCH(ROWS($O$2:O847),$O$2:$O$1001,0),MATCH(COLUMNS($V$1006:Z1006),$V$1006:$AE$1006,0)), HYPERLINK("#",""), HYPERLINK(CONCATENATE("#Metadata!", ADDRESS(INDEX($Q$2:$Q$1001,MATCH(ROWS($O$2:O847),$O$2:$O$1001,0),0), INDEX($V$1004:$AE$1004,1,MATCH(COLUMNS($V$1006:Z1006),$V$1006:$AE$1006,0)))),"Fix")))</f>
        <v>0</v>
      </c>
      <c r="G847" s="3">
        <f>IF(OR(INDEX($P$2:$P$1001,MATCH(ROWS($O$2:O847),$O$2:$O$1001,0),1)&gt;=100000,INDEX($V$1005:$AE$1005,1,MATCH(COLUMNS($V$1006:AA1006),$V$1006:$AE$1006,0))&gt;=100000), " ",IF(INDEX($V$2:$AE$1001,MATCH(ROWS($O$2:O847),$O$2:$O$1001,0),MATCH(COLUMNS($V$1006:AA1006),$V$1006:$AE$1006,0)), HYPERLINK("#",""), HYPERLINK(CONCATENATE("#Metadata!", ADDRESS(INDEX($Q$2:$Q$1001,MATCH(ROWS($O$2:O847),$O$2:$O$1001,0),0), INDEX($V$1004:$AE$1004,1,MATCH(COLUMNS($V$1006:AA1006),$V$1006:$AE$1006,0)))),"Fix")))</f>
        <v>0</v>
      </c>
      <c r="H847" s="3">
        <f>IF(OR(INDEX($P$2:$P$1001,MATCH(ROWS($O$2:O847),$O$2:$O$1001,0),1)&gt;=100000,INDEX($V$1005:$AE$1005,1,MATCH(COLUMNS($V$1006:AB1006),$V$1006:$AE$1006,0))&gt;=100000), " ",IF(INDEX($V$2:$AE$1001,MATCH(ROWS($O$2:O847),$O$2:$O$1001,0),MATCH(COLUMNS($V$1006:AB1006),$V$1006:$AE$1006,0)), HYPERLINK("#",""), HYPERLINK(CONCATENATE("#Metadata!", ADDRESS(INDEX($Q$2:$Q$1001,MATCH(ROWS($O$2:O847),$O$2:$O$1001,0),0), INDEX($V$1004:$AE$1004,1,MATCH(COLUMNS($V$1006:AB1006),$V$1006:$AE$1006,0)))),"Fix")))</f>
        <v>0</v>
      </c>
      <c r="I847" s="3">
        <f>IF(OR(INDEX($P$2:$P$1001,MATCH(ROWS($O$2:O847),$O$2:$O$1001,0),1)&gt;=100000,INDEX($V$1005:$AE$1005,1,MATCH(COLUMNS($V$1006:AC1006),$V$1006:$AE$1006,0))&gt;=100000), " ",IF(INDEX($V$2:$AE$1001,MATCH(ROWS($O$2:O847),$O$2:$O$1001,0),MATCH(COLUMNS($V$1006:AC1006),$V$1006:$AE$1006,0)), HYPERLINK("#",""), HYPERLINK(CONCATENATE("#Metadata!", ADDRESS(INDEX($Q$2:$Q$1001,MATCH(ROWS($O$2:O847),$O$2:$O$1001,0),0), INDEX($V$1004:$AE$1004,1,MATCH(COLUMNS($V$1006:AC1006),$V$1006:$AE$1006,0)))),"Fix")))</f>
        <v>0</v>
      </c>
      <c r="J847" s="3">
        <f>IF(OR(INDEX($P$2:$P$1001,MATCH(ROWS($O$2:O847),$O$2:$O$1001,0),1)&gt;=100000,INDEX($V$1005:$AE$1005,1,MATCH(COLUMNS($V$1006:AD1006),$V$1006:$AE$1006,0))&gt;=100000), " ",IF(INDEX($V$2:$AE$1001,MATCH(ROWS($O$2:O847),$O$2:$O$1001,0),MATCH(COLUMNS($V$1006:AD1006),$V$1006:$AE$1006,0)), HYPERLINK("#",""), HYPERLINK(CONCATENATE("#Metadata!", ADDRESS(INDEX($Q$2:$Q$1001,MATCH(ROWS($O$2:O847),$O$2:$O$1001,0),0), INDEX($V$1004:$AE$1004,1,MATCH(COLUMNS($V$1006:AD1006),$V$1006:$AE$1006,0)))),"Fix")))</f>
        <v>0</v>
      </c>
      <c r="K847" s="3">
        <f>IF(OR(INDEX($P$2:$P$1001,MATCH(ROWS($O$2:O847),$O$2:$O$1001,0),1)&gt;=100000,INDEX($V$1005:$AE$1005,1,MATCH(COLUMNS($V$1006:AE1006),$V$1006:$AE$1006,0))&gt;=100000), " ",IF(INDEX($V$2:$AE$1001,MATCH(ROWS($O$2:O847),$O$2:$O$1001,0),MATCH(COLUMNS($V$1006:AE1006),$V$1006:$AE$1006,0)), HYPERLINK("#",""), HYPERLINK(CONCATENATE("#Metadata!", ADDRESS(INDEX($Q$2:$Q$1001,MATCH(ROWS($O$2:O847),$O$2:$O$1001,0),0), INDEX($V$1004:$AE$1004,1,MATCH(COLUMNS($V$1006:AE1006),$V$1006:$AE$1006,0)))),"Fix")))</f>
        <v>0</v>
      </c>
      <c r="O847">
        <v>0</v>
      </c>
      <c r="P847">
        <v>0</v>
      </c>
      <c r="Q847">
        <v>0</v>
      </c>
      <c r="R847">
        <f>IF(S847,TRUE,AND(V847:AE847))</f>
        <v>0</v>
      </c>
      <c r="S847">
        <f>COUNTBLANK(Metadata!B847:K847)=COLUMNS(Metadata!B847:K847)</f>
        <v>0</v>
      </c>
      <c r="T847">
        <v>0</v>
      </c>
      <c r="V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W847">
        <f>AND(IF(Metadata!C847="",FALSE,TRUE),exact(Metadata!C847,"animal secretion"))</f>
        <v>0</v>
      </c>
      <c r="X847">
        <f>AND(IF(Metadata!D847="",FALSE,TRUE),exact(Metadata!D847,"saliva"))</f>
        <v>0</v>
      </c>
      <c r="Y847">
        <f>AND(IF(Metadata!E847="",FALSE,TRUE),exact(Metadata!E847,"human-oral"))</f>
        <v>0</v>
      </c>
      <c r="Z847">
        <f>AND(IF(Metadata!F847="",FALSE,TRUE),exact(Metadata!F847,"UBERON:oral cavity"))</f>
        <v>0</v>
      </c>
      <c r="AA847">
        <f>AND(IF(Metadata!G847="",FALSE,TRUE),exact(Metadata!G847,"UBERON:saliva"))</f>
        <v>0</v>
      </c>
      <c r="AB847">
        <f>AND(IF(Metadata!H847="",FALSE,TRUE),exact(Metadata!H847,"UBERON:tongue"))</f>
        <v>0</v>
      </c>
      <c r="AC847">
        <f>AND(IF(Metadata!I847="",FALSE,TRUE),exact(Metadata!I847,"tongue"))</f>
        <v>0</v>
      </c>
      <c r="AD847">
        <f>AND(IF(Metadata!J847="",FALSE,TRUE),exact(Metadata!J847,"human oral metagenome"))</f>
        <v>0</v>
      </c>
      <c r="AE847">
        <f>AND(IF(Metadata!K847="",FALSE,TRUE),exact(Metadata!K847,"447426"))</f>
        <v>0</v>
      </c>
    </row>
    <row r="848" spans="1:31">
      <c r="A848" s="4">
        <f>IF(B848=" "," ",HYPERLINK(CONCATENATE("#metadata!",ADDRESS(INDEX($Q$2:$Q$1001,MATCH(ROWS($O$2:O848),$O$2:$O$1001,0),0),1)),INDEX($T$2:$T$1001,MATCH(ROWS($O$2:O848),$O$2:$O$1001,0),0)))</f>
        <v>0</v>
      </c>
      <c r="B848" s="3">
        <f>IF(OR(INDEX($P$2:$P$1001,MATCH(ROWS($O$2:O848),$O$2:$O$1001,0),1)&gt;=100000,INDEX($V$1005:$AE$1005,1,MATCH(COLUMNS($V$1006:V1006),$V$1006:$AE$1006,0))&gt;=100000), " ",IF(INDEX($V$2:$AE$1001,MATCH(ROWS($O$2:O848),$O$2:$O$1001,0),MATCH(COLUMNS($V$1006:V1006),$V$1006:$AE$1006,0)), HYPERLINK("#",""), HYPERLINK(CONCATENATE("#Metadata!", ADDRESS(INDEX($Q$2:$Q$1001,MATCH(ROWS($O$2:O848),$O$2:$O$1001,0),0), INDEX($V$1004:$AE$1004,1,MATCH(COLUMNS($V$1006:V1006),$V$1006:$AE$1006,0)))),"Fix")))</f>
        <v>0</v>
      </c>
      <c r="C848" s="3">
        <f>IF(OR(INDEX($P$2:$P$1001,MATCH(ROWS($O$2:O848),$O$2:$O$1001,0),1)&gt;=100000,INDEX($V$1005:$AE$1005,1,MATCH(COLUMNS($V$1006:W1006),$V$1006:$AE$1006,0))&gt;=100000), " ",IF(INDEX($V$2:$AE$1001,MATCH(ROWS($O$2:O848),$O$2:$O$1001,0),MATCH(COLUMNS($V$1006:W1006),$V$1006:$AE$1006,0)), HYPERLINK("#",""), HYPERLINK(CONCATENATE("#Metadata!", ADDRESS(INDEX($Q$2:$Q$1001,MATCH(ROWS($O$2:O848),$O$2:$O$1001,0),0), INDEX($V$1004:$AE$1004,1,MATCH(COLUMNS($V$1006:W1006),$V$1006:$AE$1006,0)))),"Fix")))</f>
        <v>0</v>
      </c>
      <c r="D848" s="3">
        <f>IF(OR(INDEX($P$2:$P$1001,MATCH(ROWS($O$2:O848),$O$2:$O$1001,0),1)&gt;=100000,INDEX($V$1005:$AE$1005,1,MATCH(COLUMNS($V$1006:X1006),$V$1006:$AE$1006,0))&gt;=100000), " ",IF(INDEX($V$2:$AE$1001,MATCH(ROWS($O$2:O848),$O$2:$O$1001,0),MATCH(COLUMNS($V$1006:X1006),$V$1006:$AE$1006,0)), HYPERLINK("#",""), HYPERLINK(CONCATENATE("#Metadata!", ADDRESS(INDEX($Q$2:$Q$1001,MATCH(ROWS($O$2:O848),$O$2:$O$1001,0),0), INDEX($V$1004:$AE$1004,1,MATCH(COLUMNS($V$1006:X1006),$V$1006:$AE$1006,0)))),"Fix")))</f>
        <v>0</v>
      </c>
      <c r="E848" s="3">
        <f>IF(OR(INDEX($P$2:$P$1001,MATCH(ROWS($O$2:O848),$O$2:$O$1001,0),1)&gt;=100000,INDEX($V$1005:$AE$1005,1,MATCH(COLUMNS($V$1006:Y1006),$V$1006:$AE$1006,0))&gt;=100000), " ",IF(INDEX($V$2:$AE$1001,MATCH(ROWS($O$2:O848),$O$2:$O$1001,0),MATCH(COLUMNS($V$1006:Y1006),$V$1006:$AE$1006,0)), HYPERLINK("#",""), HYPERLINK(CONCATENATE("#Metadata!", ADDRESS(INDEX($Q$2:$Q$1001,MATCH(ROWS($O$2:O848),$O$2:$O$1001,0),0), INDEX($V$1004:$AE$1004,1,MATCH(COLUMNS($V$1006:Y1006),$V$1006:$AE$1006,0)))),"Fix")))</f>
        <v>0</v>
      </c>
      <c r="F848" s="3">
        <f>IF(OR(INDEX($P$2:$P$1001,MATCH(ROWS($O$2:O848),$O$2:$O$1001,0),1)&gt;=100000,INDEX($V$1005:$AE$1005,1,MATCH(COLUMNS($V$1006:Z1006),$V$1006:$AE$1006,0))&gt;=100000), " ",IF(INDEX($V$2:$AE$1001,MATCH(ROWS($O$2:O848),$O$2:$O$1001,0),MATCH(COLUMNS($V$1006:Z1006),$V$1006:$AE$1006,0)), HYPERLINK("#",""), HYPERLINK(CONCATENATE("#Metadata!", ADDRESS(INDEX($Q$2:$Q$1001,MATCH(ROWS($O$2:O848),$O$2:$O$1001,0),0), INDEX($V$1004:$AE$1004,1,MATCH(COLUMNS($V$1006:Z1006),$V$1006:$AE$1006,0)))),"Fix")))</f>
        <v>0</v>
      </c>
      <c r="G848" s="3">
        <f>IF(OR(INDEX($P$2:$P$1001,MATCH(ROWS($O$2:O848),$O$2:$O$1001,0),1)&gt;=100000,INDEX($V$1005:$AE$1005,1,MATCH(COLUMNS($V$1006:AA1006),$V$1006:$AE$1006,0))&gt;=100000), " ",IF(INDEX($V$2:$AE$1001,MATCH(ROWS($O$2:O848),$O$2:$O$1001,0),MATCH(COLUMNS($V$1006:AA1006),$V$1006:$AE$1006,0)), HYPERLINK("#",""), HYPERLINK(CONCATENATE("#Metadata!", ADDRESS(INDEX($Q$2:$Q$1001,MATCH(ROWS($O$2:O848),$O$2:$O$1001,0),0), INDEX($V$1004:$AE$1004,1,MATCH(COLUMNS($V$1006:AA1006),$V$1006:$AE$1006,0)))),"Fix")))</f>
        <v>0</v>
      </c>
      <c r="H848" s="3">
        <f>IF(OR(INDEX($P$2:$P$1001,MATCH(ROWS($O$2:O848),$O$2:$O$1001,0),1)&gt;=100000,INDEX($V$1005:$AE$1005,1,MATCH(COLUMNS($V$1006:AB1006),$V$1006:$AE$1006,0))&gt;=100000), " ",IF(INDEX($V$2:$AE$1001,MATCH(ROWS($O$2:O848),$O$2:$O$1001,0),MATCH(COLUMNS($V$1006:AB1006),$V$1006:$AE$1006,0)), HYPERLINK("#",""), HYPERLINK(CONCATENATE("#Metadata!", ADDRESS(INDEX($Q$2:$Q$1001,MATCH(ROWS($O$2:O848),$O$2:$O$1001,0),0), INDEX($V$1004:$AE$1004,1,MATCH(COLUMNS($V$1006:AB1006),$V$1006:$AE$1006,0)))),"Fix")))</f>
        <v>0</v>
      </c>
      <c r="I848" s="3">
        <f>IF(OR(INDEX($P$2:$P$1001,MATCH(ROWS($O$2:O848),$O$2:$O$1001,0),1)&gt;=100000,INDEX($V$1005:$AE$1005,1,MATCH(COLUMNS($V$1006:AC1006),$V$1006:$AE$1006,0))&gt;=100000), " ",IF(INDEX($V$2:$AE$1001,MATCH(ROWS($O$2:O848),$O$2:$O$1001,0),MATCH(COLUMNS($V$1006:AC1006),$V$1006:$AE$1006,0)), HYPERLINK("#",""), HYPERLINK(CONCATENATE("#Metadata!", ADDRESS(INDEX($Q$2:$Q$1001,MATCH(ROWS($O$2:O848),$O$2:$O$1001,0),0), INDEX($V$1004:$AE$1004,1,MATCH(COLUMNS($V$1006:AC1006),$V$1006:$AE$1006,0)))),"Fix")))</f>
        <v>0</v>
      </c>
      <c r="J848" s="3">
        <f>IF(OR(INDEX($P$2:$P$1001,MATCH(ROWS($O$2:O848),$O$2:$O$1001,0),1)&gt;=100000,INDEX($V$1005:$AE$1005,1,MATCH(COLUMNS($V$1006:AD1006),$V$1006:$AE$1006,0))&gt;=100000), " ",IF(INDEX($V$2:$AE$1001,MATCH(ROWS($O$2:O848),$O$2:$O$1001,0),MATCH(COLUMNS($V$1006:AD1006),$V$1006:$AE$1006,0)), HYPERLINK("#",""), HYPERLINK(CONCATENATE("#Metadata!", ADDRESS(INDEX($Q$2:$Q$1001,MATCH(ROWS($O$2:O848),$O$2:$O$1001,0),0), INDEX($V$1004:$AE$1004,1,MATCH(COLUMNS($V$1006:AD1006),$V$1006:$AE$1006,0)))),"Fix")))</f>
        <v>0</v>
      </c>
      <c r="K848" s="3">
        <f>IF(OR(INDEX($P$2:$P$1001,MATCH(ROWS($O$2:O848),$O$2:$O$1001,0),1)&gt;=100000,INDEX($V$1005:$AE$1005,1,MATCH(COLUMNS($V$1006:AE1006),$V$1006:$AE$1006,0))&gt;=100000), " ",IF(INDEX($V$2:$AE$1001,MATCH(ROWS($O$2:O848),$O$2:$O$1001,0),MATCH(COLUMNS($V$1006:AE1006),$V$1006:$AE$1006,0)), HYPERLINK("#",""), HYPERLINK(CONCATENATE("#Metadata!", ADDRESS(INDEX($Q$2:$Q$1001,MATCH(ROWS($O$2:O848),$O$2:$O$1001,0),0), INDEX($V$1004:$AE$1004,1,MATCH(COLUMNS($V$1006:AE1006),$V$1006:$AE$1006,0)))),"Fix")))</f>
        <v>0</v>
      </c>
      <c r="O848">
        <v>0</v>
      </c>
      <c r="P848">
        <v>0</v>
      </c>
      <c r="Q848">
        <v>0</v>
      </c>
      <c r="R848">
        <f>IF(S848,TRUE,AND(V848:AE848))</f>
        <v>0</v>
      </c>
      <c r="S848">
        <f>COUNTBLANK(Metadata!B848:K848)=COLUMNS(Metadata!B848:K848)</f>
        <v>0</v>
      </c>
      <c r="T848">
        <v>0</v>
      </c>
      <c r="V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W848">
        <f>AND(IF(Metadata!C848="",FALSE,TRUE),exact(Metadata!C848,"animal secretion"))</f>
        <v>0</v>
      </c>
      <c r="X848">
        <f>AND(IF(Metadata!D848="",FALSE,TRUE),exact(Metadata!D848,"saliva"))</f>
        <v>0</v>
      </c>
      <c r="Y848">
        <f>AND(IF(Metadata!E848="",FALSE,TRUE),exact(Metadata!E848,"human-oral"))</f>
        <v>0</v>
      </c>
      <c r="Z848">
        <f>AND(IF(Metadata!F848="",FALSE,TRUE),exact(Metadata!F848,"UBERON:oral cavity"))</f>
        <v>0</v>
      </c>
      <c r="AA848">
        <f>AND(IF(Metadata!G848="",FALSE,TRUE),exact(Metadata!G848,"UBERON:saliva"))</f>
        <v>0</v>
      </c>
      <c r="AB848">
        <f>AND(IF(Metadata!H848="",FALSE,TRUE),exact(Metadata!H848,"UBERON:tongue"))</f>
        <v>0</v>
      </c>
      <c r="AC848">
        <f>AND(IF(Metadata!I848="",FALSE,TRUE),exact(Metadata!I848,"tongue"))</f>
        <v>0</v>
      </c>
      <c r="AD848">
        <f>AND(IF(Metadata!J848="",FALSE,TRUE),exact(Metadata!J848,"human oral metagenome"))</f>
        <v>0</v>
      </c>
      <c r="AE848">
        <f>AND(IF(Metadata!K848="",FALSE,TRUE),exact(Metadata!K848,"447426"))</f>
        <v>0</v>
      </c>
    </row>
    <row r="849" spans="1:31">
      <c r="A849" s="4">
        <f>IF(B849=" "," ",HYPERLINK(CONCATENATE("#metadata!",ADDRESS(INDEX($Q$2:$Q$1001,MATCH(ROWS($O$2:O849),$O$2:$O$1001,0),0),1)),INDEX($T$2:$T$1001,MATCH(ROWS($O$2:O849),$O$2:$O$1001,0),0)))</f>
        <v>0</v>
      </c>
      <c r="B849" s="3">
        <f>IF(OR(INDEX($P$2:$P$1001,MATCH(ROWS($O$2:O849),$O$2:$O$1001,0),1)&gt;=100000,INDEX($V$1005:$AE$1005,1,MATCH(COLUMNS($V$1006:V1006),$V$1006:$AE$1006,0))&gt;=100000), " ",IF(INDEX($V$2:$AE$1001,MATCH(ROWS($O$2:O849),$O$2:$O$1001,0),MATCH(COLUMNS($V$1006:V1006),$V$1006:$AE$1006,0)), HYPERLINK("#",""), HYPERLINK(CONCATENATE("#Metadata!", ADDRESS(INDEX($Q$2:$Q$1001,MATCH(ROWS($O$2:O849),$O$2:$O$1001,0),0), INDEX($V$1004:$AE$1004,1,MATCH(COLUMNS($V$1006:V1006),$V$1006:$AE$1006,0)))),"Fix")))</f>
        <v>0</v>
      </c>
      <c r="C849" s="3">
        <f>IF(OR(INDEX($P$2:$P$1001,MATCH(ROWS($O$2:O849),$O$2:$O$1001,0),1)&gt;=100000,INDEX($V$1005:$AE$1005,1,MATCH(COLUMNS($V$1006:W1006),$V$1006:$AE$1006,0))&gt;=100000), " ",IF(INDEX($V$2:$AE$1001,MATCH(ROWS($O$2:O849),$O$2:$O$1001,0),MATCH(COLUMNS($V$1006:W1006),$V$1006:$AE$1006,0)), HYPERLINK("#",""), HYPERLINK(CONCATENATE("#Metadata!", ADDRESS(INDEX($Q$2:$Q$1001,MATCH(ROWS($O$2:O849),$O$2:$O$1001,0),0), INDEX($V$1004:$AE$1004,1,MATCH(COLUMNS($V$1006:W1006),$V$1006:$AE$1006,0)))),"Fix")))</f>
        <v>0</v>
      </c>
      <c r="D849" s="3">
        <f>IF(OR(INDEX($P$2:$P$1001,MATCH(ROWS($O$2:O849),$O$2:$O$1001,0),1)&gt;=100000,INDEX($V$1005:$AE$1005,1,MATCH(COLUMNS($V$1006:X1006),$V$1006:$AE$1006,0))&gt;=100000), " ",IF(INDEX($V$2:$AE$1001,MATCH(ROWS($O$2:O849),$O$2:$O$1001,0),MATCH(COLUMNS($V$1006:X1006),$V$1006:$AE$1006,0)), HYPERLINK("#",""), HYPERLINK(CONCATENATE("#Metadata!", ADDRESS(INDEX($Q$2:$Q$1001,MATCH(ROWS($O$2:O849),$O$2:$O$1001,0),0), INDEX($V$1004:$AE$1004,1,MATCH(COLUMNS($V$1006:X1006),$V$1006:$AE$1006,0)))),"Fix")))</f>
        <v>0</v>
      </c>
      <c r="E849" s="3">
        <f>IF(OR(INDEX($P$2:$P$1001,MATCH(ROWS($O$2:O849),$O$2:$O$1001,0),1)&gt;=100000,INDEX($V$1005:$AE$1005,1,MATCH(COLUMNS($V$1006:Y1006),$V$1006:$AE$1006,0))&gt;=100000), " ",IF(INDEX($V$2:$AE$1001,MATCH(ROWS($O$2:O849),$O$2:$O$1001,0),MATCH(COLUMNS($V$1006:Y1006),$V$1006:$AE$1006,0)), HYPERLINK("#",""), HYPERLINK(CONCATENATE("#Metadata!", ADDRESS(INDEX($Q$2:$Q$1001,MATCH(ROWS($O$2:O849),$O$2:$O$1001,0),0), INDEX($V$1004:$AE$1004,1,MATCH(COLUMNS($V$1006:Y1006),$V$1006:$AE$1006,0)))),"Fix")))</f>
        <v>0</v>
      </c>
      <c r="F849" s="3">
        <f>IF(OR(INDEX($P$2:$P$1001,MATCH(ROWS($O$2:O849),$O$2:$O$1001,0),1)&gt;=100000,INDEX($V$1005:$AE$1005,1,MATCH(COLUMNS($V$1006:Z1006),$V$1006:$AE$1006,0))&gt;=100000), " ",IF(INDEX($V$2:$AE$1001,MATCH(ROWS($O$2:O849),$O$2:$O$1001,0),MATCH(COLUMNS($V$1006:Z1006),$V$1006:$AE$1006,0)), HYPERLINK("#",""), HYPERLINK(CONCATENATE("#Metadata!", ADDRESS(INDEX($Q$2:$Q$1001,MATCH(ROWS($O$2:O849),$O$2:$O$1001,0),0), INDEX($V$1004:$AE$1004,1,MATCH(COLUMNS($V$1006:Z1006),$V$1006:$AE$1006,0)))),"Fix")))</f>
        <v>0</v>
      </c>
      <c r="G849" s="3">
        <f>IF(OR(INDEX($P$2:$P$1001,MATCH(ROWS($O$2:O849),$O$2:$O$1001,0),1)&gt;=100000,INDEX($V$1005:$AE$1005,1,MATCH(COLUMNS($V$1006:AA1006),$V$1006:$AE$1006,0))&gt;=100000), " ",IF(INDEX($V$2:$AE$1001,MATCH(ROWS($O$2:O849),$O$2:$O$1001,0),MATCH(COLUMNS($V$1006:AA1006),$V$1006:$AE$1006,0)), HYPERLINK("#",""), HYPERLINK(CONCATENATE("#Metadata!", ADDRESS(INDEX($Q$2:$Q$1001,MATCH(ROWS($O$2:O849),$O$2:$O$1001,0),0), INDEX($V$1004:$AE$1004,1,MATCH(COLUMNS($V$1006:AA1006),$V$1006:$AE$1006,0)))),"Fix")))</f>
        <v>0</v>
      </c>
      <c r="H849" s="3">
        <f>IF(OR(INDEX($P$2:$P$1001,MATCH(ROWS($O$2:O849),$O$2:$O$1001,0),1)&gt;=100000,INDEX($V$1005:$AE$1005,1,MATCH(COLUMNS($V$1006:AB1006),$V$1006:$AE$1006,0))&gt;=100000), " ",IF(INDEX($V$2:$AE$1001,MATCH(ROWS($O$2:O849),$O$2:$O$1001,0),MATCH(COLUMNS($V$1006:AB1006),$V$1006:$AE$1006,0)), HYPERLINK("#",""), HYPERLINK(CONCATENATE("#Metadata!", ADDRESS(INDEX($Q$2:$Q$1001,MATCH(ROWS($O$2:O849),$O$2:$O$1001,0),0), INDEX($V$1004:$AE$1004,1,MATCH(COLUMNS($V$1006:AB1006),$V$1006:$AE$1006,0)))),"Fix")))</f>
        <v>0</v>
      </c>
      <c r="I849" s="3">
        <f>IF(OR(INDEX($P$2:$P$1001,MATCH(ROWS($O$2:O849),$O$2:$O$1001,0),1)&gt;=100000,INDEX($V$1005:$AE$1005,1,MATCH(COLUMNS($V$1006:AC1006),$V$1006:$AE$1006,0))&gt;=100000), " ",IF(INDEX($V$2:$AE$1001,MATCH(ROWS($O$2:O849),$O$2:$O$1001,0),MATCH(COLUMNS($V$1006:AC1006),$V$1006:$AE$1006,0)), HYPERLINK("#",""), HYPERLINK(CONCATENATE("#Metadata!", ADDRESS(INDEX($Q$2:$Q$1001,MATCH(ROWS($O$2:O849),$O$2:$O$1001,0),0), INDEX($V$1004:$AE$1004,1,MATCH(COLUMNS($V$1006:AC1006),$V$1006:$AE$1006,0)))),"Fix")))</f>
        <v>0</v>
      </c>
      <c r="J849" s="3">
        <f>IF(OR(INDEX($P$2:$P$1001,MATCH(ROWS($O$2:O849),$O$2:$O$1001,0),1)&gt;=100000,INDEX($V$1005:$AE$1005,1,MATCH(COLUMNS($V$1006:AD1006),$V$1006:$AE$1006,0))&gt;=100000), " ",IF(INDEX($V$2:$AE$1001,MATCH(ROWS($O$2:O849),$O$2:$O$1001,0),MATCH(COLUMNS($V$1006:AD1006),$V$1006:$AE$1006,0)), HYPERLINK("#",""), HYPERLINK(CONCATENATE("#Metadata!", ADDRESS(INDEX($Q$2:$Q$1001,MATCH(ROWS($O$2:O849),$O$2:$O$1001,0),0), INDEX($V$1004:$AE$1004,1,MATCH(COLUMNS($V$1006:AD1006),$V$1006:$AE$1006,0)))),"Fix")))</f>
        <v>0</v>
      </c>
      <c r="K849" s="3">
        <f>IF(OR(INDEX($P$2:$P$1001,MATCH(ROWS($O$2:O849),$O$2:$O$1001,0),1)&gt;=100000,INDEX($V$1005:$AE$1005,1,MATCH(COLUMNS($V$1006:AE1006),$V$1006:$AE$1006,0))&gt;=100000), " ",IF(INDEX($V$2:$AE$1001,MATCH(ROWS($O$2:O849),$O$2:$O$1001,0),MATCH(COLUMNS($V$1006:AE1006),$V$1006:$AE$1006,0)), HYPERLINK("#",""), HYPERLINK(CONCATENATE("#Metadata!", ADDRESS(INDEX($Q$2:$Q$1001,MATCH(ROWS($O$2:O849),$O$2:$O$1001,0),0), INDEX($V$1004:$AE$1004,1,MATCH(COLUMNS($V$1006:AE1006),$V$1006:$AE$1006,0)))),"Fix")))</f>
        <v>0</v>
      </c>
      <c r="O849">
        <v>0</v>
      </c>
      <c r="P849">
        <v>0</v>
      </c>
      <c r="Q849">
        <v>0</v>
      </c>
      <c r="R849">
        <f>IF(S849,TRUE,AND(V849:AE849))</f>
        <v>0</v>
      </c>
      <c r="S849">
        <f>COUNTBLANK(Metadata!B849:K849)=COLUMNS(Metadata!B849:K849)</f>
        <v>0</v>
      </c>
      <c r="T849">
        <v>0</v>
      </c>
      <c r="V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W849">
        <f>AND(IF(Metadata!C849="",FALSE,TRUE),exact(Metadata!C849,"animal secretion"))</f>
        <v>0</v>
      </c>
      <c r="X849">
        <f>AND(IF(Metadata!D849="",FALSE,TRUE),exact(Metadata!D849,"saliva"))</f>
        <v>0</v>
      </c>
      <c r="Y849">
        <f>AND(IF(Metadata!E849="",FALSE,TRUE),exact(Metadata!E849,"human-oral"))</f>
        <v>0</v>
      </c>
      <c r="Z849">
        <f>AND(IF(Metadata!F849="",FALSE,TRUE),exact(Metadata!F849,"UBERON:oral cavity"))</f>
        <v>0</v>
      </c>
      <c r="AA849">
        <f>AND(IF(Metadata!G849="",FALSE,TRUE),exact(Metadata!G849,"UBERON:saliva"))</f>
        <v>0</v>
      </c>
      <c r="AB849">
        <f>AND(IF(Metadata!H849="",FALSE,TRUE),exact(Metadata!H849,"UBERON:tongue"))</f>
        <v>0</v>
      </c>
      <c r="AC849">
        <f>AND(IF(Metadata!I849="",FALSE,TRUE),exact(Metadata!I849,"tongue"))</f>
        <v>0</v>
      </c>
      <c r="AD849">
        <f>AND(IF(Metadata!J849="",FALSE,TRUE),exact(Metadata!J849,"human oral metagenome"))</f>
        <v>0</v>
      </c>
      <c r="AE849">
        <f>AND(IF(Metadata!K849="",FALSE,TRUE),exact(Metadata!K849,"447426"))</f>
        <v>0</v>
      </c>
    </row>
    <row r="850" spans="1:31">
      <c r="A850" s="4">
        <f>IF(B850=" "," ",HYPERLINK(CONCATENATE("#metadata!",ADDRESS(INDEX($Q$2:$Q$1001,MATCH(ROWS($O$2:O850),$O$2:$O$1001,0),0),1)),INDEX($T$2:$T$1001,MATCH(ROWS($O$2:O850),$O$2:$O$1001,0),0)))</f>
        <v>0</v>
      </c>
      <c r="B850" s="3">
        <f>IF(OR(INDEX($P$2:$P$1001,MATCH(ROWS($O$2:O850),$O$2:$O$1001,0),1)&gt;=100000,INDEX($V$1005:$AE$1005,1,MATCH(COLUMNS($V$1006:V1006),$V$1006:$AE$1006,0))&gt;=100000), " ",IF(INDEX($V$2:$AE$1001,MATCH(ROWS($O$2:O850),$O$2:$O$1001,0),MATCH(COLUMNS($V$1006:V1006),$V$1006:$AE$1006,0)), HYPERLINK("#",""), HYPERLINK(CONCATENATE("#Metadata!", ADDRESS(INDEX($Q$2:$Q$1001,MATCH(ROWS($O$2:O850),$O$2:$O$1001,0),0), INDEX($V$1004:$AE$1004,1,MATCH(COLUMNS($V$1006:V1006),$V$1006:$AE$1006,0)))),"Fix")))</f>
        <v>0</v>
      </c>
      <c r="C850" s="3">
        <f>IF(OR(INDEX($P$2:$P$1001,MATCH(ROWS($O$2:O850),$O$2:$O$1001,0),1)&gt;=100000,INDEX($V$1005:$AE$1005,1,MATCH(COLUMNS($V$1006:W1006),$V$1006:$AE$1006,0))&gt;=100000), " ",IF(INDEX($V$2:$AE$1001,MATCH(ROWS($O$2:O850),$O$2:$O$1001,0),MATCH(COLUMNS($V$1006:W1006),$V$1006:$AE$1006,0)), HYPERLINK("#",""), HYPERLINK(CONCATENATE("#Metadata!", ADDRESS(INDEX($Q$2:$Q$1001,MATCH(ROWS($O$2:O850),$O$2:$O$1001,0),0), INDEX($V$1004:$AE$1004,1,MATCH(COLUMNS($V$1006:W1006),$V$1006:$AE$1006,0)))),"Fix")))</f>
        <v>0</v>
      </c>
      <c r="D850" s="3">
        <f>IF(OR(INDEX($P$2:$P$1001,MATCH(ROWS($O$2:O850),$O$2:$O$1001,0),1)&gt;=100000,INDEX($V$1005:$AE$1005,1,MATCH(COLUMNS($V$1006:X1006),$V$1006:$AE$1006,0))&gt;=100000), " ",IF(INDEX($V$2:$AE$1001,MATCH(ROWS($O$2:O850),$O$2:$O$1001,0),MATCH(COLUMNS($V$1006:X1006),$V$1006:$AE$1006,0)), HYPERLINK("#",""), HYPERLINK(CONCATENATE("#Metadata!", ADDRESS(INDEX($Q$2:$Q$1001,MATCH(ROWS($O$2:O850),$O$2:$O$1001,0),0), INDEX($V$1004:$AE$1004,1,MATCH(COLUMNS($V$1006:X1006),$V$1006:$AE$1006,0)))),"Fix")))</f>
        <v>0</v>
      </c>
      <c r="E850" s="3">
        <f>IF(OR(INDEX($P$2:$P$1001,MATCH(ROWS($O$2:O850),$O$2:$O$1001,0),1)&gt;=100000,INDEX($V$1005:$AE$1005,1,MATCH(COLUMNS($V$1006:Y1006),$V$1006:$AE$1006,0))&gt;=100000), " ",IF(INDEX($V$2:$AE$1001,MATCH(ROWS($O$2:O850),$O$2:$O$1001,0),MATCH(COLUMNS($V$1006:Y1006),$V$1006:$AE$1006,0)), HYPERLINK("#",""), HYPERLINK(CONCATENATE("#Metadata!", ADDRESS(INDEX($Q$2:$Q$1001,MATCH(ROWS($O$2:O850),$O$2:$O$1001,0),0), INDEX($V$1004:$AE$1004,1,MATCH(COLUMNS($V$1006:Y1006),$V$1006:$AE$1006,0)))),"Fix")))</f>
        <v>0</v>
      </c>
      <c r="F850" s="3">
        <f>IF(OR(INDEX($P$2:$P$1001,MATCH(ROWS($O$2:O850),$O$2:$O$1001,0),1)&gt;=100000,INDEX($V$1005:$AE$1005,1,MATCH(COLUMNS($V$1006:Z1006),$V$1006:$AE$1006,0))&gt;=100000), " ",IF(INDEX($V$2:$AE$1001,MATCH(ROWS($O$2:O850),$O$2:$O$1001,0),MATCH(COLUMNS($V$1006:Z1006),$V$1006:$AE$1006,0)), HYPERLINK("#",""), HYPERLINK(CONCATENATE("#Metadata!", ADDRESS(INDEX($Q$2:$Q$1001,MATCH(ROWS($O$2:O850),$O$2:$O$1001,0),0), INDEX($V$1004:$AE$1004,1,MATCH(COLUMNS($V$1006:Z1006),$V$1006:$AE$1006,0)))),"Fix")))</f>
        <v>0</v>
      </c>
      <c r="G850" s="3">
        <f>IF(OR(INDEX($P$2:$P$1001,MATCH(ROWS($O$2:O850),$O$2:$O$1001,0),1)&gt;=100000,INDEX($V$1005:$AE$1005,1,MATCH(COLUMNS($V$1006:AA1006),$V$1006:$AE$1006,0))&gt;=100000), " ",IF(INDEX($V$2:$AE$1001,MATCH(ROWS($O$2:O850),$O$2:$O$1001,0),MATCH(COLUMNS($V$1006:AA1006),$V$1006:$AE$1006,0)), HYPERLINK("#",""), HYPERLINK(CONCATENATE("#Metadata!", ADDRESS(INDEX($Q$2:$Q$1001,MATCH(ROWS($O$2:O850),$O$2:$O$1001,0),0), INDEX($V$1004:$AE$1004,1,MATCH(COLUMNS($V$1006:AA1006),$V$1006:$AE$1006,0)))),"Fix")))</f>
        <v>0</v>
      </c>
      <c r="H850" s="3">
        <f>IF(OR(INDEX($P$2:$P$1001,MATCH(ROWS($O$2:O850),$O$2:$O$1001,0),1)&gt;=100000,INDEX($V$1005:$AE$1005,1,MATCH(COLUMNS($V$1006:AB1006),$V$1006:$AE$1006,0))&gt;=100000), " ",IF(INDEX($V$2:$AE$1001,MATCH(ROWS($O$2:O850),$O$2:$O$1001,0),MATCH(COLUMNS($V$1006:AB1006),$V$1006:$AE$1006,0)), HYPERLINK("#",""), HYPERLINK(CONCATENATE("#Metadata!", ADDRESS(INDEX($Q$2:$Q$1001,MATCH(ROWS($O$2:O850),$O$2:$O$1001,0),0), INDEX($V$1004:$AE$1004,1,MATCH(COLUMNS($V$1006:AB1006),$V$1006:$AE$1006,0)))),"Fix")))</f>
        <v>0</v>
      </c>
      <c r="I850" s="3">
        <f>IF(OR(INDEX($P$2:$P$1001,MATCH(ROWS($O$2:O850),$O$2:$O$1001,0),1)&gt;=100000,INDEX($V$1005:$AE$1005,1,MATCH(COLUMNS($V$1006:AC1006),$V$1006:$AE$1006,0))&gt;=100000), " ",IF(INDEX($V$2:$AE$1001,MATCH(ROWS($O$2:O850),$O$2:$O$1001,0),MATCH(COLUMNS($V$1006:AC1006),$V$1006:$AE$1006,0)), HYPERLINK("#",""), HYPERLINK(CONCATENATE("#Metadata!", ADDRESS(INDEX($Q$2:$Q$1001,MATCH(ROWS($O$2:O850),$O$2:$O$1001,0),0), INDEX($V$1004:$AE$1004,1,MATCH(COLUMNS($V$1006:AC1006),$V$1006:$AE$1006,0)))),"Fix")))</f>
        <v>0</v>
      </c>
      <c r="J850" s="3">
        <f>IF(OR(INDEX($P$2:$P$1001,MATCH(ROWS($O$2:O850),$O$2:$O$1001,0),1)&gt;=100000,INDEX($V$1005:$AE$1005,1,MATCH(COLUMNS($V$1006:AD1006),$V$1006:$AE$1006,0))&gt;=100000), " ",IF(INDEX($V$2:$AE$1001,MATCH(ROWS($O$2:O850),$O$2:$O$1001,0),MATCH(COLUMNS($V$1006:AD1006),$V$1006:$AE$1006,0)), HYPERLINK("#",""), HYPERLINK(CONCATENATE("#Metadata!", ADDRESS(INDEX($Q$2:$Q$1001,MATCH(ROWS($O$2:O850),$O$2:$O$1001,0),0), INDEX($V$1004:$AE$1004,1,MATCH(COLUMNS($V$1006:AD1006),$V$1006:$AE$1006,0)))),"Fix")))</f>
        <v>0</v>
      </c>
      <c r="K850" s="3">
        <f>IF(OR(INDEX($P$2:$P$1001,MATCH(ROWS($O$2:O850),$O$2:$O$1001,0),1)&gt;=100000,INDEX($V$1005:$AE$1005,1,MATCH(COLUMNS($V$1006:AE1006),$V$1006:$AE$1006,0))&gt;=100000), " ",IF(INDEX($V$2:$AE$1001,MATCH(ROWS($O$2:O850),$O$2:$O$1001,0),MATCH(COLUMNS($V$1006:AE1006),$V$1006:$AE$1006,0)), HYPERLINK("#",""), HYPERLINK(CONCATENATE("#Metadata!", ADDRESS(INDEX($Q$2:$Q$1001,MATCH(ROWS($O$2:O850),$O$2:$O$1001,0),0), INDEX($V$1004:$AE$1004,1,MATCH(COLUMNS($V$1006:AE1006),$V$1006:$AE$1006,0)))),"Fix")))</f>
        <v>0</v>
      </c>
      <c r="O850">
        <v>0</v>
      </c>
      <c r="P850">
        <v>0</v>
      </c>
      <c r="Q850">
        <v>0</v>
      </c>
      <c r="R850">
        <f>IF(S850,TRUE,AND(V850:AE850))</f>
        <v>0</v>
      </c>
      <c r="S850">
        <f>COUNTBLANK(Metadata!B850:K850)=COLUMNS(Metadata!B850:K850)</f>
        <v>0</v>
      </c>
      <c r="T850">
        <v>0</v>
      </c>
      <c r="V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W850">
        <f>AND(IF(Metadata!C850="",FALSE,TRUE),exact(Metadata!C850,"animal secretion"))</f>
        <v>0</v>
      </c>
      <c r="X850">
        <f>AND(IF(Metadata!D850="",FALSE,TRUE),exact(Metadata!D850,"saliva"))</f>
        <v>0</v>
      </c>
      <c r="Y850">
        <f>AND(IF(Metadata!E850="",FALSE,TRUE),exact(Metadata!E850,"human-oral"))</f>
        <v>0</v>
      </c>
      <c r="Z850">
        <f>AND(IF(Metadata!F850="",FALSE,TRUE),exact(Metadata!F850,"UBERON:oral cavity"))</f>
        <v>0</v>
      </c>
      <c r="AA850">
        <f>AND(IF(Metadata!G850="",FALSE,TRUE),exact(Metadata!G850,"UBERON:saliva"))</f>
        <v>0</v>
      </c>
      <c r="AB850">
        <f>AND(IF(Metadata!H850="",FALSE,TRUE),exact(Metadata!H850,"UBERON:tongue"))</f>
        <v>0</v>
      </c>
      <c r="AC850">
        <f>AND(IF(Metadata!I850="",FALSE,TRUE),exact(Metadata!I850,"tongue"))</f>
        <v>0</v>
      </c>
      <c r="AD850">
        <f>AND(IF(Metadata!J850="",FALSE,TRUE),exact(Metadata!J850,"human oral metagenome"))</f>
        <v>0</v>
      </c>
      <c r="AE850">
        <f>AND(IF(Metadata!K850="",FALSE,TRUE),exact(Metadata!K850,"447426"))</f>
        <v>0</v>
      </c>
    </row>
    <row r="851" spans="1:31">
      <c r="A851" s="4">
        <f>IF(B851=" "," ",HYPERLINK(CONCATENATE("#metadata!",ADDRESS(INDEX($Q$2:$Q$1001,MATCH(ROWS($O$2:O851),$O$2:$O$1001,0),0),1)),INDEX($T$2:$T$1001,MATCH(ROWS($O$2:O851),$O$2:$O$1001,0),0)))</f>
        <v>0</v>
      </c>
      <c r="B851" s="3">
        <f>IF(OR(INDEX($P$2:$P$1001,MATCH(ROWS($O$2:O851),$O$2:$O$1001,0),1)&gt;=100000,INDEX($V$1005:$AE$1005,1,MATCH(COLUMNS($V$1006:V1006),$V$1006:$AE$1006,0))&gt;=100000), " ",IF(INDEX($V$2:$AE$1001,MATCH(ROWS($O$2:O851),$O$2:$O$1001,0),MATCH(COLUMNS($V$1006:V1006),$V$1006:$AE$1006,0)), HYPERLINK("#",""), HYPERLINK(CONCATENATE("#Metadata!", ADDRESS(INDEX($Q$2:$Q$1001,MATCH(ROWS($O$2:O851),$O$2:$O$1001,0),0), INDEX($V$1004:$AE$1004,1,MATCH(COLUMNS($V$1006:V1006),$V$1006:$AE$1006,0)))),"Fix")))</f>
        <v>0</v>
      </c>
      <c r="C851" s="3">
        <f>IF(OR(INDEX($P$2:$P$1001,MATCH(ROWS($O$2:O851),$O$2:$O$1001,0),1)&gt;=100000,INDEX($V$1005:$AE$1005,1,MATCH(COLUMNS($V$1006:W1006),$V$1006:$AE$1006,0))&gt;=100000), " ",IF(INDEX($V$2:$AE$1001,MATCH(ROWS($O$2:O851),$O$2:$O$1001,0),MATCH(COLUMNS($V$1006:W1006),$V$1006:$AE$1006,0)), HYPERLINK("#",""), HYPERLINK(CONCATENATE("#Metadata!", ADDRESS(INDEX($Q$2:$Q$1001,MATCH(ROWS($O$2:O851),$O$2:$O$1001,0),0), INDEX($V$1004:$AE$1004,1,MATCH(COLUMNS($V$1006:W1006),$V$1006:$AE$1006,0)))),"Fix")))</f>
        <v>0</v>
      </c>
      <c r="D851" s="3">
        <f>IF(OR(INDEX($P$2:$P$1001,MATCH(ROWS($O$2:O851),$O$2:$O$1001,0),1)&gt;=100000,INDEX($V$1005:$AE$1005,1,MATCH(COLUMNS($V$1006:X1006),$V$1006:$AE$1006,0))&gt;=100000), " ",IF(INDEX($V$2:$AE$1001,MATCH(ROWS($O$2:O851),$O$2:$O$1001,0),MATCH(COLUMNS($V$1006:X1006),$V$1006:$AE$1006,0)), HYPERLINK("#",""), HYPERLINK(CONCATENATE("#Metadata!", ADDRESS(INDEX($Q$2:$Q$1001,MATCH(ROWS($O$2:O851),$O$2:$O$1001,0),0), INDEX($V$1004:$AE$1004,1,MATCH(COLUMNS($V$1006:X1006),$V$1006:$AE$1006,0)))),"Fix")))</f>
        <v>0</v>
      </c>
      <c r="E851" s="3">
        <f>IF(OR(INDEX($P$2:$P$1001,MATCH(ROWS($O$2:O851),$O$2:$O$1001,0),1)&gt;=100000,INDEX($V$1005:$AE$1005,1,MATCH(COLUMNS($V$1006:Y1006),$V$1006:$AE$1006,0))&gt;=100000), " ",IF(INDEX($V$2:$AE$1001,MATCH(ROWS($O$2:O851),$O$2:$O$1001,0),MATCH(COLUMNS($V$1006:Y1006),$V$1006:$AE$1006,0)), HYPERLINK("#",""), HYPERLINK(CONCATENATE("#Metadata!", ADDRESS(INDEX($Q$2:$Q$1001,MATCH(ROWS($O$2:O851),$O$2:$O$1001,0),0), INDEX($V$1004:$AE$1004,1,MATCH(COLUMNS($V$1006:Y1006),$V$1006:$AE$1006,0)))),"Fix")))</f>
        <v>0</v>
      </c>
      <c r="F851" s="3">
        <f>IF(OR(INDEX($P$2:$P$1001,MATCH(ROWS($O$2:O851),$O$2:$O$1001,0),1)&gt;=100000,INDEX($V$1005:$AE$1005,1,MATCH(COLUMNS($V$1006:Z1006),$V$1006:$AE$1006,0))&gt;=100000), " ",IF(INDEX($V$2:$AE$1001,MATCH(ROWS($O$2:O851),$O$2:$O$1001,0),MATCH(COLUMNS($V$1006:Z1006),$V$1006:$AE$1006,0)), HYPERLINK("#",""), HYPERLINK(CONCATENATE("#Metadata!", ADDRESS(INDEX($Q$2:$Q$1001,MATCH(ROWS($O$2:O851),$O$2:$O$1001,0),0), INDEX($V$1004:$AE$1004,1,MATCH(COLUMNS($V$1006:Z1006),$V$1006:$AE$1006,0)))),"Fix")))</f>
        <v>0</v>
      </c>
      <c r="G851" s="3">
        <f>IF(OR(INDEX($P$2:$P$1001,MATCH(ROWS($O$2:O851),$O$2:$O$1001,0),1)&gt;=100000,INDEX($V$1005:$AE$1005,1,MATCH(COLUMNS($V$1006:AA1006),$V$1006:$AE$1006,0))&gt;=100000), " ",IF(INDEX($V$2:$AE$1001,MATCH(ROWS($O$2:O851),$O$2:$O$1001,0),MATCH(COLUMNS($V$1006:AA1006),$V$1006:$AE$1006,0)), HYPERLINK("#",""), HYPERLINK(CONCATENATE("#Metadata!", ADDRESS(INDEX($Q$2:$Q$1001,MATCH(ROWS($O$2:O851),$O$2:$O$1001,0),0), INDEX($V$1004:$AE$1004,1,MATCH(COLUMNS($V$1006:AA1006),$V$1006:$AE$1006,0)))),"Fix")))</f>
        <v>0</v>
      </c>
      <c r="H851" s="3">
        <f>IF(OR(INDEX($P$2:$P$1001,MATCH(ROWS($O$2:O851),$O$2:$O$1001,0),1)&gt;=100000,INDEX($V$1005:$AE$1005,1,MATCH(COLUMNS($V$1006:AB1006),$V$1006:$AE$1006,0))&gt;=100000), " ",IF(INDEX($V$2:$AE$1001,MATCH(ROWS($O$2:O851),$O$2:$O$1001,0),MATCH(COLUMNS($V$1006:AB1006),$V$1006:$AE$1006,0)), HYPERLINK("#",""), HYPERLINK(CONCATENATE("#Metadata!", ADDRESS(INDEX($Q$2:$Q$1001,MATCH(ROWS($O$2:O851),$O$2:$O$1001,0),0), INDEX($V$1004:$AE$1004,1,MATCH(COLUMNS($V$1006:AB1006),$V$1006:$AE$1006,0)))),"Fix")))</f>
        <v>0</v>
      </c>
      <c r="I851" s="3">
        <f>IF(OR(INDEX($P$2:$P$1001,MATCH(ROWS($O$2:O851),$O$2:$O$1001,0),1)&gt;=100000,INDEX($V$1005:$AE$1005,1,MATCH(COLUMNS($V$1006:AC1006),$V$1006:$AE$1006,0))&gt;=100000), " ",IF(INDEX($V$2:$AE$1001,MATCH(ROWS($O$2:O851),$O$2:$O$1001,0),MATCH(COLUMNS($V$1006:AC1006),$V$1006:$AE$1006,0)), HYPERLINK("#",""), HYPERLINK(CONCATENATE("#Metadata!", ADDRESS(INDEX($Q$2:$Q$1001,MATCH(ROWS($O$2:O851),$O$2:$O$1001,0),0), INDEX($V$1004:$AE$1004,1,MATCH(COLUMNS($V$1006:AC1006),$V$1006:$AE$1006,0)))),"Fix")))</f>
        <v>0</v>
      </c>
      <c r="J851" s="3">
        <f>IF(OR(INDEX($P$2:$P$1001,MATCH(ROWS($O$2:O851),$O$2:$O$1001,0),1)&gt;=100000,INDEX($V$1005:$AE$1005,1,MATCH(COLUMNS($V$1006:AD1006),$V$1006:$AE$1006,0))&gt;=100000), " ",IF(INDEX($V$2:$AE$1001,MATCH(ROWS($O$2:O851),$O$2:$O$1001,0),MATCH(COLUMNS($V$1006:AD1006),$V$1006:$AE$1006,0)), HYPERLINK("#",""), HYPERLINK(CONCATENATE("#Metadata!", ADDRESS(INDEX($Q$2:$Q$1001,MATCH(ROWS($O$2:O851),$O$2:$O$1001,0),0), INDEX($V$1004:$AE$1004,1,MATCH(COLUMNS($V$1006:AD1006),$V$1006:$AE$1006,0)))),"Fix")))</f>
        <v>0</v>
      </c>
      <c r="K851" s="3">
        <f>IF(OR(INDEX($P$2:$P$1001,MATCH(ROWS($O$2:O851),$O$2:$O$1001,0),1)&gt;=100000,INDEX($V$1005:$AE$1005,1,MATCH(COLUMNS($V$1006:AE1006),$V$1006:$AE$1006,0))&gt;=100000), " ",IF(INDEX($V$2:$AE$1001,MATCH(ROWS($O$2:O851),$O$2:$O$1001,0),MATCH(COLUMNS($V$1006:AE1006),$V$1006:$AE$1006,0)), HYPERLINK("#",""), HYPERLINK(CONCATENATE("#Metadata!", ADDRESS(INDEX($Q$2:$Q$1001,MATCH(ROWS($O$2:O851),$O$2:$O$1001,0),0), INDEX($V$1004:$AE$1004,1,MATCH(COLUMNS($V$1006:AE1006),$V$1006:$AE$1006,0)))),"Fix")))</f>
        <v>0</v>
      </c>
      <c r="O851">
        <v>0</v>
      </c>
      <c r="P851">
        <v>0</v>
      </c>
      <c r="Q851">
        <v>0</v>
      </c>
      <c r="R851">
        <f>IF(S851,TRUE,AND(V851:AE851))</f>
        <v>0</v>
      </c>
      <c r="S851">
        <f>COUNTBLANK(Metadata!B851:K851)=COLUMNS(Metadata!B851:K851)</f>
        <v>0</v>
      </c>
      <c r="T851">
        <v>0</v>
      </c>
      <c r="V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W851">
        <f>AND(IF(Metadata!C851="",FALSE,TRUE),exact(Metadata!C851,"animal secretion"))</f>
        <v>0</v>
      </c>
      <c r="X851">
        <f>AND(IF(Metadata!D851="",FALSE,TRUE),exact(Metadata!D851,"saliva"))</f>
        <v>0</v>
      </c>
      <c r="Y851">
        <f>AND(IF(Metadata!E851="",FALSE,TRUE),exact(Metadata!E851,"human-oral"))</f>
        <v>0</v>
      </c>
      <c r="Z851">
        <f>AND(IF(Metadata!F851="",FALSE,TRUE),exact(Metadata!F851,"UBERON:oral cavity"))</f>
        <v>0</v>
      </c>
      <c r="AA851">
        <f>AND(IF(Metadata!G851="",FALSE,TRUE),exact(Metadata!G851,"UBERON:saliva"))</f>
        <v>0</v>
      </c>
      <c r="AB851">
        <f>AND(IF(Metadata!H851="",FALSE,TRUE),exact(Metadata!H851,"UBERON:tongue"))</f>
        <v>0</v>
      </c>
      <c r="AC851">
        <f>AND(IF(Metadata!I851="",FALSE,TRUE),exact(Metadata!I851,"tongue"))</f>
        <v>0</v>
      </c>
      <c r="AD851">
        <f>AND(IF(Metadata!J851="",FALSE,TRUE),exact(Metadata!J851,"human oral metagenome"))</f>
        <v>0</v>
      </c>
      <c r="AE851">
        <f>AND(IF(Metadata!K851="",FALSE,TRUE),exact(Metadata!K851,"447426"))</f>
        <v>0</v>
      </c>
    </row>
    <row r="852" spans="1:31">
      <c r="A852" s="4">
        <f>IF(B852=" "," ",HYPERLINK(CONCATENATE("#metadata!",ADDRESS(INDEX($Q$2:$Q$1001,MATCH(ROWS($O$2:O852),$O$2:$O$1001,0),0),1)),INDEX($T$2:$T$1001,MATCH(ROWS($O$2:O852),$O$2:$O$1001,0),0)))</f>
        <v>0</v>
      </c>
      <c r="B852" s="3">
        <f>IF(OR(INDEX($P$2:$P$1001,MATCH(ROWS($O$2:O852),$O$2:$O$1001,0),1)&gt;=100000,INDEX($V$1005:$AE$1005,1,MATCH(COLUMNS($V$1006:V1006),$V$1006:$AE$1006,0))&gt;=100000), " ",IF(INDEX($V$2:$AE$1001,MATCH(ROWS($O$2:O852),$O$2:$O$1001,0),MATCH(COLUMNS($V$1006:V1006),$V$1006:$AE$1006,0)), HYPERLINK("#",""), HYPERLINK(CONCATENATE("#Metadata!", ADDRESS(INDEX($Q$2:$Q$1001,MATCH(ROWS($O$2:O852),$O$2:$O$1001,0),0), INDEX($V$1004:$AE$1004,1,MATCH(COLUMNS($V$1006:V1006),$V$1006:$AE$1006,0)))),"Fix")))</f>
        <v>0</v>
      </c>
      <c r="C852" s="3">
        <f>IF(OR(INDEX($P$2:$P$1001,MATCH(ROWS($O$2:O852),$O$2:$O$1001,0),1)&gt;=100000,INDEX($V$1005:$AE$1005,1,MATCH(COLUMNS($V$1006:W1006),$V$1006:$AE$1006,0))&gt;=100000), " ",IF(INDEX($V$2:$AE$1001,MATCH(ROWS($O$2:O852),$O$2:$O$1001,0),MATCH(COLUMNS($V$1006:W1006),$V$1006:$AE$1006,0)), HYPERLINK("#",""), HYPERLINK(CONCATENATE("#Metadata!", ADDRESS(INDEX($Q$2:$Q$1001,MATCH(ROWS($O$2:O852),$O$2:$O$1001,0),0), INDEX($V$1004:$AE$1004,1,MATCH(COLUMNS($V$1006:W1006),$V$1006:$AE$1006,0)))),"Fix")))</f>
        <v>0</v>
      </c>
      <c r="D852" s="3">
        <f>IF(OR(INDEX($P$2:$P$1001,MATCH(ROWS($O$2:O852),$O$2:$O$1001,0),1)&gt;=100000,INDEX($V$1005:$AE$1005,1,MATCH(COLUMNS($V$1006:X1006),$V$1006:$AE$1006,0))&gt;=100000), " ",IF(INDEX($V$2:$AE$1001,MATCH(ROWS($O$2:O852),$O$2:$O$1001,0),MATCH(COLUMNS($V$1006:X1006),$V$1006:$AE$1006,0)), HYPERLINK("#",""), HYPERLINK(CONCATENATE("#Metadata!", ADDRESS(INDEX($Q$2:$Q$1001,MATCH(ROWS($O$2:O852),$O$2:$O$1001,0),0), INDEX($V$1004:$AE$1004,1,MATCH(COLUMNS($V$1006:X1006),$V$1006:$AE$1006,0)))),"Fix")))</f>
        <v>0</v>
      </c>
      <c r="E852" s="3">
        <f>IF(OR(INDEX($P$2:$P$1001,MATCH(ROWS($O$2:O852),$O$2:$O$1001,0),1)&gt;=100000,INDEX($V$1005:$AE$1005,1,MATCH(COLUMNS($V$1006:Y1006),$V$1006:$AE$1006,0))&gt;=100000), " ",IF(INDEX($V$2:$AE$1001,MATCH(ROWS($O$2:O852),$O$2:$O$1001,0),MATCH(COLUMNS($V$1006:Y1006),$V$1006:$AE$1006,0)), HYPERLINK("#",""), HYPERLINK(CONCATENATE("#Metadata!", ADDRESS(INDEX($Q$2:$Q$1001,MATCH(ROWS($O$2:O852),$O$2:$O$1001,0),0), INDEX($V$1004:$AE$1004,1,MATCH(COLUMNS($V$1006:Y1006),$V$1006:$AE$1006,0)))),"Fix")))</f>
        <v>0</v>
      </c>
      <c r="F852" s="3">
        <f>IF(OR(INDEX($P$2:$P$1001,MATCH(ROWS($O$2:O852),$O$2:$O$1001,0),1)&gt;=100000,INDEX($V$1005:$AE$1005,1,MATCH(COLUMNS($V$1006:Z1006),$V$1006:$AE$1006,0))&gt;=100000), " ",IF(INDEX($V$2:$AE$1001,MATCH(ROWS($O$2:O852),$O$2:$O$1001,0),MATCH(COLUMNS($V$1006:Z1006),$V$1006:$AE$1006,0)), HYPERLINK("#",""), HYPERLINK(CONCATENATE("#Metadata!", ADDRESS(INDEX($Q$2:$Q$1001,MATCH(ROWS($O$2:O852),$O$2:$O$1001,0),0), INDEX($V$1004:$AE$1004,1,MATCH(COLUMNS($V$1006:Z1006),$V$1006:$AE$1006,0)))),"Fix")))</f>
        <v>0</v>
      </c>
      <c r="G852" s="3">
        <f>IF(OR(INDEX($P$2:$P$1001,MATCH(ROWS($O$2:O852),$O$2:$O$1001,0),1)&gt;=100000,INDEX($V$1005:$AE$1005,1,MATCH(COLUMNS($V$1006:AA1006),$V$1006:$AE$1006,0))&gt;=100000), " ",IF(INDEX($V$2:$AE$1001,MATCH(ROWS($O$2:O852),$O$2:$O$1001,0),MATCH(COLUMNS($V$1006:AA1006),$V$1006:$AE$1006,0)), HYPERLINK("#",""), HYPERLINK(CONCATENATE("#Metadata!", ADDRESS(INDEX($Q$2:$Q$1001,MATCH(ROWS($O$2:O852),$O$2:$O$1001,0),0), INDEX($V$1004:$AE$1004,1,MATCH(COLUMNS($V$1006:AA1006),$V$1006:$AE$1006,0)))),"Fix")))</f>
        <v>0</v>
      </c>
      <c r="H852" s="3">
        <f>IF(OR(INDEX($P$2:$P$1001,MATCH(ROWS($O$2:O852),$O$2:$O$1001,0),1)&gt;=100000,INDEX($V$1005:$AE$1005,1,MATCH(COLUMNS($V$1006:AB1006),$V$1006:$AE$1006,0))&gt;=100000), " ",IF(INDEX($V$2:$AE$1001,MATCH(ROWS($O$2:O852),$O$2:$O$1001,0),MATCH(COLUMNS($V$1006:AB1006),$V$1006:$AE$1006,0)), HYPERLINK("#",""), HYPERLINK(CONCATENATE("#Metadata!", ADDRESS(INDEX($Q$2:$Q$1001,MATCH(ROWS($O$2:O852),$O$2:$O$1001,0),0), INDEX($V$1004:$AE$1004,1,MATCH(COLUMNS($V$1006:AB1006),$V$1006:$AE$1006,0)))),"Fix")))</f>
        <v>0</v>
      </c>
      <c r="I852" s="3">
        <f>IF(OR(INDEX($P$2:$P$1001,MATCH(ROWS($O$2:O852),$O$2:$O$1001,0),1)&gt;=100000,INDEX($V$1005:$AE$1005,1,MATCH(COLUMNS($V$1006:AC1006),$V$1006:$AE$1006,0))&gt;=100000), " ",IF(INDEX($V$2:$AE$1001,MATCH(ROWS($O$2:O852),$O$2:$O$1001,0),MATCH(COLUMNS($V$1006:AC1006),$V$1006:$AE$1006,0)), HYPERLINK("#",""), HYPERLINK(CONCATENATE("#Metadata!", ADDRESS(INDEX($Q$2:$Q$1001,MATCH(ROWS($O$2:O852),$O$2:$O$1001,0),0), INDEX($V$1004:$AE$1004,1,MATCH(COLUMNS($V$1006:AC1006),$V$1006:$AE$1006,0)))),"Fix")))</f>
        <v>0</v>
      </c>
      <c r="J852" s="3">
        <f>IF(OR(INDEX($P$2:$P$1001,MATCH(ROWS($O$2:O852),$O$2:$O$1001,0),1)&gt;=100000,INDEX($V$1005:$AE$1005,1,MATCH(COLUMNS($V$1006:AD1006),$V$1006:$AE$1006,0))&gt;=100000), " ",IF(INDEX($V$2:$AE$1001,MATCH(ROWS($O$2:O852),$O$2:$O$1001,0),MATCH(COLUMNS($V$1006:AD1006),$V$1006:$AE$1006,0)), HYPERLINK("#",""), HYPERLINK(CONCATENATE("#Metadata!", ADDRESS(INDEX($Q$2:$Q$1001,MATCH(ROWS($O$2:O852),$O$2:$O$1001,0),0), INDEX($V$1004:$AE$1004,1,MATCH(COLUMNS($V$1006:AD1006),$V$1006:$AE$1006,0)))),"Fix")))</f>
        <v>0</v>
      </c>
      <c r="K852" s="3">
        <f>IF(OR(INDEX($P$2:$P$1001,MATCH(ROWS($O$2:O852),$O$2:$O$1001,0),1)&gt;=100000,INDEX($V$1005:$AE$1005,1,MATCH(COLUMNS($V$1006:AE1006),$V$1006:$AE$1006,0))&gt;=100000), " ",IF(INDEX($V$2:$AE$1001,MATCH(ROWS($O$2:O852),$O$2:$O$1001,0),MATCH(COLUMNS($V$1006:AE1006),$V$1006:$AE$1006,0)), HYPERLINK("#",""), HYPERLINK(CONCATENATE("#Metadata!", ADDRESS(INDEX($Q$2:$Q$1001,MATCH(ROWS($O$2:O852),$O$2:$O$1001,0),0), INDEX($V$1004:$AE$1004,1,MATCH(COLUMNS($V$1006:AE1006),$V$1006:$AE$1006,0)))),"Fix")))</f>
        <v>0</v>
      </c>
      <c r="O852">
        <v>0</v>
      </c>
      <c r="P852">
        <v>0</v>
      </c>
      <c r="Q852">
        <v>0</v>
      </c>
      <c r="R852">
        <f>IF(S852,TRUE,AND(V852:AE852))</f>
        <v>0</v>
      </c>
      <c r="S852">
        <f>COUNTBLANK(Metadata!B852:K852)=COLUMNS(Metadata!B852:K852)</f>
        <v>0</v>
      </c>
      <c r="T852">
        <v>0</v>
      </c>
      <c r="V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W852">
        <f>AND(IF(Metadata!C852="",FALSE,TRUE),exact(Metadata!C852,"animal secretion"))</f>
        <v>0</v>
      </c>
      <c r="X852">
        <f>AND(IF(Metadata!D852="",FALSE,TRUE),exact(Metadata!D852,"saliva"))</f>
        <v>0</v>
      </c>
      <c r="Y852">
        <f>AND(IF(Metadata!E852="",FALSE,TRUE),exact(Metadata!E852,"human-oral"))</f>
        <v>0</v>
      </c>
      <c r="Z852">
        <f>AND(IF(Metadata!F852="",FALSE,TRUE),exact(Metadata!F852,"UBERON:oral cavity"))</f>
        <v>0</v>
      </c>
      <c r="AA852">
        <f>AND(IF(Metadata!G852="",FALSE,TRUE),exact(Metadata!G852,"UBERON:saliva"))</f>
        <v>0</v>
      </c>
      <c r="AB852">
        <f>AND(IF(Metadata!H852="",FALSE,TRUE),exact(Metadata!H852,"UBERON:tongue"))</f>
        <v>0</v>
      </c>
      <c r="AC852">
        <f>AND(IF(Metadata!I852="",FALSE,TRUE),exact(Metadata!I852,"tongue"))</f>
        <v>0</v>
      </c>
      <c r="AD852">
        <f>AND(IF(Metadata!J852="",FALSE,TRUE),exact(Metadata!J852,"human oral metagenome"))</f>
        <v>0</v>
      </c>
      <c r="AE852">
        <f>AND(IF(Metadata!K852="",FALSE,TRUE),exact(Metadata!K852,"447426"))</f>
        <v>0</v>
      </c>
    </row>
    <row r="853" spans="1:31">
      <c r="A853" s="4">
        <f>IF(B853=" "," ",HYPERLINK(CONCATENATE("#metadata!",ADDRESS(INDEX($Q$2:$Q$1001,MATCH(ROWS($O$2:O853),$O$2:$O$1001,0),0),1)),INDEX($T$2:$T$1001,MATCH(ROWS($O$2:O853),$O$2:$O$1001,0),0)))</f>
        <v>0</v>
      </c>
      <c r="B853" s="3">
        <f>IF(OR(INDEX($P$2:$P$1001,MATCH(ROWS($O$2:O853),$O$2:$O$1001,0),1)&gt;=100000,INDEX($V$1005:$AE$1005,1,MATCH(COLUMNS($V$1006:V1006),$V$1006:$AE$1006,0))&gt;=100000), " ",IF(INDEX($V$2:$AE$1001,MATCH(ROWS($O$2:O853),$O$2:$O$1001,0),MATCH(COLUMNS($V$1006:V1006),$V$1006:$AE$1006,0)), HYPERLINK("#",""), HYPERLINK(CONCATENATE("#Metadata!", ADDRESS(INDEX($Q$2:$Q$1001,MATCH(ROWS($O$2:O853),$O$2:$O$1001,0),0), INDEX($V$1004:$AE$1004,1,MATCH(COLUMNS($V$1006:V1006),$V$1006:$AE$1006,0)))),"Fix")))</f>
        <v>0</v>
      </c>
      <c r="C853" s="3">
        <f>IF(OR(INDEX($P$2:$P$1001,MATCH(ROWS($O$2:O853),$O$2:$O$1001,0),1)&gt;=100000,INDEX($V$1005:$AE$1005,1,MATCH(COLUMNS($V$1006:W1006),$V$1006:$AE$1006,0))&gt;=100000), " ",IF(INDEX($V$2:$AE$1001,MATCH(ROWS($O$2:O853),$O$2:$O$1001,0),MATCH(COLUMNS($V$1006:W1006),$V$1006:$AE$1006,0)), HYPERLINK("#",""), HYPERLINK(CONCATENATE("#Metadata!", ADDRESS(INDEX($Q$2:$Q$1001,MATCH(ROWS($O$2:O853),$O$2:$O$1001,0),0), INDEX($V$1004:$AE$1004,1,MATCH(COLUMNS($V$1006:W1006),$V$1006:$AE$1006,0)))),"Fix")))</f>
        <v>0</v>
      </c>
      <c r="D853" s="3">
        <f>IF(OR(INDEX($P$2:$P$1001,MATCH(ROWS($O$2:O853),$O$2:$O$1001,0),1)&gt;=100000,INDEX($V$1005:$AE$1005,1,MATCH(COLUMNS($V$1006:X1006),$V$1006:$AE$1006,0))&gt;=100000), " ",IF(INDEX($V$2:$AE$1001,MATCH(ROWS($O$2:O853),$O$2:$O$1001,0),MATCH(COLUMNS($V$1006:X1006),$V$1006:$AE$1006,0)), HYPERLINK("#",""), HYPERLINK(CONCATENATE("#Metadata!", ADDRESS(INDEX($Q$2:$Q$1001,MATCH(ROWS($O$2:O853),$O$2:$O$1001,0),0), INDEX($V$1004:$AE$1004,1,MATCH(COLUMNS($V$1006:X1006),$V$1006:$AE$1006,0)))),"Fix")))</f>
        <v>0</v>
      </c>
      <c r="E853" s="3">
        <f>IF(OR(INDEX($P$2:$P$1001,MATCH(ROWS($O$2:O853),$O$2:$O$1001,0),1)&gt;=100000,INDEX($V$1005:$AE$1005,1,MATCH(COLUMNS($V$1006:Y1006),$V$1006:$AE$1006,0))&gt;=100000), " ",IF(INDEX($V$2:$AE$1001,MATCH(ROWS($O$2:O853),$O$2:$O$1001,0),MATCH(COLUMNS($V$1006:Y1006),$V$1006:$AE$1006,0)), HYPERLINK("#",""), HYPERLINK(CONCATENATE("#Metadata!", ADDRESS(INDEX($Q$2:$Q$1001,MATCH(ROWS($O$2:O853),$O$2:$O$1001,0),0), INDEX($V$1004:$AE$1004,1,MATCH(COLUMNS($V$1006:Y1006),$V$1006:$AE$1006,0)))),"Fix")))</f>
        <v>0</v>
      </c>
      <c r="F853" s="3">
        <f>IF(OR(INDEX($P$2:$P$1001,MATCH(ROWS($O$2:O853),$O$2:$O$1001,0),1)&gt;=100000,INDEX($V$1005:$AE$1005,1,MATCH(COLUMNS($V$1006:Z1006),$V$1006:$AE$1006,0))&gt;=100000), " ",IF(INDEX($V$2:$AE$1001,MATCH(ROWS($O$2:O853),$O$2:$O$1001,0),MATCH(COLUMNS($V$1006:Z1006),$V$1006:$AE$1006,0)), HYPERLINK("#",""), HYPERLINK(CONCATENATE("#Metadata!", ADDRESS(INDEX($Q$2:$Q$1001,MATCH(ROWS($O$2:O853),$O$2:$O$1001,0),0), INDEX($V$1004:$AE$1004,1,MATCH(COLUMNS($V$1006:Z1006),$V$1006:$AE$1006,0)))),"Fix")))</f>
        <v>0</v>
      </c>
      <c r="G853" s="3">
        <f>IF(OR(INDEX($P$2:$P$1001,MATCH(ROWS($O$2:O853),$O$2:$O$1001,0),1)&gt;=100000,INDEX($V$1005:$AE$1005,1,MATCH(COLUMNS($V$1006:AA1006),$V$1006:$AE$1006,0))&gt;=100000), " ",IF(INDEX($V$2:$AE$1001,MATCH(ROWS($O$2:O853),$O$2:$O$1001,0),MATCH(COLUMNS($V$1006:AA1006),$V$1006:$AE$1006,0)), HYPERLINK("#",""), HYPERLINK(CONCATENATE("#Metadata!", ADDRESS(INDEX($Q$2:$Q$1001,MATCH(ROWS($O$2:O853),$O$2:$O$1001,0),0), INDEX($V$1004:$AE$1004,1,MATCH(COLUMNS($V$1006:AA1006),$V$1006:$AE$1006,0)))),"Fix")))</f>
        <v>0</v>
      </c>
      <c r="H853" s="3">
        <f>IF(OR(INDEX($P$2:$P$1001,MATCH(ROWS($O$2:O853),$O$2:$O$1001,0),1)&gt;=100000,INDEX($V$1005:$AE$1005,1,MATCH(COLUMNS($V$1006:AB1006),$V$1006:$AE$1006,0))&gt;=100000), " ",IF(INDEX($V$2:$AE$1001,MATCH(ROWS($O$2:O853),$O$2:$O$1001,0),MATCH(COLUMNS($V$1006:AB1006),$V$1006:$AE$1006,0)), HYPERLINK("#",""), HYPERLINK(CONCATENATE("#Metadata!", ADDRESS(INDEX($Q$2:$Q$1001,MATCH(ROWS($O$2:O853),$O$2:$O$1001,0),0), INDEX($V$1004:$AE$1004,1,MATCH(COLUMNS($V$1006:AB1006),$V$1006:$AE$1006,0)))),"Fix")))</f>
        <v>0</v>
      </c>
      <c r="I853" s="3">
        <f>IF(OR(INDEX($P$2:$P$1001,MATCH(ROWS($O$2:O853),$O$2:$O$1001,0),1)&gt;=100000,INDEX($V$1005:$AE$1005,1,MATCH(COLUMNS($V$1006:AC1006),$V$1006:$AE$1006,0))&gt;=100000), " ",IF(INDEX($V$2:$AE$1001,MATCH(ROWS($O$2:O853),$O$2:$O$1001,0),MATCH(COLUMNS($V$1006:AC1006),$V$1006:$AE$1006,0)), HYPERLINK("#",""), HYPERLINK(CONCATENATE("#Metadata!", ADDRESS(INDEX($Q$2:$Q$1001,MATCH(ROWS($O$2:O853),$O$2:$O$1001,0),0), INDEX($V$1004:$AE$1004,1,MATCH(COLUMNS($V$1006:AC1006),$V$1006:$AE$1006,0)))),"Fix")))</f>
        <v>0</v>
      </c>
      <c r="J853" s="3">
        <f>IF(OR(INDEX($P$2:$P$1001,MATCH(ROWS($O$2:O853),$O$2:$O$1001,0),1)&gt;=100000,INDEX($V$1005:$AE$1005,1,MATCH(COLUMNS($V$1006:AD1006),$V$1006:$AE$1006,0))&gt;=100000), " ",IF(INDEX($V$2:$AE$1001,MATCH(ROWS($O$2:O853),$O$2:$O$1001,0),MATCH(COLUMNS($V$1006:AD1006),$V$1006:$AE$1006,0)), HYPERLINK("#",""), HYPERLINK(CONCATENATE("#Metadata!", ADDRESS(INDEX($Q$2:$Q$1001,MATCH(ROWS($O$2:O853),$O$2:$O$1001,0),0), INDEX($V$1004:$AE$1004,1,MATCH(COLUMNS($V$1006:AD1006),$V$1006:$AE$1006,0)))),"Fix")))</f>
        <v>0</v>
      </c>
      <c r="K853" s="3">
        <f>IF(OR(INDEX($P$2:$P$1001,MATCH(ROWS($O$2:O853),$O$2:$O$1001,0),1)&gt;=100000,INDEX($V$1005:$AE$1005,1,MATCH(COLUMNS($V$1006:AE1006),$V$1006:$AE$1006,0))&gt;=100000), " ",IF(INDEX($V$2:$AE$1001,MATCH(ROWS($O$2:O853),$O$2:$O$1001,0),MATCH(COLUMNS($V$1006:AE1006),$V$1006:$AE$1006,0)), HYPERLINK("#",""), HYPERLINK(CONCATENATE("#Metadata!", ADDRESS(INDEX($Q$2:$Q$1001,MATCH(ROWS($O$2:O853),$O$2:$O$1001,0),0), INDEX($V$1004:$AE$1004,1,MATCH(COLUMNS($V$1006:AE1006),$V$1006:$AE$1006,0)))),"Fix")))</f>
        <v>0</v>
      </c>
      <c r="O853">
        <v>0</v>
      </c>
      <c r="P853">
        <v>0</v>
      </c>
      <c r="Q853">
        <v>0</v>
      </c>
      <c r="R853">
        <f>IF(S853,TRUE,AND(V853:AE853))</f>
        <v>0</v>
      </c>
      <c r="S853">
        <f>COUNTBLANK(Metadata!B853:K853)=COLUMNS(Metadata!B853:K853)</f>
        <v>0</v>
      </c>
      <c r="T853">
        <v>0</v>
      </c>
      <c r="V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W853">
        <f>AND(IF(Metadata!C853="",FALSE,TRUE),exact(Metadata!C853,"animal secretion"))</f>
        <v>0</v>
      </c>
      <c r="X853">
        <f>AND(IF(Metadata!D853="",FALSE,TRUE),exact(Metadata!D853,"saliva"))</f>
        <v>0</v>
      </c>
      <c r="Y853">
        <f>AND(IF(Metadata!E853="",FALSE,TRUE),exact(Metadata!E853,"human-oral"))</f>
        <v>0</v>
      </c>
      <c r="Z853">
        <f>AND(IF(Metadata!F853="",FALSE,TRUE),exact(Metadata!F853,"UBERON:oral cavity"))</f>
        <v>0</v>
      </c>
      <c r="AA853">
        <f>AND(IF(Metadata!G853="",FALSE,TRUE),exact(Metadata!G853,"UBERON:saliva"))</f>
        <v>0</v>
      </c>
      <c r="AB853">
        <f>AND(IF(Metadata!H853="",FALSE,TRUE),exact(Metadata!H853,"UBERON:tongue"))</f>
        <v>0</v>
      </c>
      <c r="AC853">
        <f>AND(IF(Metadata!I853="",FALSE,TRUE),exact(Metadata!I853,"tongue"))</f>
        <v>0</v>
      </c>
      <c r="AD853">
        <f>AND(IF(Metadata!J853="",FALSE,TRUE),exact(Metadata!J853,"human oral metagenome"))</f>
        <v>0</v>
      </c>
      <c r="AE853">
        <f>AND(IF(Metadata!K853="",FALSE,TRUE),exact(Metadata!K853,"447426"))</f>
        <v>0</v>
      </c>
    </row>
    <row r="854" spans="1:31">
      <c r="A854" s="4">
        <f>IF(B854=" "," ",HYPERLINK(CONCATENATE("#metadata!",ADDRESS(INDEX($Q$2:$Q$1001,MATCH(ROWS($O$2:O854),$O$2:$O$1001,0),0),1)),INDEX($T$2:$T$1001,MATCH(ROWS($O$2:O854),$O$2:$O$1001,0),0)))</f>
        <v>0</v>
      </c>
      <c r="B854" s="3">
        <f>IF(OR(INDEX($P$2:$P$1001,MATCH(ROWS($O$2:O854),$O$2:$O$1001,0),1)&gt;=100000,INDEX($V$1005:$AE$1005,1,MATCH(COLUMNS($V$1006:V1006),$V$1006:$AE$1006,0))&gt;=100000), " ",IF(INDEX($V$2:$AE$1001,MATCH(ROWS($O$2:O854),$O$2:$O$1001,0),MATCH(COLUMNS($V$1006:V1006),$V$1006:$AE$1006,0)), HYPERLINK("#",""), HYPERLINK(CONCATENATE("#Metadata!", ADDRESS(INDEX($Q$2:$Q$1001,MATCH(ROWS($O$2:O854),$O$2:$O$1001,0),0), INDEX($V$1004:$AE$1004,1,MATCH(COLUMNS($V$1006:V1006),$V$1006:$AE$1006,0)))),"Fix")))</f>
        <v>0</v>
      </c>
      <c r="C854" s="3">
        <f>IF(OR(INDEX($P$2:$P$1001,MATCH(ROWS($O$2:O854),$O$2:$O$1001,0),1)&gt;=100000,INDEX($V$1005:$AE$1005,1,MATCH(COLUMNS($V$1006:W1006),$V$1006:$AE$1006,0))&gt;=100000), " ",IF(INDEX($V$2:$AE$1001,MATCH(ROWS($O$2:O854),$O$2:$O$1001,0),MATCH(COLUMNS($V$1006:W1006),$V$1006:$AE$1006,0)), HYPERLINK("#",""), HYPERLINK(CONCATENATE("#Metadata!", ADDRESS(INDEX($Q$2:$Q$1001,MATCH(ROWS($O$2:O854),$O$2:$O$1001,0),0), INDEX($V$1004:$AE$1004,1,MATCH(COLUMNS($V$1006:W1006),$V$1006:$AE$1006,0)))),"Fix")))</f>
        <v>0</v>
      </c>
      <c r="D854" s="3">
        <f>IF(OR(INDEX($P$2:$P$1001,MATCH(ROWS($O$2:O854),$O$2:$O$1001,0),1)&gt;=100000,INDEX($V$1005:$AE$1005,1,MATCH(COLUMNS($V$1006:X1006),$V$1006:$AE$1006,0))&gt;=100000), " ",IF(INDEX($V$2:$AE$1001,MATCH(ROWS($O$2:O854),$O$2:$O$1001,0),MATCH(COLUMNS($V$1006:X1006),$V$1006:$AE$1006,0)), HYPERLINK("#",""), HYPERLINK(CONCATENATE("#Metadata!", ADDRESS(INDEX($Q$2:$Q$1001,MATCH(ROWS($O$2:O854),$O$2:$O$1001,0),0), INDEX($V$1004:$AE$1004,1,MATCH(COLUMNS($V$1006:X1006),$V$1006:$AE$1006,0)))),"Fix")))</f>
        <v>0</v>
      </c>
      <c r="E854" s="3">
        <f>IF(OR(INDEX($P$2:$P$1001,MATCH(ROWS($O$2:O854),$O$2:$O$1001,0),1)&gt;=100000,INDEX($V$1005:$AE$1005,1,MATCH(COLUMNS($V$1006:Y1006),$V$1006:$AE$1006,0))&gt;=100000), " ",IF(INDEX($V$2:$AE$1001,MATCH(ROWS($O$2:O854),$O$2:$O$1001,0),MATCH(COLUMNS($V$1006:Y1006),$V$1006:$AE$1006,0)), HYPERLINK("#",""), HYPERLINK(CONCATENATE("#Metadata!", ADDRESS(INDEX($Q$2:$Q$1001,MATCH(ROWS($O$2:O854),$O$2:$O$1001,0),0), INDEX($V$1004:$AE$1004,1,MATCH(COLUMNS($V$1006:Y1006),$V$1006:$AE$1006,0)))),"Fix")))</f>
        <v>0</v>
      </c>
      <c r="F854" s="3">
        <f>IF(OR(INDEX($P$2:$P$1001,MATCH(ROWS($O$2:O854),$O$2:$O$1001,0),1)&gt;=100000,INDEX($V$1005:$AE$1005,1,MATCH(COLUMNS($V$1006:Z1006),$V$1006:$AE$1006,0))&gt;=100000), " ",IF(INDEX($V$2:$AE$1001,MATCH(ROWS($O$2:O854),$O$2:$O$1001,0),MATCH(COLUMNS($V$1006:Z1006),$V$1006:$AE$1006,0)), HYPERLINK("#",""), HYPERLINK(CONCATENATE("#Metadata!", ADDRESS(INDEX($Q$2:$Q$1001,MATCH(ROWS($O$2:O854),$O$2:$O$1001,0),0), INDEX($V$1004:$AE$1004,1,MATCH(COLUMNS($V$1006:Z1006),$V$1006:$AE$1006,0)))),"Fix")))</f>
        <v>0</v>
      </c>
      <c r="G854" s="3">
        <f>IF(OR(INDEX($P$2:$P$1001,MATCH(ROWS($O$2:O854),$O$2:$O$1001,0),1)&gt;=100000,INDEX($V$1005:$AE$1005,1,MATCH(COLUMNS($V$1006:AA1006),$V$1006:$AE$1006,0))&gt;=100000), " ",IF(INDEX($V$2:$AE$1001,MATCH(ROWS($O$2:O854),$O$2:$O$1001,0),MATCH(COLUMNS($V$1006:AA1006),$V$1006:$AE$1006,0)), HYPERLINK("#",""), HYPERLINK(CONCATENATE("#Metadata!", ADDRESS(INDEX($Q$2:$Q$1001,MATCH(ROWS($O$2:O854),$O$2:$O$1001,0),0), INDEX($V$1004:$AE$1004,1,MATCH(COLUMNS($V$1006:AA1006),$V$1006:$AE$1006,0)))),"Fix")))</f>
        <v>0</v>
      </c>
      <c r="H854" s="3">
        <f>IF(OR(INDEX($P$2:$P$1001,MATCH(ROWS($O$2:O854),$O$2:$O$1001,0),1)&gt;=100000,INDEX($V$1005:$AE$1005,1,MATCH(COLUMNS($V$1006:AB1006),$V$1006:$AE$1006,0))&gt;=100000), " ",IF(INDEX($V$2:$AE$1001,MATCH(ROWS($O$2:O854),$O$2:$O$1001,0),MATCH(COLUMNS($V$1006:AB1006),$V$1006:$AE$1006,0)), HYPERLINK("#",""), HYPERLINK(CONCATENATE("#Metadata!", ADDRESS(INDEX($Q$2:$Q$1001,MATCH(ROWS($O$2:O854),$O$2:$O$1001,0),0), INDEX($V$1004:$AE$1004,1,MATCH(COLUMNS($V$1006:AB1006),$V$1006:$AE$1006,0)))),"Fix")))</f>
        <v>0</v>
      </c>
      <c r="I854" s="3">
        <f>IF(OR(INDEX($P$2:$P$1001,MATCH(ROWS($O$2:O854),$O$2:$O$1001,0),1)&gt;=100000,INDEX($V$1005:$AE$1005,1,MATCH(COLUMNS($V$1006:AC1006),$V$1006:$AE$1006,0))&gt;=100000), " ",IF(INDEX($V$2:$AE$1001,MATCH(ROWS($O$2:O854),$O$2:$O$1001,0),MATCH(COLUMNS($V$1006:AC1006),$V$1006:$AE$1006,0)), HYPERLINK("#",""), HYPERLINK(CONCATENATE("#Metadata!", ADDRESS(INDEX($Q$2:$Q$1001,MATCH(ROWS($O$2:O854),$O$2:$O$1001,0),0), INDEX($V$1004:$AE$1004,1,MATCH(COLUMNS($V$1006:AC1006),$V$1006:$AE$1006,0)))),"Fix")))</f>
        <v>0</v>
      </c>
      <c r="J854" s="3">
        <f>IF(OR(INDEX($P$2:$P$1001,MATCH(ROWS($O$2:O854),$O$2:$O$1001,0),1)&gt;=100000,INDEX($V$1005:$AE$1005,1,MATCH(COLUMNS($V$1006:AD1006),$V$1006:$AE$1006,0))&gt;=100000), " ",IF(INDEX($V$2:$AE$1001,MATCH(ROWS($O$2:O854),$O$2:$O$1001,0),MATCH(COLUMNS($V$1006:AD1006),$V$1006:$AE$1006,0)), HYPERLINK("#",""), HYPERLINK(CONCATENATE("#Metadata!", ADDRESS(INDEX($Q$2:$Q$1001,MATCH(ROWS($O$2:O854),$O$2:$O$1001,0),0), INDEX($V$1004:$AE$1004,1,MATCH(COLUMNS($V$1006:AD1006),$V$1006:$AE$1006,0)))),"Fix")))</f>
        <v>0</v>
      </c>
      <c r="K854" s="3">
        <f>IF(OR(INDEX($P$2:$P$1001,MATCH(ROWS($O$2:O854),$O$2:$O$1001,0),1)&gt;=100000,INDEX($V$1005:$AE$1005,1,MATCH(COLUMNS($V$1006:AE1006),$V$1006:$AE$1006,0))&gt;=100000), " ",IF(INDEX($V$2:$AE$1001,MATCH(ROWS($O$2:O854),$O$2:$O$1001,0),MATCH(COLUMNS($V$1006:AE1006),$V$1006:$AE$1006,0)), HYPERLINK("#",""), HYPERLINK(CONCATENATE("#Metadata!", ADDRESS(INDEX($Q$2:$Q$1001,MATCH(ROWS($O$2:O854),$O$2:$O$1001,0),0), INDEX($V$1004:$AE$1004,1,MATCH(COLUMNS($V$1006:AE1006),$V$1006:$AE$1006,0)))),"Fix")))</f>
        <v>0</v>
      </c>
      <c r="O854">
        <v>0</v>
      </c>
      <c r="P854">
        <v>0</v>
      </c>
      <c r="Q854">
        <v>0</v>
      </c>
      <c r="R854">
        <f>IF(S854,TRUE,AND(V854:AE854))</f>
        <v>0</v>
      </c>
      <c r="S854">
        <f>COUNTBLANK(Metadata!B854:K854)=COLUMNS(Metadata!B854:K854)</f>
        <v>0</v>
      </c>
      <c r="T854">
        <v>0</v>
      </c>
      <c r="V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W854">
        <f>AND(IF(Metadata!C854="",FALSE,TRUE),exact(Metadata!C854,"animal secretion"))</f>
        <v>0</v>
      </c>
      <c r="X854">
        <f>AND(IF(Metadata!D854="",FALSE,TRUE),exact(Metadata!D854,"saliva"))</f>
        <v>0</v>
      </c>
      <c r="Y854">
        <f>AND(IF(Metadata!E854="",FALSE,TRUE),exact(Metadata!E854,"human-oral"))</f>
        <v>0</v>
      </c>
      <c r="Z854">
        <f>AND(IF(Metadata!F854="",FALSE,TRUE),exact(Metadata!F854,"UBERON:oral cavity"))</f>
        <v>0</v>
      </c>
      <c r="AA854">
        <f>AND(IF(Metadata!G854="",FALSE,TRUE),exact(Metadata!G854,"UBERON:saliva"))</f>
        <v>0</v>
      </c>
      <c r="AB854">
        <f>AND(IF(Metadata!H854="",FALSE,TRUE),exact(Metadata!H854,"UBERON:tongue"))</f>
        <v>0</v>
      </c>
      <c r="AC854">
        <f>AND(IF(Metadata!I854="",FALSE,TRUE),exact(Metadata!I854,"tongue"))</f>
        <v>0</v>
      </c>
      <c r="AD854">
        <f>AND(IF(Metadata!J854="",FALSE,TRUE),exact(Metadata!J854,"human oral metagenome"))</f>
        <v>0</v>
      </c>
      <c r="AE854">
        <f>AND(IF(Metadata!K854="",FALSE,TRUE),exact(Metadata!K854,"447426"))</f>
        <v>0</v>
      </c>
    </row>
    <row r="855" spans="1:31">
      <c r="A855" s="4">
        <f>IF(B855=" "," ",HYPERLINK(CONCATENATE("#metadata!",ADDRESS(INDEX($Q$2:$Q$1001,MATCH(ROWS($O$2:O855),$O$2:$O$1001,0),0),1)),INDEX($T$2:$T$1001,MATCH(ROWS($O$2:O855),$O$2:$O$1001,0),0)))</f>
        <v>0</v>
      </c>
      <c r="B855" s="3">
        <f>IF(OR(INDEX($P$2:$P$1001,MATCH(ROWS($O$2:O855),$O$2:$O$1001,0),1)&gt;=100000,INDEX($V$1005:$AE$1005,1,MATCH(COLUMNS($V$1006:V1006),$V$1006:$AE$1006,0))&gt;=100000), " ",IF(INDEX($V$2:$AE$1001,MATCH(ROWS($O$2:O855),$O$2:$O$1001,0),MATCH(COLUMNS($V$1006:V1006),$V$1006:$AE$1006,0)), HYPERLINK("#",""), HYPERLINK(CONCATENATE("#Metadata!", ADDRESS(INDEX($Q$2:$Q$1001,MATCH(ROWS($O$2:O855),$O$2:$O$1001,0),0), INDEX($V$1004:$AE$1004,1,MATCH(COLUMNS($V$1006:V1006),$V$1006:$AE$1006,0)))),"Fix")))</f>
        <v>0</v>
      </c>
      <c r="C855" s="3">
        <f>IF(OR(INDEX($P$2:$P$1001,MATCH(ROWS($O$2:O855),$O$2:$O$1001,0),1)&gt;=100000,INDEX($V$1005:$AE$1005,1,MATCH(COLUMNS($V$1006:W1006),$V$1006:$AE$1006,0))&gt;=100000), " ",IF(INDEX($V$2:$AE$1001,MATCH(ROWS($O$2:O855),$O$2:$O$1001,0),MATCH(COLUMNS($V$1006:W1006),$V$1006:$AE$1006,0)), HYPERLINK("#",""), HYPERLINK(CONCATENATE("#Metadata!", ADDRESS(INDEX($Q$2:$Q$1001,MATCH(ROWS($O$2:O855),$O$2:$O$1001,0),0), INDEX($V$1004:$AE$1004,1,MATCH(COLUMNS($V$1006:W1006),$V$1006:$AE$1006,0)))),"Fix")))</f>
        <v>0</v>
      </c>
      <c r="D855" s="3">
        <f>IF(OR(INDEX($P$2:$P$1001,MATCH(ROWS($O$2:O855),$O$2:$O$1001,0),1)&gt;=100000,INDEX($V$1005:$AE$1005,1,MATCH(COLUMNS($V$1006:X1006),$V$1006:$AE$1006,0))&gt;=100000), " ",IF(INDEX($V$2:$AE$1001,MATCH(ROWS($O$2:O855),$O$2:$O$1001,0),MATCH(COLUMNS($V$1006:X1006),$V$1006:$AE$1006,0)), HYPERLINK("#",""), HYPERLINK(CONCATENATE("#Metadata!", ADDRESS(INDEX($Q$2:$Q$1001,MATCH(ROWS($O$2:O855),$O$2:$O$1001,0),0), INDEX($V$1004:$AE$1004,1,MATCH(COLUMNS($V$1006:X1006),$V$1006:$AE$1006,0)))),"Fix")))</f>
        <v>0</v>
      </c>
      <c r="E855" s="3">
        <f>IF(OR(INDEX($P$2:$P$1001,MATCH(ROWS($O$2:O855),$O$2:$O$1001,0),1)&gt;=100000,INDEX($V$1005:$AE$1005,1,MATCH(COLUMNS($V$1006:Y1006),$V$1006:$AE$1006,0))&gt;=100000), " ",IF(INDEX($V$2:$AE$1001,MATCH(ROWS($O$2:O855),$O$2:$O$1001,0),MATCH(COLUMNS($V$1006:Y1006),$V$1006:$AE$1006,0)), HYPERLINK("#",""), HYPERLINK(CONCATENATE("#Metadata!", ADDRESS(INDEX($Q$2:$Q$1001,MATCH(ROWS($O$2:O855),$O$2:$O$1001,0),0), INDEX($V$1004:$AE$1004,1,MATCH(COLUMNS($V$1006:Y1006),$V$1006:$AE$1006,0)))),"Fix")))</f>
        <v>0</v>
      </c>
      <c r="F855" s="3">
        <f>IF(OR(INDEX($P$2:$P$1001,MATCH(ROWS($O$2:O855),$O$2:$O$1001,0),1)&gt;=100000,INDEX($V$1005:$AE$1005,1,MATCH(COLUMNS($V$1006:Z1006),$V$1006:$AE$1006,0))&gt;=100000), " ",IF(INDEX($V$2:$AE$1001,MATCH(ROWS($O$2:O855),$O$2:$O$1001,0),MATCH(COLUMNS($V$1006:Z1006),$V$1006:$AE$1006,0)), HYPERLINK("#",""), HYPERLINK(CONCATENATE("#Metadata!", ADDRESS(INDEX($Q$2:$Q$1001,MATCH(ROWS($O$2:O855),$O$2:$O$1001,0),0), INDEX($V$1004:$AE$1004,1,MATCH(COLUMNS($V$1006:Z1006),$V$1006:$AE$1006,0)))),"Fix")))</f>
        <v>0</v>
      </c>
      <c r="G855" s="3">
        <f>IF(OR(INDEX($P$2:$P$1001,MATCH(ROWS($O$2:O855),$O$2:$O$1001,0),1)&gt;=100000,INDEX($V$1005:$AE$1005,1,MATCH(COLUMNS($V$1006:AA1006),$V$1006:$AE$1006,0))&gt;=100000), " ",IF(INDEX($V$2:$AE$1001,MATCH(ROWS($O$2:O855),$O$2:$O$1001,0),MATCH(COLUMNS($V$1006:AA1006),$V$1006:$AE$1006,0)), HYPERLINK("#",""), HYPERLINK(CONCATENATE("#Metadata!", ADDRESS(INDEX($Q$2:$Q$1001,MATCH(ROWS($O$2:O855),$O$2:$O$1001,0),0), INDEX($V$1004:$AE$1004,1,MATCH(COLUMNS($V$1006:AA1006),$V$1006:$AE$1006,0)))),"Fix")))</f>
        <v>0</v>
      </c>
      <c r="H855" s="3">
        <f>IF(OR(INDEX($P$2:$P$1001,MATCH(ROWS($O$2:O855),$O$2:$O$1001,0),1)&gt;=100000,INDEX($V$1005:$AE$1005,1,MATCH(COLUMNS($V$1006:AB1006),$V$1006:$AE$1006,0))&gt;=100000), " ",IF(INDEX($V$2:$AE$1001,MATCH(ROWS($O$2:O855),$O$2:$O$1001,0),MATCH(COLUMNS($V$1006:AB1006),$V$1006:$AE$1006,0)), HYPERLINK("#",""), HYPERLINK(CONCATENATE("#Metadata!", ADDRESS(INDEX($Q$2:$Q$1001,MATCH(ROWS($O$2:O855),$O$2:$O$1001,0),0), INDEX($V$1004:$AE$1004,1,MATCH(COLUMNS($V$1006:AB1006),$V$1006:$AE$1006,0)))),"Fix")))</f>
        <v>0</v>
      </c>
      <c r="I855" s="3">
        <f>IF(OR(INDEX($P$2:$P$1001,MATCH(ROWS($O$2:O855),$O$2:$O$1001,0),1)&gt;=100000,INDEX($V$1005:$AE$1005,1,MATCH(COLUMNS($V$1006:AC1006),$V$1006:$AE$1006,0))&gt;=100000), " ",IF(INDEX($V$2:$AE$1001,MATCH(ROWS($O$2:O855),$O$2:$O$1001,0),MATCH(COLUMNS($V$1006:AC1006),$V$1006:$AE$1006,0)), HYPERLINK("#",""), HYPERLINK(CONCATENATE("#Metadata!", ADDRESS(INDEX($Q$2:$Q$1001,MATCH(ROWS($O$2:O855),$O$2:$O$1001,0),0), INDEX($V$1004:$AE$1004,1,MATCH(COLUMNS($V$1006:AC1006),$V$1006:$AE$1006,0)))),"Fix")))</f>
        <v>0</v>
      </c>
      <c r="J855" s="3">
        <f>IF(OR(INDEX($P$2:$P$1001,MATCH(ROWS($O$2:O855),$O$2:$O$1001,0),1)&gt;=100000,INDEX($V$1005:$AE$1005,1,MATCH(COLUMNS($V$1006:AD1006),$V$1006:$AE$1006,0))&gt;=100000), " ",IF(INDEX($V$2:$AE$1001,MATCH(ROWS($O$2:O855),$O$2:$O$1001,0),MATCH(COLUMNS($V$1006:AD1006),$V$1006:$AE$1006,0)), HYPERLINK("#",""), HYPERLINK(CONCATENATE("#Metadata!", ADDRESS(INDEX($Q$2:$Q$1001,MATCH(ROWS($O$2:O855),$O$2:$O$1001,0),0), INDEX($V$1004:$AE$1004,1,MATCH(COLUMNS($V$1006:AD1006),$V$1006:$AE$1006,0)))),"Fix")))</f>
        <v>0</v>
      </c>
      <c r="K855" s="3">
        <f>IF(OR(INDEX($P$2:$P$1001,MATCH(ROWS($O$2:O855),$O$2:$O$1001,0),1)&gt;=100000,INDEX($V$1005:$AE$1005,1,MATCH(COLUMNS($V$1006:AE1006),$V$1006:$AE$1006,0))&gt;=100000), " ",IF(INDEX($V$2:$AE$1001,MATCH(ROWS($O$2:O855),$O$2:$O$1001,0),MATCH(COLUMNS($V$1006:AE1006),$V$1006:$AE$1006,0)), HYPERLINK("#",""), HYPERLINK(CONCATENATE("#Metadata!", ADDRESS(INDEX($Q$2:$Q$1001,MATCH(ROWS($O$2:O855),$O$2:$O$1001,0),0), INDEX($V$1004:$AE$1004,1,MATCH(COLUMNS($V$1006:AE1006),$V$1006:$AE$1006,0)))),"Fix")))</f>
        <v>0</v>
      </c>
      <c r="O855">
        <v>0</v>
      </c>
      <c r="P855">
        <v>0</v>
      </c>
      <c r="Q855">
        <v>0</v>
      </c>
      <c r="R855">
        <f>IF(S855,TRUE,AND(V855:AE855))</f>
        <v>0</v>
      </c>
      <c r="S855">
        <f>COUNTBLANK(Metadata!B855:K855)=COLUMNS(Metadata!B855:K855)</f>
        <v>0</v>
      </c>
      <c r="T855">
        <v>0</v>
      </c>
      <c r="V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W855">
        <f>AND(IF(Metadata!C855="",FALSE,TRUE),exact(Metadata!C855,"animal secretion"))</f>
        <v>0</v>
      </c>
      <c r="X855">
        <f>AND(IF(Metadata!D855="",FALSE,TRUE),exact(Metadata!D855,"saliva"))</f>
        <v>0</v>
      </c>
      <c r="Y855">
        <f>AND(IF(Metadata!E855="",FALSE,TRUE),exact(Metadata!E855,"human-oral"))</f>
        <v>0</v>
      </c>
      <c r="Z855">
        <f>AND(IF(Metadata!F855="",FALSE,TRUE),exact(Metadata!F855,"UBERON:oral cavity"))</f>
        <v>0</v>
      </c>
      <c r="AA855">
        <f>AND(IF(Metadata!G855="",FALSE,TRUE),exact(Metadata!G855,"UBERON:saliva"))</f>
        <v>0</v>
      </c>
      <c r="AB855">
        <f>AND(IF(Metadata!H855="",FALSE,TRUE),exact(Metadata!H855,"UBERON:tongue"))</f>
        <v>0</v>
      </c>
      <c r="AC855">
        <f>AND(IF(Metadata!I855="",FALSE,TRUE),exact(Metadata!I855,"tongue"))</f>
        <v>0</v>
      </c>
      <c r="AD855">
        <f>AND(IF(Metadata!J855="",FALSE,TRUE),exact(Metadata!J855,"human oral metagenome"))</f>
        <v>0</v>
      </c>
      <c r="AE855">
        <f>AND(IF(Metadata!K855="",FALSE,TRUE),exact(Metadata!K855,"447426"))</f>
        <v>0</v>
      </c>
    </row>
    <row r="856" spans="1:31">
      <c r="A856" s="4">
        <f>IF(B856=" "," ",HYPERLINK(CONCATENATE("#metadata!",ADDRESS(INDEX($Q$2:$Q$1001,MATCH(ROWS($O$2:O856),$O$2:$O$1001,0),0),1)),INDEX($T$2:$T$1001,MATCH(ROWS($O$2:O856),$O$2:$O$1001,0),0)))</f>
        <v>0</v>
      </c>
      <c r="B856" s="3">
        <f>IF(OR(INDEX($P$2:$P$1001,MATCH(ROWS($O$2:O856),$O$2:$O$1001,0),1)&gt;=100000,INDEX($V$1005:$AE$1005,1,MATCH(COLUMNS($V$1006:V1006),$V$1006:$AE$1006,0))&gt;=100000), " ",IF(INDEX($V$2:$AE$1001,MATCH(ROWS($O$2:O856),$O$2:$O$1001,0),MATCH(COLUMNS($V$1006:V1006),$V$1006:$AE$1006,0)), HYPERLINK("#",""), HYPERLINK(CONCATENATE("#Metadata!", ADDRESS(INDEX($Q$2:$Q$1001,MATCH(ROWS($O$2:O856),$O$2:$O$1001,0),0), INDEX($V$1004:$AE$1004,1,MATCH(COLUMNS($V$1006:V1006),$V$1006:$AE$1006,0)))),"Fix")))</f>
        <v>0</v>
      </c>
      <c r="C856" s="3">
        <f>IF(OR(INDEX($P$2:$P$1001,MATCH(ROWS($O$2:O856),$O$2:$O$1001,0),1)&gt;=100000,INDEX($V$1005:$AE$1005,1,MATCH(COLUMNS($V$1006:W1006),$V$1006:$AE$1006,0))&gt;=100000), " ",IF(INDEX($V$2:$AE$1001,MATCH(ROWS($O$2:O856),$O$2:$O$1001,0),MATCH(COLUMNS($V$1006:W1006),$V$1006:$AE$1006,0)), HYPERLINK("#",""), HYPERLINK(CONCATENATE("#Metadata!", ADDRESS(INDEX($Q$2:$Q$1001,MATCH(ROWS($O$2:O856),$O$2:$O$1001,0),0), INDEX($V$1004:$AE$1004,1,MATCH(COLUMNS($V$1006:W1006),$V$1006:$AE$1006,0)))),"Fix")))</f>
        <v>0</v>
      </c>
      <c r="D856" s="3">
        <f>IF(OR(INDEX($P$2:$P$1001,MATCH(ROWS($O$2:O856),$O$2:$O$1001,0),1)&gt;=100000,INDEX($V$1005:$AE$1005,1,MATCH(COLUMNS($V$1006:X1006),$V$1006:$AE$1006,0))&gt;=100000), " ",IF(INDEX($V$2:$AE$1001,MATCH(ROWS($O$2:O856),$O$2:$O$1001,0),MATCH(COLUMNS($V$1006:X1006),$V$1006:$AE$1006,0)), HYPERLINK("#",""), HYPERLINK(CONCATENATE("#Metadata!", ADDRESS(INDEX($Q$2:$Q$1001,MATCH(ROWS($O$2:O856),$O$2:$O$1001,0),0), INDEX($V$1004:$AE$1004,1,MATCH(COLUMNS($V$1006:X1006),$V$1006:$AE$1006,0)))),"Fix")))</f>
        <v>0</v>
      </c>
      <c r="E856" s="3">
        <f>IF(OR(INDEX($P$2:$P$1001,MATCH(ROWS($O$2:O856),$O$2:$O$1001,0),1)&gt;=100000,INDEX($V$1005:$AE$1005,1,MATCH(COLUMNS($V$1006:Y1006),$V$1006:$AE$1006,0))&gt;=100000), " ",IF(INDEX($V$2:$AE$1001,MATCH(ROWS($O$2:O856),$O$2:$O$1001,0),MATCH(COLUMNS($V$1006:Y1006),$V$1006:$AE$1006,0)), HYPERLINK("#",""), HYPERLINK(CONCATENATE("#Metadata!", ADDRESS(INDEX($Q$2:$Q$1001,MATCH(ROWS($O$2:O856),$O$2:$O$1001,0),0), INDEX($V$1004:$AE$1004,1,MATCH(COLUMNS($V$1006:Y1006),$V$1006:$AE$1006,0)))),"Fix")))</f>
        <v>0</v>
      </c>
      <c r="F856" s="3">
        <f>IF(OR(INDEX($P$2:$P$1001,MATCH(ROWS($O$2:O856),$O$2:$O$1001,0),1)&gt;=100000,INDEX($V$1005:$AE$1005,1,MATCH(COLUMNS($V$1006:Z1006),$V$1006:$AE$1006,0))&gt;=100000), " ",IF(INDEX($V$2:$AE$1001,MATCH(ROWS($O$2:O856),$O$2:$O$1001,0),MATCH(COLUMNS($V$1006:Z1006),$V$1006:$AE$1006,0)), HYPERLINK("#",""), HYPERLINK(CONCATENATE("#Metadata!", ADDRESS(INDEX($Q$2:$Q$1001,MATCH(ROWS($O$2:O856),$O$2:$O$1001,0),0), INDEX($V$1004:$AE$1004,1,MATCH(COLUMNS($V$1006:Z1006),$V$1006:$AE$1006,0)))),"Fix")))</f>
        <v>0</v>
      </c>
      <c r="G856" s="3">
        <f>IF(OR(INDEX($P$2:$P$1001,MATCH(ROWS($O$2:O856),$O$2:$O$1001,0),1)&gt;=100000,INDEX($V$1005:$AE$1005,1,MATCH(COLUMNS($V$1006:AA1006),$V$1006:$AE$1006,0))&gt;=100000), " ",IF(INDEX($V$2:$AE$1001,MATCH(ROWS($O$2:O856),$O$2:$O$1001,0),MATCH(COLUMNS($V$1006:AA1006),$V$1006:$AE$1006,0)), HYPERLINK("#",""), HYPERLINK(CONCATENATE("#Metadata!", ADDRESS(INDEX($Q$2:$Q$1001,MATCH(ROWS($O$2:O856),$O$2:$O$1001,0),0), INDEX($V$1004:$AE$1004,1,MATCH(COLUMNS($V$1006:AA1006),$V$1006:$AE$1006,0)))),"Fix")))</f>
        <v>0</v>
      </c>
      <c r="H856" s="3">
        <f>IF(OR(INDEX($P$2:$P$1001,MATCH(ROWS($O$2:O856),$O$2:$O$1001,0),1)&gt;=100000,INDEX($V$1005:$AE$1005,1,MATCH(COLUMNS($V$1006:AB1006),$V$1006:$AE$1006,0))&gt;=100000), " ",IF(INDEX($V$2:$AE$1001,MATCH(ROWS($O$2:O856),$O$2:$O$1001,0),MATCH(COLUMNS($V$1006:AB1006),$V$1006:$AE$1006,0)), HYPERLINK("#",""), HYPERLINK(CONCATENATE("#Metadata!", ADDRESS(INDEX($Q$2:$Q$1001,MATCH(ROWS($O$2:O856),$O$2:$O$1001,0),0), INDEX($V$1004:$AE$1004,1,MATCH(COLUMNS($V$1006:AB1006),$V$1006:$AE$1006,0)))),"Fix")))</f>
        <v>0</v>
      </c>
      <c r="I856" s="3">
        <f>IF(OR(INDEX($P$2:$P$1001,MATCH(ROWS($O$2:O856),$O$2:$O$1001,0),1)&gt;=100000,INDEX($V$1005:$AE$1005,1,MATCH(COLUMNS($V$1006:AC1006),$V$1006:$AE$1006,0))&gt;=100000), " ",IF(INDEX($V$2:$AE$1001,MATCH(ROWS($O$2:O856),$O$2:$O$1001,0),MATCH(COLUMNS($V$1006:AC1006),$V$1006:$AE$1006,0)), HYPERLINK("#",""), HYPERLINK(CONCATENATE("#Metadata!", ADDRESS(INDEX($Q$2:$Q$1001,MATCH(ROWS($O$2:O856),$O$2:$O$1001,0),0), INDEX($V$1004:$AE$1004,1,MATCH(COLUMNS($V$1006:AC1006),$V$1006:$AE$1006,0)))),"Fix")))</f>
        <v>0</v>
      </c>
      <c r="J856" s="3">
        <f>IF(OR(INDEX($P$2:$P$1001,MATCH(ROWS($O$2:O856),$O$2:$O$1001,0),1)&gt;=100000,INDEX($V$1005:$AE$1005,1,MATCH(COLUMNS($V$1006:AD1006),$V$1006:$AE$1006,0))&gt;=100000), " ",IF(INDEX($V$2:$AE$1001,MATCH(ROWS($O$2:O856),$O$2:$O$1001,0),MATCH(COLUMNS($V$1006:AD1006),$V$1006:$AE$1006,0)), HYPERLINK("#",""), HYPERLINK(CONCATENATE("#Metadata!", ADDRESS(INDEX($Q$2:$Q$1001,MATCH(ROWS($O$2:O856),$O$2:$O$1001,0),0), INDEX($V$1004:$AE$1004,1,MATCH(COLUMNS($V$1006:AD1006),$V$1006:$AE$1006,0)))),"Fix")))</f>
        <v>0</v>
      </c>
      <c r="K856" s="3">
        <f>IF(OR(INDEX($P$2:$P$1001,MATCH(ROWS($O$2:O856),$O$2:$O$1001,0),1)&gt;=100000,INDEX($V$1005:$AE$1005,1,MATCH(COLUMNS($V$1006:AE1006),$V$1006:$AE$1006,0))&gt;=100000), " ",IF(INDEX($V$2:$AE$1001,MATCH(ROWS($O$2:O856),$O$2:$O$1001,0),MATCH(COLUMNS($V$1006:AE1006),$V$1006:$AE$1006,0)), HYPERLINK("#",""), HYPERLINK(CONCATENATE("#Metadata!", ADDRESS(INDEX($Q$2:$Q$1001,MATCH(ROWS($O$2:O856),$O$2:$O$1001,0),0), INDEX($V$1004:$AE$1004,1,MATCH(COLUMNS($V$1006:AE1006),$V$1006:$AE$1006,0)))),"Fix")))</f>
        <v>0</v>
      </c>
      <c r="O856">
        <v>0</v>
      </c>
      <c r="P856">
        <v>0</v>
      </c>
      <c r="Q856">
        <v>0</v>
      </c>
      <c r="R856">
        <f>IF(S856,TRUE,AND(V856:AE856))</f>
        <v>0</v>
      </c>
      <c r="S856">
        <f>COUNTBLANK(Metadata!B856:K856)=COLUMNS(Metadata!B856:K856)</f>
        <v>0</v>
      </c>
      <c r="T856">
        <v>0</v>
      </c>
      <c r="V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W856">
        <f>AND(IF(Metadata!C856="",FALSE,TRUE),exact(Metadata!C856,"animal secretion"))</f>
        <v>0</v>
      </c>
      <c r="X856">
        <f>AND(IF(Metadata!D856="",FALSE,TRUE),exact(Metadata!D856,"saliva"))</f>
        <v>0</v>
      </c>
      <c r="Y856">
        <f>AND(IF(Metadata!E856="",FALSE,TRUE),exact(Metadata!E856,"human-oral"))</f>
        <v>0</v>
      </c>
      <c r="Z856">
        <f>AND(IF(Metadata!F856="",FALSE,TRUE),exact(Metadata!F856,"UBERON:oral cavity"))</f>
        <v>0</v>
      </c>
      <c r="AA856">
        <f>AND(IF(Metadata!G856="",FALSE,TRUE),exact(Metadata!G856,"UBERON:saliva"))</f>
        <v>0</v>
      </c>
      <c r="AB856">
        <f>AND(IF(Metadata!H856="",FALSE,TRUE),exact(Metadata!H856,"UBERON:tongue"))</f>
        <v>0</v>
      </c>
      <c r="AC856">
        <f>AND(IF(Metadata!I856="",FALSE,TRUE),exact(Metadata!I856,"tongue"))</f>
        <v>0</v>
      </c>
      <c r="AD856">
        <f>AND(IF(Metadata!J856="",FALSE,TRUE),exact(Metadata!J856,"human oral metagenome"))</f>
        <v>0</v>
      </c>
      <c r="AE856">
        <f>AND(IF(Metadata!K856="",FALSE,TRUE),exact(Metadata!K856,"447426"))</f>
        <v>0</v>
      </c>
    </row>
    <row r="857" spans="1:31">
      <c r="A857" s="4">
        <f>IF(B857=" "," ",HYPERLINK(CONCATENATE("#metadata!",ADDRESS(INDEX($Q$2:$Q$1001,MATCH(ROWS($O$2:O857),$O$2:$O$1001,0),0),1)),INDEX($T$2:$T$1001,MATCH(ROWS($O$2:O857),$O$2:$O$1001,0),0)))</f>
        <v>0</v>
      </c>
      <c r="B857" s="3">
        <f>IF(OR(INDEX($P$2:$P$1001,MATCH(ROWS($O$2:O857),$O$2:$O$1001,0),1)&gt;=100000,INDEX($V$1005:$AE$1005,1,MATCH(COLUMNS($V$1006:V1006),$V$1006:$AE$1006,0))&gt;=100000), " ",IF(INDEX($V$2:$AE$1001,MATCH(ROWS($O$2:O857),$O$2:$O$1001,0),MATCH(COLUMNS($V$1006:V1006),$V$1006:$AE$1006,0)), HYPERLINK("#",""), HYPERLINK(CONCATENATE("#Metadata!", ADDRESS(INDEX($Q$2:$Q$1001,MATCH(ROWS($O$2:O857),$O$2:$O$1001,0),0), INDEX($V$1004:$AE$1004,1,MATCH(COLUMNS($V$1006:V1006),$V$1006:$AE$1006,0)))),"Fix")))</f>
        <v>0</v>
      </c>
      <c r="C857" s="3">
        <f>IF(OR(INDEX($P$2:$P$1001,MATCH(ROWS($O$2:O857),$O$2:$O$1001,0),1)&gt;=100000,INDEX($V$1005:$AE$1005,1,MATCH(COLUMNS($V$1006:W1006),$V$1006:$AE$1006,0))&gt;=100000), " ",IF(INDEX($V$2:$AE$1001,MATCH(ROWS($O$2:O857),$O$2:$O$1001,0),MATCH(COLUMNS($V$1006:W1006),$V$1006:$AE$1006,0)), HYPERLINK("#",""), HYPERLINK(CONCATENATE("#Metadata!", ADDRESS(INDEX($Q$2:$Q$1001,MATCH(ROWS($O$2:O857),$O$2:$O$1001,0),0), INDEX($V$1004:$AE$1004,1,MATCH(COLUMNS($V$1006:W1006),$V$1006:$AE$1006,0)))),"Fix")))</f>
        <v>0</v>
      </c>
      <c r="D857" s="3">
        <f>IF(OR(INDEX($P$2:$P$1001,MATCH(ROWS($O$2:O857),$O$2:$O$1001,0),1)&gt;=100000,INDEX($V$1005:$AE$1005,1,MATCH(COLUMNS($V$1006:X1006),$V$1006:$AE$1006,0))&gt;=100000), " ",IF(INDEX($V$2:$AE$1001,MATCH(ROWS($O$2:O857),$O$2:$O$1001,0),MATCH(COLUMNS($V$1006:X1006),$V$1006:$AE$1006,0)), HYPERLINK("#",""), HYPERLINK(CONCATENATE("#Metadata!", ADDRESS(INDEX($Q$2:$Q$1001,MATCH(ROWS($O$2:O857),$O$2:$O$1001,0),0), INDEX($V$1004:$AE$1004,1,MATCH(COLUMNS($V$1006:X1006),$V$1006:$AE$1006,0)))),"Fix")))</f>
        <v>0</v>
      </c>
      <c r="E857" s="3">
        <f>IF(OR(INDEX($P$2:$P$1001,MATCH(ROWS($O$2:O857),$O$2:$O$1001,0),1)&gt;=100000,INDEX($V$1005:$AE$1005,1,MATCH(COLUMNS($V$1006:Y1006),$V$1006:$AE$1006,0))&gt;=100000), " ",IF(INDEX($V$2:$AE$1001,MATCH(ROWS($O$2:O857),$O$2:$O$1001,0),MATCH(COLUMNS($V$1006:Y1006),$V$1006:$AE$1006,0)), HYPERLINK("#",""), HYPERLINK(CONCATENATE("#Metadata!", ADDRESS(INDEX($Q$2:$Q$1001,MATCH(ROWS($O$2:O857),$O$2:$O$1001,0),0), INDEX($V$1004:$AE$1004,1,MATCH(COLUMNS($V$1006:Y1006),$V$1006:$AE$1006,0)))),"Fix")))</f>
        <v>0</v>
      </c>
      <c r="F857" s="3">
        <f>IF(OR(INDEX($P$2:$P$1001,MATCH(ROWS($O$2:O857),$O$2:$O$1001,0),1)&gt;=100000,INDEX($V$1005:$AE$1005,1,MATCH(COLUMNS($V$1006:Z1006),$V$1006:$AE$1006,0))&gt;=100000), " ",IF(INDEX($V$2:$AE$1001,MATCH(ROWS($O$2:O857),$O$2:$O$1001,0),MATCH(COLUMNS($V$1006:Z1006),$V$1006:$AE$1006,0)), HYPERLINK("#",""), HYPERLINK(CONCATENATE("#Metadata!", ADDRESS(INDEX($Q$2:$Q$1001,MATCH(ROWS($O$2:O857),$O$2:$O$1001,0),0), INDEX($V$1004:$AE$1004,1,MATCH(COLUMNS($V$1006:Z1006),$V$1006:$AE$1006,0)))),"Fix")))</f>
        <v>0</v>
      </c>
      <c r="G857" s="3">
        <f>IF(OR(INDEX($P$2:$P$1001,MATCH(ROWS($O$2:O857),$O$2:$O$1001,0),1)&gt;=100000,INDEX($V$1005:$AE$1005,1,MATCH(COLUMNS($V$1006:AA1006),$V$1006:$AE$1006,0))&gt;=100000), " ",IF(INDEX($V$2:$AE$1001,MATCH(ROWS($O$2:O857),$O$2:$O$1001,0),MATCH(COLUMNS($V$1006:AA1006),$V$1006:$AE$1006,0)), HYPERLINK("#",""), HYPERLINK(CONCATENATE("#Metadata!", ADDRESS(INDEX($Q$2:$Q$1001,MATCH(ROWS($O$2:O857),$O$2:$O$1001,0),0), INDEX($V$1004:$AE$1004,1,MATCH(COLUMNS($V$1006:AA1006),$V$1006:$AE$1006,0)))),"Fix")))</f>
        <v>0</v>
      </c>
      <c r="H857" s="3">
        <f>IF(OR(INDEX($P$2:$P$1001,MATCH(ROWS($O$2:O857),$O$2:$O$1001,0),1)&gt;=100000,INDEX($V$1005:$AE$1005,1,MATCH(COLUMNS($V$1006:AB1006),$V$1006:$AE$1006,0))&gt;=100000), " ",IF(INDEX($V$2:$AE$1001,MATCH(ROWS($O$2:O857),$O$2:$O$1001,0),MATCH(COLUMNS($V$1006:AB1006),$V$1006:$AE$1006,0)), HYPERLINK("#",""), HYPERLINK(CONCATENATE("#Metadata!", ADDRESS(INDEX($Q$2:$Q$1001,MATCH(ROWS($O$2:O857),$O$2:$O$1001,0),0), INDEX($V$1004:$AE$1004,1,MATCH(COLUMNS($V$1006:AB1006),$V$1006:$AE$1006,0)))),"Fix")))</f>
        <v>0</v>
      </c>
      <c r="I857" s="3">
        <f>IF(OR(INDEX($P$2:$P$1001,MATCH(ROWS($O$2:O857),$O$2:$O$1001,0),1)&gt;=100000,INDEX($V$1005:$AE$1005,1,MATCH(COLUMNS($V$1006:AC1006),$V$1006:$AE$1006,0))&gt;=100000), " ",IF(INDEX($V$2:$AE$1001,MATCH(ROWS($O$2:O857),$O$2:$O$1001,0),MATCH(COLUMNS($V$1006:AC1006),$V$1006:$AE$1006,0)), HYPERLINK("#",""), HYPERLINK(CONCATENATE("#Metadata!", ADDRESS(INDEX($Q$2:$Q$1001,MATCH(ROWS($O$2:O857),$O$2:$O$1001,0),0), INDEX($V$1004:$AE$1004,1,MATCH(COLUMNS($V$1006:AC1006),$V$1006:$AE$1006,0)))),"Fix")))</f>
        <v>0</v>
      </c>
      <c r="J857" s="3">
        <f>IF(OR(INDEX($P$2:$P$1001,MATCH(ROWS($O$2:O857),$O$2:$O$1001,0),1)&gt;=100000,INDEX($V$1005:$AE$1005,1,MATCH(COLUMNS($V$1006:AD1006),$V$1006:$AE$1006,0))&gt;=100000), " ",IF(INDEX($V$2:$AE$1001,MATCH(ROWS($O$2:O857),$O$2:$O$1001,0),MATCH(COLUMNS($V$1006:AD1006),$V$1006:$AE$1006,0)), HYPERLINK("#",""), HYPERLINK(CONCATENATE("#Metadata!", ADDRESS(INDEX($Q$2:$Q$1001,MATCH(ROWS($O$2:O857),$O$2:$O$1001,0),0), INDEX($V$1004:$AE$1004,1,MATCH(COLUMNS($V$1006:AD1006),$V$1006:$AE$1006,0)))),"Fix")))</f>
        <v>0</v>
      </c>
      <c r="K857" s="3">
        <f>IF(OR(INDEX($P$2:$P$1001,MATCH(ROWS($O$2:O857),$O$2:$O$1001,0),1)&gt;=100000,INDEX($V$1005:$AE$1005,1,MATCH(COLUMNS($V$1006:AE1006),$V$1006:$AE$1006,0))&gt;=100000), " ",IF(INDEX($V$2:$AE$1001,MATCH(ROWS($O$2:O857),$O$2:$O$1001,0),MATCH(COLUMNS($V$1006:AE1006),$V$1006:$AE$1006,0)), HYPERLINK("#",""), HYPERLINK(CONCATENATE("#Metadata!", ADDRESS(INDEX($Q$2:$Q$1001,MATCH(ROWS($O$2:O857),$O$2:$O$1001,0),0), INDEX($V$1004:$AE$1004,1,MATCH(COLUMNS($V$1006:AE1006),$V$1006:$AE$1006,0)))),"Fix")))</f>
        <v>0</v>
      </c>
      <c r="O857">
        <v>0</v>
      </c>
      <c r="P857">
        <v>0</v>
      </c>
      <c r="Q857">
        <v>0</v>
      </c>
      <c r="R857">
        <f>IF(S857,TRUE,AND(V857:AE857))</f>
        <v>0</v>
      </c>
      <c r="S857">
        <f>COUNTBLANK(Metadata!B857:K857)=COLUMNS(Metadata!B857:K857)</f>
        <v>0</v>
      </c>
      <c r="T857">
        <v>0</v>
      </c>
      <c r="V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W857">
        <f>AND(IF(Metadata!C857="",FALSE,TRUE),exact(Metadata!C857,"animal secretion"))</f>
        <v>0</v>
      </c>
      <c r="X857">
        <f>AND(IF(Metadata!D857="",FALSE,TRUE),exact(Metadata!D857,"saliva"))</f>
        <v>0</v>
      </c>
      <c r="Y857">
        <f>AND(IF(Metadata!E857="",FALSE,TRUE),exact(Metadata!E857,"human-oral"))</f>
        <v>0</v>
      </c>
      <c r="Z857">
        <f>AND(IF(Metadata!F857="",FALSE,TRUE),exact(Metadata!F857,"UBERON:oral cavity"))</f>
        <v>0</v>
      </c>
      <c r="AA857">
        <f>AND(IF(Metadata!G857="",FALSE,TRUE),exact(Metadata!G857,"UBERON:saliva"))</f>
        <v>0</v>
      </c>
      <c r="AB857">
        <f>AND(IF(Metadata!H857="",FALSE,TRUE),exact(Metadata!H857,"UBERON:tongue"))</f>
        <v>0</v>
      </c>
      <c r="AC857">
        <f>AND(IF(Metadata!I857="",FALSE,TRUE),exact(Metadata!I857,"tongue"))</f>
        <v>0</v>
      </c>
      <c r="AD857">
        <f>AND(IF(Metadata!J857="",FALSE,TRUE),exact(Metadata!J857,"human oral metagenome"))</f>
        <v>0</v>
      </c>
      <c r="AE857">
        <f>AND(IF(Metadata!K857="",FALSE,TRUE),exact(Metadata!K857,"447426"))</f>
        <v>0</v>
      </c>
    </row>
    <row r="858" spans="1:31">
      <c r="A858" s="4">
        <f>IF(B858=" "," ",HYPERLINK(CONCATENATE("#metadata!",ADDRESS(INDEX($Q$2:$Q$1001,MATCH(ROWS($O$2:O858),$O$2:$O$1001,0),0),1)),INDEX($T$2:$T$1001,MATCH(ROWS($O$2:O858),$O$2:$O$1001,0),0)))</f>
        <v>0</v>
      </c>
      <c r="B858" s="3">
        <f>IF(OR(INDEX($P$2:$P$1001,MATCH(ROWS($O$2:O858),$O$2:$O$1001,0),1)&gt;=100000,INDEX($V$1005:$AE$1005,1,MATCH(COLUMNS($V$1006:V1006),$V$1006:$AE$1006,0))&gt;=100000), " ",IF(INDEX($V$2:$AE$1001,MATCH(ROWS($O$2:O858),$O$2:$O$1001,0),MATCH(COLUMNS($V$1006:V1006),$V$1006:$AE$1006,0)), HYPERLINK("#",""), HYPERLINK(CONCATENATE("#Metadata!", ADDRESS(INDEX($Q$2:$Q$1001,MATCH(ROWS($O$2:O858),$O$2:$O$1001,0),0), INDEX($V$1004:$AE$1004,1,MATCH(COLUMNS($V$1006:V1006),$V$1006:$AE$1006,0)))),"Fix")))</f>
        <v>0</v>
      </c>
      <c r="C858" s="3">
        <f>IF(OR(INDEX($P$2:$P$1001,MATCH(ROWS($O$2:O858),$O$2:$O$1001,0),1)&gt;=100000,INDEX($V$1005:$AE$1005,1,MATCH(COLUMNS($V$1006:W1006),$V$1006:$AE$1006,0))&gt;=100000), " ",IF(INDEX($V$2:$AE$1001,MATCH(ROWS($O$2:O858),$O$2:$O$1001,0),MATCH(COLUMNS($V$1006:W1006),$V$1006:$AE$1006,0)), HYPERLINK("#",""), HYPERLINK(CONCATENATE("#Metadata!", ADDRESS(INDEX($Q$2:$Q$1001,MATCH(ROWS($O$2:O858),$O$2:$O$1001,0),0), INDEX($V$1004:$AE$1004,1,MATCH(COLUMNS($V$1006:W1006),$V$1006:$AE$1006,0)))),"Fix")))</f>
        <v>0</v>
      </c>
      <c r="D858" s="3">
        <f>IF(OR(INDEX($P$2:$P$1001,MATCH(ROWS($O$2:O858),$O$2:$O$1001,0),1)&gt;=100000,INDEX($V$1005:$AE$1005,1,MATCH(COLUMNS($V$1006:X1006),$V$1006:$AE$1006,0))&gt;=100000), " ",IF(INDEX($V$2:$AE$1001,MATCH(ROWS($O$2:O858),$O$2:$O$1001,0),MATCH(COLUMNS($V$1006:X1006),$V$1006:$AE$1006,0)), HYPERLINK("#",""), HYPERLINK(CONCATENATE("#Metadata!", ADDRESS(INDEX($Q$2:$Q$1001,MATCH(ROWS($O$2:O858),$O$2:$O$1001,0),0), INDEX($V$1004:$AE$1004,1,MATCH(COLUMNS($V$1006:X1006),$V$1006:$AE$1006,0)))),"Fix")))</f>
        <v>0</v>
      </c>
      <c r="E858" s="3">
        <f>IF(OR(INDEX($P$2:$P$1001,MATCH(ROWS($O$2:O858),$O$2:$O$1001,0),1)&gt;=100000,INDEX($V$1005:$AE$1005,1,MATCH(COLUMNS($V$1006:Y1006),$V$1006:$AE$1006,0))&gt;=100000), " ",IF(INDEX($V$2:$AE$1001,MATCH(ROWS($O$2:O858),$O$2:$O$1001,0),MATCH(COLUMNS($V$1006:Y1006),$V$1006:$AE$1006,0)), HYPERLINK("#",""), HYPERLINK(CONCATENATE("#Metadata!", ADDRESS(INDEX($Q$2:$Q$1001,MATCH(ROWS($O$2:O858),$O$2:$O$1001,0),0), INDEX($V$1004:$AE$1004,1,MATCH(COLUMNS($V$1006:Y1006),$V$1006:$AE$1006,0)))),"Fix")))</f>
        <v>0</v>
      </c>
      <c r="F858" s="3">
        <f>IF(OR(INDEX($P$2:$P$1001,MATCH(ROWS($O$2:O858),$O$2:$O$1001,0),1)&gt;=100000,INDEX($V$1005:$AE$1005,1,MATCH(COLUMNS($V$1006:Z1006),$V$1006:$AE$1006,0))&gt;=100000), " ",IF(INDEX($V$2:$AE$1001,MATCH(ROWS($O$2:O858),$O$2:$O$1001,0),MATCH(COLUMNS($V$1006:Z1006),$V$1006:$AE$1006,0)), HYPERLINK("#",""), HYPERLINK(CONCATENATE("#Metadata!", ADDRESS(INDEX($Q$2:$Q$1001,MATCH(ROWS($O$2:O858),$O$2:$O$1001,0),0), INDEX($V$1004:$AE$1004,1,MATCH(COLUMNS($V$1006:Z1006),$V$1006:$AE$1006,0)))),"Fix")))</f>
        <v>0</v>
      </c>
      <c r="G858" s="3">
        <f>IF(OR(INDEX($P$2:$P$1001,MATCH(ROWS($O$2:O858),$O$2:$O$1001,0),1)&gt;=100000,INDEX($V$1005:$AE$1005,1,MATCH(COLUMNS($V$1006:AA1006),$V$1006:$AE$1006,0))&gt;=100000), " ",IF(INDEX($V$2:$AE$1001,MATCH(ROWS($O$2:O858),$O$2:$O$1001,0),MATCH(COLUMNS($V$1006:AA1006),$V$1006:$AE$1006,0)), HYPERLINK("#",""), HYPERLINK(CONCATENATE("#Metadata!", ADDRESS(INDEX($Q$2:$Q$1001,MATCH(ROWS($O$2:O858),$O$2:$O$1001,0),0), INDEX($V$1004:$AE$1004,1,MATCH(COLUMNS($V$1006:AA1006),$V$1006:$AE$1006,0)))),"Fix")))</f>
        <v>0</v>
      </c>
      <c r="H858" s="3">
        <f>IF(OR(INDEX($P$2:$P$1001,MATCH(ROWS($O$2:O858),$O$2:$O$1001,0),1)&gt;=100000,INDEX($V$1005:$AE$1005,1,MATCH(COLUMNS($V$1006:AB1006),$V$1006:$AE$1006,0))&gt;=100000), " ",IF(INDEX($V$2:$AE$1001,MATCH(ROWS($O$2:O858),$O$2:$O$1001,0),MATCH(COLUMNS($V$1006:AB1006),$V$1006:$AE$1006,0)), HYPERLINK("#",""), HYPERLINK(CONCATENATE("#Metadata!", ADDRESS(INDEX($Q$2:$Q$1001,MATCH(ROWS($O$2:O858),$O$2:$O$1001,0),0), INDEX($V$1004:$AE$1004,1,MATCH(COLUMNS($V$1006:AB1006),$V$1006:$AE$1006,0)))),"Fix")))</f>
        <v>0</v>
      </c>
      <c r="I858" s="3">
        <f>IF(OR(INDEX($P$2:$P$1001,MATCH(ROWS($O$2:O858),$O$2:$O$1001,0),1)&gt;=100000,INDEX($V$1005:$AE$1005,1,MATCH(COLUMNS($V$1006:AC1006),$V$1006:$AE$1006,0))&gt;=100000), " ",IF(INDEX($V$2:$AE$1001,MATCH(ROWS($O$2:O858),$O$2:$O$1001,0),MATCH(COLUMNS($V$1006:AC1006),$V$1006:$AE$1006,0)), HYPERLINK("#",""), HYPERLINK(CONCATENATE("#Metadata!", ADDRESS(INDEX($Q$2:$Q$1001,MATCH(ROWS($O$2:O858),$O$2:$O$1001,0),0), INDEX($V$1004:$AE$1004,1,MATCH(COLUMNS($V$1006:AC1006),$V$1006:$AE$1006,0)))),"Fix")))</f>
        <v>0</v>
      </c>
      <c r="J858" s="3">
        <f>IF(OR(INDEX($P$2:$P$1001,MATCH(ROWS($O$2:O858),$O$2:$O$1001,0),1)&gt;=100000,INDEX($V$1005:$AE$1005,1,MATCH(COLUMNS($V$1006:AD1006),$V$1006:$AE$1006,0))&gt;=100000), " ",IF(INDEX($V$2:$AE$1001,MATCH(ROWS($O$2:O858),$O$2:$O$1001,0),MATCH(COLUMNS($V$1006:AD1006),$V$1006:$AE$1006,0)), HYPERLINK("#",""), HYPERLINK(CONCATENATE("#Metadata!", ADDRESS(INDEX($Q$2:$Q$1001,MATCH(ROWS($O$2:O858),$O$2:$O$1001,0),0), INDEX($V$1004:$AE$1004,1,MATCH(COLUMNS($V$1006:AD1006),$V$1006:$AE$1006,0)))),"Fix")))</f>
        <v>0</v>
      </c>
      <c r="K858" s="3">
        <f>IF(OR(INDEX($P$2:$P$1001,MATCH(ROWS($O$2:O858),$O$2:$O$1001,0),1)&gt;=100000,INDEX($V$1005:$AE$1005,1,MATCH(COLUMNS($V$1006:AE1006),$V$1006:$AE$1006,0))&gt;=100000), " ",IF(INDEX($V$2:$AE$1001,MATCH(ROWS($O$2:O858),$O$2:$O$1001,0),MATCH(COLUMNS($V$1006:AE1006),$V$1006:$AE$1006,0)), HYPERLINK("#",""), HYPERLINK(CONCATENATE("#Metadata!", ADDRESS(INDEX($Q$2:$Q$1001,MATCH(ROWS($O$2:O858),$O$2:$O$1001,0),0), INDEX($V$1004:$AE$1004,1,MATCH(COLUMNS($V$1006:AE1006),$V$1006:$AE$1006,0)))),"Fix")))</f>
        <v>0</v>
      </c>
      <c r="O858">
        <v>0</v>
      </c>
      <c r="P858">
        <v>0</v>
      </c>
      <c r="Q858">
        <v>0</v>
      </c>
      <c r="R858">
        <f>IF(S858,TRUE,AND(V858:AE858))</f>
        <v>0</v>
      </c>
      <c r="S858">
        <f>COUNTBLANK(Metadata!B858:K858)=COLUMNS(Metadata!B858:K858)</f>
        <v>0</v>
      </c>
      <c r="T858">
        <v>0</v>
      </c>
      <c r="V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W858">
        <f>AND(IF(Metadata!C858="",FALSE,TRUE),exact(Metadata!C858,"animal secretion"))</f>
        <v>0</v>
      </c>
      <c r="X858">
        <f>AND(IF(Metadata!D858="",FALSE,TRUE),exact(Metadata!D858,"saliva"))</f>
        <v>0</v>
      </c>
      <c r="Y858">
        <f>AND(IF(Metadata!E858="",FALSE,TRUE),exact(Metadata!E858,"human-oral"))</f>
        <v>0</v>
      </c>
      <c r="Z858">
        <f>AND(IF(Metadata!F858="",FALSE,TRUE),exact(Metadata!F858,"UBERON:oral cavity"))</f>
        <v>0</v>
      </c>
      <c r="AA858">
        <f>AND(IF(Metadata!G858="",FALSE,TRUE),exact(Metadata!G858,"UBERON:saliva"))</f>
        <v>0</v>
      </c>
      <c r="AB858">
        <f>AND(IF(Metadata!H858="",FALSE,TRUE),exact(Metadata!H858,"UBERON:tongue"))</f>
        <v>0</v>
      </c>
      <c r="AC858">
        <f>AND(IF(Metadata!I858="",FALSE,TRUE),exact(Metadata!I858,"tongue"))</f>
        <v>0</v>
      </c>
      <c r="AD858">
        <f>AND(IF(Metadata!J858="",FALSE,TRUE),exact(Metadata!J858,"human oral metagenome"))</f>
        <v>0</v>
      </c>
      <c r="AE858">
        <f>AND(IF(Metadata!K858="",FALSE,TRUE),exact(Metadata!K858,"447426"))</f>
        <v>0</v>
      </c>
    </row>
    <row r="859" spans="1:31">
      <c r="A859" s="4">
        <f>IF(B859=" "," ",HYPERLINK(CONCATENATE("#metadata!",ADDRESS(INDEX($Q$2:$Q$1001,MATCH(ROWS($O$2:O859),$O$2:$O$1001,0),0),1)),INDEX($T$2:$T$1001,MATCH(ROWS($O$2:O859),$O$2:$O$1001,0),0)))</f>
        <v>0</v>
      </c>
      <c r="B859" s="3">
        <f>IF(OR(INDEX($P$2:$P$1001,MATCH(ROWS($O$2:O859),$O$2:$O$1001,0),1)&gt;=100000,INDEX($V$1005:$AE$1005,1,MATCH(COLUMNS($V$1006:V1006),$V$1006:$AE$1006,0))&gt;=100000), " ",IF(INDEX($V$2:$AE$1001,MATCH(ROWS($O$2:O859),$O$2:$O$1001,0),MATCH(COLUMNS($V$1006:V1006),$V$1006:$AE$1006,0)), HYPERLINK("#",""), HYPERLINK(CONCATENATE("#Metadata!", ADDRESS(INDEX($Q$2:$Q$1001,MATCH(ROWS($O$2:O859),$O$2:$O$1001,0),0), INDEX($V$1004:$AE$1004,1,MATCH(COLUMNS($V$1006:V1006),$V$1006:$AE$1006,0)))),"Fix")))</f>
        <v>0</v>
      </c>
      <c r="C859" s="3">
        <f>IF(OR(INDEX($P$2:$P$1001,MATCH(ROWS($O$2:O859),$O$2:$O$1001,0),1)&gt;=100000,INDEX($V$1005:$AE$1005,1,MATCH(COLUMNS($V$1006:W1006),$V$1006:$AE$1006,0))&gt;=100000), " ",IF(INDEX($V$2:$AE$1001,MATCH(ROWS($O$2:O859),$O$2:$O$1001,0),MATCH(COLUMNS($V$1006:W1006),$V$1006:$AE$1006,0)), HYPERLINK("#",""), HYPERLINK(CONCATENATE("#Metadata!", ADDRESS(INDEX($Q$2:$Q$1001,MATCH(ROWS($O$2:O859),$O$2:$O$1001,0),0), INDEX($V$1004:$AE$1004,1,MATCH(COLUMNS($V$1006:W1006),$V$1006:$AE$1006,0)))),"Fix")))</f>
        <v>0</v>
      </c>
      <c r="D859" s="3">
        <f>IF(OR(INDEX($P$2:$P$1001,MATCH(ROWS($O$2:O859),$O$2:$O$1001,0),1)&gt;=100000,INDEX($V$1005:$AE$1005,1,MATCH(COLUMNS($V$1006:X1006),$V$1006:$AE$1006,0))&gt;=100000), " ",IF(INDEX($V$2:$AE$1001,MATCH(ROWS($O$2:O859),$O$2:$O$1001,0),MATCH(COLUMNS($V$1006:X1006),$V$1006:$AE$1006,0)), HYPERLINK("#",""), HYPERLINK(CONCATENATE("#Metadata!", ADDRESS(INDEX($Q$2:$Q$1001,MATCH(ROWS($O$2:O859),$O$2:$O$1001,0),0), INDEX($V$1004:$AE$1004,1,MATCH(COLUMNS($V$1006:X1006),$V$1006:$AE$1006,0)))),"Fix")))</f>
        <v>0</v>
      </c>
      <c r="E859" s="3">
        <f>IF(OR(INDEX($P$2:$P$1001,MATCH(ROWS($O$2:O859),$O$2:$O$1001,0),1)&gt;=100000,INDEX($V$1005:$AE$1005,1,MATCH(COLUMNS($V$1006:Y1006),$V$1006:$AE$1006,0))&gt;=100000), " ",IF(INDEX($V$2:$AE$1001,MATCH(ROWS($O$2:O859),$O$2:$O$1001,0),MATCH(COLUMNS($V$1006:Y1006),$V$1006:$AE$1006,0)), HYPERLINK("#",""), HYPERLINK(CONCATENATE("#Metadata!", ADDRESS(INDEX($Q$2:$Q$1001,MATCH(ROWS($O$2:O859),$O$2:$O$1001,0),0), INDEX($V$1004:$AE$1004,1,MATCH(COLUMNS($V$1006:Y1006),$V$1006:$AE$1006,0)))),"Fix")))</f>
        <v>0</v>
      </c>
      <c r="F859" s="3">
        <f>IF(OR(INDEX($P$2:$P$1001,MATCH(ROWS($O$2:O859),$O$2:$O$1001,0),1)&gt;=100000,INDEX($V$1005:$AE$1005,1,MATCH(COLUMNS($V$1006:Z1006),$V$1006:$AE$1006,0))&gt;=100000), " ",IF(INDEX($V$2:$AE$1001,MATCH(ROWS($O$2:O859),$O$2:$O$1001,0),MATCH(COLUMNS($V$1006:Z1006),$V$1006:$AE$1006,0)), HYPERLINK("#",""), HYPERLINK(CONCATENATE("#Metadata!", ADDRESS(INDEX($Q$2:$Q$1001,MATCH(ROWS($O$2:O859),$O$2:$O$1001,0),0), INDEX($V$1004:$AE$1004,1,MATCH(COLUMNS($V$1006:Z1006),$V$1006:$AE$1006,0)))),"Fix")))</f>
        <v>0</v>
      </c>
      <c r="G859" s="3">
        <f>IF(OR(INDEX($P$2:$P$1001,MATCH(ROWS($O$2:O859),$O$2:$O$1001,0),1)&gt;=100000,INDEX($V$1005:$AE$1005,1,MATCH(COLUMNS($V$1006:AA1006),$V$1006:$AE$1006,0))&gt;=100000), " ",IF(INDEX($V$2:$AE$1001,MATCH(ROWS($O$2:O859),$O$2:$O$1001,0),MATCH(COLUMNS($V$1006:AA1006),$V$1006:$AE$1006,0)), HYPERLINK("#",""), HYPERLINK(CONCATENATE("#Metadata!", ADDRESS(INDEX($Q$2:$Q$1001,MATCH(ROWS($O$2:O859),$O$2:$O$1001,0),0), INDEX($V$1004:$AE$1004,1,MATCH(COLUMNS($V$1006:AA1006),$V$1006:$AE$1006,0)))),"Fix")))</f>
        <v>0</v>
      </c>
      <c r="H859" s="3">
        <f>IF(OR(INDEX($P$2:$P$1001,MATCH(ROWS($O$2:O859),$O$2:$O$1001,0),1)&gt;=100000,INDEX($V$1005:$AE$1005,1,MATCH(COLUMNS($V$1006:AB1006),$V$1006:$AE$1006,0))&gt;=100000), " ",IF(INDEX($V$2:$AE$1001,MATCH(ROWS($O$2:O859),$O$2:$O$1001,0),MATCH(COLUMNS($V$1006:AB1006),$V$1006:$AE$1006,0)), HYPERLINK("#",""), HYPERLINK(CONCATENATE("#Metadata!", ADDRESS(INDEX($Q$2:$Q$1001,MATCH(ROWS($O$2:O859),$O$2:$O$1001,0),0), INDEX($V$1004:$AE$1004,1,MATCH(COLUMNS($V$1006:AB1006),$V$1006:$AE$1006,0)))),"Fix")))</f>
        <v>0</v>
      </c>
      <c r="I859" s="3">
        <f>IF(OR(INDEX($P$2:$P$1001,MATCH(ROWS($O$2:O859),$O$2:$O$1001,0),1)&gt;=100000,INDEX($V$1005:$AE$1005,1,MATCH(COLUMNS($V$1006:AC1006),$V$1006:$AE$1006,0))&gt;=100000), " ",IF(INDEX($V$2:$AE$1001,MATCH(ROWS($O$2:O859),$O$2:$O$1001,0),MATCH(COLUMNS($V$1006:AC1006),$V$1006:$AE$1006,0)), HYPERLINK("#",""), HYPERLINK(CONCATENATE("#Metadata!", ADDRESS(INDEX($Q$2:$Q$1001,MATCH(ROWS($O$2:O859),$O$2:$O$1001,0),0), INDEX($V$1004:$AE$1004,1,MATCH(COLUMNS($V$1006:AC1006),$V$1006:$AE$1006,0)))),"Fix")))</f>
        <v>0</v>
      </c>
      <c r="J859" s="3">
        <f>IF(OR(INDEX($P$2:$P$1001,MATCH(ROWS($O$2:O859),$O$2:$O$1001,0),1)&gt;=100000,INDEX($V$1005:$AE$1005,1,MATCH(COLUMNS($V$1006:AD1006),$V$1006:$AE$1006,0))&gt;=100000), " ",IF(INDEX($V$2:$AE$1001,MATCH(ROWS($O$2:O859),$O$2:$O$1001,0),MATCH(COLUMNS($V$1006:AD1006),$V$1006:$AE$1006,0)), HYPERLINK("#",""), HYPERLINK(CONCATENATE("#Metadata!", ADDRESS(INDEX($Q$2:$Q$1001,MATCH(ROWS($O$2:O859),$O$2:$O$1001,0),0), INDEX($V$1004:$AE$1004,1,MATCH(COLUMNS($V$1006:AD1006),$V$1006:$AE$1006,0)))),"Fix")))</f>
        <v>0</v>
      </c>
      <c r="K859" s="3">
        <f>IF(OR(INDEX($P$2:$P$1001,MATCH(ROWS($O$2:O859),$O$2:$O$1001,0),1)&gt;=100000,INDEX($V$1005:$AE$1005,1,MATCH(COLUMNS($V$1006:AE1006),$V$1006:$AE$1006,0))&gt;=100000), " ",IF(INDEX($V$2:$AE$1001,MATCH(ROWS($O$2:O859),$O$2:$O$1001,0),MATCH(COLUMNS($V$1006:AE1006),$V$1006:$AE$1006,0)), HYPERLINK("#",""), HYPERLINK(CONCATENATE("#Metadata!", ADDRESS(INDEX($Q$2:$Q$1001,MATCH(ROWS($O$2:O859),$O$2:$O$1001,0),0), INDEX($V$1004:$AE$1004,1,MATCH(COLUMNS($V$1006:AE1006),$V$1006:$AE$1006,0)))),"Fix")))</f>
        <v>0</v>
      </c>
      <c r="O859">
        <v>0</v>
      </c>
      <c r="P859">
        <v>0</v>
      </c>
      <c r="Q859">
        <v>0</v>
      </c>
      <c r="R859">
        <f>IF(S859,TRUE,AND(V859:AE859))</f>
        <v>0</v>
      </c>
      <c r="S859">
        <f>COUNTBLANK(Metadata!B859:K859)=COLUMNS(Metadata!B859:K859)</f>
        <v>0</v>
      </c>
      <c r="T859">
        <v>0</v>
      </c>
      <c r="V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W859">
        <f>AND(IF(Metadata!C859="",FALSE,TRUE),exact(Metadata!C859,"animal secretion"))</f>
        <v>0</v>
      </c>
      <c r="X859">
        <f>AND(IF(Metadata!D859="",FALSE,TRUE),exact(Metadata!D859,"saliva"))</f>
        <v>0</v>
      </c>
      <c r="Y859">
        <f>AND(IF(Metadata!E859="",FALSE,TRUE),exact(Metadata!E859,"human-oral"))</f>
        <v>0</v>
      </c>
      <c r="Z859">
        <f>AND(IF(Metadata!F859="",FALSE,TRUE),exact(Metadata!F859,"UBERON:oral cavity"))</f>
        <v>0</v>
      </c>
      <c r="AA859">
        <f>AND(IF(Metadata!G859="",FALSE,TRUE),exact(Metadata!G859,"UBERON:saliva"))</f>
        <v>0</v>
      </c>
      <c r="AB859">
        <f>AND(IF(Metadata!H859="",FALSE,TRUE),exact(Metadata!H859,"UBERON:tongue"))</f>
        <v>0</v>
      </c>
      <c r="AC859">
        <f>AND(IF(Metadata!I859="",FALSE,TRUE),exact(Metadata!I859,"tongue"))</f>
        <v>0</v>
      </c>
      <c r="AD859">
        <f>AND(IF(Metadata!J859="",FALSE,TRUE),exact(Metadata!J859,"human oral metagenome"))</f>
        <v>0</v>
      </c>
      <c r="AE859">
        <f>AND(IF(Metadata!K859="",FALSE,TRUE),exact(Metadata!K859,"447426"))</f>
        <v>0</v>
      </c>
    </row>
    <row r="860" spans="1:31">
      <c r="A860" s="4">
        <f>IF(B860=" "," ",HYPERLINK(CONCATENATE("#metadata!",ADDRESS(INDEX($Q$2:$Q$1001,MATCH(ROWS($O$2:O860),$O$2:$O$1001,0),0),1)),INDEX($T$2:$T$1001,MATCH(ROWS($O$2:O860),$O$2:$O$1001,0),0)))</f>
        <v>0</v>
      </c>
      <c r="B860" s="3">
        <f>IF(OR(INDEX($P$2:$P$1001,MATCH(ROWS($O$2:O860),$O$2:$O$1001,0),1)&gt;=100000,INDEX($V$1005:$AE$1005,1,MATCH(COLUMNS($V$1006:V1006),$V$1006:$AE$1006,0))&gt;=100000), " ",IF(INDEX($V$2:$AE$1001,MATCH(ROWS($O$2:O860),$O$2:$O$1001,0),MATCH(COLUMNS($V$1006:V1006),$V$1006:$AE$1006,0)), HYPERLINK("#",""), HYPERLINK(CONCATENATE("#Metadata!", ADDRESS(INDEX($Q$2:$Q$1001,MATCH(ROWS($O$2:O860),$O$2:$O$1001,0),0), INDEX($V$1004:$AE$1004,1,MATCH(COLUMNS($V$1006:V1006),$V$1006:$AE$1006,0)))),"Fix")))</f>
        <v>0</v>
      </c>
      <c r="C860" s="3">
        <f>IF(OR(INDEX($P$2:$P$1001,MATCH(ROWS($O$2:O860),$O$2:$O$1001,0),1)&gt;=100000,INDEX($V$1005:$AE$1005,1,MATCH(COLUMNS($V$1006:W1006),$V$1006:$AE$1006,0))&gt;=100000), " ",IF(INDEX($V$2:$AE$1001,MATCH(ROWS($O$2:O860),$O$2:$O$1001,0),MATCH(COLUMNS($V$1006:W1006),$V$1006:$AE$1006,0)), HYPERLINK("#",""), HYPERLINK(CONCATENATE("#Metadata!", ADDRESS(INDEX($Q$2:$Q$1001,MATCH(ROWS($O$2:O860),$O$2:$O$1001,0),0), INDEX($V$1004:$AE$1004,1,MATCH(COLUMNS($V$1006:W1006),$V$1006:$AE$1006,0)))),"Fix")))</f>
        <v>0</v>
      </c>
      <c r="D860" s="3">
        <f>IF(OR(INDEX($P$2:$P$1001,MATCH(ROWS($O$2:O860),$O$2:$O$1001,0),1)&gt;=100000,INDEX($V$1005:$AE$1005,1,MATCH(COLUMNS($V$1006:X1006),$V$1006:$AE$1006,0))&gt;=100000), " ",IF(INDEX($V$2:$AE$1001,MATCH(ROWS($O$2:O860),$O$2:$O$1001,0),MATCH(COLUMNS($V$1006:X1006),$V$1006:$AE$1006,0)), HYPERLINK("#",""), HYPERLINK(CONCATENATE("#Metadata!", ADDRESS(INDEX($Q$2:$Q$1001,MATCH(ROWS($O$2:O860),$O$2:$O$1001,0),0), INDEX($V$1004:$AE$1004,1,MATCH(COLUMNS($V$1006:X1006),$V$1006:$AE$1006,0)))),"Fix")))</f>
        <v>0</v>
      </c>
      <c r="E860" s="3">
        <f>IF(OR(INDEX($P$2:$P$1001,MATCH(ROWS($O$2:O860),$O$2:$O$1001,0),1)&gt;=100000,INDEX($V$1005:$AE$1005,1,MATCH(COLUMNS($V$1006:Y1006),$V$1006:$AE$1006,0))&gt;=100000), " ",IF(INDEX($V$2:$AE$1001,MATCH(ROWS($O$2:O860),$O$2:$O$1001,0),MATCH(COLUMNS($V$1006:Y1006),$V$1006:$AE$1006,0)), HYPERLINK("#",""), HYPERLINK(CONCATENATE("#Metadata!", ADDRESS(INDEX($Q$2:$Q$1001,MATCH(ROWS($O$2:O860),$O$2:$O$1001,0),0), INDEX($V$1004:$AE$1004,1,MATCH(COLUMNS($V$1006:Y1006),$V$1006:$AE$1006,0)))),"Fix")))</f>
        <v>0</v>
      </c>
      <c r="F860" s="3">
        <f>IF(OR(INDEX($P$2:$P$1001,MATCH(ROWS($O$2:O860),$O$2:$O$1001,0),1)&gt;=100000,INDEX($V$1005:$AE$1005,1,MATCH(COLUMNS($V$1006:Z1006),$V$1006:$AE$1006,0))&gt;=100000), " ",IF(INDEX($V$2:$AE$1001,MATCH(ROWS($O$2:O860),$O$2:$O$1001,0),MATCH(COLUMNS($V$1006:Z1006),$V$1006:$AE$1006,0)), HYPERLINK("#",""), HYPERLINK(CONCATENATE("#Metadata!", ADDRESS(INDEX($Q$2:$Q$1001,MATCH(ROWS($O$2:O860),$O$2:$O$1001,0),0), INDEX($V$1004:$AE$1004,1,MATCH(COLUMNS($V$1006:Z1006),$V$1006:$AE$1006,0)))),"Fix")))</f>
        <v>0</v>
      </c>
      <c r="G860" s="3">
        <f>IF(OR(INDEX($P$2:$P$1001,MATCH(ROWS($O$2:O860),$O$2:$O$1001,0),1)&gt;=100000,INDEX($V$1005:$AE$1005,1,MATCH(COLUMNS($V$1006:AA1006),$V$1006:$AE$1006,0))&gt;=100000), " ",IF(INDEX($V$2:$AE$1001,MATCH(ROWS($O$2:O860),$O$2:$O$1001,0),MATCH(COLUMNS($V$1006:AA1006),$V$1006:$AE$1006,0)), HYPERLINK("#",""), HYPERLINK(CONCATENATE("#Metadata!", ADDRESS(INDEX($Q$2:$Q$1001,MATCH(ROWS($O$2:O860),$O$2:$O$1001,0),0), INDEX($V$1004:$AE$1004,1,MATCH(COLUMNS($V$1006:AA1006),$V$1006:$AE$1006,0)))),"Fix")))</f>
        <v>0</v>
      </c>
      <c r="H860" s="3">
        <f>IF(OR(INDEX($P$2:$P$1001,MATCH(ROWS($O$2:O860),$O$2:$O$1001,0),1)&gt;=100000,INDEX($V$1005:$AE$1005,1,MATCH(COLUMNS($V$1006:AB1006),$V$1006:$AE$1006,0))&gt;=100000), " ",IF(INDEX($V$2:$AE$1001,MATCH(ROWS($O$2:O860),$O$2:$O$1001,0),MATCH(COLUMNS($V$1006:AB1006),$V$1006:$AE$1006,0)), HYPERLINK("#",""), HYPERLINK(CONCATENATE("#Metadata!", ADDRESS(INDEX($Q$2:$Q$1001,MATCH(ROWS($O$2:O860),$O$2:$O$1001,0),0), INDEX($V$1004:$AE$1004,1,MATCH(COLUMNS($V$1006:AB1006),$V$1006:$AE$1006,0)))),"Fix")))</f>
        <v>0</v>
      </c>
      <c r="I860" s="3">
        <f>IF(OR(INDEX($P$2:$P$1001,MATCH(ROWS($O$2:O860),$O$2:$O$1001,0),1)&gt;=100000,INDEX($V$1005:$AE$1005,1,MATCH(COLUMNS($V$1006:AC1006),$V$1006:$AE$1006,0))&gt;=100000), " ",IF(INDEX($V$2:$AE$1001,MATCH(ROWS($O$2:O860),$O$2:$O$1001,0),MATCH(COLUMNS($V$1006:AC1006),$V$1006:$AE$1006,0)), HYPERLINK("#",""), HYPERLINK(CONCATENATE("#Metadata!", ADDRESS(INDEX($Q$2:$Q$1001,MATCH(ROWS($O$2:O860),$O$2:$O$1001,0),0), INDEX($V$1004:$AE$1004,1,MATCH(COLUMNS($V$1006:AC1006),$V$1006:$AE$1006,0)))),"Fix")))</f>
        <v>0</v>
      </c>
      <c r="J860" s="3">
        <f>IF(OR(INDEX($P$2:$P$1001,MATCH(ROWS($O$2:O860),$O$2:$O$1001,0),1)&gt;=100000,INDEX($V$1005:$AE$1005,1,MATCH(COLUMNS($V$1006:AD1006),$V$1006:$AE$1006,0))&gt;=100000), " ",IF(INDEX($V$2:$AE$1001,MATCH(ROWS($O$2:O860),$O$2:$O$1001,0),MATCH(COLUMNS($V$1006:AD1006),$V$1006:$AE$1006,0)), HYPERLINK("#",""), HYPERLINK(CONCATENATE("#Metadata!", ADDRESS(INDEX($Q$2:$Q$1001,MATCH(ROWS($O$2:O860),$O$2:$O$1001,0),0), INDEX($V$1004:$AE$1004,1,MATCH(COLUMNS($V$1006:AD1006),$V$1006:$AE$1006,0)))),"Fix")))</f>
        <v>0</v>
      </c>
      <c r="K860" s="3">
        <f>IF(OR(INDEX($P$2:$P$1001,MATCH(ROWS($O$2:O860),$O$2:$O$1001,0),1)&gt;=100000,INDEX($V$1005:$AE$1005,1,MATCH(COLUMNS($V$1006:AE1006),$V$1006:$AE$1006,0))&gt;=100000), " ",IF(INDEX($V$2:$AE$1001,MATCH(ROWS($O$2:O860),$O$2:$O$1001,0),MATCH(COLUMNS($V$1006:AE1006),$V$1006:$AE$1006,0)), HYPERLINK("#",""), HYPERLINK(CONCATENATE("#Metadata!", ADDRESS(INDEX($Q$2:$Q$1001,MATCH(ROWS($O$2:O860),$O$2:$O$1001,0),0), INDEX($V$1004:$AE$1004,1,MATCH(COLUMNS($V$1006:AE1006),$V$1006:$AE$1006,0)))),"Fix")))</f>
        <v>0</v>
      </c>
      <c r="O860">
        <v>0</v>
      </c>
      <c r="P860">
        <v>0</v>
      </c>
      <c r="Q860">
        <v>0</v>
      </c>
      <c r="R860">
        <f>IF(S860,TRUE,AND(V860:AE860))</f>
        <v>0</v>
      </c>
      <c r="S860">
        <f>COUNTBLANK(Metadata!B860:K860)=COLUMNS(Metadata!B860:K860)</f>
        <v>0</v>
      </c>
      <c r="T860">
        <v>0</v>
      </c>
      <c r="V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W860">
        <f>AND(IF(Metadata!C860="",FALSE,TRUE),exact(Metadata!C860,"animal secretion"))</f>
        <v>0</v>
      </c>
      <c r="X860">
        <f>AND(IF(Metadata!D860="",FALSE,TRUE),exact(Metadata!D860,"saliva"))</f>
        <v>0</v>
      </c>
      <c r="Y860">
        <f>AND(IF(Metadata!E860="",FALSE,TRUE),exact(Metadata!E860,"human-oral"))</f>
        <v>0</v>
      </c>
      <c r="Z860">
        <f>AND(IF(Metadata!F860="",FALSE,TRUE),exact(Metadata!F860,"UBERON:oral cavity"))</f>
        <v>0</v>
      </c>
      <c r="AA860">
        <f>AND(IF(Metadata!G860="",FALSE,TRUE),exact(Metadata!G860,"UBERON:saliva"))</f>
        <v>0</v>
      </c>
      <c r="AB860">
        <f>AND(IF(Metadata!H860="",FALSE,TRUE),exact(Metadata!H860,"UBERON:tongue"))</f>
        <v>0</v>
      </c>
      <c r="AC860">
        <f>AND(IF(Metadata!I860="",FALSE,TRUE),exact(Metadata!I860,"tongue"))</f>
        <v>0</v>
      </c>
      <c r="AD860">
        <f>AND(IF(Metadata!J860="",FALSE,TRUE),exact(Metadata!J860,"human oral metagenome"))</f>
        <v>0</v>
      </c>
      <c r="AE860">
        <f>AND(IF(Metadata!K860="",FALSE,TRUE),exact(Metadata!K860,"447426"))</f>
        <v>0</v>
      </c>
    </row>
    <row r="861" spans="1:31">
      <c r="A861" s="4">
        <f>IF(B861=" "," ",HYPERLINK(CONCATENATE("#metadata!",ADDRESS(INDEX($Q$2:$Q$1001,MATCH(ROWS($O$2:O861),$O$2:$O$1001,0),0),1)),INDEX($T$2:$T$1001,MATCH(ROWS($O$2:O861),$O$2:$O$1001,0),0)))</f>
        <v>0</v>
      </c>
      <c r="B861" s="3">
        <f>IF(OR(INDEX($P$2:$P$1001,MATCH(ROWS($O$2:O861),$O$2:$O$1001,0),1)&gt;=100000,INDEX($V$1005:$AE$1005,1,MATCH(COLUMNS($V$1006:V1006),$V$1006:$AE$1006,0))&gt;=100000), " ",IF(INDEX($V$2:$AE$1001,MATCH(ROWS($O$2:O861),$O$2:$O$1001,0),MATCH(COLUMNS($V$1006:V1006),$V$1006:$AE$1006,0)), HYPERLINK("#",""), HYPERLINK(CONCATENATE("#Metadata!", ADDRESS(INDEX($Q$2:$Q$1001,MATCH(ROWS($O$2:O861),$O$2:$O$1001,0),0), INDEX($V$1004:$AE$1004,1,MATCH(COLUMNS($V$1006:V1006),$V$1006:$AE$1006,0)))),"Fix")))</f>
        <v>0</v>
      </c>
      <c r="C861" s="3">
        <f>IF(OR(INDEX($P$2:$P$1001,MATCH(ROWS($O$2:O861),$O$2:$O$1001,0),1)&gt;=100000,INDEX($V$1005:$AE$1005,1,MATCH(COLUMNS($V$1006:W1006),$V$1006:$AE$1006,0))&gt;=100000), " ",IF(INDEX($V$2:$AE$1001,MATCH(ROWS($O$2:O861),$O$2:$O$1001,0),MATCH(COLUMNS($V$1006:W1006),$V$1006:$AE$1006,0)), HYPERLINK("#",""), HYPERLINK(CONCATENATE("#Metadata!", ADDRESS(INDEX($Q$2:$Q$1001,MATCH(ROWS($O$2:O861),$O$2:$O$1001,0),0), INDEX($V$1004:$AE$1004,1,MATCH(COLUMNS($V$1006:W1006),$V$1006:$AE$1006,0)))),"Fix")))</f>
        <v>0</v>
      </c>
      <c r="D861" s="3">
        <f>IF(OR(INDEX($P$2:$P$1001,MATCH(ROWS($O$2:O861),$O$2:$O$1001,0),1)&gt;=100000,INDEX($V$1005:$AE$1005,1,MATCH(COLUMNS($V$1006:X1006),$V$1006:$AE$1006,0))&gt;=100000), " ",IF(INDEX($V$2:$AE$1001,MATCH(ROWS($O$2:O861),$O$2:$O$1001,0),MATCH(COLUMNS($V$1006:X1006),$V$1006:$AE$1006,0)), HYPERLINK("#",""), HYPERLINK(CONCATENATE("#Metadata!", ADDRESS(INDEX($Q$2:$Q$1001,MATCH(ROWS($O$2:O861),$O$2:$O$1001,0),0), INDEX($V$1004:$AE$1004,1,MATCH(COLUMNS($V$1006:X1006),$V$1006:$AE$1006,0)))),"Fix")))</f>
        <v>0</v>
      </c>
      <c r="E861" s="3">
        <f>IF(OR(INDEX($P$2:$P$1001,MATCH(ROWS($O$2:O861),$O$2:$O$1001,0),1)&gt;=100000,INDEX($V$1005:$AE$1005,1,MATCH(COLUMNS($V$1006:Y1006),$V$1006:$AE$1006,0))&gt;=100000), " ",IF(INDEX($V$2:$AE$1001,MATCH(ROWS($O$2:O861),$O$2:$O$1001,0),MATCH(COLUMNS($V$1006:Y1006),$V$1006:$AE$1006,0)), HYPERLINK("#",""), HYPERLINK(CONCATENATE("#Metadata!", ADDRESS(INDEX($Q$2:$Q$1001,MATCH(ROWS($O$2:O861),$O$2:$O$1001,0),0), INDEX($V$1004:$AE$1004,1,MATCH(COLUMNS($V$1006:Y1006),$V$1006:$AE$1006,0)))),"Fix")))</f>
        <v>0</v>
      </c>
      <c r="F861" s="3">
        <f>IF(OR(INDEX($P$2:$P$1001,MATCH(ROWS($O$2:O861),$O$2:$O$1001,0),1)&gt;=100000,INDEX($V$1005:$AE$1005,1,MATCH(COLUMNS($V$1006:Z1006),$V$1006:$AE$1006,0))&gt;=100000), " ",IF(INDEX($V$2:$AE$1001,MATCH(ROWS($O$2:O861),$O$2:$O$1001,0),MATCH(COLUMNS($V$1006:Z1006),$V$1006:$AE$1006,0)), HYPERLINK("#",""), HYPERLINK(CONCATENATE("#Metadata!", ADDRESS(INDEX($Q$2:$Q$1001,MATCH(ROWS($O$2:O861),$O$2:$O$1001,0),0), INDEX($V$1004:$AE$1004,1,MATCH(COLUMNS($V$1006:Z1006),$V$1006:$AE$1006,0)))),"Fix")))</f>
        <v>0</v>
      </c>
      <c r="G861" s="3">
        <f>IF(OR(INDEX($P$2:$P$1001,MATCH(ROWS($O$2:O861),$O$2:$O$1001,0),1)&gt;=100000,INDEX($V$1005:$AE$1005,1,MATCH(COLUMNS($V$1006:AA1006),$V$1006:$AE$1006,0))&gt;=100000), " ",IF(INDEX($V$2:$AE$1001,MATCH(ROWS($O$2:O861),$O$2:$O$1001,0),MATCH(COLUMNS($V$1006:AA1006),$V$1006:$AE$1006,0)), HYPERLINK("#",""), HYPERLINK(CONCATENATE("#Metadata!", ADDRESS(INDEX($Q$2:$Q$1001,MATCH(ROWS($O$2:O861),$O$2:$O$1001,0),0), INDEX($V$1004:$AE$1004,1,MATCH(COLUMNS($V$1006:AA1006),$V$1006:$AE$1006,0)))),"Fix")))</f>
        <v>0</v>
      </c>
      <c r="H861" s="3">
        <f>IF(OR(INDEX($P$2:$P$1001,MATCH(ROWS($O$2:O861),$O$2:$O$1001,0),1)&gt;=100000,INDEX($V$1005:$AE$1005,1,MATCH(COLUMNS($V$1006:AB1006),$V$1006:$AE$1006,0))&gt;=100000), " ",IF(INDEX($V$2:$AE$1001,MATCH(ROWS($O$2:O861),$O$2:$O$1001,0),MATCH(COLUMNS($V$1006:AB1006),$V$1006:$AE$1006,0)), HYPERLINK("#",""), HYPERLINK(CONCATENATE("#Metadata!", ADDRESS(INDEX($Q$2:$Q$1001,MATCH(ROWS($O$2:O861),$O$2:$O$1001,0),0), INDEX($V$1004:$AE$1004,1,MATCH(COLUMNS($V$1006:AB1006),$V$1006:$AE$1006,0)))),"Fix")))</f>
        <v>0</v>
      </c>
      <c r="I861" s="3">
        <f>IF(OR(INDEX($P$2:$P$1001,MATCH(ROWS($O$2:O861),$O$2:$O$1001,0),1)&gt;=100000,INDEX($V$1005:$AE$1005,1,MATCH(COLUMNS($V$1006:AC1006),$V$1006:$AE$1006,0))&gt;=100000), " ",IF(INDEX($V$2:$AE$1001,MATCH(ROWS($O$2:O861),$O$2:$O$1001,0),MATCH(COLUMNS($V$1006:AC1006),$V$1006:$AE$1006,0)), HYPERLINK("#",""), HYPERLINK(CONCATENATE("#Metadata!", ADDRESS(INDEX($Q$2:$Q$1001,MATCH(ROWS($O$2:O861),$O$2:$O$1001,0),0), INDEX($V$1004:$AE$1004,1,MATCH(COLUMNS($V$1006:AC1006),$V$1006:$AE$1006,0)))),"Fix")))</f>
        <v>0</v>
      </c>
      <c r="J861" s="3">
        <f>IF(OR(INDEX($P$2:$P$1001,MATCH(ROWS($O$2:O861),$O$2:$O$1001,0),1)&gt;=100000,INDEX($V$1005:$AE$1005,1,MATCH(COLUMNS($V$1006:AD1006),$V$1006:$AE$1006,0))&gt;=100000), " ",IF(INDEX($V$2:$AE$1001,MATCH(ROWS($O$2:O861),$O$2:$O$1001,0),MATCH(COLUMNS($V$1006:AD1006),$V$1006:$AE$1006,0)), HYPERLINK("#",""), HYPERLINK(CONCATENATE("#Metadata!", ADDRESS(INDEX($Q$2:$Q$1001,MATCH(ROWS($O$2:O861),$O$2:$O$1001,0),0), INDEX($V$1004:$AE$1004,1,MATCH(COLUMNS($V$1006:AD1006),$V$1006:$AE$1006,0)))),"Fix")))</f>
        <v>0</v>
      </c>
      <c r="K861" s="3">
        <f>IF(OR(INDEX($P$2:$P$1001,MATCH(ROWS($O$2:O861),$O$2:$O$1001,0),1)&gt;=100000,INDEX($V$1005:$AE$1005,1,MATCH(COLUMNS($V$1006:AE1006),$V$1006:$AE$1006,0))&gt;=100000), " ",IF(INDEX($V$2:$AE$1001,MATCH(ROWS($O$2:O861),$O$2:$O$1001,0),MATCH(COLUMNS($V$1006:AE1006),$V$1006:$AE$1006,0)), HYPERLINK("#",""), HYPERLINK(CONCATENATE("#Metadata!", ADDRESS(INDEX($Q$2:$Q$1001,MATCH(ROWS($O$2:O861),$O$2:$O$1001,0),0), INDEX($V$1004:$AE$1004,1,MATCH(COLUMNS($V$1006:AE1006),$V$1006:$AE$1006,0)))),"Fix")))</f>
        <v>0</v>
      </c>
      <c r="O861">
        <v>0</v>
      </c>
      <c r="P861">
        <v>0</v>
      </c>
      <c r="Q861">
        <v>0</v>
      </c>
      <c r="R861">
        <f>IF(S861,TRUE,AND(V861:AE861))</f>
        <v>0</v>
      </c>
      <c r="S861">
        <f>COUNTBLANK(Metadata!B861:K861)=COLUMNS(Metadata!B861:K861)</f>
        <v>0</v>
      </c>
      <c r="T861">
        <v>0</v>
      </c>
      <c r="V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W861">
        <f>AND(IF(Metadata!C861="",FALSE,TRUE),exact(Metadata!C861,"animal secretion"))</f>
        <v>0</v>
      </c>
      <c r="X861">
        <f>AND(IF(Metadata!D861="",FALSE,TRUE),exact(Metadata!D861,"saliva"))</f>
        <v>0</v>
      </c>
      <c r="Y861">
        <f>AND(IF(Metadata!E861="",FALSE,TRUE),exact(Metadata!E861,"human-oral"))</f>
        <v>0</v>
      </c>
      <c r="Z861">
        <f>AND(IF(Metadata!F861="",FALSE,TRUE),exact(Metadata!F861,"UBERON:oral cavity"))</f>
        <v>0</v>
      </c>
      <c r="AA861">
        <f>AND(IF(Metadata!G861="",FALSE,TRUE),exact(Metadata!G861,"UBERON:saliva"))</f>
        <v>0</v>
      </c>
      <c r="AB861">
        <f>AND(IF(Metadata!H861="",FALSE,TRUE),exact(Metadata!H861,"UBERON:tongue"))</f>
        <v>0</v>
      </c>
      <c r="AC861">
        <f>AND(IF(Metadata!I861="",FALSE,TRUE),exact(Metadata!I861,"tongue"))</f>
        <v>0</v>
      </c>
      <c r="AD861">
        <f>AND(IF(Metadata!J861="",FALSE,TRUE),exact(Metadata!J861,"human oral metagenome"))</f>
        <v>0</v>
      </c>
      <c r="AE861">
        <f>AND(IF(Metadata!K861="",FALSE,TRUE),exact(Metadata!K861,"447426"))</f>
        <v>0</v>
      </c>
    </row>
    <row r="862" spans="1:31">
      <c r="A862" s="4">
        <f>IF(B862=" "," ",HYPERLINK(CONCATENATE("#metadata!",ADDRESS(INDEX($Q$2:$Q$1001,MATCH(ROWS($O$2:O862),$O$2:$O$1001,0),0),1)),INDEX($T$2:$T$1001,MATCH(ROWS($O$2:O862),$O$2:$O$1001,0),0)))</f>
        <v>0</v>
      </c>
      <c r="B862" s="3">
        <f>IF(OR(INDEX($P$2:$P$1001,MATCH(ROWS($O$2:O862),$O$2:$O$1001,0),1)&gt;=100000,INDEX($V$1005:$AE$1005,1,MATCH(COLUMNS($V$1006:V1006),$V$1006:$AE$1006,0))&gt;=100000), " ",IF(INDEX($V$2:$AE$1001,MATCH(ROWS($O$2:O862),$O$2:$O$1001,0),MATCH(COLUMNS($V$1006:V1006),$V$1006:$AE$1006,0)), HYPERLINK("#",""), HYPERLINK(CONCATENATE("#Metadata!", ADDRESS(INDEX($Q$2:$Q$1001,MATCH(ROWS($O$2:O862),$O$2:$O$1001,0),0), INDEX($V$1004:$AE$1004,1,MATCH(COLUMNS($V$1006:V1006),$V$1006:$AE$1006,0)))),"Fix")))</f>
        <v>0</v>
      </c>
      <c r="C862" s="3">
        <f>IF(OR(INDEX($P$2:$P$1001,MATCH(ROWS($O$2:O862),$O$2:$O$1001,0),1)&gt;=100000,INDEX($V$1005:$AE$1005,1,MATCH(COLUMNS($V$1006:W1006),$V$1006:$AE$1006,0))&gt;=100000), " ",IF(INDEX($V$2:$AE$1001,MATCH(ROWS($O$2:O862),$O$2:$O$1001,0),MATCH(COLUMNS($V$1006:W1006),$V$1006:$AE$1006,0)), HYPERLINK("#",""), HYPERLINK(CONCATENATE("#Metadata!", ADDRESS(INDEX($Q$2:$Q$1001,MATCH(ROWS($O$2:O862),$O$2:$O$1001,0),0), INDEX($V$1004:$AE$1004,1,MATCH(COLUMNS($V$1006:W1006),$V$1006:$AE$1006,0)))),"Fix")))</f>
        <v>0</v>
      </c>
      <c r="D862" s="3">
        <f>IF(OR(INDEX($P$2:$P$1001,MATCH(ROWS($O$2:O862),$O$2:$O$1001,0),1)&gt;=100000,INDEX($V$1005:$AE$1005,1,MATCH(COLUMNS($V$1006:X1006),$V$1006:$AE$1006,0))&gt;=100000), " ",IF(INDEX($V$2:$AE$1001,MATCH(ROWS($O$2:O862),$O$2:$O$1001,0),MATCH(COLUMNS($V$1006:X1006),$V$1006:$AE$1006,0)), HYPERLINK("#",""), HYPERLINK(CONCATENATE("#Metadata!", ADDRESS(INDEX($Q$2:$Q$1001,MATCH(ROWS($O$2:O862),$O$2:$O$1001,0),0), INDEX($V$1004:$AE$1004,1,MATCH(COLUMNS($V$1006:X1006),$V$1006:$AE$1006,0)))),"Fix")))</f>
        <v>0</v>
      </c>
      <c r="E862" s="3">
        <f>IF(OR(INDEX($P$2:$P$1001,MATCH(ROWS($O$2:O862),$O$2:$O$1001,0),1)&gt;=100000,INDEX($V$1005:$AE$1005,1,MATCH(COLUMNS($V$1006:Y1006),$V$1006:$AE$1006,0))&gt;=100000), " ",IF(INDEX($V$2:$AE$1001,MATCH(ROWS($O$2:O862),$O$2:$O$1001,0),MATCH(COLUMNS($V$1006:Y1006),$V$1006:$AE$1006,0)), HYPERLINK("#",""), HYPERLINK(CONCATENATE("#Metadata!", ADDRESS(INDEX($Q$2:$Q$1001,MATCH(ROWS($O$2:O862),$O$2:$O$1001,0),0), INDEX($V$1004:$AE$1004,1,MATCH(COLUMNS($V$1006:Y1006),$V$1006:$AE$1006,0)))),"Fix")))</f>
        <v>0</v>
      </c>
      <c r="F862" s="3">
        <f>IF(OR(INDEX($P$2:$P$1001,MATCH(ROWS($O$2:O862),$O$2:$O$1001,0),1)&gt;=100000,INDEX($V$1005:$AE$1005,1,MATCH(COLUMNS($V$1006:Z1006),$V$1006:$AE$1006,0))&gt;=100000), " ",IF(INDEX($V$2:$AE$1001,MATCH(ROWS($O$2:O862),$O$2:$O$1001,0),MATCH(COLUMNS($V$1006:Z1006),$V$1006:$AE$1006,0)), HYPERLINK("#",""), HYPERLINK(CONCATENATE("#Metadata!", ADDRESS(INDEX($Q$2:$Q$1001,MATCH(ROWS($O$2:O862),$O$2:$O$1001,0),0), INDEX($V$1004:$AE$1004,1,MATCH(COLUMNS($V$1006:Z1006),$V$1006:$AE$1006,0)))),"Fix")))</f>
        <v>0</v>
      </c>
      <c r="G862" s="3">
        <f>IF(OR(INDEX($P$2:$P$1001,MATCH(ROWS($O$2:O862),$O$2:$O$1001,0),1)&gt;=100000,INDEX($V$1005:$AE$1005,1,MATCH(COLUMNS($V$1006:AA1006),$V$1006:$AE$1006,0))&gt;=100000), " ",IF(INDEX($V$2:$AE$1001,MATCH(ROWS($O$2:O862),$O$2:$O$1001,0),MATCH(COLUMNS($V$1006:AA1006),$V$1006:$AE$1006,0)), HYPERLINK("#",""), HYPERLINK(CONCATENATE("#Metadata!", ADDRESS(INDEX($Q$2:$Q$1001,MATCH(ROWS($O$2:O862),$O$2:$O$1001,0),0), INDEX($V$1004:$AE$1004,1,MATCH(COLUMNS($V$1006:AA1006),$V$1006:$AE$1006,0)))),"Fix")))</f>
        <v>0</v>
      </c>
      <c r="H862" s="3">
        <f>IF(OR(INDEX($P$2:$P$1001,MATCH(ROWS($O$2:O862),$O$2:$O$1001,0),1)&gt;=100000,INDEX($V$1005:$AE$1005,1,MATCH(COLUMNS($V$1006:AB1006),$V$1006:$AE$1006,0))&gt;=100000), " ",IF(INDEX($V$2:$AE$1001,MATCH(ROWS($O$2:O862),$O$2:$O$1001,0),MATCH(COLUMNS($V$1006:AB1006),$V$1006:$AE$1006,0)), HYPERLINK("#",""), HYPERLINK(CONCATENATE("#Metadata!", ADDRESS(INDEX($Q$2:$Q$1001,MATCH(ROWS($O$2:O862),$O$2:$O$1001,0),0), INDEX($V$1004:$AE$1004,1,MATCH(COLUMNS($V$1006:AB1006),$V$1006:$AE$1006,0)))),"Fix")))</f>
        <v>0</v>
      </c>
      <c r="I862" s="3">
        <f>IF(OR(INDEX($P$2:$P$1001,MATCH(ROWS($O$2:O862),$O$2:$O$1001,0),1)&gt;=100000,INDEX($V$1005:$AE$1005,1,MATCH(COLUMNS($V$1006:AC1006),$V$1006:$AE$1006,0))&gt;=100000), " ",IF(INDEX($V$2:$AE$1001,MATCH(ROWS($O$2:O862),$O$2:$O$1001,0),MATCH(COLUMNS($V$1006:AC1006),$V$1006:$AE$1006,0)), HYPERLINK("#",""), HYPERLINK(CONCATENATE("#Metadata!", ADDRESS(INDEX($Q$2:$Q$1001,MATCH(ROWS($O$2:O862),$O$2:$O$1001,0),0), INDEX($V$1004:$AE$1004,1,MATCH(COLUMNS($V$1006:AC1006),$V$1006:$AE$1006,0)))),"Fix")))</f>
        <v>0</v>
      </c>
      <c r="J862" s="3">
        <f>IF(OR(INDEX($P$2:$P$1001,MATCH(ROWS($O$2:O862),$O$2:$O$1001,0),1)&gt;=100000,INDEX($V$1005:$AE$1005,1,MATCH(COLUMNS($V$1006:AD1006),$V$1006:$AE$1006,0))&gt;=100000), " ",IF(INDEX($V$2:$AE$1001,MATCH(ROWS($O$2:O862),$O$2:$O$1001,0),MATCH(COLUMNS($V$1006:AD1006),$V$1006:$AE$1006,0)), HYPERLINK("#",""), HYPERLINK(CONCATENATE("#Metadata!", ADDRESS(INDEX($Q$2:$Q$1001,MATCH(ROWS($O$2:O862),$O$2:$O$1001,0),0), INDEX($V$1004:$AE$1004,1,MATCH(COLUMNS($V$1006:AD1006),$V$1006:$AE$1006,0)))),"Fix")))</f>
        <v>0</v>
      </c>
      <c r="K862" s="3">
        <f>IF(OR(INDEX($P$2:$P$1001,MATCH(ROWS($O$2:O862),$O$2:$O$1001,0),1)&gt;=100000,INDEX($V$1005:$AE$1005,1,MATCH(COLUMNS($V$1006:AE1006),$V$1006:$AE$1006,0))&gt;=100000), " ",IF(INDEX($V$2:$AE$1001,MATCH(ROWS($O$2:O862),$O$2:$O$1001,0),MATCH(COLUMNS($V$1006:AE1006),$V$1006:$AE$1006,0)), HYPERLINK("#",""), HYPERLINK(CONCATENATE("#Metadata!", ADDRESS(INDEX($Q$2:$Q$1001,MATCH(ROWS($O$2:O862),$O$2:$O$1001,0),0), INDEX($V$1004:$AE$1004,1,MATCH(COLUMNS($V$1006:AE1006),$V$1006:$AE$1006,0)))),"Fix")))</f>
        <v>0</v>
      </c>
      <c r="O862">
        <v>0</v>
      </c>
      <c r="P862">
        <v>0</v>
      </c>
      <c r="Q862">
        <v>0</v>
      </c>
      <c r="R862">
        <f>IF(S862,TRUE,AND(V862:AE862))</f>
        <v>0</v>
      </c>
      <c r="S862">
        <f>COUNTBLANK(Metadata!B862:K862)=COLUMNS(Metadata!B862:K862)</f>
        <v>0</v>
      </c>
      <c r="T862">
        <v>0</v>
      </c>
      <c r="V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W862">
        <f>AND(IF(Metadata!C862="",FALSE,TRUE),exact(Metadata!C862,"animal secretion"))</f>
        <v>0</v>
      </c>
      <c r="X862">
        <f>AND(IF(Metadata!D862="",FALSE,TRUE),exact(Metadata!D862,"saliva"))</f>
        <v>0</v>
      </c>
      <c r="Y862">
        <f>AND(IF(Metadata!E862="",FALSE,TRUE),exact(Metadata!E862,"human-oral"))</f>
        <v>0</v>
      </c>
      <c r="Z862">
        <f>AND(IF(Metadata!F862="",FALSE,TRUE),exact(Metadata!F862,"UBERON:oral cavity"))</f>
        <v>0</v>
      </c>
      <c r="AA862">
        <f>AND(IF(Metadata!G862="",FALSE,TRUE),exact(Metadata!G862,"UBERON:saliva"))</f>
        <v>0</v>
      </c>
      <c r="AB862">
        <f>AND(IF(Metadata!H862="",FALSE,TRUE),exact(Metadata!H862,"UBERON:tongue"))</f>
        <v>0</v>
      </c>
      <c r="AC862">
        <f>AND(IF(Metadata!I862="",FALSE,TRUE),exact(Metadata!I862,"tongue"))</f>
        <v>0</v>
      </c>
      <c r="AD862">
        <f>AND(IF(Metadata!J862="",FALSE,TRUE),exact(Metadata!J862,"human oral metagenome"))</f>
        <v>0</v>
      </c>
      <c r="AE862">
        <f>AND(IF(Metadata!K862="",FALSE,TRUE),exact(Metadata!K862,"447426"))</f>
        <v>0</v>
      </c>
    </row>
    <row r="863" spans="1:31">
      <c r="A863" s="4">
        <f>IF(B863=" "," ",HYPERLINK(CONCATENATE("#metadata!",ADDRESS(INDEX($Q$2:$Q$1001,MATCH(ROWS($O$2:O863),$O$2:$O$1001,0),0),1)),INDEX($T$2:$T$1001,MATCH(ROWS($O$2:O863),$O$2:$O$1001,0),0)))</f>
        <v>0</v>
      </c>
      <c r="B863" s="3">
        <f>IF(OR(INDEX($P$2:$P$1001,MATCH(ROWS($O$2:O863),$O$2:$O$1001,0),1)&gt;=100000,INDEX($V$1005:$AE$1005,1,MATCH(COLUMNS($V$1006:V1006),$V$1006:$AE$1006,0))&gt;=100000), " ",IF(INDEX($V$2:$AE$1001,MATCH(ROWS($O$2:O863),$O$2:$O$1001,0),MATCH(COLUMNS($V$1006:V1006),$V$1006:$AE$1006,0)), HYPERLINK("#",""), HYPERLINK(CONCATENATE("#Metadata!", ADDRESS(INDEX($Q$2:$Q$1001,MATCH(ROWS($O$2:O863),$O$2:$O$1001,0),0), INDEX($V$1004:$AE$1004,1,MATCH(COLUMNS($V$1006:V1006),$V$1006:$AE$1006,0)))),"Fix")))</f>
        <v>0</v>
      </c>
      <c r="C863" s="3">
        <f>IF(OR(INDEX($P$2:$P$1001,MATCH(ROWS($O$2:O863),$O$2:$O$1001,0),1)&gt;=100000,INDEX($V$1005:$AE$1005,1,MATCH(COLUMNS($V$1006:W1006),$V$1006:$AE$1006,0))&gt;=100000), " ",IF(INDEX($V$2:$AE$1001,MATCH(ROWS($O$2:O863),$O$2:$O$1001,0),MATCH(COLUMNS($V$1006:W1006),$V$1006:$AE$1006,0)), HYPERLINK("#",""), HYPERLINK(CONCATENATE("#Metadata!", ADDRESS(INDEX($Q$2:$Q$1001,MATCH(ROWS($O$2:O863),$O$2:$O$1001,0),0), INDEX($V$1004:$AE$1004,1,MATCH(COLUMNS($V$1006:W1006),$V$1006:$AE$1006,0)))),"Fix")))</f>
        <v>0</v>
      </c>
      <c r="D863" s="3">
        <f>IF(OR(INDEX($P$2:$P$1001,MATCH(ROWS($O$2:O863),$O$2:$O$1001,0),1)&gt;=100000,INDEX($V$1005:$AE$1005,1,MATCH(COLUMNS($V$1006:X1006),$V$1006:$AE$1006,0))&gt;=100000), " ",IF(INDEX($V$2:$AE$1001,MATCH(ROWS($O$2:O863),$O$2:$O$1001,0),MATCH(COLUMNS($V$1006:X1006),$V$1006:$AE$1006,0)), HYPERLINK("#",""), HYPERLINK(CONCATENATE("#Metadata!", ADDRESS(INDEX($Q$2:$Q$1001,MATCH(ROWS($O$2:O863),$O$2:$O$1001,0),0), INDEX($V$1004:$AE$1004,1,MATCH(COLUMNS($V$1006:X1006),$V$1006:$AE$1006,0)))),"Fix")))</f>
        <v>0</v>
      </c>
      <c r="E863" s="3">
        <f>IF(OR(INDEX($P$2:$P$1001,MATCH(ROWS($O$2:O863),$O$2:$O$1001,0),1)&gt;=100000,INDEX($V$1005:$AE$1005,1,MATCH(COLUMNS($V$1006:Y1006),$V$1006:$AE$1006,0))&gt;=100000), " ",IF(INDEX($V$2:$AE$1001,MATCH(ROWS($O$2:O863),$O$2:$O$1001,0),MATCH(COLUMNS($V$1006:Y1006),$V$1006:$AE$1006,0)), HYPERLINK("#",""), HYPERLINK(CONCATENATE("#Metadata!", ADDRESS(INDEX($Q$2:$Q$1001,MATCH(ROWS($O$2:O863),$O$2:$O$1001,0),0), INDEX($V$1004:$AE$1004,1,MATCH(COLUMNS($V$1006:Y1006),$V$1006:$AE$1006,0)))),"Fix")))</f>
        <v>0</v>
      </c>
      <c r="F863" s="3">
        <f>IF(OR(INDEX($P$2:$P$1001,MATCH(ROWS($O$2:O863),$O$2:$O$1001,0),1)&gt;=100000,INDEX($V$1005:$AE$1005,1,MATCH(COLUMNS($V$1006:Z1006),$V$1006:$AE$1006,0))&gt;=100000), " ",IF(INDEX($V$2:$AE$1001,MATCH(ROWS($O$2:O863),$O$2:$O$1001,0),MATCH(COLUMNS($V$1006:Z1006),$V$1006:$AE$1006,0)), HYPERLINK("#",""), HYPERLINK(CONCATENATE("#Metadata!", ADDRESS(INDEX($Q$2:$Q$1001,MATCH(ROWS($O$2:O863),$O$2:$O$1001,0),0), INDEX($V$1004:$AE$1004,1,MATCH(COLUMNS($V$1006:Z1006),$V$1006:$AE$1006,0)))),"Fix")))</f>
        <v>0</v>
      </c>
      <c r="G863" s="3">
        <f>IF(OR(INDEX($P$2:$P$1001,MATCH(ROWS($O$2:O863),$O$2:$O$1001,0),1)&gt;=100000,INDEX($V$1005:$AE$1005,1,MATCH(COLUMNS($V$1006:AA1006),$V$1006:$AE$1006,0))&gt;=100000), " ",IF(INDEX($V$2:$AE$1001,MATCH(ROWS($O$2:O863),$O$2:$O$1001,0),MATCH(COLUMNS($V$1006:AA1006),$V$1006:$AE$1006,0)), HYPERLINK("#",""), HYPERLINK(CONCATENATE("#Metadata!", ADDRESS(INDEX($Q$2:$Q$1001,MATCH(ROWS($O$2:O863),$O$2:$O$1001,0),0), INDEX($V$1004:$AE$1004,1,MATCH(COLUMNS($V$1006:AA1006),$V$1006:$AE$1006,0)))),"Fix")))</f>
        <v>0</v>
      </c>
      <c r="H863" s="3">
        <f>IF(OR(INDEX($P$2:$P$1001,MATCH(ROWS($O$2:O863),$O$2:$O$1001,0),1)&gt;=100000,INDEX($V$1005:$AE$1005,1,MATCH(COLUMNS($V$1006:AB1006),$V$1006:$AE$1006,0))&gt;=100000), " ",IF(INDEX($V$2:$AE$1001,MATCH(ROWS($O$2:O863),$O$2:$O$1001,0),MATCH(COLUMNS($V$1006:AB1006),$V$1006:$AE$1006,0)), HYPERLINK("#",""), HYPERLINK(CONCATENATE("#Metadata!", ADDRESS(INDEX($Q$2:$Q$1001,MATCH(ROWS($O$2:O863),$O$2:$O$1001,0),0), INDEX($V$1004:$AE$1004,1,MATCH(COLUMNS($V$1006:AB1006),$V$1006:$AE$1006,0)))),"Fix")))</f>
        <v>0</v>
      </c>
      <c r="I863" s="3">
        <f>IF(OR(INDEX($P$2:$P$1001,MATCH(ROWS($O$2:O863),$O$2:$O$1001,0),1)&gt;=100000,INDEX($V$1005:$AE$1005,1,MATCH(COLUMNS($V$1006:AC1006),$V$1006:$AE$1006,0))&gt;=100000), " ",IF(INDEX($V$2:$AE$1001,MATCH(ROWS($O$2:O863),$O$2:$O$1001,0),MATCH(COLUMNS($V$1006:AC1006),$V$1006:$AE$1006,0)), HYPERLINK("#",""), HYPERLINK(CONCATENATE("#Metadata!", ADDRESS(INDEX($Q$2:$Q$1001,MATCH(ROWS($O$2:O863),$O$2:$O$1001,0),0), INDEX($V$1004:$AE$1004,1,MATCH(COLUMNS($V$1006:AC1006),$V$1006:$AE$1006,0)))),"Fix")))</f>
        <v>0</v>
      </c>
      <c r="J863" s="3">
        <f>IF(OR(INDEX($P$2:$P$1001,MATCH(ROWS($O$2:O863),$O$2:$O$1001,0),1)&gt;=100000,INDEX($V$1005:$AE$1005,1,MATCH(COLUMNS($V$1006:AD1006),$V$1006:$AE$1006,0))&gt;=100000), " ",IF(INDEX($V$2:$AE$1001,MATCH(ROWS($O$2:O863),$O$2:$O$1001,0),MATCH(COLUMNS($V$1006:AD1006),$V$1006:$AE$1006,0)), HYPERLINK("#",""), HYPERLINK(CONCATENATE("#Metadata!", ADDRESS(INDEX($Q$2:$Q$1001,MATCH(ROWS($O$2:O863),$O$2:$O$1001,0),0), INDEX($V$1004:$AE$1004,1,MATCH(COLUMNS($V$1006:AD1006),$V$1006:$AE$1006,0)))),"Fix")))</f>
        <v>0</v>
      </c>
      <c r="K863" s="3">
        <f>IF(OR(INDEX($P$2:$P$1001,MATCH(ROWS($O$2:O863),$O$2:$O$1001,0),1)&gt;=100000,INDEX($V$1005:$AE$1005,1,MATCH(COLUMNS($V$1006:AE1006),$V$1006:$AE$1006,0))&gt;=100000), " ",IF(INDEX($V$2:$AE$1001,MATCH(ROWS($O$2:O863),$O$2:$O$1001,0),MATCH(COLUMNS($V$1006:AE1006),$V$1006:$AE$1006,0)), HYPERLINK("#",""), HYPERLINK(CONCATENATE("#Metadata!", ADDRESS(INDEX($Q$2:$Q$1001,MATCH(ROWS($O$2:O863),$O$2:$O$1001,0),0), INDEX($V$1004:$AE$1004,1,MATCH(COLUMNS($V$1006:AE1006),$V$1006:$AE$1006,0)))),"Fix")))</f>
        <v>0</v>
      </c>
      <c r="O863">
        <v>0</v>
      </c>
      <c r="P863">
        <v>0</v>
      </c>
      <c r="Q863">
        <v>0</v>
      </c>
      <c r="R863">
        <f>IF(S863,TRUE,AND(V863:AE863))</f>
        <v>0</v>
      </c>
      <c r="S863">
        <f>COUNTBLANK(Metadata!B863:K863)=COLUMNS(Metadata!B863:K863)</f>
        <v>0</v>
      </c>
      <c r="T863">
        <v>0</v>
      </c>
      <c r="V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W863">
        <f>AND(IF(Metadata!C863="",FALSE,TRUE),exact(Metadata!C863,"animal secretion"))</f>
        <v>0</v>
      </c>
      <c r="X863">
        <f>AND(IF(Metadata!D863="",FALSE,TRUE),exact(Metadata!D863,"saliva"))</f>
        <v>0</v>
      </c>
      <c r="Y863">
        <f>AND(IF(Metadata!E863="",FALSE,TRUE),exact(Metadata!E863,"human-oral"))</f>
        <v>0</v>
      </c>
      <c r="Z863">
        <f>AND(IF(Metadata!F863="",FALSE,TRUE),exact(Metadata!F863,"UBERON:oral cavity"))</f>
        <v>0</v>
      </c>
      <c r="AA863">
        <f>AND(IF(Metadata!G863="",FALSE,TRUE),exact(Metadata!G863,"UBERON:saliva"))</f>
        <v>0</v>
      </c>
      <c r="AB863">
        <f>AND(IF(Metadata!H863="",FALSE,TRUE),exact(Metadata!H863,"UBERON:tongue"))</f>
        <v>0</v>
      </c>
      <c r="AC863">
        <f>AND(IF(Metadata!I863="",FALSE,TRUE),exact(Metadata!I863,"tongue"))</f>
        <v>0</v>
      </c>
      <c r="AD863">
        <f>AND(IF(Metadata!J863="",FALSE,TRUE),exact(Metadata!J863,"human oral metagenome"))</f>
        <v>0</v>
      </c>
      <c r="AE863">
        <f>AND(IF(Metadata!K863="",FALSE,TRUE),exact(Metadata!K863,"447426"))</f>
        <v>0</v>
      </c>
    </row>
    <row r="864" spans="1:31">
      <c r="A864" s="4">
        <f>IF(B864=" "," ",HYPERLINK(CONCATENATE("#metadata!",ADDRESS(INDEX($Q$2:$Q$1001,MATCH(ROWS($O$2:O864),$O$2:$O$1001,0),0),1)),INDEX($T$2:$T$1001,MATCH(ROWS($O$2:O864),$O$2:$O$1001,0),0)))</f>
        <v>0</v>
      </c>
      <c r="B864" s="3">
        <f>IF(OR(INDEX($P$2:$P$1001,MATCH(ROWS($O$2:O864),$O$2:$O$1001,0),1)&gt;=100000,INDEX($V$1005:$AE$1005,1,MATCH(COLUMNS($V$1006:V1006),$V$1006:$AE$1006,0))&gt;=100000), " ",IF(INDEX($V$2:$AE$1001,MATCH(ROWS($O$2:O864),$O$2:$O$1001,0),MATCH(COLUMNS($V$1006:V1006),$V$1006:$AE$1006,0)), HYPERLINK("#",""), HYPERLINK(CONCATENATE("#Metadata!", ADDRESS(INDEX($Q$2:$Q$1001,MATCH(ROWS($O$2:O864),$O$2:$O$1001,0),0), INDEX($V$1004:$AE$1004,1,MATCH(COLUMNS($V$1006:V1006),$V$1006:$AE$1006,0)))),"Fix")))</f>
        <v>0</v>
      </c>
      <c r="C864" s="3">
        <f>IF(OR(INDEX($P$2:$P$1001,MATCH(ROWS($O$2:O864),$O$2:$O$1001,0),1)&gt;=100000,INDEX($V$1005:$AE$1005,1,MATCH(COLUMNS($V$1006:W1006),$V$1006:$AE$1006,0))&gt;=100000), " ",IF(INDEX($V$2:$AE$1001,MATCH(ROWS($O$2:O864),$O$2:$O$1001,0),MATCH(COLUMNS($V$1006:W1006),$V$1006:$AE$1006,0)), HYPERLINK("#",""), HYPERLINK(CONCATENATE("#Metadata!", ADDRESS(INDEX($Q$2:$Q$1001,MATCH(ROWS($O$2:O864),$O$2:$O$1001,0),0), INDEX($V$1004:$AE$1004,1,MATCH(COLUMNS($V$1006:W1006),$V$1006:$AE$1006,0)))),"Fix")))</f>
        <v>0</v>
      </c>
      <c r="D864" s="3">
        <f>IF(OR(INDEX($P$2:$P$1001,MATCH(ROWS($O$2:O864),$O$2:$O$1001,0),1)&gt;=100000,INDEX($V$1005:$AE$1005,1,MATCH(COLUMNS($V$1006:X1006),$V$1006:$AE$1006,0))&gt;=100000), " ",IF(INDEX($V$2:$AE$1001,MATCH(ROWS($O$2:O864),$O$2:$O$1001,0),MATCH(COLUMNS($V$1006:X1006),$V$1006:$AE$1006,0)), HYPERLINK("#",""), HYPERLINK(CONCATENATE("#Metadata!", ADDRESS(INDEX($Q$2:$Q$1001,MATCH(ROWS($O$2:O864),$O$2:$O$1001,0),0), INDEX($V$1004:$AE$1004,1,MATCH(COLUMNS($V$1006:X1006),$V$1006:$AE$1006,0)))),"Fix")))</f>
        <v>0</v>
      </c>
      <c r="E864" s="3">
        <f>IF(OR(INDEX($P$2:$P$1001,MATCH(ROWS($O$2:O864),$O$2:$O$1001,0),1)&gt;=100000,INDEX($V$1005:$AE$1005,1,MATCH(COLUMNS($V$1006:Y1006),$V$1006:$AE$1006,0))&gt;=100000), " ",IF(INDEX($V$2:$AE$1001,MATCH(ROWS($O$2:O864),$O$2:$O$1001,0),MATCH(COLUMNS($V$1006:Y1006),$V$1006:$AE$1006,0)), HYPERLINK("#",""), HYPERLINK(CONCATENATE("#Metadata!", ADDRESS(INDEX($Q$2:$Q$1001,MATCH(ROWS($O$2:O864),$O$2:$O$1001,0),0), INDEX($V$1004:$AE$1004,1,MATCH(COLUMNS($V$1006:Y1006),$V$1006:$AE$1006,0)))),"Fix")))</f>
        <v>0</v>
      </c>
      <c r="F864" s="3">
        <f>IF(OR(INDEX($P$2:$P$1001,MATCH(ROWS($O$2:O864),$O$2:$O$1001,0),1)&gt;=100000,INDEX($V$1005:$AE$1005,1,MATCH(COLUMNS($V$1006:Z1006),$V$1006:$AE$1006,0))&gt;=100000), " ",IF(INDEX($V$2:$AE$1001,MATCH(ROWS($O$2:O864),$O$2:$O$1001,0),MATCH(COLUMNS($V$1006:Z1006),$V$1006:$AE$1006,0)), HYPERLINK("#",""), HYPERLINK(CONCATENATE("#Metadata!", ADDRESS(INDEX($Q$2:$Q$1001,MATCH(ROWS($O$2:O864),$O$2:$O$1001,0),0), INDEX($V$1004:$AE$1004,1,MATCH(COLUMNS($V$1006:Z1006),$V$1006:$AE$1006,0)))),"Fix")))</f>
        <v>0</v>
      </c>
      <c r="G864" s="3">
        <f>IF(OR(INDEX($P$2:$P$1001,MATCH(ROWS($O$2:O864),$O$2:$O$1001,0),1)&gt;=100000,INDEX($V$1005:$AE$1005,1,MATCH(COLUMNS($V$1006:AA1006),$V$1006:$AE$1006,0))&gt;=100000), " ",IF(INDEX($V$2:$AE$1001,MATCH(ROWS($O$2:O864),$O$2:$O$1001,0),MATCH(COLUMNS($V$1006:AA1006),$V$1006:$AE$1006,0)), HYPERLINK("#",""), HYPERLINK(CONCATENATE("#Metadata!", ADDRESS(INDEX($Q$2:$Q$1001,MATCH(ROWS($O$2:O864),$O$2:$O$1001,0),0), INDEX($V$1004:$AE$1004,1,MATCH(COLUMNS($V$1006:AA1006),$V$1006:$AE$1006,0)))),"Fix")))</f>
        <v>0</v>
      </c>
      <c r="H864" s="3">
        <f>IF(OR(INDEX($P$2:$P$1001,MATCH(ROWS($O$2:O864),$O$2:$O$1001,0),1)&gt;=100000,INDEX($V$1005:$AE$1005,1,MATCH(COLUMNS($V$1006:AB1006),$V$1006:$AE$1006,0))&gt;=100000), " ",IF(INDEX($V$2:$AE$1001,MATCH(ROWS($O$2:O864),$O$2:$O$1001,0),MATCH(COLUMNS($V$1006:AB1006),$V$1006:$AE$1006,0)), HYPERLINK("#",""), HYPERLINK(CONCATENATE("#Metadata!", ADDRESS(INDEX($Q$2:$Q$1001,MATCH(ROWS($O$2:O864),$O$2:$O$1001,0),0), INDEX($V$1004:$AE$1004,1,MATCH(COLUMNS($V$1006:AB1006),$V$1006:$AE$1006,0)))),"Fix")))</f>
        <v>0</v>
      </c>
      <c r="I864" s="3">
        <f>IF(OR(INDEX($P$2:$P$1001,MATCH(ROWS($O$2:O864),$O$2:$O$1001,0),1)&gt;=100000,INDEX($V$1005:$AE$1005,1,MATCH(COLUMNS($V$1006:AC1006),$V$1006:$AE$1006,0))&gt;=100000), " ",IF(INDEX($V$2:$AE$1001,MATCH(ROWS($O$2:O864),$O$2:$O$1001,0),MATCH(COLUMNS($V$1006:AC1006),$V$1006:$AE$1006,0)), HYPERLINK("#",""), HYPERLINK(CONCATENATE("#Metadata!", ADDRESS(INDEX($Q$2:$Q$1001,MATCH(ROWS($O$2:O864),$O$2:$O$1001,0),0), INDEX($V$1004:$AE$1004,1,MATCH(COLUMNS($V$1006:AC1006),$V$1006:$AE$1006,0)))),"Fix")))</f>
        <v>0</v>
      </c>
      <c r="J864" s="3">
        <f>IF(OR(INDEX($P$2:$P$1001,MATCH(ROWS($O$2:O864),$O$2:$O$1001,0),1)&gt;=100000,INDEX($V$1005:$AE$1005,1,MATCH(COLUMNS($V$1006:AD1006),$V$1006:$AE$1006,0))&gt;=100000), " ",IF(INDEX($V$2:$AE$1001,MATCH(ROWS($O$2:O864),$O$2:$O$1001,0),MATCH(COLUMNS($V$1006:AD1006),$V$1006:$AE$1006,0)), HYPERLINK("#",""), HYPERLINK(CONCATENATE("#Metadata!", ADDRESS(INDEX($Q$2:$Q$1001,MATCH(ROWS($O$2:O864),$O$2:$O$1001,0),0), INDEX($V$1004:$AE$1004,1,MATCH(COLUMNS($V$1006:AD1006),$V$1006:$AE$1006,0)))),"Fix")))</f>
        <v>0</v>
      </c>
      <c r="K864" s="3">
        <f>IF(OR(INDEX($P$2:$P$1001,MATCH(ROWS($O$2:O864),$O$2:$O$1001,0),1)&gt;=100000,INDEX($V$1005:$AE$1005,1,MATCH(COLUMNS($V$1006:AE1006),$V$1006:$AE$1006,0))&gt;=100000), " ",IF(INDEX($V$2:$AE$1001,MATCH(ROWS($O$2:O864),$O$2:$O$1001,0),MATCH(COLUMNS($V$1006:AE1006),$V$1006:$AE$1006,0)), HYPERLINK("#",""), HYPERLINK(CONCATENATE("#Metadata!", ADDRESS(INDEX($Q$2:$Q$1001,MATCH(ROWS($O$2:O864),$O$2:$O$1001,0),0), INDEX($V$1004:$AE$1004,1,MATCH(COLUMNS($V$1006:AE1006),$V$1006:$AE$1006,0)))),"Fix")))</f>
        <v>0</v>
      </c>
      <c r="O864">
        <v>0</v>
      </c>
      <c r="P864">
        <v>0</v>
      </c>
      <c r="Q864">
        <v>0</v>
      </c>
      <c r="R864">
        <f>IF(S864,TRUE,AND(V864:AE864))</f>
        <v>0</v>
      </c>
      <c r="S864">
        <f>COUNTBLANK(Metadata!B864:K864)=COLUMNS(Metadata!B864:K864)</f>
        <v>0</v>
      </c>
      <c r="T864">
        <v>0</v>
      </c>
      <c r="V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W864">
        <f>AND(IF(Metadata!C864="",FALSE,TRUE),exact(Metadata!C864,"animal secretion"))</f>
        <v>0</v>
      </c>
      <c r="X864">
        <f>AND(IF(Metadata!D864="",FALSE,TRUE),exact(Metadata!D864,"saliva"))</f>
        <v>0</v>
      </c>
      <c r="Y864">
        <f>AND(IF(Metadata!E864="",FALSE,TRUE),exact(Metadata!E864,"human-oral"))</f>
        <v>0</v>
      </c>
      <c r="Z864">
        <f>AND(IF(Metadata!F864="",FALSE,TRUE),exact(Metadata!F864,"UBERON:oral cavity"))</f>
        <v>0</v>
      </c>
      <c r="AA864">
        <f>AND(IF(Metadata!G864="",FALSE,TRUE),exact(Metadata!G864,"UBERON:saliva"))</f>
        <v>0</v>
      </c>
      <c r="AB864">
        <f>AND(IF(Metadata!H864="",FALSE,TRUE),exact(Metadata!H864,"UBERON:tongue"))</f>
        <v>0</v>
      </c>
      <c r="AC864">
        <f>AND(IF(Metadata!I864="",FALSE,TRUE),exact(Metadata!I864,"tongue"))</f>
        <v>0</v>
      </c>
      <c r="AD864">
        <f>AND(IF(Metadata!J864="",FALSE,TRUE),exact(Metadata!J864,"human oral metagenome"))</f>
        <v>0</v>
      </c>
      <c r="AE864">
        <f>AND(IF(Metadata!K864="",FALSE,TRUE),exact(Metadata!K864,"447426"))</f>
        <v>0</v>
      </c>
    </row>
    <row r="865" spans="1:31">
      <c r="A865" s="4">
        <f>IF(B865=" "," ",HYPERLINK(CONCATENATE("#metadata!",ADDRESS(INDEX($Q$2:$Q$1001,MATCH(ROWS($O$2:O865),$O$2:$O$1001,0),0),1)),INDEX($T$2:$T$1001,MATCH(ROWS($O$2:O865),$O$2:$O$1001,0),0)))</f>
        <v>0</v>
      </c>
      <c r="B865" s="3">
        <f>IF(OR(INDEX($P$2:$P$1001,MATCH(ROWS($O$2:O865),$O$2:$O$1001,0),1)&gt;=100000,INDEX($V$1005:$AE$1005,1,MATCH(COLUMNS($V$1006:V1006),$V$1006:$AE$1006,0))&gt;=100000), " ",IF(INDEX($V$2:$AE$1001,MATCH(ROWS($O$2:O865),$O$2:$O$1001,0),MATCH(COLUMNS($V$1006:V1006),$V$1006:$AE$1006,0)), HYPERLINK("#",""), HYPERLINK(CONCATENATE("#Metadata!", ADDRESS(INDEX($Q$2:$Q$1001,MATCH(ROWS($O$2:O865),$O$2:$O$1001,0),0), INDEX($V$1004:$AE$1004,1,MATCH(COLUMNS($V$1006:V1006),$V$1006:$AE$1006,0)))),"Fix")))</f>
        <v>0</v>
      </c>
      <c r="C865" s="3">
        <f>IF(OR(INDEX($P$2:$P$1001,MATCH(ROWS($O$2:O865),$O$2:$O$1001,0),1)&gt;=100000,INDEX($V$1005:$AE$1005,1,MATCH(COLUMNS($V$1006:W1006),$V$1006:$AE$1006,0))&gt;=100000), " ",IF(INDEX($V$2:$AE$1001,MATCH(ROWS($O$2:O865),$O$2:$O$1001,0),MATCH(COLUMNS($V$1006:W1006),$V$1006:$AE$1006,0)), HYPERLINK("#",""), HYPERLINK(CONCATENATE("#Metadata!", ADDRESS(INDEX($Q$2:$Q$1001,MATCH(ROWS($O$2:O865),$O$2:$O$1001,0),0), INDEX($V$1004:$AE$1004,1,MATCH(COLUMNS($V$1006:W1006),$V$1006:$AE$1006,0)))),"Fix")))</f>
        <v>0</v>
      </c>
      <c r="D865" s="3">
        <f>IF(OR(INDEX($P$2:$P$1001,MATCH(ROWS($O$2:O865),$O$2:$O$1001,0),1)&gt;=100000,INDEX($V$1005:$AE$1005,1,MATCH(COLUMNS($V$1006:X1006),$V$1006:$AE$1006,0))&gt;=100000), " ",IF(INDEX($V$2:$AE$1001,MATCH(ROWS($O$2:O865),$O$2:$O$1001,0),MATCH(COLUMNS($V$1006:X1006),$V$1006:$AE$1006,0)), HYPERLINK("#",""), HYPERLINK(CONCATENATE("#Metadata!", ADDRESS(INDEX($Q$2:$Q$1001,MATCH(ROWS($O$2:O865),$O$2:$O$1001,0),0), INDEX($V$1004:$AE$1004,1,MATCH(COLUMNS($V$1006:X1006),$V$1006:$AE$1006,0)))),"Fix")))</f>
        <v>0</v>
      </c>
      <c r="E865" s="3">
        <f>IF(OR(INDEX($P$2:$P$1001,MATCH(ROWS($O$2:O865),$O$2:$O$1001,0),1)&gt;=100000,INDEX($V$1005:$AE$1005,1,MATCH(COLUMNS($V$1006:Y1006),$V$1006:$AE$1006,0))&gt;=100000), " ",IF(INDEX($V$2:$AE$1001,MATCH(ROWS($O$2:O865),$O$2:$O$1001,0),MATCH(COLUMNS($V$1006:Y1006),$V$1006:$AE$1006,0)), HYPERLINK("#",""), HYPERLINK(CONCATENATE("#Metadata!", ADDRESS(INDEX($Q$2:$Q$1001,MATCH(ROWS($O$2:O865),$O$2:$O$1001,0),0), INDEX($V$1004:$AE$1004,1,MATCH(COLUMNS($V$1006:Y1006),$V$1006:$AE$1006,0)))),"Fix")))</f>
        <v>0</v>
      </c>
      <c r="F865" s="3">
        <f>IF(OR(INDEX($P$2:$P$1001,MATCH(ROWS($O$2:O865),$O$2:$O$1001,0),1)&gt;=100000,INDEX($V$1005:$AE$1005,1,MATCH(COLUMNS($V$1006:Z1006),$V$1006:$AE$1006,0))&gt;=100000), " ",IF(INDEX($V$2:$AE$1001,MATCH(ROWS($O$2:O865),$O$2:$O$1001,0),MATCH(COLUMNS($V$1006:Z1006),$V$1006:$AE$1006,0)), HYPERLINK("#",""), HYPERLINK(CONCATENATE("#Metadata!", ADDRESS(INDEX($Q$2:$Q$1001,MATCH(ROWS($O$2:O865),$O$2:$O$1001,0),0), INDEX($V$1004:$AE$1004,1,MATCH(COLUMNS($V$1006:Z1006),$V$1006:$AE$1006,0)))),"Fix")))</f>
        <v>0</v>
      </c>
      <c r="G865" s="3">
        <f>IF(OR(INDEX($P$2:$P$1001,MATCH(ROWS($O$2:O865),$O$2:$O$1001,0),1)&gt;=100000,INDEX($V$1005:$AE$1005,1,MATCH(COLUMNS($V$1006:AA1006),$V$1006:$AE$1006,0))&gt;=100000), " ",IF(INDEX($V$2:$AE$1001,MATCH(ROWS($O$2:O865),$O$2:$O$1001,0),MATCH(COLUMNS($V$1006:AA1006),$V$1006:$AE$1006,0)), HYPERLINK("#",""), HYPERLINK(CONCATENATE("#Metadata!", ADDRESS(INDEX($Q$2:$Q$1001,MATCH(ROWS($O$2:O865),$O$2:$O$1001,0),0), INDEX($V$1004:$AE$1004,1,MATCH(COLUMNS($V$1006:AA1006),$V$1006:$AE$1006,0)))),"Fix")))</f>
        <v>0</v>
      </c>
      <c r="H865" s="3">
        <f>IF(OR(INDEX($P$2:$P$1001,MATCH(ROWS($O$2:O865),$O$2:$O$1001,0),1)&gt;=100000,INDEX($V$1005:$AE$1005,1,MATCH(COLUMNS($V$1006:AB1006),$V$1006:$AE$1006,0))&gt;=100000), " ",IF(INDEX($V$2:$AE$1001,MATCH(ROWS($O$2:O865),$O$2:$O$1001,0),MATCH(COLUMNS($V$1006:AB1006),$V$1006:$AE$1006,0)), HYPERLINK("#",""), HYPERLINK(CONCATENATE("#Metadata!", ADDRESS(INDEX($Q$2:$Q$1001,MATCH(ROWS($O$2:O865),$O$2:$O$1001,0),0), INDEX($V$1004:$AE$1004,1,MATCH(COLUMNS($V$1006:AB1006),$V$1006:$AE$1006,0)))),"Fix")))</f>
        <v>0</v>
      </c>
      <c r="I865" s="3">
        <f>IF(OR(INDEX($P$2:$P$1001,MATCH(ROWS($O$2:O865),$O$2:$O$1001,0),1)&gt;=100000,INDEX($V$1005:$AE$1005,1,MATCH(COLUMNS($V$1006:AC1006),$V$1006:$AE$1006,0))&gt;=100000), " ",IF(INDEX($V$2:$AE$1001,MATCH(ROWS($O$2:O865),$O$2:$O$1001,0),MATCH(COLUMNS($V$1006:AC1006),$V$1006:$AE$1006,0)), HYPERLINK("#",""), HYPERLINK(CONCATENATE("#Metadata!", ADDRESS(INDEX($Q$2:$Q$1001,MATCH(ROWS($O$2:O865),$O$2:$O$1001,0),0), INDEX($V$1004:$AE$1004,1,MATCH(COLUMNS($V$1006:AC1006),$V$1006:$AE$1006,0)))),"Fix")))</f>
        <v>0</v>
      </c>
      <c r="J865" s="3">
        <f>IF(OR(INDEX($P$2:$P$1001,MATCH(ROWS($O$2:O865),$O$2:$O$1001,0),1)&gt;=100000,INDEX($V$1005:$AE$1005,1,MATCH(COLUMNS($V$1006:AD1006),$V$1006:$AE$1006,0))&gt;=100000), " ",IF(INDEX($V$2:$AE$1001,MATCH(ROWS($O$2:O865),$O$2:$O$1001,0),MATCH(COLUMNS($V$1006:AD1006),$V$1006:$AE$1006,0)), HYPERLINK("#",""), HYPERLINK(CONCATENATE("#Metadata!", ADDRESS(INDEX($Q$2:$Q$1001,MATCH(ROWS($O$2:O865),$O$2:$O$1001,0),0), INDEX($V$1004:$AE$1004,1,MATCH(COLUMNS($V$1006:AD1006),$V$1006:$AE$1006,0)))),"Fix")))</f>
        <v>0</v>
      </c>
      <c r="K865" s="3">
        <f>IF(OR(INDEX($P$2:$P$1001,MATCH(ROWS($O$2:O865),$O$2:$O$1001,0),1)&gt;=100000,INDEX($V$1005:$AE$1005,1,MATCH(COLUMNS($V$1006:AE1006),$V$1006:$AE$1006,0))&gt;=100000), " ",IF(INDEX($V$2:$AE$1001,MATCH(ROWS($O$2:O865),$O$2:$O$1001,0),MATCH(COLUMNS($V$1006:AE1006),$V$1006:$AE$1006,0)), HYPERLINK("#",""), HYPERLINK(CONCATENATE("#Metadata!", ADDRESS(INDEX($Q$2:$Q$1001,MATCH(ROWS($O$2:O865),$O$2:$O$1001,0),0), INDEX($V$1004:$AE$1004,1,MATCH(COLUMNS($V$1006:AE1006),$V$1006:$AE$1006,0)))),"Fix")))</f>
        <v>0</v>
      </c>
      <c r="O865">
        <v>0</v>
      </c>
      <c r="P865">
        <v>0</v>
      </c>
      <c r="Q865">
        <v>0</v>
      </c>
      <c r="R865">
        <f>IF(S865,TRUE,AND(V865:AE865))</f>
        <v>0</v>
      </c>
      <c r="S865">
        <f>COUNTBLANK(Metadata!B865:K865)=COLUMNS(Metadata!B865:K865)</f>
        <v>0</v>
      </c>
      <c r="T865">
        <v>0</v>
      </c>
      <c r="V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W865">
        <f>AND(IF(Metadata!C865="",FALSE,TRUE),exact(Metadata!C865,"animal secretion"))</f>
        <v>0</v>
      </c>
      <c r="X865">
        <f>AND(IF(Metadata!D865="",FALSE,TRUE),exact(Metadata!D865,"saliva"))</f>
        <v>0</v>
      </c>
      <c r="Y865">
        <f>AND(IF(Metadata!E865="",FALSE,TRUE),exact(Metadata!E865,"human-oral"))</f>
        <v>0</v>
      </c>
      <c r="Z865">
        <f>AND(IF(Metadata!F865="",FALSE,TRUE),exact(Metadata!F865,"UBERON:oral cavity"))</f>
        <v>0</v>
      </c>
      <c r="AA865">
        <f>AND(IF(Metadata!G865="",FALSE,TRUE),exact(Metadata!G865,"UBERON:saliva"))</f>
        <v>0</v>
      </c>
      <c r="AB865">
        <f>AND(IF(Metadata!H865="",FALSE,TRUE),exact(Metadata!H865,"UBERON:tongue"))</f>
        <v>0</v>
      </c>
      <c r="AC865">
        <f>AND(IF(Metadata!I865="",FALSE,TRUE),exact(Metadata!I865,"tongue"))</f>
        <v>0</v>
      </c>
      <c r="AD865">
        <f>AND(IF(Metadata!J865="",FALSE,TRUE),exact(Metadata!J865,"human oral metagenome"))</f>
        <v>0</v>
      </c>
      <c r="AE865">
        <f>AND(IF(Metadata!K865="",FALSE,TRUE),exact(Metadata!K865,"447426"))</f>
        <v>0</v>
      </c>
    </row>
    <row r="866" spans="1:31">
      <c r="A866" s="4">
        <f>IF(B866=" "," ",HYPERLINK(CONCATENATE("#metadata!",ADDRESS(INDEX($Q$2:$Q$1001,MATCH(ROWS($O$2:O866),$O$2:$O$1001,0),0),1)),INDEX($T$2:$T$1001,MATCH(ROWS($O$2:O866),$O$2:$O$1001,0),0)))</f>
        <v>0</v>
      </c>
      <c r="B866" s="3">
        <f>IF(OR(INDEX($P$2:$P$1001,MATCH(ROWS($O$2:O866),$O$2:$O$1001,0),1)&gt;=100000,INDEX($V$1005:$AE$1005,1,MATCH(COLUMNS($V$1006:V1006),$V$1006:$AE$1006,0))&gt;=100000), " ",IF(INDEX($V$2:$AE$1001,MATCH(ROWS($O$2:O866),$O$2:$O$1001,0),MATCH(COLUMNS($V$1006:V1006),$V$1006:$AE$1006,0)), HYPERLINK("#",""), HYPERLINK(CONCATENATE("#Metadata!", ADDRESS(INDEX($Q$2:$Q$1001,MATCH(ROWS($O$2:O866),$O$2:$O$1001,0),0), INDEX($V$1004:$AE$1004,1,MATCH(COLUMNS($V$1006:V1006),$V$1006:$AE$1006,0)))),"Fix")))</f>
        <v>0</v>
      </c>
      <c r="C866" s="3">
        <f>IF(OR(INDEX($P$2:$P$1001,MATCH(ROWS($O$2:O866),$O$2:$O$1001,0),1)&gt;=100000,INDEX($V$1005:$AE$1005,1,MATCH(COLUMNS($V$1006:W1006),$V$1006:$AE$1006,0))&gt;=100000), " ",IF(INDEX($V$2:$AE$1001,MATCH(ROWS($O$2:O866),$O$2:$O$1001,0),MATCH(COLUMNS($V$1006:W1006),$V$1006:$AE$1006,0)), HYPERLINK("#",""), HYPERLINK(CONCATENATE("#Metadata!", ADDRESS(INDEX($Q$2:$Q$1001,MATCH(ROWS($O$2:O866),$O$2:$O$1001,0),0), INDEX($V$1004:$AE$1004,1,MATCH(COLUMNS($V$1006:W1006),$V$1006:$AE$1006,0)))),"Fix")))</f>
        <v>0</v>
      </c>
      <c r="D866" s="3">
        <f>IF(OR(INDEX($P$2:$P$1001,MATCH(ROWS($O$2:O866),$O$2:$O$1001,0),1)&gt;=100000,INDEX($V$1005:$AE$1005,1,MATCH(COLUMNS($V$1006:X1006),$V$1006:$AE$1006,0))&gt;=100000), " ",IF(INDEX($V$2:$AE$1001,MATCH(ROWS($O$2:O866),$O$2:$O$1001,0),MATCH(COLUMNS($V$1006:X1006),$V$1006:$AE$1006,0)), HYPERLINK("#",""), HYPERLINK(CONCATENATE("#Metadata!", ADDRESS(INDEX($Q$2:$Q$1001,MATCH(ROWS($O$2:O866),$O$2:$O$1001,0),0), INDEX($V$1004:$AE$1004,1,MATCH(COLUMNS($V$1006:X1006),$V$1006:$AE$1006,0)))),"Fix")))</f>
        <v>0</v>
      </c>
      <c r="E866" s="3">
        <f>IF(OR(INDEX($P$2:$P$1001,MATCH(ROWS($O$2:O866),$O$2:$O$1001,0),1)&gt;=100000,INDEX($V$1005:$AE$1005,1,MATCH(COLUMNS($V$1006:Y1006),$V$1006:$AE$1006,0))&gt;=100000), " ",IF(INDEX($V$2:$AE$1001,MATCH(ROWS($O$2:O866),$O$2:$O$1001,0),MATCH(COLUMNS($V$1006:Y1006),$V$1006:$AE$1006,0)), HYPERLINK("#",""), HYPERLINK(CONCATENATE("#Metadata!", ADDRESS(INDEX($Q$2:$Q$1001,MATCH(ROWS($O$2:O866),$O$2:$O$1001,0),0), INDEX($V$1004:$AE$1004,1,MATCH(COLUMNS($V$1006:Y1006),$V$1006:$AE$1006,0)))),"Fix")))</f>
        <v>0</v>
      </c>
      <c r="F866" s="3">
        <f>IF(OR(INDEX($P$2:$P$1001,MATCH(ROWS($O$2:O866),$O$2:$O$1001,0),1)&gt;=100000,INDEX($V$1005:$AE$1005,1,MATCH(COLUMNS($V$1006:Z1006),$V$1006:$AE$1006,0))&gt;=100000), " ",IF(INDEX($V$2:$AE$1001,MATCH(ROWS($O$2:O866),$O$2:$O$1001,0),MATCH(COLUMNS($V$1006:Z1006),$V$1006:$AE$1006,0)), HYPERLINK("#",""), HYPERLINK(CONCATENATE("#Metadata!", ADDRESS(INDEX($Q$2:$Q$1001,MATCH(ROWS($O$2:O866),$O$2:$O$1001,0),0), INDEX($V$1004:$AE$1004,1,MATCH(COLUMNS($V$1006:Z1006),$V$1006:$AE$1006,0)))),"Fix")))</f>
        <v>0</v>
      </c>
      <c r="G866" s="3">
        <f>IF(OR(INDEX($P$2:$P$1001,MATCH(ROWS($O$2:O866),$O$2:$O$1001,0),1)&gt;=100000,INDEX($V$1005:$AE$1005,1,MATCH(COLUMNS($V$1006:AA1006),$V$1006:$AE$1006,0))&gt;=100000), " ",IF(INDEX($V$2:$AE$1001,MATCH(ROWS($O$2:O866),$O$2:$O$1001,0),MATCH(COLUMNS($V$1006:AA1006),$V$1006:$AE$1006,0)), HYPERLINK("#",""), HYPERLINK(CONCATENATE("#Metadata!", ADDRESS(INDEX($Q$2:$Q$1001,MATCH(ROWS($O$2:O866),$O$2:$O$1001,0),0), INDEX($V$1004:$AE$1004,1,MATCH(COLUMNS($V$1006:AA1006),$V$1006:$AE$1006,0)))),"Fix")))</f>
        <v>0</v>
      </c>
      <c r="H866" s="3">
        <f>IF(OR(INDEX($P$2:$P$1001,MATCH(ROWS($O$2:O866),$O$2:$O$1001,0),1)&gt;=100000,INDEX($V$1005:$AE$1005,1,MATCH(COLUMNS($V$1006:AB1006),$V$1006:$AE$1006,0))&gt;=100000), " ",IF(INDEX($V$2:$AE$1001,MATCH(ROWS($O$2:O866),$O$2:$O$1001,0),MATCH(COLUMNS($V$1006:AB1006),$V$1006:$AE$1006,0)), HYPERLINK("#",""), HYPERLINK(CONCATENATE("#Metadata!", ADDRESS(INDEX($Q$2:$Q$1001,MATCH(ROWS($O$2:O866),$O$2:$O$1001,0),0), INDEX($V$1004:$AE$1004,1,MATCH(COLUMNS($V$1006:AB1006),$V$1006:$AE$1006,0)))),"Fix")))</f>
        <v>0</v>
      </c>
      <c r="I866" s="3">
        <f>IF(OR(INDEX($P$2:$P$1001,MATCH(ROWS($O$2:O866),$O$2:$O$1001,0),1)&gt;=100000,INDEX($V$1005:$AE$1005,1,MATCH(COLUMNS($V$1006:AC1006),$V$1006:$AE$1006,0))&gt;=100000), " ",IF(INDEX($V$2:$AE$1001,MATCH(ROWS($O$2:O866),$O$2:$O$1001,0),MATCH(COLUMNS($V$1006:AC1006),$V$1006:$AE$1006,0)), HYPERLINK("#",""), HYPERLINK(CONCATENATE("#Metadata!", ADDRESS(INDEX($Q$2:$Q$1001,MATCH(ROWS($O$2:O866),$O$2:$O$1001,0),0), INDEX($V$1004:$AE$1004,1,MATCH(COLUMNS($V$1006:AC1006),$V$1006:$AE$1006,0)))),"Fix")))</f>
        <v>0</v>
      </c>
      <c r="J866" s="3">
        <f>IF(OR(INDEX($P$2:$P$1001,MATCH(ROWS($O$2:O866),$O$2:$O$1001,0),1)&gt;=100000,INDEX($V$1005:$AE$1005,1,MATCH(COLUMNS($V$1006:AD1006),$V$1006:$AE$1006,0))&gt;=100000), " ",IF(INDEX($V$2:$AE$1001,MATCH(ROWS($O$2:O866),$O$2:$O$1001,0),MATCH(COLUMNS($V$1006:AD1006),$V$1006:$AE$1006,0)), HYPERLINK("#",""), HYPERLINK(CONCATENATE("#Metadata!", ADDRESS(INDEX($Q$2:$Q$1001,MATCH(ROWS($O$2:O866),$O$2:$O$1001,0),0), INDEX($V$1004:$AE$1004,1,MATCH(COLUMNS($V$1006:AD1006),$V$1006:$AE$1006,0)))),"Fix")))</f>
        <v>0</v>
      </c>
      <c r="K866" s="3">
        <f>IF(OR(INDEX($P$2:$P$1001,MATCH(ROWS($O$2:O866),$O$2:$O$1001,0),1)&gt;=100000,INDEX($V$1005:$AE$1005,1,MATCH(COLUMNS($V$1006:AE1006),$V$1006:$AE$1006,0))&gt;=100000), " ",IF(INDEX($V$2:$AE$1001,MATCH(ROWS($O$2:O866),$O$2:$O$1001,0),MATCH(COLUMNS($V$1006:AE1006),$V$1006:$AE$1006,0)), HYPERLINK("#",""), HYPERLINK(CONCATENATE("#Metadata!", ADDRESS(INDEX($Q$2:$Q$1001,MATCH(ROWS($O$2:O866),$O$2:$O$1001,0),0), INDEX($V$1004:$AE$1004,1,MATCH(COLUMNS($V$1006:AE1006),$V$1006:$AE$1006,0)))),"Fix")))</f>
        <v>0</v>
      </c>
      <c r="O866">
        <v>0</v>
      </c>
      <c r="P866">
        <v>0</v>
      </c>
      <c r="Q866">
        <v>0</v>
      </c>
      <c r="R866">
        <f>IF(S866,TRUE,AND(V866:AE866))</f>
        <v>0</v>
      </c>
      <c r="S866">
        <f>COUNTBLANK(Metadata!B866:K866)=COLUMNS(Metadata!B866:K866)</f>
        <v>0</v>
      </c>
      <c r="T866">
        <v>0</v>
      </c>
      <c r="V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W866">
        <f>AND(IF(Metadata!C866="",FALSE,TRUE),exact(Metadata!C866,"animal secretion"))</f>
        <v>0</v>
      </c>
      <c r="X866">
        <f>AND(IF(Metadata!D866="",FALSE,TRUE),exact(Metadata!D866,"saliva"))</f>
        <v>0</v>
      </c>
      <c r="Y866">
        <f>AND(IF(Metadata!E866="",FALSE,TRUE),exact(Metadata!E866,"human-oral"))</f>
        <v>0</v>
      </c>
      <c r="Z866">
        <f>AND(IF(Metadata!F866="",FALSE,TRUE),exact(Metadata!F866,"UBERON:oral cavity"))</f>
        <v>0</v>
      </c>
      <c r="AA866">
        <f>AND(IF(Metadata!G866="",FALSE,TRUE),exact(Metadata!G866,"UBERON:saliva"))</f>
        <v>0</v>
      </c>
      <c r="AB866">
        <f>AND(IF(Metadata!H866="",FALSE,TRUE),exact(Metadata!H866,"UBERON:tongue"))</f>
        <v>0</v>
      </c>
      <c r="AC866">
        <f>AND(IF(Metadata!I866="",FALSE,TRUE),exact(Metadata!I866,"tongue"))</f>
        <v>0</v>
      </c>
      <c r="AD866">
        <f>AND(IF(Metadata!J866="",FALSE,TRUE),exact(Metadata!J866,"human oral metagenome"))</f>
        <v>0</v>
      </c>
      <c r="AE866">
        <f>AND(IF(Metadata!K866="",FALSE,TRUE),exact(Metadata!K866,"447426"))</f>
        <v>0</v>
      </c>
    </row>
    <row r="867" spans="1:31">
      <c r="A867" s="4">
        <f>IF(B867=" "," ",HYPERLINK(CONCATENATE("#metadata!",ADDRESS(INDEX($Q$2:$Q$1001,MATCH(ROWS($O$2:O867),$O$2:$O$1001,0),0),1)),INDEX($T$2:$T$1001,MATCH(ROWS($O$2:O867),$O$2:$O$1001,0),0)))</f>
        <v>0</v>
      </c>
      <c r="B867" s="3">
        <f>IF(OR(INDEX($P$2:$P$1001,MATCH(ROWS($O$2:O867),$O$2:$O$1001,0),1)&gt;=100000,INDEX($V$1005:$AE$1005,1,MATCH(COLUMNS($V$1006:V1006),$V$1006:$AE$1006,0))&gt;=100000), " ",IF(INDEX($V$2:$AE$1001,MATCH(ROWS($O$2:O867),$O$2:$O$1001,0),MATCH(COLUMNS($V$1006:V1006),$V$1006:$AE$1006,0)), HYPERLINK("#",""), HYPERLINK(CONCATENATE("#Metadata!", ADDRESS(INDEX($Q$2:$Q$1001,MATCH(ROWS($O$2:O867),$O$2:$O$1001,0),0), INDEX($V$1004:$AE$1004,1,MATCH(COLUMNS($V$1006:V1006),$V$1006:$AE$1006,0)))),"Fix")))</f>
        <v>0</v>
      </c>
      <c r="C867" s="3">
        <f>IF(OR(INDEX($P$2:$P$1001,MATCH(ROWS($O$2:O867),$O$2:$O$1001,0),1)&gt;=100000,INDEX($V$1005:$AE$1005,1,MATCH(COLUMNS($V$1006:W1006),$V$1006:$AE$1006,0))&gt;=100000), " ",IF(INDEX($V$2:$AE$1001,MATCH(ROWS($O$2:O867),$O$2:$O$1001,0),MATCH(COLUMNS($V$1006:W1006),$V$1006:$AE$1006,0)), HYPERLINK("#",""), HYPERLINK(CONCATENATE("#Metadata!", ADDRESS(INDEX($Q$2:$Q$1001,MATCH(ROWS($O$2:O867),$O$2:$O$1001,0),0), INDEX($V$1004:$AE$1004,1,MATCH(COLUMNS($V$1006:W1006),$V$1006:$AE$1006,0)))),"Fix")))</f>
        <v>0</v>
      </c>
      <c r="D867" s="3">
        <f>IF(OR(INDEX($P$2:$P$1001,MATCH(ROWS($O$2:O867),$O$2:$O$1001,0),1)&gt;=100000,INDEX($V$1005:$AE$1005,1,MATCH(COLUMNS($V$1006:X1006),$V$1006:$AE$1006,0))&gt;=100000), " ",IF(INDEX($V$2:$AE$1001,MATCH(ROWS($O$2:O867),$O$2:$O$1001,0),MATCH(COLUMNS($V$1006:X1006),$V$1006:$AE$1006,0)), HYPERLINK("#",""), HYPERLINK(CONCATENATE("#Metadata!", ADDRESS(INDEX($Q$2:$Q$1001,MATCH(ROWS($O$2:O867),$O$2:$O$1001,0),0), INDEX($V$1004:$AE$1004,1,MATCH(COLUMNS($V$1006:X1006),$V$1006:$AE$1006,0)))),"Fix")))</f>
        <v>0</v>
      </c>
      <c r="E867" s="3">
        <f>IF(OR(INDEX($P$2:$P$1001,MATCH(ROWS($O$2:O867),$O$2:$O$1001,0),1)&gt;=100000,INDEX($V$1005:$AE$1005,1,MATCH(COLUMNS($V$1006:Y1006),$V$1006:$AE$1006,0))&gt;=100000), " ",IF(INDEX($V$2:$AE$1001,MATCH(ROWS($O$2:O867),$O$2:$O$1001,0),MATCH(COLUMNS($V$1006:Y1006),$V$1006:$AE$1006,0)), HYPERLINK("#",""), HYPERLINK(CONCATENATE("#Metadata!", ADDRESS(INDEX($Q$2:$Q$1001,MATCH(ROWS($O$2:O867),$O$2:$O$1001,0),0), INDEX($V$1004:$AE$1004,1,MATCH(COLUMNS($V$1006:Y1006),$V$1006:$AE$1006,0)))),"Fix")))</f>
        <v>0</v>
      </c>
      <c r="F867" s="3">
        <f>IF(OR(INDEX($P$2:$P$1001,MATCH(ROWS($O$2:O867),$O$2:$O$1001,0),1)&gt;=100000,INDEX($V$1005:$AE$1005,1,MATCH(COLUMNS($V$1006:Z1006),$V$1006:$AE$1006,0))&gt;=100000), " ",IF(INDEX($V$2:$AE$1001,MATCH(ROWS($O$2:O867),$O$2:$O$1001,0),MATCH(COLUMNS($V$1006:Z1006),$V$1006:$AE$1006,0)), HYPERLINK("#",""), HYPERLINK(CONCATENATE("#Metadata!", ADDRESS(INDEX($Q$2:$Q$1001,MATCH(ROWS($O$2:O867),$O$2:$O$1001,0),0), INDEX($V$1004:$AE$1004,1,MATCH(COLUMNS($V$1006:Z1006),$V$1006:$AE$1006,0)))),"Fix")))</f>
        <v>0</v>
      </c>
      <c r="G867" s="3">
        <f>IF(OR(INDEX($P$2:$P$1001,MATCH(ROWS($O$2:O867),$O$2:$O$1001,0),1)&gt;=100000,INDEX($V$1005:$AE$1005,1,MATCH(COLUMNS($V$1006:AA1006),$V$1006:$AE$1006,0))&gt;=100000), " ",IF(INDEX($V$2:$AE$1001,MATCH(ROWS($O$2:O867),$O$2:$O$1001,0),MATCH(COLUMNS($V$1006:AA1006),$V$1006:$AE$1006,0)), HYPERLINK("#",""), HYPERLINK(CONCATENATE("#Metadata!", ADDRESS(INDEX($Q$2:$Q$1001,MATCH(ROWS($O$2:O867),$O$2:$O$1001,0),0), INDEX($V$1004:$AE$1004,1,MATCH(COLUMNS($V$1006:AA1006),$V$1006:$AE$1006,0)))),"Fix")))</f>
        <v>0</v>
      </c>
      <c r="H867" s="3">
        <f>IF(OR(INDEX($P$2:$P$1001,MATCH(ROWS($O$2:O867),$O$2:$O$1001,0),1)&gt;=100000,INDEX($V$1005:$AE$1005,1,MATCH(COLUMNS($V$1006:AB1006),$V$1006:$AE$1006,0))&gt;=100000), " ",IF(INDEX($V$2:$AE$1001,MATCH(ROWS($O$2:O867),$O$2:$O$1001,0),MATCH(COLUMNS($V$1006:AB1006),$V$1006:$AE$1006,0)), HYPERLINK("#",""), HYPERLINK(CONCATENATE("#Metadata!", ADDRESS(INDEX($Q$2:$Q$1001,MATCH(ROWS($O$2:O867),$O$2:$O$1001,0),0), INDEX($V$1004:$AE$1004,1,MATCH(COLUMNS($V$1006:AB1006),$V$1006:$AE$1006,0)))),"Fix")))</f>
        <v>0</v>
      </c>
      <c r="I867" s="3">
        <f>IF(OR(INDEX($P$2:$P$1001,MATCH(ROWS($O$2:O867),$O$2:$O$1001,0),1)&gt;=100000,INDEX($V$1005:$AE$1005,1,MATCH(COLUMNS($V$1006:AC1006),$V$1006:$AE$1006,0))&gt;=100000), " ",IF(INDEX($V$2:$AE$1001,MATCH(ROWS($O$2:O867),$O$2:$O$1001,0),MATCH(COLUMNS($V$1006:AC1006),$V$1006:$AE$1006,0)), HYPERLINK("#",""), HYPERLINK(CONCATENATE("#Metadata!", ADDRESS(INDEX($Q$2:$Q$1001,MATCH(ROWS($O$2:O867),$O$2:$O$1001,0),0), INDEX($V$1004:$AE$1004,1,MATCH(COLUMNS($V$1006:AC1006),$V$1006:$AE$1006,0)))),"Fix")))</f>
        <v>0</v>
      </c>
      <c r="J867" s="3">
        <f>IF(OR(INDEX($P$2:$P$1001,MATCH(ROWS($O$2:O867),$O$2:$O$1001,0),1)&gt;=100000,INDEX($V$1005:$AE$1005,1,MATCH(COLUMNS($V$1006:AD1006),$V$1006:$AE$1006,0))&gt;=100000), " ",IF(INDEX($V$2:$AE$1001,MATCH(ROWS($O$2:O867),$O$2:$O$1001,0),MATCH(COLUMNS($V$1006:AD1006),$V$1006:$AE$1006,0)), HYPERLINK("#",""), HYPERLINK(CONCATENATE("#Metadata!", ADDRESS(INDEX($Q$2:$Q$1001,MATCH(ROWS($O$2:O867),$O$2:$O$1001,0),0), INDEX($V$1004:$AE$1004,1,MATCH(COLUMNS($V$1006:AD1006),$V$1006:$AE$1006,0)))),"Fix")))</f>
        <v>0</v>
      </c>
      <c r="K867" s="3">
        <f>IF(OR(INDEX($P$2:$P$1001,MATCH(ROWS($O$2:O867),$O$2:$O$1001,0),1)&gt;=100000,INDEX($V$1005:$AE$1005,1,MATCH(COLUMNS($V$1006:AE1006),$V$1006:$AE$1006,0))&gt;=100000), " ",IF(INDEX($V$2:$AE$1001,MATCH(ROWS($O$2:O867),$O$2:$O$1001,0),MATCH(COLUMNS($V$1006:AE1006),$V$1006:$AE$1006,0)), HYPERLINK("#",""), HYPERLINK(CONCATENATE("#Metadata!", ADDRESS(INDEX($Q$2:$Q$1001,MATCH(ROWS($O$2:O867),$O$2:$O$1001,0),0), INDEX($V$1004:$AE$1004,1,MATCH(COLUMNS($V$1006:AE1006),$V$1006:$AE$1006,0)))),"Fix")))</f>
        <v>0</v>
      </c>
      <c r="O867">
        <v>0</v>
      </c>
      <c r="P867">
        <v>0</v>
      </c>
      <c r="Q867">
        <v>0</v>
      </c>
      <c r="R867">
        <f>IF(S867,TRUE,AND(V867:AE867))</f>
        <v>0</v>
      </c>
      <c r="S867">
        <f>COUNTBLANK(Metadata!B867:K867)=COLUMNS(Metadata!B867:K867)</f>
        <v>0</v>
      </c>
      <c r="T867">
        <v>0</v>
      </c>
      <c r="V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W867">
        <f>AND(IF(Metadata!C867="",FALSE,TRUE),exact(Metadata!C867,"animal secretion"))</f>
        <v>0</v>
      </c>
      <c r="X867">
        <f>AND(IF(Metadata!D867="",FALSE,TRUE),exact(Metadata!D867,"saliva"))</f>
        <v>0</v>
      </c>
      <c r="Y867">
        <f>AND(IF(Metadata!E867="",FALSE,TRUE),exact(Metadata!E867,"human-oral"))</f>
        <v>0</v>
      </c>
      <c r="Z867">
        <f>AND(IF(Metadata!F867="",FALSE,TRUE),exact(Metadata!F867,"UBERON:oral cavity"))</f>
        <v>0</v>
      </c>
      <c r="AA867">
        <f>AND(IF(Metadata!G867="",FALSE,TRUE),exact(Metadata!G867,"UBERON:saliva"))</f>
        <v>0</v>
      </c>
      <c r="AB867">
        <f>AND(IF(Metadata!H867="",FALSE,TRUE),exact(Metadata!H867,"UBERON:tongue"))</f>
        <v>0</v>
      </c>
      <c r="AC867">
        <f>AND(IF(Metadata!I867="",FALSE,TRUE),exact(Metadata!I867,"tongue"))</f>
        <v>0</v>
      </c>
      <c r="AD867">
        <f>AND(IF(Metadata!J867="",FALSE,TRUE),exact(Metadata!J867,"human oral metagenome"))</f>
        <v>0</v>
      </c>
      <c r="AE867">
        <f>AND(IF(Metadata!K867="",FALSE,TRUE),exact(Metadata!K867,"447426"))</f>
        <v>0</v>
      </c>
    </row>
    <row r="868" spans="1:31">
      <c r="A868" s="4">
        <f>IF(B868=" "," ",HYPERLINK(CONCATENATE("#metadata!",ADDRESS(INDEX($Q$2:$Q$1001,MATCH(ROWS($O$2:O868),$O$2:$O$1001,0),0),1)),INDEX($T$2:$T$1001,MATCH(ROWS($O$2:O868),$O$2:$O$1001,0),0)))</f>
        <v>0</v>
      </c>
      <c r="B868" s="3">
        <f>IF(OR(INDEX($P$2:$P$1001,MATCH(ROWS($O$2:O868),$O$2:$O$1001,0),1)&gt;=100000,INDEX($V$1005:$AE$1005,1,MATCH(COLUMNS($V$1006:V1006),$V$1006:$AE$1006,0))&gt;=100000), " ",IF(INDEX($V$2:$AE$1001,MATCH(ROWS($O$2:O868),$O$2:$O$1001,0),MATCH(COLUMNS($V$1006:V1006),$V$1006:$AE$1006,0)), HYPERLINK("#",""), HYPERLINK(CONCATENATE("#Metadata!", ADDRESS(INDEX($Q$2:$Q$1001,MATCH(ROWS($O$2:O868),$O$2:$O$1001,0),0), INDEX($V$1004:$AE$1004,1,MATCH(COLUMNS($V$1006:V1006),$V$1006:$AE$1006,0)))),"Fix")))</f>
        <v>0</v>
      </c>
      <c r="C868" s="3">
        <f>IF(OR(INDEX($P$2:$P$1001,MATCH(ROWS($O$2:O868),$O$2:$O$1001,0),1)&gt;=100000,INDEX($V$1005:$AE$1005,1,MATCH(COLUMNS($V$1006:W1006),$V$1006:$AE$1006,0))&gt;=100000), " ",IF(INDEX($V$2:$AE$1001,MATCH(ROWS($O$2:O868),$O$2:$O$1001,0),MATCH(COLUMNS($V$1006:W1006),$V$1006:$AE$1006,0)), HYPERLINK("#",""), HYPERLINK(CONCATENATE("#Metadata!", ADDRESS(INDEX($Q$2:$Q$1001,MATCH(ROWS($O$2:O868),$O$2:$O$1001,0),0), INDEX($V$1004:$AE$1004,1,MATCH(COLUMNS($V$1006:W1006),$V$1006:$AE$1006,0)))),"Fix")))</f>
        <v>0</v>
      </c>
      <c r="D868" s="3">
        <f>IF(OR(INDEX($P$2:$P$1001,MATCH(ROWS($O$2:O868),$O$2:$O$1001,0),1)&gt;=100000,INDEX($V$1005:$AE$1005,1,MATCH(COLUMNS($V$1006:X1006),$V$1006:$AE$1006,0))&gt;=100000), " ",IF(INDEX($V$2:$AE$1001,MATCH(ROWS($O$2:O868),$O$2:$O$1001,0),MATCH(COLUMNS($V$1006:X1006),$V$1006:$AE$1006,0)), HYPERLINK("#",""), HYPERLINK(CONCATENATE("#Metadata!", ADDRESS(INDEX($Q$2:$Q$1001,MATCH(ROWS($O$2:O868),$O$2:$O$1001,0),0), INDEX($V$1004:$AE$1004,1,MATCH(COLUMNS($V$1006:X1006),$V$1006:$AE$1006,0)))),"Fix")))</f>
        <v>0</v>
      </c>
      <c r="E868" s="3">
        <f>IF(OR(INDEX($P$2:$P$1001,MATCH(ROWS($O$2:O868),$O$2:$O$1001,0),1)&gt;=100000,INDEX($V$1005:$AE$1005,1,MATCH(COLUMNS($V$1006:Y1006),$V$1006:$AE$1006,0))&gt;=100000), " ",IF(INDEX($V$2:$AE$1001,MATCH(ROWS($O$2:O868),$O$2:$O$1001,0),MATCH(COLUMNS($V$1006:Y1006),$V$1006:$AE$1006,0)), HYPERLINK("#",""), HYPERLINK(CONCATENATE("#Metadata!", ADDRESS(INDEX($Q$2:$Q$1001,MATCH(ROWS($O$2:O868),$O$2:$O$1001,0),0), INDEX($V$1004:$AE$1004,1,MATCH(COLUMNS($V$1006:Y1006),$V$1006:$AE$1006,0)))),"Fix")))</f>
        <v>0</v>
      </c>
      <c r="F868" s="3">
        <f>IF(OR(INDEX($P$2:$P$1001,MATCH(ROWS($O$2:O868),$O$2:$O$1001,0),1)&gt;=100000,INDEX($V$1005:$AE$1005,1,MATCH(COLUMNS($V$1006:Z1006),$V$1006:$AE$1006,0))&gt;=100000), " ",IF(INDEX($V$2:$AE$1001,MATCH(ROWS($O$2:O868),$O$2:$O$1001,0),MATCH(COLUMNS($V$1006:Z1006),$V$1006:$AE$1006,0)), HYPERLINK("#",""), HYPERLINK(CONCATENATE("#Metadata!", ADDRESS(INDEX($Q$2:$Q$1001,MATCH(ROWS($O$2:O868),$O$2:$O$1001,0),0), INDEX($V$1004:$AE$1004,1,MATCH(COLUMNS($V$1006:Z1006),$V$1006:$AE$1006,0)))),"Fix")))</f>
        <v>0</v>
      </c>
      <c r="G868" s="3">
        <f>IF(OR(INDEX($P$2:$P$1001,MATCH(ROWS($O$2:O868),$O$2:$O$1001,0),1)&gt;=100000,INDEX($V$1005:$AE$1005,1,MATCH(COLUMNS($V$1006:AA1006),$V$1006:$AE$1006,0))&gt;=100000), " ",IF(INDEX($V$2:$AE$1001,MATCH(ROWS($O$2:O868),$O$2:$O$1001,0),MATCH(COLUMNS($V$1006:AA1006),$V$1006:$AE$1006,0)), HYPERLINK("#",""), HYPERLINK(CONCATENATE("#Metadata!", ADDRESS(INDEX($Q$2:$Q$1001,MATCH(ROWS($O$2:O868),$O$2:$O$1001,0),0), INDEX($V$1004:$AE$1004,1,MATCH(COLUMNS($V$1006:AA1006),$V$1006:$AE$1006,0)))),"Fix")))</f>
        <v>0</v>
      </c>
      <c r="H868" s="3">
        <f>IF(OR(INDEX($P$2:$P$1001,MATCH(ROWS($O$2:O868),$O$2:$O$1001,0),1)&gt;=100000,INDEX($V$1005:$AE$1005,1,MATCH(COLUMNS($V$1006:AB1006),$V$1006:$AE$1006,0))&gt;=100000), " ",IF(INDEX($V$2:$AE$1001,MATCH(ROWS($O$2:O868),$O$2:$O$1001,0),MATCH(COLUMNS($V$1006:AB1006),$V$1006:$AE$1006,0)), HYPERLINK("#",""), HYPERLINK(CONCATENATE("#Metadata!", ADDRESS(INDEX($Q$2:$Q$1001,MATCH(ROWS($O$2:O868),$O$2:$O$1001,0),0), INDEX($V$1004:$AE$1004,1,MATCH(COLUMNS($V$1006:AB1006),$V$1006:$AE$1006,0)))),"Fix")))</f>
        <v>0</v>
      </c>
      <c r="I868" s="3">
        <f>IF(OR(INDEX($P$2:$P$1001,MATCH(ROWS($O$2:O868),$O$2:$O$1001,0),1)&gt;=100000,INDEX($V$1005:$AE$1005,1,MATCH(COLUMNS($V$1006:AC1006),$V$1006:$AE$1006,0))&gt;=100000), " ",IF(INDEX($V$2:$AE$1001,MATCH(ROWS($O$2:O868),$O$2:$O$1001,0),MATCH(COLUMNS($V$1006:AC1006),$V$1006:$AE$1006,0)), HYPERLINK("#",""), HYPERLINK(CONCATENATE("#Metadata!", ADDRESS(INDEX($Q$2:$Q$1001,MATCH(ROWS($O$2:O868),$O$2:$O$1001,0),0), INDEX($V$1004:$AE$1004,1,MATCH(COLUMNS($V$1006:AC1006),$V$1006:$AE$1006,0)))),"Fix")))</f>
        <v>0</v>
      </c>
      <c r="J868" s="3">
        <f>IF(OR(INDEX($P$2:$P$1001,MATCH(ROWS($O$2:O868),$O$2:$O$1001,0),1)&gt;=100000,INDEX($V$1005:$AE$1005,1,MATCH(COLUMNS($V$1006:AD1006),$V$1006:$AE$1006,0))&gt;=100000), " ",IF(INDEX($V$2:$AE$1001,MATCH(ROWS($O$2:O868),$O$2:$O$1001,0),MATCH(COLUMNS($V$1006:AD1006),$V$1006:$AE$1006,0)), HYPERLINK("#",""), HYPERLINK(CONCATENATE("#Metadata!", ADDRESS(INDEX($Q$2:$Q$1001,MATCH(ROWS($O$2:O868),$O$2:$O$1001,0),0), INDEX($V$1004:$AE$1004,1,MATCH(COLUMNS($V$1006:AD1006),$V$1006:$AE$1006,0)))),"Fix")))</f>
        <v>0</v>
      </c>
      <c r="K868" s="3">
        <f>IF(OR(INDEX($P$2:$P$1001,MATCH(ROWS($O$2:O868),$O$2:$O$1001,0),1)&gt;=100000,INDEX($V$1005:$AE$1005,1,MATCH(COLUMNS($V$1006:AE1006),$V$1006:$AE$1006,0))&gt;=100000), " ",IF(INDEX($V$2:$AE$1001,MATCH(ROWS($O$2:O868),$O$2:$O$1001,0),MATCH(COLUMNS($V$1006:AE1006),$V$1006:$AE$1006,0)), HYPERLINK("#",""), HYPERLINK(CONCATENATE("#Metadata!", ADDRESS(INDEX($Q$2:$Q$1001,MATCH(ROWS($O$2:O868),$O$2:$O$1001,0),0), INDEX($V$1004:$AE$1004,1,MATCH(COLUMNS($V$1006:AE1006),$V$1006:$AE$1006,0)))),"Fix")))</f>
        <v>0</v>
      </c>
      <c r="O868">
        <v>0</v>
      </c>
      <c r="P868">
        <v>0</v>
      </c>
      <c r="Q868">
        <v>0</v>
      </c>
      <c r="R868">
        <f>IF(S868,TRUE,AND(V868:AE868))</f>
        <v>0</v>
      </c>
      <c r="S868">
        <f>COUNTBLANK(Metadata!B868:K868)=COLUMNS(Metadata!B868:K868)</f>
        <v>0</v>
      </c>
      <c r="T868">
        <v>0</v>
      </c>
      <c r="V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W868">
        <f>AND(IF(Metadata!C868="",FALSE,TRUE),exact(Metadata!C868,"animal secretion"))</f>
        <v>0</v>
      </c>
      <c r="X868">
        <f>AND(IF(Metadata!D868="",FALSE,TRUE),exact(Metadata!D868,"saliva"))</f>
        <v>0</v>
      </c>
      <c r="Y868">
        <f>AND(IF(Metadata!E868="",FALSE,TRUE),exact(Metadata!E868,"human-oral"))</f>
        <v>0</v>
      </c>
      <c r="Z868">
        <f>AND(IF(Metadata!F868="",FALSE,TRUE),exact(Metadata!F868,"UBERON:oral cavity"))</f>
        <v>0</v>
      </c>
      <c r="AA868">
        <f>AND(IF(Metadata!G868="",FALSE,TRUE),exact(Metadata!G868,"UBERON:saliva"))</f>
        <v>0</v>
      </c>
      <c r="AB868">
        <f>AND(IF(Metadata!H868="",FALSE,TRUE),exact(Metadata!H868,"UBERON:tongue"))</f>
        <v>0</v>
      </c>
      <c r="AC868">
        <f>AND(IF(Metadata!I868="",FALSE,TRUE),exact(Metadata!I868,"tongue"))</f>
        <v>0</v>
      </c>
      <c r="AD868">
        <f>AND(IF(Metadata!J868="",FALSE,TRUE),exact(Metadata!J868,"human oral metagenome"))</f>
        <v>0</v>
      </c>
      <c r="AE868">
        <f>AND(IF(Metadata!K868="",FALSE,TRUE),exact(Metadata!K868,"447426"))</f>
        <v>0</v>
      </c>
    </row>
    <row r="869" spans="1:31">
      <c r="A869" s="4">
        <f>IF(B869=" "," ",HYPERLINK(CONCATENATE("#metadata!",ADDRESS(INDEX($Q$2:$Q$1001,MATCH(ROWS($O$2:O869),$O$2:$O$1001,0),0),1)),INDEX($T$2:$T$1001,MATCH(ROWS($O$2:O869),$O$2:$O$1001,0),0)))</f>
        <v>0</v>
      </c>
      <c r="B869" s="3">
        <f>IF(OR(INDEX($P$2:$P$1001,MATCH(ROWS($O$2:O869),$O$2:$O$1001,0),1)&gt;=100000,INDEX($V$1005:$AE$1005,1,MATCH(COLUMNS($V$1006:V1006),$V$1006:$AE$1006,0))&gt;=100000), " ",IF(INDEX($V$2:$AE$1001,MATCH(ROWS($O$2:O869),$O$2:$O$1001,0),MATCH(COLUMNS($V$1006:V1006),$V$1006:$AE$1006,0)), HYPERLINK("#",""), HYPERLINK(CONCATENATE("#Metadata!", ADDRESS(INDEX($Q$2:$Q$1001,MATCH(ROWS($O$2:O869),$O$2:$O$1001,0),0), INDEX($V$1004:$AE$1004,1,MATCH(COLUMNS($V$1006:V1006),$V$1006:$AE$1006,0)))),"Fix")))</f>
        <v>0</v>
      </c>
      <c r="C869" s="3">
        <f>IF(OR(INDEX($P$2:$P$1001,MATCH(ROWS($O$2:O869),$O$2:$O$1001,0),1)&gt;=100000,INDEX($V$1005:$AE$1005,1,MATCH(COLUMNS($V$1006:W1006),$V$1006:$AE$1006,0))&gt;=100000), " ",IF(INDEX($V$2:$AE$1001,MATCH(ROWS($O$2:O869),$O$2:$O$1001,0),MATCH(COLUMNS($V$1006:W1006),$V$1006:$AE$1006,0)), HYPERLINK("#",""), HYPERLINK(CONCATENATE("#Metadata!", ADDRESS(INDEX($Q$2:$Q$1001,MATCH(ROWS($O$2:O869),$O$2:$O$1001,0),0), INDEX($V$1004:$AE$1004,1,MATCH(COLUMNS($V$1006:W1006),$V$1006:$AE$1006,0)))),"Fix")))</f>
        <v>0</v>
      </c>
      <c r="D869" s="3">
        <f>IF(OR(INDEX($P$2:$P$1001,MATCH(ROWS($O$2:O869),$O$2:$O$1001,0),1)&gt;=100000,INDEX($V$1005:$AE$1005,1,MATCH(COLUMNS($V$1006:X1006),$V$1006:$AE$1006,0))&gt;=100000), " ",IF(INDEX($V$2:$AE$1001,MATCH(ROWS($O$2:O869),$O$2:$O$1001,0),MATCH(COLUMNS($V$1006:X1006),$V$1006:$AE$1006,0)), HYPERLINK("#",""), HYPERLINK(CONCATENATE("#Metadata!", ADDRESS(INDEX($Q$2:$Q$1001,MATCH(ROWS($O$2:O869),$O$2:$O$1001,0),0), INDEX($V$1004:$AE$1004,1,MATCH(COLUMNS($V$1006:X1006),$V$1006:$AE$1006,0)))),"Fix")))</f>
        <v>0</v>
      </c>
      <c r="E869" s="3">
        <f>IF(OR(INDEX($P$2:$P$1001,MATCH(ROWS($O$2:O869),$O$2:$O$1001,0),1)&gt;=100000,INDEX($V$1005:$AE$1005,1,MATCH(COLUMNS($V$1006:Y1006),$V$1006:$AE$1006,0))&gt;=100000), " ",IF(INDEX($V$2:$AE$1001,MATCH(ROWS($O$2:O869),$O$2:$O$1001,0),MATCH(COLUMNS($V$1006:Y1006),$V$1006:$AE$1006,0)), HYPERLINK("#",""), HYPERLINK(CONCATENATE("#Metadata!", ADDRESS(INDEX($Q$2:$Q$1001,MATCH(ROWS($O$2:O869),$O$2:$O$1001,0),0), INDEX($V$1004:$AE$1004,1,MATCH(COLUMNS($V$1006:Y1006),$V$1006:$AE$1006,0)))),"Fix")))</f>
        <v>0</v>
      </c>
      <c r="F869" s="3">
        <f>IF(OR(INDEX($P$2:$P$1001,MATCH(ROWS($O$2:O869),$O$2:$O$1001,0),1)&gt;=100000,INDEX($V$1005:$AE$1005,1,MATCH(COLUMNS($V$1006:Z1006),$V$1006:$AE$1006,0))&gt;=100000), " ",IF(INDEX($V$2:$AE$1001,MATCH(ROWS($O$2:O869),$O$2:$O$1001,0),MATCH(COLUMNS($V$1006:Z1006),$V$1006:$AE$1006,0)), HYPERLINK("#",""), HYPERLINK(CONCATENATE("#Metadata!", ADDRESS(INDEX($Q$2:$Q$1001,MATCH(ROWS($O$2:O869),$O$2:$O$1001,0),0), INDEX($V$1004:$AE$1004,1,MATCH(COLUMNS($V$1006:Z1006),$V$1006:$AE$1006,0)))),"Fix")))</f>
        <v>0</v>
      </c>
      <c r="G869" s="3">
        <f>IF(OR(INDEX($P$2:$P$1001,MATCH(ROWS($O$2:O869),$O$2:$O$1001,0),1)&gt;=100000,INDEX($V$1005:$AE$1005,1,MATCH(COLUMNS($V$1006:AA1006),$V$1006:$AE$1006,0))&gt;=100000), " ",IF(INDEX($V$2:$AE$1001,MATCH(ROWS($O$2:O869),$O$2:$O$1001,0),MATCH(COLUMNS($V$1006:AA1006),$V$1006:$AE$1006,0)), HYPERLINK("#",""), HYPERLINK(CONCATENATE("#Metadata!", ADDRESS(INDEX($Q$2:$Q$1001,MATCH(ROWS($O$2:O869),$O$2:$O$1001,0),0), INDEX($V$1004:$AE$1004,1,MATCH(COLUMNS($V$1006:AA1006),$V$1006:$AE$1006,0)))),"Fix")))</f>
        <v>0</v>
      </c>
      <c r="H869" s="3">
        <f>IF(OR(INDEX($P$2:$P$1001,MATCH(ROWS($O$2:O869),$O$2:$O$1001,0),1)&gt;=100000,INDEX($V$1005:$AE$1005,1,MATCH(COLUMNS($V$1006:AB1006),$V$1006:$AE$1006,0))&gt;=100000), " ",IF(INDEX($V$2:$AE$1001,MATCH(ROWS($O$2:O869),$O$2:$O$1001,0),MATCH(COLUMNS($V$1006:AB1006),$V$1006:$AE$1006,0)), HYPERLINK("#",""), HYPERLINK(CONCATENATE("#Metadata!", ADDRESS(INDEX($Q$2:$Q$1001,MATCH(ROWS($O$2:O869),$O$2:$O$1001,0),0), INDEX($V$1004:$AE$1004,1,MATCH(COLUMNS($V$1006:AB1006),$V$1006:$AE$1006,0)))),"Fix")))</f>
        <v>0</v>
      </c>
      <c r="I869" s="3">
        <f>IF(OR(INDEX($P$2:$P$1001,MATCH(ROWS($O$2:O869),$O$2:$O$1001,0),1)&gt;=100000,INDEX($V$1005:$AE$1005,1,MATCH(COLUMNS($V$1006:AC1006),$V$1006:$AE$1006,0))&gt;=100000), " ",IF(INDEX($V$2:$AE$1001,MATCH(ROWS($O$2:O869),$O$2:$O$1001,0),MATCH(COLUMNS($V$1006:AC1006),$V$1006:$AE$1006,0)), HYPERLINK("#",""), HYPERLINK(CONCATENATE("#Metadata!", ADDRESS(INDEX($Q$2:$Q$1001,MATCH(ROWS($O$2:O869),$O$2:$O$1001,0),0), INDEX($V$1004:$AE$1004,1,MATCH(COLUMNS($V$1006:AC1006),$V$1006:$AE$1006,0)))),"Fix")))</f>
        <v>0</v>
      </c>
      <c r="J869" s="3">
        <f>IF(OR(INDEX($P$2:$P$1001,MATCH(ROWS($O$2:O869),$O$2:$O$1001,0),1)&gt;=100000,INDEX($V$1005:$AE$1005,1,MATCH(COLUMNS($V$1006:AD1006),$V$1006:$AE$1006,0))&gt;=100000), " ",IF(INDEX($V$2:$AE$1001,MATCH(ROWS($O$2:O869),$O$2:$O$1001,0),MATCH(COLUMNS($V$1006:AD1006),$V$1006:$AE$1006,0)), HYPERLINK("#",""), HYPERLINK(CONCATENATE("#Metadata!", ADDRESS(INDEX($Q$2:$Q$1001,MATCH(ROWS($O$2:O869),$O$2:$O$1001,0),0), INDEX($V$1004:$AE$1004,1,MATCH(COLUMNS($V$1006:AD1006),$V$1006:$AE$1006,0)))),"Fix")))</f>
        <v>0</v>
      </c>
      <c r="K869" s="3">
        <f>IF(OR(INDEX($P$2:$P$1001,MATCH(ROWS($O$2:O869),$O$2:$O$1001,0),1)&gt;=100000,INDEX($V$1005:$AE$1005,1,MATCH(COLUMNS($V$1006:AE1006),$V$1006:$AE$1006,0))&gt;=100000), " ",IF(INDEX($V$2:$AE$1001,MATCH(ROWS($O$2:O869),$O$2:$O$1001,0),MATCH(COLUMNS($V$1006:AE1006),$V$1006:$AE$1006,0)), HYPERLINK("#",""), HYPERLINK(CONCATENATE("#Metadata!", ADDRESS(INDEX($Q$2:$Q$1001,MATCH(ROWS($O$2:O869),$O$2:$O$1001,0),0), INDEX($V$1004:$AE$1004,1,MATCH(COLUMNS($V$1006:AE1006),$V$1006:$AE$1006,0)))),"Fix")))</f>
        <v>0</v>
      </c>
      <c r="O869">
        <v>0</v>
      </c>
      <c r="P869">
        <v>0</v>
      </c>
      <c r="Q869">
        <v>0</v>
      </c>
      <c r="R869">
        <f>IF(S869,TRUE,AND(V869:AE869))</f>
        <v>0</v>
      </c>
      <c r="S869">
        <f>COUNTBLANK(Metadata!B869:K869)=COLUMNS(Metadata!B869:K869)</f>
        <v>0</v>
      </c>
      <c r="T869">
        <v>0</v>
      </c>
      <c r="V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W869">
        <f>AND(IF(Metadata!C869="",FALSE,TRUE),exact(Metadata!C869,"animal secretion"))</f>
        <v>0</v>
      </c>
      <c r="X869">
        <f>AND(IF(Metadata!D869="",FALSE,TRUE),exact(Metadata!D869,"saliva"))</f>
        <v>0</v>
      </c>
      <c r="Y869">
        <f>AND(IF(Metadata!E869="",FALSE,TRUE),exact(Metadata!E869,"human-oral"))</f>
        <v>0</v>
      </c>
      <c r="Z869">
        <f>AND(IF(Metadata!F869="",FALSE,TRUE),exact(Metadata!F869,"UBERON:oral cavity"))</f>
        <v>0</v>
      </c>
      <c r="AA869">
        <f>AND(IF(Metadata!G869="",FALSE,TRUE),exact(Metadata!G869,"UBERON:saliva"))</f>
        <v>0</v>
      </c>
      <c r="AB869">
        <f>AND(IF(Metadata!H869="",FALSE,TRUE),exact(Metadata!H869,"UBERON:tongue"))</f>
        <v>0</v>
      </c>
      <c r="AC869">
        <f>AND(IF(Metadata!I869="",FALSE,TRUE),exact(Metadata!I869,"tongue"))</f>
        <v>0</v>
      </c>
      <c r="AD869">
        <f>AND(IF(Metadata!J869="",FALSE,TRUE),exact(Metadata!J869,"human oral metagenome"))</f>
        <v>0</v>
      </c>
      <c r="AE869">
        <f>AND(IF(Metadata!K869="",FALSE,TRUE),exact(Metadata!K869,"447426"))</f>
        <v>0</v>
      </c>
    </row>
    <row r="870" spans="1:31">
      <c r="A870" s="4">
        <f>IF(B870=" "," ",HYPERLINK(CONCATENATE("#metadata!",ADDRESS(INDEX($Q$2:$Q$1001,MATCH(ROWS($O$2:O870),$O$2:$O$1001,0),0),1)),INDEX($T$2:$T$1001,MATCH(ROWS($O$2:O870),$O$2:$O$1001,0),0)))</f>
        <v>0</v>
      </c>
      <c r="B870" s="3">
        <f>IF(OR(INDEX($P$2:$P$1001,MATCH(ROWS($O$2:O870),$O$2:$O$1001,0),1)&gt;=100000,INDEX($V$1005:$AE$1005,1,MATCH(COLUMNS($V$1006:V1006),$V$1006:$AE$1006,0))&gt;=100000), " ",IF(INDEX($V$2:$AE$1001,MATCH(ROWS($O$2:O870),$O$2:$O$1001,0),MATCH(COLUMNS($V$1006:V1006),$V$1006:$AE$1006,0)), HYPERLINK("#",""), HYPERLINK(CONCATENATE("#Metadata!", ADDRESS(INDEX($Q$2:$Q$1001,MATCH(ROWS($O$2:O870),$O$2:$O$1001,0),0), INDEX($V$1004:$AE$1004,1,MATCH(COLUMNS($V$1006:V1006),$V$1006:$AE$1006,0)))),"Fix")))</f>
        <v>0</v>
      </c>
      <c r="C870" s="3">
        <f>IF(OR(INDEX($P$2:$P$1001,MATCH(ROWS($O$2:O870),$O$2:$O$1001,0),1)&gt;=100000,INDEX($V$1005:$AE$1005,1,MATCH(COLUMNS($V$1006:W1006),$V$1006:$AE$1006,0))&gt;=100000), " ",IF(INDEX($V$2:$AE$1001,MATCH(ROWS($O$2:O870),$O$2:$O$1001,0),MATCH(COLUMNS($V$1006:W1006),$V$1006:$AE$1006,0)), HYPERLINK("#",""), HYPERLINK(CONCATENATE("#Metadata!", ADDRESS(INDEX($Q$2:$Q$1001,MATCH(ROWS($O$2:O870),$O$2:$O$1001,0),0), INDEX($V$1004:$AE$1004,1,MATCH(COLUMNS($V$1006:W1006),$V$1006:$AE$1006,0)))),"Fix")))</f>
        <v>0</v>
      </c>
      <c r="D870" s="3">
        <f>IF(OR(INDEX($P$2:$P$1001,MATCH(ROWS($O$2:O870),$O$2:$O$1001,0),1)&gt;=100000,INDEX($V$1005:$AE$1005,1,MATCH(COLUMNS($V$1006:X1006),$V$1006:$AE$1006,0))&gt;=100000), " ",IF(INDEX($V$2:$AE$1001,MATCH(ROWS($O$2:O870),$O$2:$O$1001,0),MATCH(COLUMNS($V$1006:X1006),$V$1006:$AE$1006,0)), HYPERLINK("#",""), HYPERLINK(CONCATENATE("#Metadata!", ADDRESS(INDEX($Q$2:$Q$1001,MATCH(ROWS($O$2:O870),$O$2:$O$1001,0),0), INDEX($V$1004:$AE$1004,1,MATCH(COLUMNS($V$1006:X1006),$V$1006:$AE$1006,0)))),"Fix")))</f>
        <v>0</v>
      </c>
      <c r="E870" s="3">
        <f>IF(OR(INDEX($P$2:$P$1001,MATCH(ROWS($O$2:O870),$O$2:$O$1001,0),1)&gt;=100000,INDEX($V$1005:$AE$1005,1,MATCH(COLUMNS($V$1006:Y1006),$V$1006:$AE$1006,0))&gt;=100000), " ",IF(INDEX($V$2:$AE$1001,MATCH(ROWS($O$2:O870),$O$2:$O$1001,0),MATCH(COLUMNS($V$1006:Y1006),$V$1006:$AE$1006,0)), HYPERLINK("#",""), HYPERLINK(CONCATENATE("#Metadata!", ADDRESS(INDEX($Q$2:$Q$1001,MATCH(ROWS($O$2:O870),$O$2:$O$1001,0),0), INDEX($V$1004:$AE$1004,1,MATCH(COLUMNS($V$1006:Y1006),$V$1006:$AE$1006,0)))),"Fix")))</f>
        <v>0</v>
      </c>
      <c r="F870" s="3">
        <f>IF(OR(INDEX($P$2:$P$1001,MATCH(ROWS($O$2:O870),$O$2:$O$1001,0),1)&gt;=100000,INDEX($V$1005:$AE$1005,1,MATCH(COLUMNS($V$1006:Z1006),$V$1006:$AE$1006,0))&gt;=100000), " ",IF(INDEX($V$2:$AE$1001,MATCH(ROWS($O$2:O870),$O$2:$O$1001,0),MATCH(COLUMNS($V$1006:Z1006),$V$1006:$AE$1006,0)), HYPERLINK("#",""), HYPERLINK(CONCATENATE("#Metadata!", ADDRESS(INDEX($Q$2:$Q$1001,MATCH(ROWS($O$2:O870),$O$2:$O$1001,0),0), INDEX($V$1004:$AE$1004,1,MATCH(COLUMNS($V$1006:Z1006),$V$1006:$AE$1006,0)))),"Fix")))</f>
        <v>0</v>
      </c>
      <c r="G870" s="3">
        <f>IF(OR(INDEX($P$2:$P$1001,MATCH(ROWS($O$2:O870),$O$2:$O$1001,0),1)&gt;=100000,INDEX($V$1005:$AE$1005,1,MATCH(COLUMNS($V$1006:AA1006),$V$1006:$AE$1006,0))&gt;=100000), " ",IF(INDEX($V$2:$AE$1001,MATCH(ROWS($O$2:O870),$O$2:$O$1001,0),MATCH(COLUMNS($V$1006:AA1006),$V$1006:$AE$1006,0)), HYPERLINK("#",""), HYPERLINK(CONCATENATE("#Metadata!", ADDRESS(INDEX($Q$2:$Q$1001,MATCH(ROWS($O$2:O870),$O$2:$O$1001,0),0), INDEX($V$1004:$AE$1004,1,MATCH(COLUMNS($V$1006:AA1006),$V$1006:$AE$1006,0)))),"Fix")))</f>
        <v>0</v>
      </c>
      <c r="H870" s="3">
        <f>IF(OR(INDEX($P$2:$P$1001,MATCH(ROWS($O$2:O870),$O$2:$O$1001,0),1)&gt;=100000,INDEX($V$1005:$AE$1005,1,MATCH(COLUMNS($V$1006:AB1006),$V$1006:$AE$1006,0))&gt;=100000), " ",IF(INDEX($V$2:$AE$1001,MATCH(ROWS($O$2:O870),$O$2:$O$1001,0),MATCH(COLUMNS($V$1006:AB1006),$V$1006:$AE$1006,0)), HYPERLINK("#",""), HYPERLINK(CONCATENATE("#Metadata!", ADDRESS(INDEX($Q$2:$Q$1001,MATCH(ROWS($O$2:O870),$O$2:$O$1001,0),0), INDEX($V$1004:$AE$1004,1,MATCH(COLUMNS($V$1006:AB1006),$V$1006:$AE$1006,0)))),"Fix")))</f>
        <v>0</v>
      </c>
      <c r="I870" s="3">
        <f>IF(OR(INDEX($P$2:$P$1001,MATCH(ROWS($O$2:O870),$O$2:$O$1001,0),1)&gt;=100000,INDEX($V$1005:$AE$1005,1,MATCH(COLUMNS($V$1006:AC1006),$V$1006:$AE$1006,0))&gt;=100000), " ",IF(INDEX($V$2:$AE$1001,MATCH(ROWS($O$2:O870),$O$2:$O$1001,0),MATCH(COLUMNS($V$1006:AC1006),$V$1006:$AE$1006,0)), HYPERLINK("#",""), HYPERLINK(CONCATENATE("#Metadata!", ADDRESS(INDEX($Q$2:$Q$1001,MATCH(ROWS($O$2:O870),$O$2:$O$1001,0),0), INDEX($V$1004:$AE$1004,1,MATCH(COLUMNS($V$1006:AC1006),$V$1006:$AE$1006,0)))),"Fix")))</f>
        <v>0</v>
      </c>
      <c r="J870" s="3">
        <f>IF(OR(INDEX($P$2:$P$1001,MATCH(ROWS($O$2:O870),$O$2:$O$1001,0),1)&gt;=100000,INDEX($V$1005:$AE$1005,1,MATCH(COLUMNS($V$1006:AD1006),$V$1006:$AE$1006,0))&gt;=100000), " ",IF(INDEX($V$2:$AE$1001,MATCH(ROWS($O$2:O870),$O$2:$O$1001,0),MATCH(COLUMNS($V$1006:AD1006),$V$1006:$AE$1006,0)), HYPERLINK("#",""), HYPERLINK(CONCATENATE("#Metadata!", ADDRESS(INDEX($Q$2:$Q$1001,MATCH(ROWS($O$2:O870),$O$2:$O$1001,0),0), INDEX($V$1004:$AE$1004,1,MATCH(COLUMNS($V$1006:AD1006),$V$1006:$AE$1006,0)))),"Fix")))</f>
        <v>0</v>
      </c>
      <c r="K870" s="3">
        <f>IF(OR(INDEX($P$2:$P$1001,MATCH(ROWS($O$2:O870),$O$2:$O$1001,0),1)&gt;=100000,INDEX($V$1005:$AE$1005,1,MATCH(COLUMNS($V$1006:AE1006),$V$1006:$AE$1006,0))&gt;=100000), " ",IF(INDEX($V$2:$AE$1001,MATCH(ROWS($O$2:O870),$O$2:$O$1001,0),MATCH(COLUMNS($V$1006:AE1006),$V$1006:$AE$1006,0)), HYPERLINK("#",""), HYPERLINK(CONCATENATE("#Metadata!", ADDRESS(INDEX($Q$2:$Q$1001,MATCH(ROWS($O$2:O870),$O$2:$O$1001,0),0), INDEX($V$1004:$AE$1004,1,MATCH(COLUMNS($V$1006:AE1006),$V$1006:$AE$1006,0)))),"Fix")))</f>
        <v>0</v>
      </c>
      <c r="O870">
        <v>0</v>
      </c>
      <c r="P870">
        <v>0</v>
      </c>
      <c r="Q870">
        <v>0</v>
      </c>
      <c r="R870">
        <f>IF(S870,TRUE,AND(V870:AE870))</f>
        <v>0</v>
      </c>
      <c r="S870">
        <f>COUNTBLANK(Metadata!B870:K870)=COLUMNS(Metadata!B870:K870)</f>
        <v>0</v>
      </c>
      <c r="T870">
        <v>0</v>
      </c>
      <c r="V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W870">
        <f>AND(IF(Metadata!C870="",FALSE,TRUE),exact(Metadata!C870,"animal secretion"))</f>
        <v>0</v>
      </c>
      <c r="X870">
        <f>AND(IF(Metadata!D870="",FALSE,TRUE),exact(Metadata!D870,"saliva"))</f>
        <v>0</v>
      </c>
      <c r="Y870">
        <f>AND(IF(Metadata!E870="",FALSE,TRUE),exact(Metadata!E870,"human-oral"))</f>
        <v>0</v>
      </c>
      <c r="Z870">
        <f>AND(IF(Metadata!F870="",FALSE,TRUE),exact(Metadata!F870,"UBERON:oral cavity"))</f>
        <v>0</v>
      </c>
      <c r="AA870">
        <f>AND(IF(Metadata!G870="",FALSE,TRUE),exact(Metadata!G870,"UBERON:saliva"))</f>
        <v>0</v>
      </c>
      <c r="AB870">
        <f>AND(IF(Metadata!H870="",FALSE,TRUE),exact(Metadata!H870,"UBERON:tongue"))</f>
        <v>0</v>
      </c>
      <c r="AC870">
        <f>AND(IF(Metadata!I870="",FALSE,TRUE),exact(Metadata!I870,"tongue"))</f>
        <v>0</v>
      </c>
      <c r="AD870">
        <f>AND(IF(Metadata!J870="",FALSE,TRUE),exact(Metadata!J870,"human oral metagenome"))</f>
        <v>0</v>
      </c>
      <c r="AE870">
        <f>AND(IF(Metadata!K870="",FALSE,TRUE),exact(Metadata!K870,"447426"))</f>
        <v>0</v>
      </c>
    </row>
    <row r="871" spans="1:31">
      <c r="A871" s="4">
        <f>IF(B871=" "," ",HYPERLINK(CONCATENATE("#metadata!",ADDRESS(INDEX($Q$2:$Q$1001,MATCH(ROWS($O$2:O871),$O$2:$O$1001,0),0),1)),INDEX($T$2:$T$1001,MATCH(ROWS($O$2:O871),$O$2:$O$1001,0),0)))</f>
        <v>0</v>
      </c>
      <c r="B871" s="3">
        <f>IF(OR(INDEX($P$2:$P$1001,MATCH(ROWS($O$2:O871),$O$2:$O$1001,0),1)&gt;=100000,INDEX($V$1005:$AE$1005,1,MATCH(COLUMNS($V$1006:V1006),$V$1006:$AE$1006,0))&gt;=100000), " ",IF(INDEX($V$2:$AE$1001,MATCH(ROWS($O$2:O871),$O$2:$O$1001,0),MATCH(COLUMNS($V$1006:V1006),$V$1006:$AE$1006,0)), HYPERLINK("#",""), HYPERLINK(CONCATENATE("#Metadata!", ADDRESS(INDEX($Q$2:$Q$1001,MATCH(ROWS($O$2:O871),$O$2:$O$1001,0),0), INDEX($V$1004:$AE$1004,1,MATCH(COLUMNS($V$1006:V1006),$V$1006:$AE$1006,0)))),"Fix")))</f>
        <v>0</v>
      </c>
      <c r="C871" s="3">
        <f>IF(OR(INDEX($P$2:$P$1001,MATCH(ROWS($O$2:O871),$O$2:$O$1001,0),1)&gt;=100000,INDEX($V$1005:$AE$1005,1,MATCH(COLUMNS($V$1006:W1006),$V$1006:$AE$1006,0))&gt;=100000), " ",IF(INDEX($V$2:$AE$1001,MATCH(ROWS($O$2:O871),$O$2:$O$1001,0),MATCH(COLUMNS($V$1006:W1006),$V$1006:$AE$1006,0)), HYPERLINK("#",""), HYPERLINK(CONCATENATE("#Metadata!", ADDRESS(INDEX($Q$2:$Q$1001,MATCH(ROWS($O$2:O871),$O$2:$O$1001,0),0), INDEX($V$1004:$AE$1004,1,MATCH(COLUMNS($V$1006:W1006),$V$1006:$AE$1006,0)))),"Fix")))</f>
        <v>0</v>
      </c>
      <c r="D871" s="3">
        <f>IF(OR(INDEX($P$2:$P$1001,MATCH(ROWS($O$2:O871),$O$2:$O$1001,0),1)&gt;=100000,INDEX($V$1005:$AE$1005,1,MATCH(COLUMNS($V$1006:X1006),$V$1006:$AE$1006,0))&gt;=100000), " ",IF(INDEX($V$2:$AE$1001,MATCH(ROWS($O$2:O871),$O$2:$O$1001,0),MATCH(COLUMNS($V$1006:X1006),$V$1006:$AE$1006,0)), HYPERLINK("#",""), HYPERLINK(CONCATENATE("#Metadata!", ADDRESS(INDEX($Q$2:$Q$1001,MATCH(ROWS($O$2:O871),$O$2:$O$1001,0),0), INDEX($V$1004:$AE$1004,1,MATCH(COLUMNS($V$1006:X1006),$V$1006:$AE$1006,0)))),"Fix")))</f>
        <v>0</v>
      </c>
      <c r="E871" s="3">
        <f>IF(OR(INDEX($P$2:$P$1001,MATCH(ROWS($O$2:O871),$O$2:$O$1001,0),1)&gt;=100000,INDEX($V$1005:$AE$1005,1,MATCH(COLUMNS($V$1006:Y1006),$V$1006:$AE$1006,0))&gt;=100000), " ",IF(INDEX($V$2:$AE$1001,MATCH(ROWS($O$2:O871),$O$2:$O$1001,0),MATCH(COLUMNS($V$1006:Y1006),$V$1006:$AE$1006,0)), HYPERLINK("#",""), HYPERLINK(CONCATENATE("#Metadata!", ADDRESS(INDEX($Q$2:$Q$1001,MATCH(ROWS($O$2:O871),$O$2:$O$1001,0),0), INDEX($V$1004:$AE$1004,1,MATCH(COLUMNS($V$1006:Y1006),$V$1006:$AE$1006,0)))),"Fix")))</f>
        <v>0</v>
      </c>
      <c r="F871" s="3">
        <f>IF(OR(INDEX($P$2:$P$1001,MATCH(ROWS($O$2:O871),$O$2:$O$1001,0),1)&gt;=100000,INDEX($V$1005:$AE$1005,1,MATCH(COLUMNS($V$1006:Z1006),$V$1006:$AE$1006,0))&gt;=100000), " ",IF(INDEX($V$2:$AE$1001,MATCH(ROWS($O$2:O871),$O$2:$O$1001,0),MATCH(COLUMNS($V$1006:Z1006),$V$1006:$AE$1006,0)), HYPERLINK("#",""), HYPERLINK(CONCATENATE("#Metadata!", ADDRESS(INDEX($Q$2:$Q$1001,MATCH(ROWS($O$2:O871),$O$2:$O$1001,0),0), INDEX($V$1004:$AE$1004,1,MATCH(COLUMNS($V$1006:Z1006),$V$1006:$AE$1006,0)))),"Fix")))</f>
        <v>0</v>
      </c>
      <c r="G871" s="3">
        <f>IF(OR(INDEX($P$2:$P$1001,MATCH(ROWS($O$2:O871),$O$2:$O$1001,0),1)&gt;=100000,INDEX($V$1005:$AE$1005,1,MATCH(COLUMNS($V$1006:AA1006),$V$1006:$AE$1006,0))&gt;=100000), " ",IF(INDEX($V$2:$AE$1001,MATCH(ROWS($O$2:O871),$O$2:$O$1001,0),MATCH(COLUMNS($V$1006:AA1006),$V$1006:$AE$1006,0)), HYPERLINK("#",""), HYPERLINK(CONCATENATE("#Metadata!", ADDRESS(INDEX($Q$2:$Q$1001,MATCH(ROWS($O$2:O871),$O$2:$O$1001,0),0), INDEX($V$1004:$AE$1004,1,MATCH(COLUMNS($V$1006:AA1006),$V$1006:$AE$1006,0)))),"Fix")))</f>
        <v>0</v>
      </c>
      <c r="H871" s="3">
        <f>IF(OR(INDEX($P$2:$P$1001,MATCH(ROWS($O$2:O871),$O$2:$O$1001,0),1)&gt;=100000,INDEX($V$1005:$AE$1005,1,MATCH(COLUMNS($V$1006:AB1006),$V$1006:$AE$1006,0))&gt;=100000), " ",IF(INDEX($V$2:$AE$1001,MATCH(ROWS($O$2:O871),$O$2:$O$1001,0),MATCH(COLUMNS($V$1006:AB1006),$V$1006:$AE$1006,0)), HYPERLINK("#",""), HYPERLINK(CONCATENATE("#Metadata!", ADDRESS(INDEX($Q$2:$Q$1001,MATCH(ROWS($O$2:O871),$O$2:$O$1001,0),0), INDEX($V$1004:$AE$1004,1,MATCH(COLUMNS($V$1006:AB1006),$V$1006:$AE$1006,0)))),"Fix")))</f>
        <v>0</v>
      </c>
      <c r="I871" s="3">
        <f>IF(OR(INDEX($P$2:$P$1001,MATCH(ROWS($O$2:O871),$O$2:$O$1001,0),1)&gt;=100000,INDEX($V$1005:$AE$1005,1,MATCH(COLUMNS($V$1006:AC1006),$V$1006:$AE$1006,0))&gt;=100000), " ",IF(INDEX($V$2:$AE$1001,MATCH(ROWS($O$2:O871),$O$2:$O$1001,0),MATCH(COLUMNS($V$1006:AC1006),$V$1006:$AE$1006,0)), HYPERLINK("#",""), HYPERLINK(CONCATENATE("#Metadata!", ADDRESS(INDEX($Q$2:$Q$1001,MATCH(ROWS($O$2:O871),$O$2:$O$1001,0),0), INDEX($V$1004:$AE$1004,1,MATCH(COLUMNS($V$1006:AC1006),$V$1006:$AE$1006,0)))),"Fix")))</f>
        <v>0</v>
      </c>
      <c r="J871" s="3">
        <f>IF(OR(INDEX($P$2:$P$1001,MATCH(ROWS($O$2:O871),$O$2:$O$1001,0),1)&gt;=100000,INDEX($V$1005:$AE$1005,1,MATCH(COLUMNS($V$1006:AD1006),$V$1006:$AE$1006,0))&gt;=100000), " ",IF(INDEX($V$2:$AE$1001,MATCH(ROWS($O$2:O871),$O$2:$O$1001,0),MATCH(COLUMNS($V$1006:AD1006),$V$1006:$AE$1006,0)), HYPERLINK("#",""), HYPERLINK(CONCATENATE("#Metadata!", ADDRESS(INDEX($Q$2:$Q$1001,MATCH(ROWS($O$2:O871),$O$2:$O$1001,0),0), INDEX($V$1004:$AE$1004,1,MATCH(COLUMNS($V$1006:AD1006),$V$1006:$AE$1006,0)))),"Fix")))</f>
        <v>0</v>
      </c>
      <c r="K871" s="3">
        <f>IF(OR(INDEX($P$2:$P$1001,MATCH(ROWS($O$2:O871),$O$2:$O$1001,0),1)&gt;=100000,INDEX($V$1005:$AE$1005,1,MATCH(COLUMNS($V$1006:AE1006),$V$1006:$AE$1006,0))&gt;=100000), " ",IF(INDEX($V$2:$AE$1001,MATCH(ROWS($O$2:O871),$O$2:$O$1001,0),MATCH(COLUMNS($V$1006:AE1006),$V$1006:$AE$1006,0)), HYPERLINK("#",""), HYPERLINK(CONCATENATE("#Metadata!", ADDRESS(INDEX($Q$2:$Q$1001,MATCH(ROWS($O$2:O871),$O$2:$O$1001,0),0), INDEX($V$1004:$AE$1004,1,MATCH(COLUMNS($V$1006:AE1006),$V$1006:$AE$1006,0)))),"Fix")))</f>
        <v>0</v>
      </c>
      <c r="O871">
        <v>0</v>
      </c>
      <c r="P871">
        <v>0</v>
      </c>
      <c r="Q871">
        <v>0</v>
      </c>
      <c r="R871">
        <f>IF(S871,TRUE,AND(V871:AE871))</f>
        <v>0</v>
      </c>
      <c r="S871">
        <f>COUNTBLANK(Metadata!B871:K871)=COLUMNS(Metadata!B871:K871)</f>
        <v>0</v>
      </c>
      <c r="T871">
        <v>0</v>
      </c>
      <c r="V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W871">
        <f>AND(IF(Metadata!C871="",FALSE,TRUE),exact(Metadata!C871,"animal secretion"))</f>
        <v>0</v>
      </c>
      <c r="X871">
        <f>AND(IF(Metadata!D871="",FALSE,TRUE),exact(Metadata!D871,"saliva"))</f>
        <v>0</v>
      </c>
      <c r="Y871">
        <f>AND(IF(Metadata!E871="",FALSE,TRUE),exact(Metadata!E871,"human-oral"))</f>
        <v>0</v>
      </c>
      <c r="Z871">
        <f>AND(IF(Metadata!F871="",FALSE,TRUE),exact(Metadata!F871,"UBERON:oral cavity"))</f>
        <v>0</v>
      </c>
      <c r="AA871">
        <f>AND(IF(Metadata!G871="",FALSE,TRUE),exact(Metadata!G871,"UBERON:saliva"))</f>
        <v>0</v>
      </c>
      <c r="AB871">
        <f>AND(IF(Metadata!H871="",FALSE,TRUE),exact(Metadata!H871,"UBERON:tongue"))</f>
        <v>0</v>
      </c>
      <c r="AC871">
        <f>AND(IF(Metadata!I871="",FALSE,TRUE),exact(Metadata!I871,"tongue"))</f>
        <v>0</v>
      </c>
      <c r="AD871">
        <f>AND(IF(Metadata!J871="",FALSE,TRUE),exact(Metadata!J871,"human oral metagenome"))</f>
        <v>0</v>
      </c>
      <c r="AE871">
        <f>AND(IF(Metadata!K871="",FALSE,TRUE),exact(Metadata!K871,"447426"))</f>
        <v>0</v>
      </c>
    </row>
    <row r="872" spans="1:31">
      <c r="A872" s="4">
        <f>IF(B872=" "," ",HYPERLINK(CONCATENATE("#metadata!",ADDRESS(INDEX($Q$2:$Q$1001,MATCH(ROWS($O$2:O872),$O$2:$O$1001,0),0),1)),INDEX($T$2:$T$1001,MATCH(ROWS($O$2:O872),$O$2:$O$1001,0),0)))</f>
        <v>0</v>
      </c>
      <c r="B872" s="3">
        <f>IF(OR(INDEX($P$2:$P$1001,MATCH(ROWS($O$2:O872),$O$2:$O$1001,0),1)&gt;=100000,INDEX($V$1005:$AE$1005,1,MATCH(COLUMNS($V$1006:V1006),$V$1006:$AE$1006,0))&gt;=100000), " ",IF(INDEX($V$2:$AE$1001,MATCH(ROWS($O$2:O872),$O$2:$O$1001,0),MATCH(COLUMNS($V$1006:V1006),$V$1006:$AE$1006,0)), HYPERLINK("#",""), HYPERLINK(CONCATENATE("#Metadata!", ADDRESS(INDEX($Q$2:$Q$1001,MATCH(ROWS($O$2:O872),$O$2:$O$1001,0),0), INDEX($V$1004:$AE$1004,1,MATCH(COLUMNS($V$1006:V1006),$V$1006:$AE$1006,0)))),"Fix")))</f>
        <v>0</v>
      </c>
      <c r="C872" s="3">
        <f>IF(OR(INDEX($P$2:$P$1001,MATCH(ROWS($O$2:O872),$O$2:$O$1001,0),1)&gt;=100000,INDEX($V$1005:$AE$1005,1,MATCH(COLUMNS($V$1006:W1006),$V$1006:$AE$1006,0))&gt;=100000), " ",IF(INDEX($V$2:$AE$1001,MATCH(ROWS($O$2:O872),$O$2:$O$1001,0),MATCH(COLUMNS($V$1006:W1006),$V$1006:$AE$1006,0)), HYPERLINK("#",""), HYPERLINK(CONCATENATE("#Metadata!", ADDRESS(INDEX($Q$2:$Q$1001,MATCH(ROWS($O$2:O872),$O$2:$O$1001,0),0), INDEX($V$1004:$AE$1004,1,MATCH(COLUMNS($V$1006:W1006),$V$1006:$AE$1006,0)))),"Fix")))</f>
        <v>0</v>
      </c>
      <c r="D872" s="3">
        <f>IF(OR(INDEX($P$2:$P$1001,MATCH(ROWS($O$2:O872),$O$2:$O$1001,0),1)&gt;=100000,INDEX($V$1005:$AE$1005,1,MATCH(COLUMNS($V$1006:X1006),$V$1006:$AE$1006,0))&gt;=100000), " ",IF(INDEX($V$2:$AE$1001,MATCH(ROWS($O$2:O872),$O$2:$O$1001,0),MATCH(COLUMNS($V$1006:X1006),$V$1006:$AE$1006,0)), HYPERLINK("#",""), HYPERLINK(CONCATENATE("#Metadata!", ADDRESS(INDEX($Q$2:$Q$1001,MATCH(ROWS($O$2:O872),$O$2:$O$1001,0),0), INDEX($V$1004:$AE$1004,1,MATCH(COLUMNS($V$1006:X1006),$V$1006:$AE$1006,0)))),"Fix")))</f>
        <v>0</v>
      </c>
      <c r="E872" s="3">
        <f>IF(OR(INDEX($P$2:$P$1001,MATCH(ROWS($O$2:O872),$O$2:$O$1001,0),1)&gt;=100000,INDEX($V$1005:$AE$1005,1,MATCH(COLUMNS($V$1006:Y1006),$V$1006:$AE$1006,0))&gt;=100000), " ",IF(INDEX($V$2:$AE$1001,MATCH(ROWS($O$2:O872),$O$2:$O$1001,0),MATCH(COLUMNS($V$1006:Y1006),$V$1006:$AE$1006,0)), HYPERLINK("#",""), HYPERLINK(CONCATENATE("#Metadata!", ADDRESS(INDEX($Q$2:$Q$1001,MATCH(ROWS($O$2:O872),$O$2:$O$1001,0),0), INDEX($V$1004:$AE$1004,1,MATCH(COLUMNS($V$1006:Y1006),$V$1006:$AE$1006,0)))),"Fix")))</f>
        <v>0</v>
      </c>
      <c r="F872" s="3">
        <f>IF(OR(INDEX($P$2:$P$1001,MATCH(ROWS($O$2:O872),$O$2:$O$1001,0),1)&gt;=100000,INDEX($V$1005:$AE$1005,1,MATCH(COLUMNS($V$1006:Z1006),$V$1006:$AE$1006,0))&gt;=100000), " ",IF(INDEX($V$2:$AE$1001,MATCH(ROWS($O$2:O872),$O$2:$O$1001,0),MATCH(COLUMNS($V$1006:Z1006),$V$1006:$AE$1006,0)), HYPERLINK("#",""), HYPERLINK(CONCATENATE("#Metadata!", ADDRESS(INDEX($Q$2:$Q$1001,MATCH(ROWS($O$2:O872),$O$2:$O$1001,0),0), INDEX($V$1004:$AE$1004,1,MATCH(COLUMNS($V$1006:Z1006),$V$1006:$AE$1006,0)))),"Fix")))</f>
        <v>0</v>
      </c>
      <c r="G872" s="3">
        <f>IF(OR(INDEX($P$2:$P$1001,MATCH(ROWS($O$2:O872),$O$2:$O$1001,0),1)&gt;=100000,INDEX($V$1005:$AE$1005,1,MATCH(COLUMNS($V$1006:AA1006),$V$1006:$AE$1006,0))&gt;=100000), " ",IF(INDEX($V$2:$AE$1001,MATCH(ROWS($O$2:O872),$O$2:$O$1001,0),MATCH(COLUMNS($V$1006:AA1006),$V$1006:$AE$1006,0)), HYPERLINK("#",""), HYPERLINK(CONCATENATE("#Metadata!", ADDRESS(INDEX($Q$2:$Q$1001,MATCH(ROWS($O$2:O872),$O$2:$O$1001,0),0), INDEX($V$1004:$AE$1004,1,MATCH(COLUMNS($V$1006:AA1006),$V$1006:$AE$1006,0)))),"Fix")))</f>
        <v>0</v>
      </c>
      <c r="H872" s="3">
        <f>IF(OR(INDEX($P$2:$P$1001,MATCH(ROWS($O$2:O872),$O$2:$O$1001,0),1)&gt;=100000,INDEX($V$1005:$AE$1005,1,MATCH(COLUMNS($V$1006:AB1006),$V$1006:$AE$1006,0))&gt;=100000), " ",IF(INDEX($V$2:$AE$1001,MATCH(ROWS($O$2:O872),$O$2:$O$1001,0),MATCH(COLUMNS($V$1006:AB1006),$V$1006:$AE$1006,0)), HYPERLINK("#",""), HYPERLINK(CONCATENATE("#Metadata!", ADDRESS(INDEX($Q$2:$Q$1001,MATCH(ROWS($O$2:O872),$O$2:$O$1001,0),0), INDEX($V$1004:$AE$1004,1,MATCH(COLUMNS($V$1006:AB1006),$V$1006:$AE$1006,0)))),"Fix")))</f>
        <v>0</v>
      </c>
      <c r="I872" s="3">
        <f>IF(OR(INDEX($P$2:$P$1001,MATCH(ROWS($O$2:O872),$O$2:$O$1001,0),1)&gt;=100000,INDEX($V$1005:$AE$1005,1,MATCH(COLUMNS($V$1006:AC1006),$V$1006:$AE$1006,0))&gt;=100000), " ",IF(INDEX($V$2:$AE$1001,MATCH(ROWS($O$2:O872),$O$2:$O$1001,0),MATCH(COLUMNS($V$1006:AC1006),$V$1006:$AE$1006,0)), HYPERLINK("#",""), HYPERLINK(CONCATENATE("#Metadata!", ADDRESS(INDEX($Q$2:$Q$1001,MATCH(ROWS($O$2:O872),$O$2:$O$1001,0),0), INDEX($V$1004:$AE$1004,1,MATCH(COLUMNS($V$1006:AC1006),$V$1006:$AE$1006,0)))),"Fix")))</f>
        <v>0</v>
      </c>
      <c r="J872" s="3">
        <f>IF(OR(INDEX($P$2:$P$1001,MATCH(ROWS($O$2:O872),$O$2:$O$1001,0),1)&gt;=100000,INDEX($V$1005:$AE$1005,1,MATCH(COLUMNS($V$1006:AD1006),$V$1006:$AE$1006,0))&gt;=100000), " ",IF(INDEX($V$2:$AE$1001,MATCH(ROWS($O$2:O872),$O$2:$O$1001,0),MATCH(COLUMNS($V$1006:AD1006),$V$1006:$AE$1006,0)), HYPERLINK("#",""), HYPERLINK(CONCATENATE("#Metadata!", ADDRESS(INDEX($Q$2:$Q$1001,MATCH(ROWS($O$2:O872),$O$2:$O$1001,0),0), INDEX($V$1004:$AE$1004,1,MATCH(COLUMNS($V$1006:AD1006),$V$1006:$AE$1006,0)))),"Fix")))</f>
        <v>0</v>
      </c>
      <c r="K872" s="3">
        <f>IF(OR(INDEX($P$2:$P$1001,MATCH(ROWS($O$2:O872),$O$2:$O$1001,0),1)&gt;=100000,INDEX($V$1005:$AE$1005,1,MATCH(COLUMNS($V$1006:AE1006),$V$1006:$AE$1006,0))&gt;=100000), " ",IF(INDEX($V$2:$AE$1001,MATCH(ROWS($O$2:O872),$O$2:$O$1001,0),MATCH(COLUMNS($V$1006:AE1006),$V$1006:$AE$1006,0)), HYPERLINK("#",""), HYPERLINK(CONCATENATE("#Metadata!", ADDRESS(INDEX($Q$2:$Q$1001,MATCH(ROWS($O$2:O872),$O$2:$O$1001,0),0), INDEX($V$1004:$AE$1004,1,MATCH(COLUMNS($V$1006:AE1006),$V$1006:$AE$1006,0)))),"Fix")))</f>
        <v>0</v>
      </c>
      <c r="O872">
        <v>0</v>
      </c>
      <c r="P872">
        <v>0</v>
      </c>
      <c r="Q872">
        <v>0</v>
      </c>
      <c r="R872">
        <f>IF(S872,TRUE,AND(V872:AE872))</f>
        <v>0</v>
      </c>
      <c r="S872">
        <f>COUNTBLANK(Metadata!B872:K872)=COLUMNS(Metadata!B872:K872)</f>
        <v>0</v>
      </c>
      <c r="T872">
        <v>0</v>
      </c>
      <c r="V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W872">
        <f>AND(IF(Metadata!C872="",FALSE,TRUE),exact(Metadata!C872,"animal secretion"))</f>
        <v>0</v>
      </c>
      <c r="X872">
        <f>AND(IF(Metadata!D872="",FALSE,TRUE),exact(Metadata!D872,"saliva"))</f>
        <v>0</v>
      </c>
      <c r="Y872">
        <f>AND(IF(Metadata!E872="",FALSE,TRUE),exact(Metadata!E872,"human-oral"))</f>
        <v>0</v>
      </c>
      <c r="Z872">
        <f>AND(IF(Metadata!F872="",FALSE,TRUE),exact(Metadata!F872,"UBERON:oral cavity"))</f>
        <v>0</v>
      </c>
      <c r="AA872">
        <f>AND(IF(Metadata!G872="",FALSE,TRUE),exact(Metadata!G872,"UBERON:saliva"))</f>
        <v>0</v>
      </c>
      <c r="AB872">
        <f>AND(IF(Metadata!H872="",FALSE,TRUE),exact(Metadata!H872,"UBERON:tongue"))</f>
        <v>0</v>
      </c>
      <c r="AC872">
        <f>AND(IF(Metadata!I872="",FALSE,TRUE),exact(Metadata!I872,"tongue"))</f>
        <v>0</v>
      </c>
      <c r="AD872">
        <f>AND(IF(Metadata!J872="",FALSE,TRUE),exact(Metadata!J872,"human oral metagenome"))</f>
        <v>0</v>
      </c>
      <c r="AE872">
        <f>AND(IF(Metadata!K872="",FALSE,TRUE),exact(Metadata!K872,"447426"))</f>
        <v>0</v>
      </c>
    </row>
    <row r="873" spans="1:31">
      <c r="A873" s="4">
        <f>IF(B873=" "," ",HYPERLINK(CONCATENATE("#metadata!",ADDRESS(INDEX($Q$2:$Q$1001,MATCH(ROWS($O$2:O873),$O$2:$O$1001,0),0),1)),INDEX($T$2:$T$1001,MATCH(ROWS($O$2:O873),$O$2:$O$1001,0),0)))</f>
        <v>0</v>
      </c>
      <c r="B873" s="3">
        <f>IF(OR(INDEX($P$2:$P$1001,MATCH(ROWS($O$2:O873),$O$2:$O$1001,0),1)&gt;=100000,INDEX($V$1005:$AE$1005,1,MATCH(COLUMNS($V$1006:V1006),$V$1006:$AE$1006,0))&gt;=100000), " ",IF(INDEX($V$2:$AE$1001,MATCH(ROWS($O$2:O873),$O$2:$O$1001,0),MATCH(COLUMNS($V$1006:V1006),$V$1006:$AE$1006,0)), HYPERLINK("#",""), HYPERLINK(CONCATENATE("#Metadata!", ADDRESS(INDEX($Q$2:$Q$1001,MATCH(ROWS($O$2:O873),$O$2:$O$1001,0),0), INDEX($V$1004:$AE$1004,1,MATCH(COLUMNS($V$1006:V1006),$V$1006:$AE$1006,0)))),"Fix")))</f>
        <v>0</v>
      </c>
      <c r="C873" s="3">
        <f>IF(OR(INDEX($P$2:$P$1001,MATCH(ROWS($O$2:O873),$O$2:$O$1001,0),1)&gt;=100000,INDEX($V$1005:$AE$1005,1,MATCH(COLUMNS($V$1006:W1006),$V$1006:$AE$1006,0))&gt;=100000), " ",IF(INDEX($V$2:$AE$1001,MATCH(ROWS($O$2:O873),$O$2:$O$1001,0),MATCH(COLUMNS($V$1006:W1006),$V$1006:$AE$1006,0)), HYPERLINK("#",""), HYPERLINK(CONCATENATE("#Metadata!", ADDRESS(INDEX($Q$2:$Q$1001,MATCH(ROWS($O$2:O873),$O$2:$O$1001,0),0), INDEX($V$1004:$AE$1004,1,MATCH(COLUMNS($V$1006:W1006),$V$1006:$AE$1006,0)))),"Fix")))</f>
        <v>0</v>
      </c>
      <c r="D873" s="3">
        <f>IF(OR(INDEX($P$2:$P$1001,MATCH(ROWS($O$2:O873),$O$2:$O$1001,0),1)&gt;=100000,INDEX($V$1005:$AE$1005,1,MATCH(COLUMNS($V$1006:X1006),$V$1006:$AE$1006,0))&gt;=100000), " ",IF(INDEX($V$2:$AE$1001,MATCH(ROWS($O$2:O873),$O$2:$O$1001,0),MATCH(COLUMNS($V$1006:X1006),$V$1006:$AE$1006,0)), HYPERLINK("#",""), HYPERLINK(CONCATENATE("#Metadata!", ADDRESS(INDEX($Q$2:$Q$1001,MATCH(ROWS($O$2:O873),$O$2:$O$1001,0),0), INDEX($V$1004:$AE$1004,1,MATCH(COLUMNS($V$1006:X1006),$V$1006:$AE$1006,0)))),"Fix")))</f>
        <v>0</v>
      </c>
      <c r="E873" s="3">
        <f>IF(OR(INDEX($P$2:$P$1001,MATCH(ROWS($O$2:O873),$O$2:$O$1001,0),1)&gt;=100000,INDEX($V$1005:$AE$1005,1,MATCH(COLUMNS($V$1006:Y1006),$V$1006:$AE$1006,0))&gt;=100000), " ",IF(INDEX($V$2:$AE$1001,MATCH(ROWS($O$2:O873),$O$2:$O$1001,0),MATCH(COLUMNS($V$1006:Y1006),$V$1006:$AE$1006,0)), HYPERLINK("#",""), HYPERLINK(CONCATENATE("#Metadata!", ADDRESS(INDEX($Q$2:$Q$1001,MATCH(ROWS($O$2:O873),$O$2:$O$1001,0),0), INDEX($V$1004:$AE$1004,1,MATCH(COLUMNS($V$1006:Y1006),$V$1006:$AE$1006,0)))),"Fix")))</f>
        <v>0</v>
      </c>
      <c r="F873" s="3">
        <f>IF(OR(INDEX($P$2:$P$1001,MATCH(ROWS($O$2:O873),$O$2:$O$1001,0),1)&gt;=100000,INDEX($V$1005:$AE$1005,1,MATCH(COLUMNS($V$1006:Z1006),$V$1006:$AE$1006,0))&gt;=100000), " ",IF(INDEX($V$2:$AE$1001,MATCH(ROWS($O$2:O873),$O$2:$O$1001,0),MATCH(COLUMNS($V$1006:Z1006),$V$1006:$AE$1006,0)), HYPERLINK("#",""), HYPERLINK(CONCATENATE("#Metadata!", ADDRESS(INDEX($Q$2:$Q$1001,MATCH(ROWS($O$2:O873),$O$2:$O$1001,0),0), INDEX($V$1004:$AE$1004,1,MATCH(COLUMNS($V$1006:Z1006),$V$1006:$AE$1006,0)))),"Fix")))</f>
        <v>0</v>
      </c>
      <c r="G873" s="3">
        <f>IF(OR(INDEX($P$2:$P$1001,MATCH(ROWS($O$2:O873),$O$2:$O$1001,0),1)&gt;=100000,INDEX($V$1005:$AE$1005,1,MATCH(COLUMNS($V$1006:AA1006),$V$1006:$AE$1006,0))&gt;=100000), " ",IF(INDEX($V$2:$AE$1001,MATCH(ROWS($O$2:O873),$O$2:$O$1001,0),MATCH(COLUMNS($V$1006:AA1006),$V$1006:$AE$1006,0)), HYPERLINK("#",""), HYPERLINK(CONCATENATE("#Metadata!", ADDRESS(INDEX($Q$2:$Q$1001,MATCH(ROWS($O$2:O873),$O$2:$O$1001,0),0), INDEX($V$1004:$AE$1004,1,MATCH(COLUMNS($V$1006:AA1006),$V$1006:$AE$1006,0)))),"Fix")))</f>
        <v>0</v>
      </c>
      <c r="H873" s="3">
        <f>IF(OR(INDEX($P$2:$P$1001,MATCH(ROWS($O$2:O873),$O$2:$O$1001,0),1)&gt;=100000,INDEX($V$1005:$AE$1005,1,MATCH(COLUMNS($V$1006:AB1006),$V$1006:$AE$1006,0))&gt;=100000), " ",IF(INDEX($V$2:$AE$1001,MATCH(ROWS($O$2:O873),$O$2:$O$1001,0),MATCH(COLUMNS($V$1006:AB1006),$V$1006:$AE$1006,0)), HYPERLINK("#",""), HYPERLINK(CONCATENATE("#Metadata!", ADDRESS(INDEX($Q$2:$Q$1001,MATCH(ROWS($O$2:O873),$O$2:$O$1001,0),0), INDEX($V$1004:$AE$1004,1,MATCH(COLUMNS($V$1006:AB1006),$V$1006:$AE$1006,0)))),"Fix")))</f>
        <v>0</v>
      </c>
      <c r="I873" s="3">
        <f>IF(OR(INDEX($P$2:$P$1001,MATCH(ROWS($O$2:O873),$O$2:$O$1001,0),1)&gt;=100000,INDEX($V$1005:$AE$1005,1,MATCH(COLUMNS($V$1006:AC1006),$V$1006:$AE$1006,0))&gt;=100000), " ",IF(INDEX($V$2:$AE$1001,MATCH(ROWS($O$2:O873),$O$2:$O$1001,0),MATCH(COLUMNS($V$1006:AC1006),$V$1006:$AE$1006,0)), HYPERLINK("#",""), HYPERLINK(CONCATENATE("#Metadata!", ADDRESS(INDEX($Q$2:$Q$1001,MATCH(ROWS($O$2:O873),$O$2:$O$1001,0),0), INDEX($V$1004:$AE$1004,1,MATCH(COLUMNS($V$1006:AC1006),$V$1006:$AE$1006,0)))),"Fix")))</f>
        <v>0</v>
      </c>
      <c r="J873" s="3">
        <f>IF(OR(INDEX($P$2:$P$1001,MATCH(ROWS($O$2:O873),$O$2:$O$1001,0),1)&gt;=100000,INDEX($V$1005:$AE$1005,1,MATCH(COLUMNS($V$1006:AD1006),$V$1006:$AE$1006,0))&gt;=100000), " ",IF(INDEX($V$2:$AE$1001,MATCH(ROWS($O$2:O873),$O$2:$O$1001,0),MATCH(COLUMNS($V$1006:AD1006),$V$1006:$AE$1006,0)), HYPERLINK("#",""), HYPERLINK(CONCATENATE("#Metadata!", ADDRESS(INDEX($Q$2:$Q$1001,MATCH(ROWS($O$2:O873),$O$2:$O$1001,0),0), INDEX($V$1004:$AE$1004,1,MATCH(COLUMNS($V$1006:AD1006),$V$1006:$AE$1006,0)))),"Fix")))</f>
        <v>0</v>
      </c>
      <c r="K873" s="3">
        <f>IF(OR(INDEX($P$2:$P$1001,MATCH(ROWS($O$2:O873),$O$2:$O$1001,0),1)&gt;=100000,INDEX($V$1005:$AE$1005,1,MATCH(COLUMNS($V$1006:AE1006),$V$1006:$AE$1006,0))&gt;=100000), " ",IF(INDEX($V$2:$AE$1001,MATCH(ROWS($O$2:O873),$O$2:$O$1001,0),MATCH(COLUMNS($V$1006:AE1006),$V$1006:$AE$1006,0)), HYPERLINK("#",""), HYPERLINK(CONCATENATE("#Metadata!", ADDRESS(INDEX($Q$2:$Q$1001,MATCH(ROWS($O$2:O873),$O$2:$O$1001,0),0), INDEX($V$1004:$AE$1004,1,MATCH(COLUMNS($V$1006:AE1006),$V$1006:$AE$1006,0)))),"Fix")))</f>
        <v>0</v>
      </c>
      <c r="O873">
        <v>0</v>
      </c>
      <c r="P873">
        <v>0</v>
      </c>
      <c r="Q873">
        <v>0</v>
      </c>
      <c r="R873">
        <f>IF(S873,TRUE,AND(V873:AE873))</f>
        <v>0</v>
      </c>
      <c r="S873">
        <f>COUNTBLANK(Metadata!B873:K873)=COLUMNS(Metadata!B873:K873)</f>
        <v>0</v>
      </c>
      <c r="T873">
        <v>0</v>
      </c>
      <c r="V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W873">
        <f>AND(IF(Metadata!C873="",FALSE,TRUE),exact(Metadata!C873,"animal secretion"))</f>
        <v>0</v>
      </c>
      <c r="X873">
        <f>AND(IF(Metadata!D873="",FALSE,TRUE),exact(Metadata!D873,"saliva"))</f>
        <v>0</v>
      </c>
      <c r="Y873">
        <f>AND(IF(Metadata!E873="",FALSE,TRUE),exact(Metadata!E873,"human-oral"))</f>
        <v>0</v>
      </c>
      <c r="Z873">
        <f>AND(IF(Metadata!F873="",FALSE,TRUE),exact(Metadata!F873,"UBERON:oral cavity"))</f>
        <v>0</v>
      </c>
      <c r="AA873">
        <f>AND(IF(Metadata!G873="",FALSE,TRUE),exact(Metadata!G873,"UBERON:saliva"))</f>
        <v>0</v>
      </c>
      <c r="AB873">
        <f>AND(IF(Metadata!H873="",FALSE,TRUE),exact(Metadata!H873,"UBERON:tongue"))</f>
        <v>0</v>
      </c>
      <c r="AC873">
        <f>AND(IF(Metadata!I873="",FALSE,TRUE),exact(Metadata!I873,"tongue"))</f>
        <v>0</v>
      </c>
      <c r="AD873">
        <f>AND(IF(Metadata!J873="",FALSE,TRUE),exact(Metadata!J873,"human oral metagenome"))</f>
        <v>0</v>
      </c>
      <c r="AE873">
        <f>AND(IF(Metadata!K873="",FALSE,TRUE),exact(Metadata!K873,"447426"))</f>
        <v>0</v>
      </c>
    </row>
    <row r="874" spans="1:31">
      <c r="A874" s="4">
        <f>IF(B874=" "," ",HYPERLINK(CONCATENATE("#metadata!",ADDRESS(INDEX($Q$2:$Q$1001,MATCH(ROWS($O$2:O874),$O$2:$O$1001,0),0),1)),INDEX($T$2:$T$1001,MATCH(ROWS($O$2:O874),$O$2:$O$1001,0),0)))</f>
        <v>0</v>
      </c>
      <c r="B874" s="3">
        <f>IF(OR(INDEX($P$2:$P$1001,MATCH(ROWS($O$2:O874),$O$2:$O$1001,0),1)&gt;=100000,INDEX($V$1005:$AE$1005,1,MATCH(COLUMNS($V$1006:V1006),$V$1006:$AE$1006,0))&gt;=100000), " ",IF(INDEX($V$2:$AE$1001,MATCH(ROWS($O$2:O874),$O$2:$O$1001,0),MATCH(COLUMNS($V$1006:V1006),$V$1006:$AE$1006,0)), HYPERLINK("#",""), HYPERLINK(CONCATENATE("#Metadata!", ADDRESS(INDEX($Q$2:$Q$1001,MATCH(ROWS($O$2:O874),$O$2:$O$1001,0),0), INDEX($V$1004:$AE$1004,1,MATCH(COLUMNS($V$1006:V1006),$V$1006:$AE$1006,0)))),"Fix")))</f>
        <v>0</v>
      </c>
      <c r="C874" s="3">
        <f>IF(OR(INDEX($P$2:$P$1001,MATCH(ROWS($O$2:O874),$O$2:$O$1001,0),1)&gt;=100000,INDEX($V$1005:$AE$1005,1,MATCH(COLUMNS($V$1006:W1006),$V$1006:$AE$1006,0))&gt;=100000), " ",IF(INDEX($V$2:$AE$1001,MATCH(ROWS($O$2:O874),$O$2:$O$1001,0),MATCH(COLUMNS($V$1006:W1006),$V$1006:$AE$1006,0)), HYPERLINK("#",""), HYPERLINK(CONCATENATE("#Metadata!", ADDRESS(INDEX($Q$2:$Q$1001,MATCH(ROWS($O$2:O874),$O$2:$O$1001,0),0), INDEX($V$1004:$AE$1004,1,MATCH(COLUMNS($V$1006:W1006),$V$1006:$AE$1006,0)))),"Fix")))</f>
        <v>0</v>
      </c>
      <c r="D874" s="3">
        <f>IF(OR(INDEX($P$2:$P$1001,MATCH(ROWS($O$2:O874),$O$2:$O$1001,0),1)&gt;=100000,INDEX($V$1005:$AE$1005,1,MATCH(COLUMNS($V$1006:X1006),$V$1006:$AE$1006,0))&gt;=100000), " ",IF(INDEX($V$2:$AE$1001,MATCH(ROWS($O$2:O874),$O$2:$O$1001,0),MATCH(COLUMNS($V$1006:X1006),$V$1006:$AE$1006,0)), HYPERLINK("#",""), HYPERLINK(CONCATENATE("#Metadata!", ADDRESS(INDEX($Q$2:$Q$1001,MATCH(ROWS($O$2:O874),$O$2:$O$1001,0),0), INDEX($V$1004:$AE$1004,1,MATCH(COLUMNS($V$1006:X1006),$V$1006:$AE$1006,0)))),"Fix")))</f>
        <v>0</v>
      </c>
      <c r="E874" s="3">
        <f>IF(OR(INDEX($P$2:$P$1001,MATCH(ROWS($O$2:O874),$O$2:$O$1001,0),1)&gt;=100000,INDEX($V$1005:$AE$1005,1,MATCH(COLUMNS($V$1006:Y1006),$V$1006:$AE$1006,0))&gt;=100000), " ",IF(INDEX($V$2:$AE$1001,MATCH(ROWS($O$2:O874),$O$2:$O$1001,0),MATCH(COLUMNS($V$1006:Y1006),$V$1006:$AE$1006,0)), HYPERLINK("#",""), HYPERLINK(CONCATENATE("#Metadata!", ADDRESS(INDEX($Q$2:$Q$1001,MATCH(ROWS($O$2:O874),$O$2:$O$1001,0),0), INDEX($V$1004:$AE$1004,1,MATCH(COLUMNS($V$1006:Y1006),$V$1006:$AE$1006,0)))),"Fix")))</f>
        <v>0</v>
      </c>
      <c r="F874" s="3">
        <f>IF(OR(INDEX($P$2:$P$1001,MATCH(ROWS($O$2:O874),$O$2:$O$1001,0),1)&gt;=100000,INDEX($V$1005:$AE$1005,1,MATCH(COLUMNS($V$1006:Z1006),$V$1006:$AE$1006,0))&gt;=100000), " ",IF(INDEX($V$2:$AE$1001,MATCH(ROWS($O$2:O874),$O$2:$O$1001,0),MATCH(COLUMNS($V$1006:Z1006),$V$1006:$AE$1006,0)), HYPERLINK("#",""), HYPERLINK(CONCATENATE("#Metadata!", ADDRESS(INDEX($Q$2:$Q$1001,MATCH(ROWS($O$2:O874),$O$2:$O$1001,0),0), INDEX($V$1004:$AE$1004,1,MATCH(COLUMNS($V$1006:Z1006),$V$1006:$AE$1006,0)))),"Fix")))</f>
        <v>0</v>
      </c>
      <c r="G874" s="3">
        <f>IF(OR(INDEX($P$2:$P$1001,MATCH(ROWS($O$2:O874),$O$2:$O$1001,0),1)&gt;=100000,INDEX($V$1005:$AE$1005,1,MATCH(COLUMNS($V$1006:AA1006),$V$1006:$AE$1006,0))&gt;=100000), " ",IF(INDEX($V$2:$AE$1001,MATCH(ROWS($O$2:O874),$O$2:$O$1001,0),MATCH(COLUMNS($V$1006:AA1006),$V$1006:$AE$1006,0)), HYPERLINK("#",""), HYPERLINK(CONCATENATE("#Metadata!", ADDRESS(INDEX($Q$2:$Q$1001,MATCH(ROWS($O$2:O874),$O$2:$O$1001,0),0), INDEX($V$1004:$AE$1004,1,MATCH(COLUMNS($V$1006:AA1006),$V$1006:$AE$1006,0)))),"Fix")))</f>
        <v>0</v>
      </c>
      <c r="H874" s="3">
        <f>IF(OR(INDEX($P$2:$P$1001,MATCH(ROWS($O$2:O874),$O$2:$O$1001,0),1)&gt;=100000,INDEX($V$1005:$AE$1005,1,MATCH(COLUMNS($V$1006:AB1006),$V$1006:$AE$1006,0))&gt;=100000), " ",IF(INDEX($V$2:$AE$1001,MATCH(ROWS($O$2:O874),$O$2:$O$1001,0),MATCH(COLUMNS($V$1006:AB1006),$V$1006:$AE$1006,0)), HYPERLINK("#",""), HYPERLINK(CONCATENATE("#Metadata!", ADDRESS(INDEX($Q$2:$Q$1001,MATCH(ROWS($O$2:O874),$O$2:$O$1001,0),0), INDEX($V$1004:$AE$1004,1,MATCH(COLUMNS($V$1006:AB1006),$V$1006:$AE$1006,0)))),"Fix")))</f>
        <v>0</v>
      </c>
      <c r="I874" s="3">
        <f>IF(OR(INDEX($P$2:$P$1001,MATCH(ROWS($O$2:O874),$O$2:$O$1001,0),1)&gt;=100000,INDEX($V$1005:$AE$1005,1,MATCH(COLUMNS($V$1006:AC1006),$V$1006:$AE$1006,0))&gt;=100000), " ",IF(INDEX($V$2:$AE$1001,MATCH(ROWS($O$2:O874),$O$2:$O$1001,0),MATCH(COLUMNS($V$1006:AC1006),$V$1006:$AE$1006,0)), HYPERLINK("#",""), HYPERLINK(CONCATENATE("#Metadata!", ADDRESS(INDEX($Q$2:$Q$1001,MATCH(ROWS($O$2:O874),$O$2:$O$1001,0),0), INDEX($V$1004:$AE$1004,1,MATCH(COLUMNS($V$1006:AC1006),$V$1006:$AE$1006,0)))),"Fix")))</f>
        <v>0</v>
      </c>
      <c r="J874" s="3">
        <f>IF(OR(INDEX($P$2:$P$1001,MATCH(ROWS($O$2:O874),$O$2:$O$1001,0),1)&gt;=100000,INDEX($V$1005:$AE$1005,1,MATCH(COLUMNS($V$1006:AD1006),$V$1006:$AE$1006,0))&gt;=100000), " ",IF(INDEX($V$2:$AE$1001,MATCH(ROWS($O$2:O874),$O$2:$O$1001,0),MATCH(COLUMNS($V$1006:AD1006),$V$1006:$AE$1006,0)), HYPERLINK("#",""), HYPERLINK(CONCATENATE("#Metadata!", ADDRESS(INDEX($Q$2:$Q$1001,MATCH(ROWS($O$2:O874),$O$2:$O$1001,0),0), INDEX($V$1004:$AE$1004,1,MATCH(COLUMNS($V$1006:AD1006),$V$1006:$AE$1006,0)))),"Fix")))</f>
        <v>0</v>
      </c>
      <c r="K874" s="3">
        <f>IF(OR(INDEX($P$2:$P$1001,MATCH(ROWS($O$2:O874),$O$2:$O$1001,0),1)&gt;=100000,INDEX($V$1005:$AE$1005,1,MATCH(COLUMNS($V$1006:AE1006),$V$1006:$AE$1006,0))&gt;=100000), " ",IF(INDEX($V$2:$AE$1001,MATCH(ROWS($O$2:O874),$O$2:$O$1001,0),MATCH(COLUMNS($V$1006:AE1006),$V$1006:$AE$1006,0)), HYPERLINK("#",""), HYPERLINK(CONCATENATE("#Metadata!", ADDRESS(INDEX($Q$2:$Q$1001,MATCH(ROWS($O$2:O874),$O$2:$O$1001,0),0), INDEX($V$1004:$AE$1004,1,MATCH(COLUMNS($V$1006:AE1006),$V$1006:$AE$1006,0)))),"Fix")))</f>
        <v>0</v>
      </c>
      <c r="O874">
        <v>0</v>
      </c>
      <c r="P874">
        <v>0</v>
      </c>
      <c r="Q874">
        <v>0</v>
      </c>
      <c r="R874">
        <f>IF(S874,TRUE,AND(V874:AE874))</f>
        <v>0</v>
      </c>
      <c r="S874">
        <f>COUNTBLANK(Metadata!B874:K874)=COLUMNS(Metadata!B874:K874)</f>
        <v>0</v>
      </c>
      <c r="T874">
        <v>0</v>
      </c>
      <c r="V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W874">
        <f>AND(IF(Metadata!C874="",FALSE,TRUE),exact(Metadata!C874,"animal secretion"))</f>
        <v>0</v>
      </c>
      <c r="X874">
        <f>AND(IF(Metadata!D874="",FALSE,TRUE),exact(Metadata!D874,"saliva"))</f>
        <v>0</v>
      </c>
      <c r="Y874">
        <f>AND(IF(Metadata!E874="",FALSE,TRUE),exact(Metadata!E874,"human-oral"))</f>
        <v>0</v>
      </c>
      <c r="Z874">
        <f>AND(IF(Metadata!F874="",FALSE,TRUE),exact(Metadata!F874,"UBERON:oral cavity"))</f>
        <v>0</v>
      </c>
      <c r="AA874">
        <f>AND(IF(Metadata!G874="",FALSE,TRUE),exact(Metadata!G874,"UBERON:saliva"))</f>
        <v>0</v>
      </c>
      <c r="AB874">
        <f>AND(IF(Metadata!H874="",FALSE,TRUE),exact(Metadata!H874,"UBERON:tongue"))</f>
        <v>0</v>
      </c>
      <c r="AC874">
        <f>AND(IF(Metadata!I874="",FALSE,TRUE),exact(Metadata!I874,"tongue"))</f>
        <v>0</v>
      </c>
      <c r="AD874">
        <f>AND(IF(Metadata!J874="",FALSE,TRUE),exact(Metadata!J874,"human oral metagenome"))</f>
        <v>0</v>
      </c>
      <c r="AE874">
        <f>AND(IF(Metadata!K874="",FALSE,TRUE),exact(Metadata!K874,"447426"))</f>
        <v>0</v>
      </c>
    </row>
    <row r="875" spans="1:31">
      <c r="A875" s="4">
        <f>IF(B875=" "," ",HYPERLINK(CONCATENATE("#metadata!",ADDRESS(INDEX($Q$2:$Q$1001,MATCH(ROWS($O$2:O875),$O$2:$O$1001,0),0),1)),INDEX($T$2:$T$1001,MATCH(ROWS($O$2:O875),$O$2:$O$1001,0),0)))</f>
        <v>0</v>
      </c>
      <c r="B875" s="3">
        <f>IF(OR(INDEX($P$2:$P$1001,MATCH(ROWS($O$2:O875),$O$2:$O$1001,0),1)&gt;=100000,INDEX($V$1005:$AE$1005,1,MATCH(COLUMNS($V$1006:V1006),$V$1006:$AE$1006,0))&gt;=100000), " ",IF(INDEX($V$2:$AE$1001,MATCH(ROWS($O$2:O875),$O$2:$O$1001,0),MATCH(COLUMNS($V$1006:V1006),$V$1006:$AE$1006,0)), HYPERLINK("#",""), HYPERLINK(CONCATENATE("#Metadata!", ADDRESS(INDEX($Q$2:$Q$1001,MATCH(ROWS($O$2:O875),$O$2:$O$1001,0),0), INDEX($V$1004:$AE$1004,1,MATCH(COLUMNS($V$1006:V1006),$V$1006:$AE$1006,0)))),"Fix")))</f>
        <v>0</v>
      </c>
      <c r="C875" s="3">
        <f>IF(OR(INDEX($P$2:$P$1001,MATCH(ROWS($O$2:O875),$O$2:$O$1001,0),1)&gt;=100000,INDEX($V$1005:$AE$1005,1,MATCH(COLUMNS($V$1006:W1006),$V$1006:$AE$1006,0))&gt;=100000), " ",IF(INDEX($V$2:$AE$1001,MATCH(ROWS($O$2:O875),$O$2:$O$1001,0),MATCH(COLUMNS($V$1006:W1006),$V$1006:$AE$1006,0)), HYPERLINK("#",""), HYPERLINK(CONCATENATE("#Metadata!", ADDRESS(INDEX($Q$2:$Q$1001,MATCH(ROWS($O$2:O875),$O$2:$O$1001,0),0), INDEX($V$1004:$AE$1004,1,MATCH(COLUMNS($V$1006:W1006),$V$1006:$AE$1006,0)))),"Fix")))</f>
        <v>0</v>
      </c>
      <c r="D875" s="3">
        <f>IF(OR(INDEX($P$2:$P$1001,MATCH(ROWS($O$2:O875),$O$2:$O$1001,0),1)&gt;=100000,INDEX($V$1005:$AE$1005,1,MATCH(COLUMNS($V$1006:X1006),$V$1006:$AE$1006,0))&gt;=100000), " ",IF(INDEX($V$2:$AE$1001,MATCH(ROWS($O$2:O875),$O$2:$O$1001,0),MATCH(COLUMNS($V$1006:X1006),$V$1006:$AE$1006,0)), HYPERLINK("#",""), HYPERLINK(CONCATENATE("#Metadata!", ADDRESS(INDEX($Q$2:$Q$1001,MATCH(ROWS($O$2:O875),$O$2:$O$1001,0),0), INDEX($V$1004:$AE$1004,1,MATCH(COLUMNS($V$1006:X1006),$V$1006:$AE$1006,0)))),"Fix")))</f>
        <v>0</v>
      </c>
      <c r="E875" s="3">
        <f>IF(OR(INDEX($P$2:$P$1001,MATCH(ROWS($O$2:O875),$O$2:$O$1001,0),1)&gt;=100000,INDEX($V$1005:$AE$1005,1,MATCH(COLUMNS($V$1006:Y1006),$V$1006:$AE$1006,0))&gt;=100000), " ",IF(INDEX($V$2:$AE$1001,MATCH(ROWS($O$2:O875),$O$2:$O$1001,0),MATCH(COLUMNS($V$1006:Y1006),$V$1006:$AE$1006,0)), HYPERLINK("#",""), HYPERLINK(CONCATENATE("#Metadata!", ADDRESS(INDEX($Q$2:$Q$1001,MATCH(ROWS($O$2:O875),$O$2:$O$1001,0),0), INDEX($V$1004:$AE$1004,1,MATCH(COLUMNS($V$1006:Y1006),$V$1006:$AE$1006,0)))),"Fix")))</f>
        <v>0</v>
      </c>
      <c r="F875" s="3">
        <f>IF(OR(INDEX($P$2:$P$1001,MATCH(ROWS($O$2:O875),$O$2:$O$1001,0),1)&gt;=100000,INDEX($V$1005:$AE$1005,1,MATCH(COLUMNS($V$1006:Z1006),$V$1006:$AE$1006,0))&gt;=100000), " ",IF(INDEX($V$2:$AE$1001,MATCH(ROWS($O$2:O875),$O$2:$O$1001,0),MATCH(COLUMNS($V$1006:Z1006),$V$1006:$AE$1006,0)), HYPERLINK("#",""), HYPERLINK(CONCATENATE("#Metadata!", ADDRESS(INDEX($Q$2:$Q$1001,MATCH(ROWS($O$2:O875),$O$2:$O$1001,0),0), INDEX($V$1004:$AE$1004,1,MATCH(COLUMNS($V$1006:Z1006),$V$1006:$AE$1006,0)))),"Fix")))</f>
        <v>0</v>
      </c>
      <c r="G875" s="3">
        <f>IF(OR(INDEX($P$2:$P$1001,MATCH(ROWS($O$2:O875),$O$2:$O$1001,0),1)&gt;=100000,INDEX($V$1005:$AE$1005,1,MATCH(COLUMNS($V$1006:AA1006),$V$1006:$AE$1006,0))&gt;=100000), " ",IF(INDEX($V$2:$AE$1001,MATCH(ROWS($O$2:O875),$O$2:$O$1001,0),MATCH(COLUMNS($V$1006:AA1006),$V$1006:$AE$1006,0)), HYPERLINK("#",""), HYPERLINK(CONCATENATE("#Metadata!", ADDRESS(INDEX($Q$2:$Q$1001,MATCH(ROWS($O$2:O875),$O$2:$O$1001,0),0), INDEX($V$1004:$AE$1004,1,MATCH(COLUMNS($V$1006:AA1006),$V$1006:$AE$1006,0)))),"Fix")))</f>
        <v>0</v>
      </c>
      <c r="H875" s="3">
        <f>IF(OR(INDEX($P$2:$P$1001,MATCH(ROWS($O$2:O875),$O$2:$O$1001,0),1)&gt;=100000,INDEX($V$1005:$AE$1005,1,MATCH(COLUMNS($V$1006:AB1006),$V$1006:$AE$1006,0))&gt;=100000), " ",IF(INDEX($V$2:$AE$1001,MATCH(ROWS($O$2:O875),$O$2:$O$1001,0),MATCH(COLUMNS($V$1006:AB1006),$V$1006:$AE$1006,0)), HYPERLINK("#",""), HYPERLINK(CONCATENATE("#Metadata!", ADDRESS(INDEX($Q$2:$Q$1001,MATCH(ROWS($O$2:O875),$O$2:$O$1001,0),0), INDEX($V$1004:$AE$1004,1,MATCH(COLUMNS($V$1006:AB1006),$V$1006:$AE$1006,0)))),"Fix")))</f>
        <v>0</v>
      </c>
      <c r="I875" s="3">
        <f>IF(OR(INDEX($P$2:$P$1001,MATCH(ROWS($O$2:O875),$O$2:$O$1001,0),1)&gt;=100000,INDEX($V$1005:$AE$1005,1,MATCH(COLUMNS($V$1006:AC1006),$V$1006:$AE$1006,0))&gt;=100000), " ",IF(INDEX($V$2:$AE$1001,MATCH(ROWS($O$2:O875),$O$2:$O$1001,0),MATCH(COLUMNS($V$1006:AC1006),$V$1006:$AE$1006,0)), HYPERLINK("#",""), HYPERLINK(CONCATENATE("#Metadata!", ADDRESS(INDEX($Q$2:$Q$1001,MATCH(ROWS($O$2:O875),$O$2:$O$1001,0),0), INDEX($V$1004:$AE$1004,1,MATCH(COLUMNS($V$1006:AC1006),$V$1006:$AE$1006,0)))),"Fix")))</f>
        <v>0</v>
      </c>
      <c r="J875" s="3">
        <f>IF(OR(INDEX($P$2:$P$1001,MATCH(ROWS($O$2:O875),$O$2:$O$1001,0),1)&gt;=100000,INDEX($V$1005:$AE$1005,1,MATCH(COLUMNS($V$1006:AD1006),$V$1006:$AE$1006,0))&gt;=100000), " ",IF(INDEX($V$2:$AE$1001,MATCH(ROWS($O$2:O875),$O$2:$O$1001,0),MATCH(COLUMNS($V$1006:AD1006),$V$1006:$AE$1006,0)), HYPERLINK("#",""), HYPERLINK(CONCATENATE("#Metadata!", ADDRESS(INDEX($Q$2:$Q$1001,MATCH(ROWS($O$2:O875),$O$2:$O$1001,0),0), INDEX($V$1004:$AE$1004,1,MATCH(COLUMNS($V$1006:AD1006),$V$1006:$AE$1006,0)))),"Fix")))</f>
        <v>0</v>
      </c>
      <c r="K875" s="3">
        <f>IF(OR(INDEX($P$2:$P$1001,MATCH(ROWS($O$2:O875),$O$2:$O$1001,0),1)&gt;=100000,INDEX($V$1005:$AE$1005,1,MATCH(COLUMNS($V$1006:AE1006),$V$1006:$AE$1006,0))&gt;=100000), " ",IF(INDEX($V$2:$AE$1001,MATCH(ROWS($O$2:O875),$O$2:$O$1001,0),MATCH(COLUMNS($V$1006:AE1006),$V$1006:$AE$1006,0)), HYPERLINK("#",""), HYPERLINK(CONCATENATE("#Metadata!", ADDRESS(INDEX($Q$2:$Q$1001,MATCH(ROWS($O$2:O875),$O$2:$O$1001,0),0), INDEX($V$1004:$AE$1004,1,MATCH(COLUMNS($V$1006:AE1006),$V$1006:$AE$1006,0)))),"Fix")))</f>
        <v>0</v>
      </c>
      <c r="O875">
        <v>0</v>
      </c>
      <c r="P875">
        <v>0</v>
      </c>
      <c r="Q875">
        <v>0</v>
      </c>
      <c r="R875">
        <f>IF(S875,TRUE,AND(V875:AE875))</f>
        <v>0</v>
      </c>
      <c r="S875">
        <f>COUNTBLANK(Metadata!B875:K875)=COLUMNS(Metadata!B875:K875)</f>
        <v>0</v>
      </c>
      <c r="T875">
        <v>0</v>
      </c>
      <c r="V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W875">
        <f>AND(IF(Metadata!C875="",FALSE,TRUE),exact(Metadata!C875,"animal secretion"))</f>
        <v>0</v>
      </c>
      <c r="X875">
        <f>AND(IF(Metadata!D875="",FALSE,TRUE),exact(Metadata!D875,"saliva"))</f>
        <v>0</v>
      </c>
      <c r="Y875">
        <f>AND(IF(Metadata!E875="",FALSE,TRUE),exact(Metadata!E875,"human-oral"))</f>
        <v>0</v>
      </c>
      <c r="Z875">
        <f>AND(IF(Metadata!F875="",FALSE,TRUE),exact(Metadata!F875,"UBERON:oral cavity"))</f>
        <v>0</v>
      </c>
      <c r="AA875">
        <f>AND(IF(Metadata!G875="",FALSE,TRUE),exact(Metadata!G875,"UBERON:saliva"))</f>
        <v>0</v>
      </c>
      <c r="AB875">
        <f>AND(IF(Metadata!H875="",FALSE,TRUE),exact(Metadata!H875,"UBERON:tongue"))</f>
        <v>0</v>
      </c>
      <c r="AC875">
        <f>AND(IF(Metadata!I875="",FALSE,TRUE),exact(Metadata!I875,"tongue"))</f>
        <v>0</v>
      </c>
      <c r="AD875">
        <f>AND(IF(Metadata!J875="",FALSE,TRUE),exact(Metadata!J875,"human oral metagenome"))</f>
        <v>0</v>
      </c>
      <c r="AE875">
        <f>AND(IF(Metadata!K875="",FALSE,TRUE),exact(Metadata!K875,"447426"))</f>
        <v>0</v>
      </c>
    </row>
    <row r="876" spans="1:31">
      <c r="A876" s="4">
        <f>IF(B876=" "," ",HYPERLINK(CONCATENATE("#metadata!",ADDRESS(INDEX($Q$2:$Q$1001,MATCH(ROWS($O$2:O876),$O$2:$O$1001,0),0),1)),INDEX($T$2:$T$1001,MATCH(ROWS($O$2:O876),$O$2:$O$1001,0),0)))</f>
        <v>0</v>
      </c>
      <c r="B876" s="3">
        <f>IF(OR(INDEX($P$2:$P$1001,MATCH(ROWS($O$2:O876),$O$2:$O$1001,0),1)&gt;=100000,INDEX($V$1005:$AE$1005,1,MATCH(COLUMNS($V$1006:V1006),$V$1006:$AE$1006,0))&gt;=100000), " ",IF(INDEX($V$2:$AE$1001,MATCH(ROWS($O$2:O876),$O$2:$O$1001,0),MATCH(COLUMNS($V$1006:V1006),$V$1006:$AE$1006,0)), HYPERLINK("#",""), HYPERLINK(CONCATENATE("#Metadata!", ADDRESS(INDEX($Q$2:$Q$1001,MATCH(ROWS($O$2:O876),$O$2:$O$1001,0),0), INDEX($V$1004:$AE$1004,1,MATCH(COLUMNS($V$1006:V1006),$V$1006:$AE$1006,0)))),"Fix")))</f>
        <v>0</v>
      </c>
      <c r="C876" s="3">
        <f>IF(OR(INDEX($P$2:$P$1001,MATCH(ROWS($O$2:O876),$O$2:$O$1001,0),1)&gt;=100000,INDEX($V$1005:$AE$1005,1,MATCH(COLUMNS($V$1006:W1006),$V$1006:$AE$1006,0))&gt;=100000), " ",IF(INDEX($V$2:$AE$1001,MATCH(ROWS($O$2:O876),$O$2:$O$1001,0),MATCH(COLUMNS($V$1006:W1006),$V$1006:$AE$1006,0)), HYPERLINK("#",""), HYPERLINK(CONCATENATE("#Metadata!", ADDRESS(INDEX($Q$2:$Q$1001,MATCH(ROWS($O$2:O876),$O$2:$O$1001,0),0), INDEX($V$1004:$AE$1004,1,MATCH(COLUMNS($V$1006:W1006),$V$1006:$AE$1006,0)))),"Fix")))</f>
        <v>0</v>
      </c>
      <c r="D876" s="3">
        <f>IF(OR(INDEX($P$2:$P$1001,MATCH(ROWS($O$2:O876),$O$2:$O$1001,0),1)&gt;=100000,INDEX($V$1005:$AE$1005,1,MATCH(COLUMNS($V$1006:X1006),$V$1006:$AE$1006,0))&gt;=100000), " ",IF(INDEX($V$2:$AE$1001,MATCH(ROWS($O$2:O876),$O$2:$O$1001,0),MATCH(COLUMNS($V$1006:X1006),$V$1006:$AE$1006,0)), HYPERLINK("#",""), HYPERLINK(CONCATENATE("#Metadata!", ADDRESS(INDEX($Q$2:$Q$1001,MATCH(ROWS($O$2:O876),$O$2:$O$1001,0),0), INDEX($V$1004:$AE$1004,1,MATCH(COLUMNS($V$1006:X1006),$V$1006:$AE$1006,0)))),"Fix")))</f>
        <v>0</v>
      </c>
      <c r="E876" s="3">
        <f>IF(OR(INDEX($P$2:$P$1001,MATCH(ROWS($O$2:O876),$O$2:$O$1001,0),1)&gt;=100000,INDEX($V$1005:$AE$1005,1,MATCH(COLUMNS($V$1006:Y1006),$V$1006:$AE$1006,0))&gt;=100000), " ",IF(INDEX($V$2:$AE$1001,MATCH(ROWS($O$2:O876),$O$2:$O$1001,0),MATCH(COLUMNS($V$1006:Y1006),$V$1006:$AE$1006,0)), HYPERLINK("#",""), HYPERLINK(CONCATENATE("#Metadata!", ADDRESS(INDEX($Q$2:$Q$1001,MATCH(ROWS($O$2:O876),$O$2:$O$1001,0),0), INDEX($V$1004:$AE$1004,1,MATCH(COLUMNS($V$1006:Y1006),$V$1006:$AE$1006,0)))),"Fix")))</f>
        <v>0</v>
      </c>
      <c r="F876" s="3">
        <f>IF(OR(INDEX($P$2:$P$1001,MATCH(ROWS($O$2:O876),$O$2:$O$1001,0),1)&gt;=100000,INDEX($V$1005:$AE$1005,1,MATCH(COLUMNS($V$1006:Z1006),$V$1006:$AE$1006,0))&gt;=100000), " ",IF(INDEX($V$2:$AE$1001,MATCH(ROWS($O$2:O876),$O$2:$O$1001,0),MATCH(COLUMNS($V$1006:Z1006),$V$1006:$AE$1006,0)), HYPERLINK("#",""), HYPERLINK(CONCATENATE("#Metadata!", ADDRESS(INDEX($Q$2:$Q$1001,MATCH(ROWS($O$2:O876),$O$2:$O$1001,0),0), INDEX($V$1004:$AE$1004,1,MATCH(COLUMNS($V$1006:Z1006),$V$1006:$AE$1006,0)))),"Fix")))</f>
        <v>0</v>
      </c>
      <c r="G876" s="3">
        <f>IF(OR(INDEX($P$2:$P$1001,MATCH(ROWS($O$2:O876),$O$2:$O$1001,0),1)&gt;=100000,INDEX($V$1005:$AE$1005,1,MATCH(COLUMNS($V$1006:AA1006),$V$1006:$AE$1006,0))&gt;=100000), " ",IF(INDEX($V$2:$AE$1001,MATCH(ROWS($O$2:O876),$O$2:$O$1001,0),MATCH(COLUMNS($V$1006:AA1006),$V$1006:$AE$1006,0)), HYPERLINK("#",""), HYPERLINK(CONCATENATE("#Metadata!", ADDRESS(INDEX($Q$2:$Q$1001,MATCH(ROWS($O$2:O876),$O$2:$O$1001,0),0), INDEX($V$1004:$AE$1004,1,MATCH(COLUMNS($V$1006:AA1006),$V$1006:$AE$1006,0)))),"Fix")))</f>
        <v>0</v>
      </c>
      <c r="H876" s="3">
        <f>IF(OR(INDEX($P$2:$P$1001,MATCH(ROWS($O$2:O876),$O$2:$O$1001,0),1)&gt;=100000,INDEX($V$1005:$AE$1005,1,MATCH(COLUMNS($V$1006:AB1006),$V$1006:$AE$1006,0))&gt;=100000), " ",IF(INDEX($V$2:$AE$1001,MATCH(ROWS($O$2:O876),$O$2:$O$1001,0),MATCH(COLUMNS($V$1006:AB1006),$V$1006:$AE$1006,0)), HYPERLINK("#",""), HYPERLINK(CONCATENATE("#Metadata!", ADDRESS(INDEX($Q$2:$Q$1001,MATCH(ROWS($O$2:O876),$O$2:$O$1001,0),0), INDEX($V$1004:$AE$1004,1,MATCH(COLUMNS($V$1006:AB1006),$V$1006:$AE$1006,0)))),"Fix")))</f>
        <v>0</v>
      </c>
      <c r="I876" s="3">
        <f>IF(OR(INDEX($P$2:$P$1001,MATCH(ROWS($O$2:O876),$O$2:$O$1001,0),1)&gt;=100000,INDEX($V$1005:$AE$1005,1,MATCH(COLUMNS($V$1006:AC1006),$V$1006:$AE$1006,0))&gt;=100000), " ",IF(INDEX($V$2:$AE$1001,MATCH(ROWS($O$2:O876),$O$2:$O$1001,0),MATCH(COLUMNS($V$1006:AC1006),$V$1006:$AE$1006,0)), HYPERLINK("#",""), HYPERLINK(CONCATENATE("#Metadata!", ADDRESS(INDEX($Q$2:$Q$1001,MATCH(ROWS($O$2:O876),$O$2:$O$1001,0),0), INDEX($V$1004:$AE$1004,1,MATCH(COLUMNS($V$1006:AC1006),$V$1006:$AE$1006,0)))),"Fix")))</f>
        <v>0</v>
      </c>
      <c r="J876" s="3">
        <f>IF(OR(INDEX($P$2:$P$1001,MATCH(ROWS($O$2:O876),$O$2:$O$1001,0),1)&gt;=100000,INDEX($V$1005:$AE$1005,1,MATCH(COLUMNS($V$1006:AD1006),$V$1006:$AE$1006,0))&gt;=100000), " ",IF(INDEX($V$2:$AE$1001,MATCH(ROWS($O$2:O876),$O$2:$O$1001,0),MATCH(COLUMNS($V$1006:AD1006),$V$1006:$AE$1006,0)), HYPERLINK("#",""), HYPERLINK(CONCATENATE("#Metadata!", ADDRESS(INDEX($Q$2:$Q$1001,MATCH(ROWS($O$2:O876),$O$2:$O$1001,0),0), INDEX($V$1004:$AE$1004,1,MATCH(COLUMNS($V$1006:AD1006),$V$1006:$AE$1006,0)))),"Fix")))</f>
        <v>0</v>
      </c>
      <c r="K876" s="3">
        <f>IF(OR(INDEX($P$2:$P$1001,MATCH(ROWS($O$2:O876),$O$2:$O$1001,0),1)&gt;=100000,INDEX($V$1005:$AE$1005,1,MATCH(COLUMNS($V$1006:AE1006),$V$1006:$AE$1006,0))&gt;=100000), " ",IF(INDEX($V$2:$AE$1001,MATCH(ROWS($O$2:O876),$O$2:$O$1001,0),MATCH(COLUMNS($V$1006:AE1006),$V$1006:$AE$1006,0)), HYPERLINK("#",""), HYPERLINK(CONCATENATE("#Metadata!", ADDRESS(INDEX($Q$2:$Q$1001,MATCH(ROWS($O$2:O876),$O$2:$O$1001,0),0), INDEX($V$1004:$AE$1004,1,MATCH(COLUMNS($V$1006:AE1006),$V$1006:$AE$1006,0)))),"Fix")))</f>
        <v>0</v>
      </c>
      <c r="O876">
        <v>0</v>
      </c>
      <c r="P876">
        <v>0</v>
      </c>
      <c r="Q876">
        <v>0</v>
      </c>
      <c r="R876">
        <f>IF(S876,TRUE,AND(V876:AE876))</f>
        <v>0</v>
      </c>
      <c r="S876">
        <f>COUNTBLANK(Metadata!B876:K876)=COLUMNS(Metadata!B876:K876)</f>
        <v>0</v>
      </c>
      <c r="T876">
        <v>0</v>
      </c>
      <c r="V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W876">
        <f>AND(IF(Metadata!C876="",FALSE,TRUE),exact(Metadata!C876,"animal secretion"))</f>
        <v>0</v>
      </c>
      <c r="X876">
        <f>AND(IF(Metadata!D876="",FALSE,TRUE),exact(Metadata!D876,"saliva"))</f>
        <v>0</v>
      </c>
      <c r="Y876">
        <f>AND(IF(Metadata!E876="",FALSE,TRUE),exact(Metadata!E876,"human-oral"))</f>
        <v>0</v>
      </c>
      <c r="Z876">
        <f>AND(IF(Metadata!F876="",FALSE,TRUE),exact(Metadata!F876,"UBERON:oral cavity"))</f>
        <v>0</v>
      </c>
      <c r="AA876">
        <f>AND(IF(Metadata!G876="",FALSE,TRUE),exact(Metadata!G876,"UBERON:saliva"))</f>
        <v>0</v>
      </c>
      <c r="AB876">
        <f>AND(IF(Metadata!H876="",FALSE,TRUE),exact(Metadata!H876,"UBERON:tongue"))</f>
        <v>0</v>
      </c>
      <c r="AC876">
        <f>AND(IF(Metadata!I876="",FALSE,TRUE),exact(Metadata!I876,"tongue"))</f>
        <v>0</v>
      </c>
      <c r="AD876">
        <f>AND(IF(Metadata!J876="",FALSE,TRUE),exact(Metadata!J876,"human oral metagenome"))</f>
        <v>0</v>
      </c>
      <c r="AE876">
        <f>AND(IF(Metadata!K876="",FALSE,TRUE),exact(Metadata!K876,"447426"))</f>
        <v>0</v>
      </c>
    </row>
    <row r="877" spans="1:31">
      <c r="A877" s="4">
        <f>IF(B877=" "," ",HYPERLINK(CONCATENATE("#metadata!",ADDRESS(INDEX($Q$2:$Q$1001,MATCH(ROWS($O$2:O877),$O$2:$O$1001,0),0),1)),INDEX($T$2:$T$1001,MATCH(ROWS($O$2:O877),$O$2:$O$1001,0),0)))</f>
        <v>0</v>
      </c>
      <c r="B877" s="3">
        <f>IF(OR(INDEX($P$2:$P$1001,MATCH(ROWS($O$2:O877),$O$2:$O$1001,0),1)&gt;=100000,INDEX($V$1005:$AE$1005,1,MATCH(COLUMNS($V$1006:V1006),$V$1006:$AE$1006,0))&gt;=100000), " ",IF(INDEX($V$2:$AE$1001,MATCH(ROWS($O$2:O877),$O$2:$O$1001,0),MATCH(COLUMNS($V$1006:V1006),$V$1006:$AE$1006,0)), HYPERLINK("#",""), HYPERLINK(CONCATENATE("#Metadata!", ADDRESS(INDEX($Q$2:$Q$1001,MATCH(ROWS($O$2:O877),$O$2:$O$1001,0),0), INDEX($V$1004:$AE$1004,1,MATCH(COLUMNS($V$1006:V1006),$V$1006:$AE$1006,0)))),"Fix")))</f>
        <v>0</v>
      </c>
      <c r="C877" s="3">
        <f>IF(OR(INDEX($P$2:$P$1001,MATCH(ROWS($O$2:O877),$O$2:$O$1001,0),1)&gt;=100000,INDEX($V$1005:$AE$1005,1,MATCH(COLUMNS($V$1006:W1006),$V$1006:$AE$1006,0))&gt;=100000), " ",IF(INDEX($V$2:$AE$1001,MATCH(ROWS($O$2:O877),$O$2:$O$1001,0),MATCH(COLUMNS($V$1006:W1006),$V$1006:$AE$1006,0)), HYPERLINK("#",""), HYPERLINK(CONCATENATE("#Metadata!", ADDRESS(INDEX($Q$2:$Q$1001,MATCH(ROWS($O$2:O877),$O$2:$O$1001,0),0), INDEX($V$1004:$AE$1004,1,MATCH(COLUMNS($V$1006:W1006),$V$1006:$AE$1006,0)))),"Fix")))</f>
        <v>0</v>
      </c>
      <c r="D877" s="3">
        <f>IF(OR(INDEX($P$2:$P$1001,MATCH(ROWS($O$2:O877),$O$2:$O$1001,0),1)&gt;=100000,INDEX($V$1005:$AE$1005,1,MATCH(COLUMNS($V$1006:X1006),$V$1006:$AE$1006,0))&gt;=100000), " ",IF(INDEX($V$2:$AE$1001,MATCH(ROWS($O$2:O877),$O$2:$O$1001,0),MATCH(COLUMNS($V$1006:X1006),$V$1006:$AE$1006,0)), HYPERLINK("#",""), HYPERLINK(CONCATENATE("#Metadata!", ADDRESS(INDEX($Q$2:$Q$1001,MATCH(ROWS($O$2:O877),$O$2:$O$1001,0),0), INDEX($V$1004:$AE$1004,1,MATCH(COLUMNS($V$1006:X1006),$V$1006:$AE$1006,0)))),"Fix")))</f>
        <v>0</v>
      </c>
      <c r="E877" s="3">
        <f>IF(OR(INDEX($P$2:$P$1001,MATCH(ROWS($O$2:O877),$O$2:$O$1001,0),1)&gt;=100000,INDEX($V$1005:$AE$1005,1,MATCH(COLUMNS($V$1006:Y1006),$V$1006:$AE$1006,0))&gt;=100000), " ",IF(INDEX($V$2:$AE$1001,MATCH(ROWS($O$2:O877),$O$2:$O$1001,0),MATCH(COLUMNS($V$1006:Y1006),$V$1006:$AE$1006,0)), HYPERLINK("#",""), HYPERLINK(CONCATENATE("#Metadata!", ADDRESS(INDEX($Q$2:$Q$1001,MATCH(ROWS($O$2:O877),$O$2:$O$1001,0),0), INDEX($V$1004:$AE$1004,1,MATCH(COLUMNS($V$1006:Y1006),$V$1006:$AE$1006,0)))),"Fix")))</f>
        <v>0</v>
      </c>
      <c r="F877" s="3">
        <f>IF(OR(INDEX($P$2:$P$1001,MATCH(ROWS($O$2:O877),$O$2:$O$1001,0),1)&gt;=100000,INDEX($V$1005:$AE$1005,1,MATCH(COLUMNS($V$1006:Z1006),$V$1006:$AE$1006,0))&gt;=100000), " ",IF(INDEX($V$2:$AE$1001,MATCH(ROWS($O$2:O877),$O$2:$O$1001,0),MATCH(COLUMNS($V$1006:Z1006),$V$1006:$AE$1006,0)), HYPERLINK("#",""), HYPERLINK(CONCATENATE("#Metadata!", ADDRESS(INDEX($Q$2:$Q$1001,MATCH(ROWS($O$2:O877),$O$2:$O$1001,0),0), INDEX($V$1004:$AE$1004,1,MATCH(COLUMNS($V$1006:Z1006),$V$1006:$AE$1006,0)))),"Fix")))</f>
        <v>0</v>
      </c>
      <c r="G877" s="3">
        <f>IF(OR(INDEX($P$2:$P$1001,MATCH(ROWS($O$2:O877),$O$2:$O$1001,0),1)&gt;=100000,INDEX($V$1005:$AE$1005,1,MATCH(COLUMNS($V$1006:AA1006),$V$1006:$AE$1006,0))&gt;=100000), " ",IF(INDEX($V$2:$AE$1001,MATCH(ROWS($O$2:O877),$O$2:$O$1001,0),MATCH(COLUMNS($V$1006:AA1006),$V$1006:$AE$1006,0)), HYPERLINK("#",""), HYPERLINK(CONCATENATE("#Metadata!", ADDRESS(INDEX($Q$2:$Q$1001,MATCH(ROWS($O$2:O877),$O$2:$O$1001,0),0), INDEX($V$1004:$AE$1004,1,MATCH(COLUMNS($V$1006:AA1006),$V$1006:$AE$1006,0)))),"Fix")))</f>
        <v>0</v>
      </c>
      <c r="H877" s="3">
        <f>IF(OR(INDEX($P$2:$P$1001,MATCH(ROWS($O$2:O877),$O$2:$O$1001,0),1)&gt;=100000,INDEX($V$1005:$AE$1005,1,MATCH(COLUMNS($V$1006:AB1006),$V$1006:$AE$1006,0))&gt;=100000), " ",IF(INDEX($V$2:$AE$1001,MATCH(ROWS($O$2:O877),$O$2:$O$1001,0),MATCH(COLUMNS($V$1006:AB1006),$V$1006:$AE$1006,0)), HYPERLINK("#",""), HYPERLINK(CONCATENATE("#Metadata!", ADDRESS(INDEX($Q$2:$Q$1001,MATCH(ROWS($O$2:O877),$O$2:$O$1001,0),0), INDEX($V$1004:$AE$1004,1,MATCH(COLUMNS($V$1006:AB1006),$V$1006:$AE$1006,0)))),"Fix")))</f>
        <v>0</v>
      </c>
      <c r="I877" s="3">
        <f>IF(OR(INDEX($P$2:$P$1001,MATCH(ROWS($O$2:O877),$O$2:$O$1001,0),1)&gt;=100000,INDEX($V$1005:$AE$1005,1,MATCH(COLUMNS($V$1006:AC1006),$V$1006:$AE$1006,0))&gt;=100000), " ",IF(INDEX($V$2:$AE$1001,MATCH(ROWS($O$2:O877),$O$2:$O$1001,0),MATCH(COLUMNS($V$1006:AC1006),$V$1006:$AE$1006,0)), HYPERLINK("#",""), HYPERLINK(CONCATENATE("#Metadata!", ADDRESS(INDEX($Q$2:$Q$1001,MATCH(ROWS($O$2:O877),$O$2:$O$1001,0),0), INDEX($V$1004:$AE$1004,1,MATCH(COLUMNS($V$1006:AC1006),$V$1006:$AE$1006,0)))),"Fix")))</f>
        <v>0</v>
      </c>
      <c r="J877" s="3">
        <f>IF(OR(INDEX($P$2:$P$1001,MATCH(ROWS($O$2:O877),$O$2:$O$1001,0),1)&gt;=100000,INDEX($V$1005:$AE$1005,1,MATCH(COLUMNS($V$1006:AD1006),$V$1006:$AE$1006,0))&gt;=100000), " ",IF(INDEX($V$2:$AE$1001,MATCH(ROWS($O$2:O877),$O$2:$O$1001,0),MATCH(COLUMNS($V$1006:AD1006),$V$1006:$AE$1006,0)), HYPERLINK("#",""), HYPERLINK(CONCATENATE("#Metadata!", ADDRESS(INDEX($Q$2:$Q$1001,MATCH(ROWS($O$2:O877),$O$2:$O$1001,0),0), INDEX($V$1004:$AE$1004,1,MATCH(COLUMNS($V$1006:AD1006),$V$1006:$AE$1006,0)))),"Fix")))</f>
        <v>0</v>
      </c>
      <c r="K877" s="3">
        <f>IF(OR(INDEX($P$2:$P$1001,MATCH(ROWS($O$2:O877),$O$2:$O$1001,0),1)&gt;=100000,INDEX($V$1005:$AE$1005,1,MATCH(COLUMNS($V$1006:AE1006),$V$1006:$AE$1006,0))&gt;=100000), " ",IF(INDEX($V$2:$AE$1001,MATCH(ROWS($O$2:O877),$O$2:$O$1001,0),MATCH(COLUMNS($V$1006:AE1006),$V$1006:$AE$1006,0)), HYPERLINK("#",""), HYPERLINK(CONCATENATE("#Metadata!", ADDRESS(INDEX($Q$2:$Q$1001,MATCH(ROWS($O$2:O877),$O$2:$O$1001,0),0), INDEX($V$1004:$AE$1004,1,MATCH(COLUMNS($V$1006:AE1006),$V$1006:$AE$1006,0)))),"Fix")))</f>
        <v>0</v>
      </c>
      <c r="O877">
        <v>0</v>
      </c>
      <c r="P877">
        <v>0</v>
      </c>
      <c r="Q877">
        <v>0</v>
      </c>
      <c r="R877">
        <f>IF(S877,TRUE,AND(V877:AE877))</f>
        <v>0</v>
      </c>
      <c r="S877">
        <f>COUNTBLANK(Metadata!B877:K877)=COLUMNS(Metadata!B877:K877)</f>
        <v>0</v>
      </c>
      <c r="T877">
        <v>0</v>
      </c>
      <c r="V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W877">
        <f>AND(IF(Metadata!C877="",FALSE,TRUE),exact(Metadata!C877,"animal secretion"))</f>
        <v>0</v>
      </c>
      <c r="X877">
        <f>AND(IF(Metadata!D877="",FALSE,TRUE),exact(Metadata!D877,"saliva"))</f>
        <v>0</v>
      </c>
      <c r="Y877">
        <f>AND(IF(Metadata!E877="",FALSE,TRUE),exact(Metadata!E877,"human-oral"))</f>
        <v>0</v>
      </c>
      <c r="Z877">
        <f>AND(IF(Metadata!F877="",FALSE,TRUE),exact(Metadata!F877,"UBERON:oral cavity"))</f>
        <v>0</v>
      </c>
      <c r="AA877">
        <f>AND(IF(Metadata!G877="",FALSE,TRUE),exact(Metadata!G877,"UBERON:saliva"))</f>
        <v>0</v>
      </c>
      <c r="AB877">
        <f>AND(IF(Metadata!H877="",FALSE,TRUE),exact(Metadata!H877,"UBERON:tongue"))</f>
        <v>0</v>
      </c>
      <c r="AC877">
        <f>AND(IF(Metadata!I877="",FALSE,TRUE),exact(Metadata!I877,"tongue"))</f>
        <v>0</v>
      </c>
      <c r="AD877">
        <f>AND(IF(Metadata!J877="",FALSE,TRUE),exact(Metadata!J877,"human oral metagenome"))</f>
        <v>0</v>
      </c>
      <c r="AE877">
        <f>AND(IF(Metadata!K877="",FALSE,TRUE),exact(Metadata!K877,"447426"))</f>
        <v>0</v>
      </c>
    </row>
    <row r="878" spans="1:31">
      <c r="A878" s="4">
        <f>IF(B878=" "," ",HYPERLINK(CONCATENATE("#metadata!",ADDRESS(INDEX($Q$2:$Q$1001,MATCH(ROWS($O$2:O878),$O$2:$O$1001,0),0),1)),INDEX($T$2:$T$1001,MATCH(ROWS($O$2:O878),$O$2:$O$1001,0),0)))</f>
        <v>0</v>
      </c>
      <c r="B878" s="3">
        <f>IF(OR(INDEX($P$2:$P$1001,MATCH(ROWS($O$2:O878),$O$2:$O$1001,0),1)&gt;=100000,INDEX($V$1005:$AE$1005,1,MATCH(COLUMNS($V$1006:V1006),$V$1006:$AE$1006,0))&gt;=100000), " ",IF(INDEX($V$2:$AE$1001,MATCH(ROWS($O$2:O878),$O$2:$O$1001,0),MATCH(COLUMNS($V$1006:V1006),$V$1006:$AE$1006,0)), HYPERLINK("#",""), HYPERLINK(CONCATENATE("#Metadata!", ADDRESS(INDEX($Q$2:$Q$1001,MATCH(ROWS($O$2:O878),$O$2:$O$1001,0),0), INDEX($V$1004:$AE$1004,1,MATCH(COLUMNS($V$1006:V1006),$V$1006:$AE$1006,0)))),"Fix")))</f>
        <v>0</v>
      </c>
      <c r="C878" s="3">
        <f>IF(OR(INDEX($P$2:$P$1001,MATCH(ROWS($O$2:O878),$O$2:$O$1001,0),1)&gt;=100000,INDEX($V$1005:$AE$1005,1,MATCH(COLUMNS($V$1006:W1006),$V$1006:$AE$1006,0))&gt;=100000), " ",IF(INDEX($V$2:$AE$1001,MATCH(ROWS($O$2:O878),$O$2:$O$1001,0),MATCH(COLUMNS($V$1006:W1006),$V$1006:$AE$1006,0)), HYPERLINK("#",""), HYPERLINK(CONCATENATE("#Metadata!", ADDRESS(INDEX($Q$2:$Q$1001,MATCH(ROWS($O$2:O878),$O$2:$O$1001,0),0), INDEX($V$1004:$AE$1004,1,MATCH(COLUMNS($V$1006:W1006),$V$1006:$AE$1006,0)))),"Fix")))</f>
        <v>0</v>
      </c>
      <c r="D878" s="3">
        <f>IF(OR(INDEX($P$2:$P$1001,MATCH(ROWS($O$2:O878),$O$2:$O$1001,0),1)&gt;=100000,INDEX($V$1005:$AE$1005,1,MATCH(COLUMNS($V$1006:X1006),$V$1006:$AE$1006,0))&gt;=100000), " ",IF(INDEX($V$2:$AE$1001,MATCH(ROWS($O$2:O878),$O$2:$O$1001,0),MATCH(COLUMNS($V$1006:X1006),$V$1006:$AE$1006,0)), HYPERLINK("#",""), HYPERLINK(CONCATENATE("#Metadata!", ADDRESS(INDEX($Q$2:$Q$1001,MATCH(ROWS($O$2:O878),$O$2:$O$1001,0),0), INDEX($V$1004:$AE$1004,1,MATCH(COLUMNS($V$1006:X1006),$V$1006:$AE$1006,0)))),"Fix")))</f>
        <v>0</v>
      </c>
      <c r="E878" s="3">
        <f>IF(OR(INDEX($P$2:$P$1001,MATCH(ROWS($O$2:O878),$O$2:$O$1001,0),1)&gt;=100000,INDEX($V$1005:$AE$1005,1,MATCH(COLUMNS($V$1006:Y1006),$V$1006:$AE$1006,0))&gt;=100000), " ",IF(INDEX($V$2:$AE$1001,MATCH(ROWS($O$2:O878),$O$2:$O$1001,0),MATCH(COLUMNS($V$1006:Y1006),$V$1006:$AE$1006,0)), HYPERLINK("#",""), HYPERLINK(CONCATENATE("#Metadata!", ADDRESS(INDEX($Q$2:$Q$1001,MATCH(ROWS($O$2:O878),$O$2:$O$1001,0),0), INDEX($V$1004:$AE$1004,1,MATCH(COLUMNS($V$1006:Y1006),$V$1006:$AE$1006,0)))),"Fix")))</f>
        <v>0</v>
      </c>
      <c r="F878" s="3">
        <f>IF(OR(INDEX($P$2:$P$1001,MATCH(ROWS($O$2:O878),$O$2:$O$1001,0),1)&gt;=100000,INDEX($V$1005:$AE$1005,1,MATCH(COLUMNS($V$1006:Z1006),$V$1006:$AE$1006,0))&gt;=100000), " ",IF(INDEX($V$2:$AE$1001,MATCH(ROWS($O$2:O878),$O$2:$O$1001,0),MATCH(COLUMNS($V$1006:Z1006),$V$1006:$AE$1006,0)), HYPERLINK("#",""), HYPERLINK(CONCATENATE("#Metadata!", ADDRESS(INDEX($Q$2:$Q$1001,MATCH(ROWS($O$2:O878),$O$2:$O$1001,0),0), INDEX($V$1004:$AE$1004,1,MATCH(COLUMNS($V$1006:Z1006),$V$1006:$AE$1006,0)))),"Fix")))</f>
        <v>0</v>
      </c>
      <c r="G878" s="3">
        <f>IF(OR(INDEX($P$2:$P$1001,MATCH(ROWS($O$2:O878),$O$2:$O$1001,0),1)&gt;=100000,INDEX($V$1005:$AE$1005,1,MATCH(COLUMNS($V$1006:AA1006),$V$1006:$AE$1006,0))&gt;=100000), " ",IF(INDEX($V$2:$AE$1001,MATCH(ROWS($O$2:O878),$O$2:$O$1001,0),MATCH(COLUMNS($V$1006:AA1006),$V$1006:$AE$1006,0)), HYPERLINK("#",""), HYPERLINK(CONCATENATE("#Metadata!", ADDRESS(INDEX($Q$2:$Q$1001,MATCH(ROWS($O$2:O878),$O$2:$O$1001,0),0), INDEX($V$1004:$AE$1004,1,MATCH(COLUMNS($V$1006:AA1006),$V$1006:$AE$1006,0)))),"Fix")))</f>
        <v>0</v>
      </c>
      <c r="H878" s="3">
        <f>IF(OR(INDEX($P$2:$P$1001,MATCH(ROWS($O$2:O878),$O$2:$O$1001,0),1)&gt;=100000,INDEX($V$1005:$AE$1005,1,MATCH(COLUMNS($V$1006:AB1006),$V$1006:$AE$1006,0))&gt;=100000), " ",IF(INDEX($V$2:$AE$1001,MATCH(ROWS($O$2:O878),$O$2:$O$1001,0),MATCH(COLUMNS($V$1006:AB1006),$V$1006:$AE$1006,0)), HYPERLINK("#",""), HYPERLINK(CONCATENATE("#Metadata!", ADDRESS(INDEX($Q$2:$Q$1001,MATCH(ROWS($O$2:O878),$O$2:$O$1001,0),0), INDEX($V$1004:$AE$1004,1,MATCH(COLUMNS($V$1006:AB1006),$V$1006:$AE$1006,0)))),"Fix")))</f>
        <v>0</v>
      </c>
      <c r="I878" s="3">
        <f>IF(OR(INDEX($P$2:$P$1001,MATCH(ROWS($O$2:O878),$O$2:$O$1001,0),1)&gt;=100000,INDEX($V$1005:$AE$1005,1,MATCH(COLUMNS($V$1006:AC1006),$V$1006:$AE$1006,0))&gt;=100000), " ",IF(INDEX($V$2:$AE$1001,MATCH(ROWS($O$2:O878),$O$2:$O$1001,0),MATCH(COLUMNS($V$1006:AC1006),$V$1006:$AE$1006,0)), HYPERLINK("#",""), HYPERLINK(CONCATENATE("#Metadata!", ADDRESS(INDEX($Q$2:$Q$1001,MATCH(ROWS($O$2:O878),$O$2:$O$1001,0),0), INDEX($V$1004:$AE$1004,1,MATCH(COLUMNS($V$1006:AC1006),$V$1006:$AE$1006,0)))),"Fix")))</f>
        <v>0</v>
      </c>
      <c r="J878" s="3">
        <f>IF(OR(INDEX($P$2:$P$1001,MATCH(ROWS($O$2:O878),$O$2:$O$1001,0),1)&gt;=100000,INDEX($V$1005:$AE$1005,1,MATCH(COLUMNS($V$1006:AD1006),$V$1006:$AE$1006,0))&gt;=100000), " ",IF(INDEX($V$2:$AE$1001,MATCH(ROWS($O$2:O878),$O$2:$O$1001,0),MATCH(COLUMNS($V$1006:AD1006),$V$1006:$AE$1006,0)), HYPERLINK("#",""), HYPERLINK(CONCATENATE("#Metadata!", ADDRESS(INDEX($Q$2:$Q$1001,MATCH(ROWS($O$2:O878),$O$2:$O$1001,0),0), INDEX($V$1004:$AE$1004,1,MATCH(COLUMNS($V$1006:AD1006),$V$1006:$AE$1006,0)))),"Fix")))</f>
        <v>0</v>
      </c>
      <c r="K878" s="3">
        <f>IF(OR(INDEX($P$2:$P$1001,MATCH(ROWS($O$2:O878),$O$2:$O$1001,0),1)&gt;=100000,INDEX($V$1005:$AE$1005,1,MATCH(COLUMNS($V$1006:AE1006),$V$1006:$AE$1006,0))&gt;=100000), " ",IF(INDEX($V$2:$AE$1001,MATCH(ROWS($O$2:O878),$O$2:$O$1001,0),MATCH(COLUMNS($V$1006:AE1006),$V$1006:$AE$1006,0)), HYPERLINK("#",""), HYPERLINK(CONCATENATE("#Metadata!", ADDRESS(INDEX($Q$2:$Q$1001,MATCH(ROWS($O$2:O878),$O$2:$O$1001,0),0), INDEX($V$1004:$AE$1004,1,MATCH(COLUMNS($V$1006:AE1006),$V$1006:$AE$1006,0)))),"Fix")))</f>
        <v>0</v>
      </c>
      <c r="O878">
        <v>0</v>
      </c>
      <c r="P878">
        <v>0</v>
      </c>
      <c r="Q878">
        <v>0</v>
      </c>
      <c r="R878">
        <f>IF(S878,TRUE,AND(V878:AE878))</f>
        <v>0</v>
      </c>
      <c r="S878">
        <f>COUNTBLANK(Metadata!B878:K878)=COLUMNS(Metadata!B878:K878)</f>
        <v>0</v>
      </c>
      <c r="T878">
        <v>0</v>
      </c>
      <c r="V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W878">
        <f>AND(IF(Metadata!C878="",FALSE,TRUE),exact(Metadata!C878,"animal secretion"))</f>
        <v>0</v>
      </c>
      <c r="X878">
        <f>AND(IF(Metadata!D878="",FALSE,TRUE),exact(Metadata!D878,"saliva"))</f>
        <v>0</v>
      </c>
      <c r="Y878">
        <f>AND(IF(Metadata!E878="",FALSE,TRUE),exact(Metadata!E878,"human-oral"))</f>
        <v>0</v>
      </c>
      <c r="Z878">
        <f>AND(IF(Metadata!F878="",FALSE,TRUE),exact(Metadata!F878,"UBERON:oral cavity"))</f>
        <v>0</v>
      </c>
      <c r="AA878">
        <f>AND(IF(Metadata!G878="",FALSE,TRUE),exact(Metadata!G878,"UBERON:saliva"))</f>
        <v>0</v>
      </c>
      <c r="AB878">
        <f>AND(IF(Metadata!H878="",FALSE,TRUE),exact(Metadata!H878,"UBERON:tongue"))</f>
        <v>0</v>
      </c>
      <c r="AC878">
        <f>AND(IF(Metadata!I878="",FALSE,TRUE),exact(Metadata!I878,"tongue"))</f>
        <v>0</v>
      </c>
      <c r="AD878">
        <f>AND(IF(Metadata!J878="",FALSE,TRUE),exact(Metadata!J878,"human oral metagenome"))</f>
        <v>0</v>
      </c>
      <c r="AE878">
        <f>AND(IF(Metadata!K878="",FALSE,TRUE),exact(Metadata!K878,"447426"))</f>
        <v>0</v>
      </c>
    </row>
    <row r="879" spans="1:31">
      <c r="A879" s="4">
        <f>IF(B879=" "," ",HYPERLINK(CONCATENATE("#metadata!",ADDRESS(INDEX($Q$2:$Q$1001,MATCH(ROWS($O$2:O879),$O$2:$O$1001,0),0),1)),INDEX($T$2:$T$1001,MATCH(ROWS($O$2:O879),$O$2:$O$1001,0),0)))</f>
        <v>0</v>
      </c>
      <c r="B879" s="3">
        <f>IF(OR(INDEX($P$2:$P$1001,MATCH(ROWS($O$2:O879),$O$2:$O$1001,0),1)&gt;=100000,INDEX($V$1005:$AE$1005,1,MATCH(COLUMNS($V$1006:V1006),$V$1006:$AE$1006,0))&gt;=100000), " ",IF(INDEX($V$2:$AE$1001,MATCH(ROWS($O$2:O879),$O$2:$O$1001,0),MATCH(COLUMNS($V$1006:V1006),$V$1006:$AE$1006,0)), HYPERLINK("#",""), HYPERLINK(CONCATENATE("#Metadata!", ADDRESS(INDEX($Q$2:$Q$1001,MATCH(ROWS($O$2:O879),$O$2:$O$1001,0),0), INDEX($V$1004:$AE$1004,1,MATCH(COLUMNS($V$1006:V1006),$V$1006:$AE$1006,0)))),"Fix")))</f>
        <v>0</v>
      </c>
      <c r="C879" s="3">
        <f>IF(OR(INDEX($P$2:$P$1001,MATCH(ROWS($O$2:O879),$O$2:$O$1001,0),1)&gt;=100000,INDEX($V$1005:$AE$1005,1,MATCH(COLUMNS($V$1006:W1006),$V$1006:$AE$1006,0))&gt;=100000), " ",IF(INDEX($V$2:$AE$1001,MATCH(ROWS($O$2:O879),$O$2:$O$1001,0),MATCH(COLUMNS($V$1006:W1006),$V$1006:$AE$1006,0)), HYPERLINK("#",""), HYPERLINK(CONCATENATE("#Metadata!", ADDRESS(INDEX($Q$2:$Q$1001,MATCH(ROWS($O$2:O879),$O$2:$O$1001,0),0), INDEX($V$1004:$AE$1004,1,MATCH(COLUMNS($V$1006:W1006),$V$1006:$AE$1006,0)))),"Fix")))</f>
        <v>0</v>
      </c>
      <c r="D879" s="3">
        <f>IF(OR(INDEX($P$2:$P$1001,MATCH(ROWS($O$2:O879),$O$2:$O$1001,0),1)&gt;=100000,INDEX($V$1005:$AE$1005,1,MATCH(COLUMNS($V$1006:X1006),$V$1006:$AE$1006,0))&gt;=100000), " ",IF(INDEX($V$2:$AE$1001,MATCH(ROWS($O$2:O879),$O$2:$O$1001,0),MATCH(COLUMNS($V$1006:X1006),$V$1006:$AE$1006,0)), HYPERLINK("#",""), HYPERLINK(CONCATENATE("#Metadata!", ADDRESS(INDEX($Q$2:$Q$1001,MATCH(ROWS($O$2:O879),$O$2:$O$1001,0),0), INDEX($V$1004:$AE$1004,1,MATCH(COLUMNS($V$1006:X1006),$V$1006:$AE$1006,0)))),"Fix")))</f>
        <v>0</v>
      </c>
      <c r="E879" s="3">
        <f>IF(OR(INDEX($P$2:$P$1001,MATCH(ROWS($O$2:O879),$O$2:$O$1001,0),1)&gt;=100000,INDEX($V$1005:$AE$1005,1,MATCH(COLUMNS($V$1006:Y1006),$V$1006:$AE$1006,0))&gt;=100000), " ",IF(INDEX($V$2:$AE$1001,MATCH(ROWS($O$2:O879),$O$2:$O$1001,0),MATCH(COLUMNS($V$1006:Y1006),$V$1006:$AE$1006,0)), HYPERLINK("#",""), HYPERLINK(CONCATENATE("#Metadata!", ADDRESS(INDEX($Q$2:$Q$1001,MATCH(ROWS($O$2:O879),$O$2:$O$1001,0),0), INDEX($V$1004:$AE$1004,1,MATCH(COLUMNS($V$1006:Y1006),$V$1006:$AE$1006,0)))),"Fix")))</f>
        <v>0</v>
      </c>
      <c r="F879" s="3">
        <f>IF(OR(INDEX($P$2:$P$1001,MATCH(ROWS($O$2:O879),$O$2:$O$1001,0),1)&gt;=100000,INDEX($V$1005:$AE$1005,1,MATCH(COLUMNS($V$1006:Z1006),$V$1006:$AE$1006,0))&gt;=100000), " ",IF(INDEX($V$2:$AE$1001,MATCH(ROWS($O$2:O879),$O$2:$O$1001,0),MATCH(COLUMNS($V$1006:Z1006),$V$1006:$AE$1006,0)), HYPERLINK("#",""), HYPERLINK(CONCATENATE("#Metadata!", ADDRESS(INDEX($Q$2:$Q$1001,MATCH(ROWS($O$2:O879),$O$2:$O$1001,0),0), INDEX($V$1004:$AE$1004,1,MATCH(COLUMNS($V$1006:Z1006),$V$1006:$AE$1006,0)))),"Fix")))</f>
        <v>0</v>
      </c>
      <c r="G879" s="3">
        <f>IF(OR(INDEX($P$2:$P$1001,MATCH(ROWS($O$2:O879),$O$2:$O$1001,0),1)&gt;=100000,INDEX($V$1005:$AE$1005,1,MATCH(COLUMNS($V$1006:AA1006),$V$1006:$AE$1006,0))&gt;=100000), " ",IF(INDEX($V$2:$AE$1001,MATCH(ROWS($O$2:O879),$O$2:$O$1001,0),MATCH(COLUMNS($V$1006:AA1006),$V$1006:$AE$1006,0)), HYPERLINK("#",""), HYPERLINK(CONCATENATE("#Metadata!", ADDRESS(INDEX($Q$2:$Q$1001,MATCH(ROWS($O$2:O879),$O$2:$O$1001,0),0), INDEX($V$1004:$AE$1004,1,MATCH(COLUMNS($V$1006:AA1006),$V$1006:$AE$1006,0)))),"Fix")))</f>
        <v>0</v>
      </c>
      <c r="H879" s="3">
        <f>IF(OR(INDEX($P$2:$P$1001,MATCH(ROWS($O$2:O879),$O$2:$O$1001,0),1)&gt;=100000,INDEX($V$1005:$AE$1005,1,MATCH(COLUMNS($V$1006:AB1006),$V$1006:$AE$1006,0))&gt;=100000), " ",IF(INDEX($V$2:$AE$1001,MATCH(ROWS($O$2:O879),$O$2:$O$1001,0),MATCH(COLUMNS($V$1006:AB1006),$V$1006:$AE$1006,0)), HYPERLINK("#",""), HYPERLINK(CONCATENATE("#Metadata!", ADDRESS(INDEX($Q$2:$Q$1001,MATCH(ROWS($O$2:O879),$O$2:$O$1001,0),0), INDEX($V$1004:$AE$1004,1,MATCH(COLUMNS($V$1006:AB1006),$V$1006:$AE$1006,0)))),"Fix")))</f>
        <v>0</v>
      </c>
      <c r="I879" s="3">
        <f>IF(OR(INDEX($P$2:$P$1001,MATCH(ROWS($O$2:O879),$O$2:$O$1001,0),1)&gt;=100000,INDEX($V$1005:$AE$1005,1,MATCH(COLUMNS($V$1006:AC1006),$V$1006:$AE$1006,0))&gt;=100000), " ",IF(INDEX($V$2:$AE$1001,MATCH(ROWS($O$2:O879),$O$2:$O$1001,0),MATCH(COLUMNS($V$1006:AC1006),$V$1006:$AE$1006,0)), HYPERLINK("#",""), HYPERLINK(CONCATENATE("#Metadata!", ADDRESS(INDEX($Q$2:$Q$1001,MATCH(ROWS($O$2:O879),$O$2:$O$1001,0),0), INDEX($V$1004:$AE$1004,1,MATCH(COLUMNS($V$1006:AC1006),$V$1006:$AE$1006,0)))),"Fix")))</f>
        <v>0</v>
      </c>
      <c r="J879" s="3">
        <f>IF(OR(INDEX($P$2:$P$1001,MATCH(ROWS($O$2:O879),$O$2:$O$1001,0),1)&gt;=100000,INDEX($V$1005:$AE$1005,1,MATCH(COLUMNS($V$1006:AD1006),$V$1006:$AE$1006,0))&gt;=100000), " ",IF(INDEX($V$2:$AE$1001,MATCH(ROWS($O$2:O879),$O$2:$O$1001,0),MATCH(COLUMNS($V$1006:AD1006),$V$1006:$AE$1006,0)), HYPERLINK("#",""), HYPERLINK(CONCATENATE("#Metadata!", ADDRESS(INDEX($Q$2:$Q$1001,MATCH(ROWS($O$2:O879),$O$2:$O$1001,0),0), INDEX($V$1004:$AE$1004,1,MATCH(COLUMNS($V$1006:AD1006),$V$1006:$AE$1006,0)))),"Fix")))</f>
        <v>0</v>
      </c>
      <c r="K879" s="3">
        <f>IF(OR(INDEX($P$2:$P$1001,MATCH(ROWS($O$2:O879),$O$2:$O$1001,0),1)&gt;=100000,INDEX($V$1005:$AE$1005,1,MATCH(COLUMNS($V$1006:AE1006),$V$1006:$AE$1006,0))&gt;=100000), " ",IF(INDEX($V$2:$AE$1001,MATCH(ROWS($O$2:O879),$O$2:$O$1001,0),MATCH(COLUMNS($V$1006:AE1006),$V$1006:$AE$1006,0)), HYPERLINK("#",""), HYPERLINK(CONCATENATE("#Metadata!", ADDRESS(INDEX($Q$2:$Q$1001,MATCH(ROWS($O$2:O879),$O$2:$O$1001,0),0), INDEX($V$1004:$AE$1004,1,MATCH(COLUMNS($V$1006:AE1006),$V$1006:$AE$1006,0)))),"Fix")))</f>
        <v>0</v>
      </c>
      <c r="O879">
        <v>0</v>
      </c>
      <c r="P879">
        <v>0</v>
      </c>
      <c r="Q879">
        <v>0</v>
      </c>
      <c r="R879">
        <f>IF(S879,TRUE,AND(V879:AE879))</f>
        <v>0</v>
      </c>
      <c r="S879">
        <f>COUNTBLANK(Metadata!B879:K879)=COLUMNS(Metadata!B879:K879)</f>
        <v>0</v>
      </c>
      <c r="T879">
        <v>0</v>
      </c>
      <c r="V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W879">
        <f>AND(IF(Metadata!C879="",FALSE,TRUE),exact(Metadata!C879,"animal secretion"))</f>
        <v>0</v>
      </c>
      <c r="X879">
        <f>AND(IF(Metadata!D879="",FALSE,TRUE),exact(Metadata!D879,"saliva"))</f>
        <v>0</v>
      </c>
      <c r="Y879">
        <f>AND(IF(Metadata!E879="",FALSE,TRUE),exact(Metadata!E879,"human-oral"))</f>
        <v>0</v>
      </c>
      <c r="Z879">
        <f>AND(IF(Metadata!F879="",FALSE,TRUE),exact(Metadata!F879,"UBERON:oral cavity"))</f>
        <v>0</v>
      </c>
      <c r="AA879">
        <f>AND(IF(Metadata!G879="",FALSE,TRUE),exact(Metadata!G879,"UBERON:saliva"))</f>
        <v>0</v>
      </c>
      <c r="AB879">
        <f>AND(IF(Metadata!H879="",FALSE,TRUE),exact(Metadata!H879,"UBERON:tongue"))</f>
        <v>0</v>
      </c>
      <c r="AC879">
        <f>AND(IF(Metadata!I879="",FALSE,TRUE),exact(Metadata!I879,"tongue"))</f>
        <v>0</v>
      </c>
      <c r="AD879">
        <f>AND(IF(Metadata!J879="",FALSE,TRUE),exact(Metadata!J879,"human oral metagenome"))</f>
        <v>0</v>
      </c>
      <c r="AE879">
        <f>AND(IF(Metadata!K879="",FALSE,TRUE),exact(Metadata!K879,"447426"))</f>
        <v>0</v>
      </c>
    </row>
    <row r="880" spans="1:31">
      <c r="A880" s="4">
        <f>IF(B880=" "," ",HYPERLINK(CONCATENATE("#metadata!",ADDRESS(INDEX($Q$2:$Q$1001,MATCH(ROWS($O$2:O880),$O$2:$O$1001,0),0),1)),INDEX($T$2:$T$1001,MATCH(ROWS($O$2:O880),$O$2:$O$1001,0),0)))</f>
        <v>0</v>
      </c>
      <c r="B880" s="3">
        <f>IF(OR(INDEX($P$2:$P$1001,MATCH(ROWS($O$2:O880),$O$2:$O$1001,0),1)&gt;=100000,INDEX($V$1005:$AE$1005,1,MATCH(COLUMNS($V$1006:V1006),$V$1006:$AE$1006,0))&gt;=100000), " ",IF(INDEX($V$2:$AE$1001,MATCH(ROWS($O$2:O880),$O$2:$O$1001,0),MATCH(COLUMNS($V$1006:V1006),$V$1006:$AE$1006,0)), HYPERLINK("#",""), HYPERLINK(CONCATENATE("#Metadata!", ADDRESS(INDEX($Q$2:$Q$1001,MATCH(ROWS($O$2:O880),$O$2:$O$1001,0),0), INDEX($V$1004:$AE$1004,1,MATCH(COLUMNS($V$1006:V1006),$V$1006:$AE$1006,0)))),"Fix")))</f>
        <v>0</v>
      </c>
      <c r="C880" s="3">
        <f>IF(OR(INDEX($P$2:$P$1001,MATCH(ROWS($O$2:O880),$O$2:$O$1001,0),1)&gt;=100000,INDEX($V$1005:$AE$1005,1,MATCH(COLUMNS($V$1006:W1006),$V$1006:$AE$1006,0))&gt;=100000), " ",IF(INDEX($V$2:$AE$1001,MATCH(ROWS($O$2:O880),$O$2:$O$1001,0),MATCH(COLUMNS($V$1006:W1006),$V$1006:$AE$1006,0)), HYPERLINK("#",""), HYPERLINK(CONCATENATE("#Metadata!", ADDRESS(INDEX($Q$2:$Q$1001,MATCH(ROWS($O$2:O880),$O$2:$O$1001,0),0), INDEX($V$1004:$AE$1004,1,MATCH(COLUMNS($V$1006:W1006),$V$1006:$AE$1006,0)))),"Fix")))</f>
        <v>0</v>
      </c>
      <c r="D880" s="3">
        <f>IF(OR(INDEX($P$2:$P$1001,MATCH(ROWS($O$2:O880),$O$2:$O$1001,0),1)&gt;=100000,INDEX($V$1005:$AE$1005,1,MATCH(COLUMNS($V$1006:X1006),$V$1006:$AE$1006,0))&gt;=100000), " ",IF(INDEX($V$2:$AE$1001,MATCH(ROWS($O$2:O880),$O$2:$O$1001,0),MATCH(COLUMNS($V$1006:X1006),$V$1006:$AE$1006,0)), HYPERLINK("#",""), HYPERLINK(CONCATENATE("#Metadata!", ADDRESS(INDEX($Q$2:$Q$1001,MATCH(ROWS($O$2:O880),$O$2:$O$1001,0),0), INDEX($V$1004:$AE$1004,1,MATCH(COLUMNS($V$1006:X1006),$V$1006:$AE$1006,0)))),"Fix")))</f>
        <v>0</v>
      </c>
      <c r="E880" s="3">
        <f>IF(OR(INDEX($P$2:$P$1001,MATCH(ROWS($O$2:O880),$O$2:$O$1001,0),1)&gt;=100000,INDEX($V$1005:$AE$1005,1,MATCH(COLUMNS($V$1006:Y1006),$V$1006:$AE$1006,0))&gt;=100000), " ",IF(INDEX($V$2:$AE$1001,MATCH(ROWS($O$2:O880),$O$2:$O$1001,0),MATCH(COLUMNS($V$1006:Y1006),$V$1006:$AE$1006,0)), HYPERLINK("#",""), HYPERLINK(CONCATENATE("#Metadata!", ADDRESS(INDEX($Q$2:$Q$1001,MATCH(ROWS($O$2:O880),$O$2:$O$1001,0),0), INDEX($V$1004:$AE$1004,1,MATCH(COLUMNS($V$1006:Y1006),$V$1006:$AE$1006,0)))),"Fix")))</f>
        <v>0</v>
      </c>
      <c r="F880" s="3">
        <f>IF(OR(INDEX($P$2:$P$1001,MATCH(ROWS($O$2:O880),$O$2:$O$1001,0),1)&gt;=100000,INDEX($V$1005:$AE$1005,1,MATCH(COLUMNS($V$1006:Z1006),$V$1006:$AE$1006,0))&gt;=100000), " ",IF(INDEX($V$2:$AE$1001,MATCH(ROWS($O$2:O880),$O$2:$O$1001,0),MATCH(COLUMNS($V$1006:Z1006),$V$1006:$AE$1006,0)), HYPERLINK("#",""), HYPERLINK(CONCATENATE("#Metadata!", ADDRESS(INDEX($Q$2:$Q$1001,MATCH(ROWS($O$2:O880),$O$2:$O$1001,0),0), INDEX($V$1004:$AE$1004,1,MATCH(COLUMNS($V$1006:Z1006),$V$1006:$AE$1006,0)))),"Fix")))</f>
        <v>0</v>
      </c>
      <c r="G880" s="3">
        <f>IF(OR(INDEX($P$2:$P$1001,MATCH(ROWS($O$2:O880),$O$2:$O$1001,0),1)&gt;=100000,INDEX($V$1005:$AE$1005,1,MATCH(COLUMNS($V$1006:AA1006),$V$1006:$AE$1006,0))&gt;=100000), " ",IF(INDEX($V$2:$AE$1001,MATCH(ROWS($O$2:O880),$O$2:$O$1001,0),MATCH(COLUMNS($V$1006:AA1006),$V$1006:$AE$1006,0)), HYPERLINK("#",""), HYPERLINK(CONCATENATE("#Metadata!", ADDRESS(INDEX($Q$2:$Q$1001,MATCH(ROWS($O$2:O880),$O$2:$O$1001,0),0), INDEX($V$1004:$AE$1004,1,MATCH(COLUMNS($V$1006:AA1006),$V$1006:$AE$1006,0)))),"Fix")))</f>
        <v>0</v>
      </c>
      <c r="H880" s="3">
        <f>IF(OR(INDEX($P$2:$P$1001,MATCH(ROWS($O$2:O880),$O$2:$O$1001,0),1)&gt;=100000,INDEX($V$1005:$AE$1005,1,MATCH(COLUMNS($V$1006:AB1006),$V$1006:$AE$1006,0))&gt;=100000), " ",IF(INDEX($V$2:$AE$1001,MATCH(ROWS($O$2:O880),$O$2:$O$1001,0),MATCH(COLUMNS($V$1006:AB1006),$V$1006:$AE$1006,0)), HYPERLINK("#",""), HYPERLINK(CONCATENATE("#Metadata!", ADDRESS(INDEX($Q$2:$Q$1001,MATCH(ROWS($O$2:O880),$O$2:$O$1001,0),0), INDEX($V$1004:$AE$1004,1,MATCH(COLUMNS($V$1006:AB1006),$V$1006:$AE$1006,0)))),"Fix")))</f>
        <v>0</v>
      </c>
      <c r="I880" s="3">
        <f>IF(OR(INDEX($P$2:$P$1001,MATCH(ROWS($O$2:O880),$O$2:$O$1001,0),1)&gt;=100000,INDEX($V$1005:$AE$1005,1,MATCH(COLUMNS($V$1006:AC1006),$V$1006:$AE$1006,0))&gt;=100000), " ",IF(INDEX($V$2:$AE$1001,MATCH(ROWS($O$2:O880),$O$2:$O$1001,0),MATCH(COLUMNS($V$1006:AC1006),$V$1006:$AE$1006,0)), HYPERLINK("#",""), HYPERLINK(CONCATENATE("#Metadata!", ADDRESS(INDEX($Q$2:$Q$1001,MATCH(ROWS($O$2:O880),$O$2:$O$1001,0),0), INDEX($V$1004:$AE$1004,1,MATCH(COLUMNS($V$1006:AC1006),$V$1006:$AE$1006,0)))),"Fix")))</f>
        <v>0</v>
      </c>
      <c r="J880" s="3">
        <f>IF(OR(INDEX($P$2:$P$1001,MATCH(ROWS($O$2:O880),$O$2:$O$1001,0),1)&gt;=100000,INDEX($V$1005:$AE$1005,1,MATCH(COLUMNS($V$1006:AD1006),$V$1006:$AE$1006,0))&gt;=100000), " ",IF(INDEX($V$2:$AE$1001,MATCH(ROWS($O$2:O880),$O$2:$O$1001,0),MATCH(COLUMNS($V$1006:AD1006),$V$1006:$AE$1006,0)), HYPERLINK("#",""), HYPERLINK(CONCATENATE("#Metadata!", ADDRESS(INDEX($Q$2:$Q$1001,MATCH(ROWS($O$2:O880),$O$2:$O$1001,0),0), INDEX($V$1004:$AE$1004,1,MATCH(COLUMNS($V$1006:AD1006),$V$1006:$AE$1006,0)))),"Fix")))</f>
        <v>0</v>
      </c>
      <c r="K880" s="3">
        <f>IF(OR(INDEX($P$2:$P$1001,MATCH(ROWS($O$2:O880),$O$2:$O$1001,0),1)&gt;=100000,INDEX($V$1005:$AE$1005,1,MATCH(COLUMNS($V$1006:AE1006),$V$1006:$AE$1006,0))&gt;=100000), " ",IF(INDEX($V$2:$AE$1001,MATCH(ROWS($O$2:O880),$O$2:$O$1001,0),MATCH(COLUMNS($V$1006:AE1006),$V$1006:$AE$1006,0)), HYPERLINK("#",""), HYPERLINK(CONCATENATE("#Metadata!", ADDRESS(INDEX($Q$2:$Q$1001,MATCH(ROWS($O$2:O880),$O$2:$O$1001,0),0), INDEX($V$1004:$AE$1004,1,MATCH(COLUMNS($V$1006:AE1006),$V$1006:$AE$1006,0)))),"Fix")))</f>
        <v>0</v>
      </c>
      <c r="O880">
        <v>0</v>
      </c>
      <c r="P880">
        <v>0</v>
      </c>
      <c r="Q880">
        <v>0</v>
      </c>
      <c r="R880">
        <f>IF(S880,TRUE,AND(V880:AE880))</f>
        <v>0</v>
      </c>
      <c r="S880">
        <f>COUNTBLANK(Metadata!B880:K880)=COLUMNS(Metadata!B880:K880)</f>
        <v>0</v>
      </c>
      <c r="T880">
        <v>0</v>
      </c>
      <c r="V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W880">
        <f>AND(IF(Metadata!C880="",FALSE,TRUE),exact(Metadata!C880,"animal secretion"))</f>
        <v>0</v>
      </c>
      <c r="X880">
        <f>AND(IF(Metadata!D880="",FALSE,TRUE),exact(Metadata!D880,"saliva"))</f>
        <v>0</v>
      </c>
      <c r="Y880">
        <f>AND(IF(Metadata!E880="",FALSE,TRUE),exact(Metadata!E880,"human-oral"))</f>
        <v>0</v>
      </c>
      <c r="Z880">
        <f>AND(IF(Metadata!F880="",FALSE,TRUE),exact(Metadata!F880,"UBERON:oral cavity"))</f>
        <v>0</v>
      </c>
      <c r="AA880">
        <f>AND(IF(Metadata!G880="",FALSE,TRUE),exact(Metadata!G880,"UBERON:saliva"))</f>
        <v>0</v>
      </c>
      <c r="AB880">
        <f>AND(IF(Metadata!H880="",FALSE,TRUE),exact(Metadata!H880,"UBERON:tongue"))</f>
        <v>0</v>
      </c>
      <c r="AC880">
        <f>AND(IF(Metadata!I880="",FALSE,TRUE),exact(Metadata!I880,"tongue"))</f>
        <v>0</v>
      </c>
      <c r="AD880">
        <f>AND(IF(Metadata!J880="",FALSE,TRUE),exact(Metadata!J880,"human oral metagenome"))</f>
        <v>0</v>
      </c>
      <c r="AE880">
        <f>AND(IF(Metadata!K880="",FALSE,TRUE),exact(Metadata!K880,"447426"))</f>
        <v>0</v>
      </c>
    </row>
    <row r="881" spans="1:31">
      <c r="A881" s="4">
        <f>IF(B881=" "," ",HYPERLINK(CONCATENATE("#metadata!",ADDRESS(INDEX($Q$2:$Q$1001,MATCH(ROWS($O$2:O881),$O$2:$O$1001,0),0),1)),INDEX($T$2:$T$1001,MATCH(ROWS($O$2:O881),$O$2:$O$1001,0),0)))</f>
        <v>0</v>
      </c>
      <c r="B881" s="3">
        <f>IF(OR(INDEX($P$2:$P$1001,MATCH(ROWS($O$2:O881),$O$2:$O$1001,0),1)&gt;=100000,INDEX($V$1005:$AE$1005,1,MATCH(COLUMNS($V$1006:V1006),$V$1006:$AE$1006,0))&gt;=100000), " ",IF(INDEX($V$2:$AE$1001,MATCH(ROWS($O$2:O881),$O$2:$O$1001,0),MATCH(COLUMNS($V$1006:V1006),$V$1006:$AE$1006,0)), HYPERLINK("#",""), HYPERLINK(CONCATENATE("#Metadata!", ADDRESS(INDEX($Q$2:$Q$1001,MATCH(ROWS($O$2:O881),$O$2:$O$1001,0),0), INDEX($V$1004:$AE$1004,1,MATCH(COLUMNS($V$1006:V1006),$V$1006:$AE$1006,0)))),"Fix")))</f>
        <v>0</v>
      </c>
      <c r="C881" s="3">
        <f>IF(OR(INDEX($P$2:$P$1001,MATCH(ROWS($O$2:O881),$O$2:$O$1001,0),1)&gt;=100000,INDEX($V$1005:$AE$1005,1,MATCH(COLUMNS($V$1006:W1006),$V$1006:$AE$1006,0))&gt;=100000), " ",IF(INDEX($V$2:$AE$1001,MATCH(ROWS($O$2:O881),$O$2:$O$1001,0),MATCH(COLUMNS($V$1006:W1006),$V$1006:$AE$1006,0)), HYPERLINK("#",""), HYPERLINK(CONCATENATE("#Metadata!", ADDRESS(INDEX($Q$2:$Q$1001,MATCH(ROWS($O$2:O881),$O$2:$O$1001,0),0), INDEX($V$1004:$AE$1004,1,MATCH(COLUMNS($V$1006:W1006),$V$1006:$AE$1006,0)))),"Fix")))</f>
        <v>0</v>
      </c>
      <c r="D881" s="3">
        <f>IF(OR(INDEX($P$2:$P$1001,MATCH(ROWS($O$2:O881),$O$2:$O$1001,0),1)&gt;=100000,INDEX($V$1005:$AE$1005,1,MATCH(COLUMNS($V$1006:X1006),$V$1006:$AE$1006,0))&gt;=100000), " ",IF(INDEX($V$2:$AE$1001,MATCH(ROWS($O$2:O881),$O$2:$O$1001,0),MATCH(COLUMNS($V$1006:X1006),$V$1006:$AE$1006,0)), HYPERLINK("#",""), HYPERLINK(CONCATENATE("#Metadata!", ADDRESS(INDEX($Q$2:$Q$1001,MATCH(ROWS($O$2:O881),$O$2:$O$1001,0),0), INDEX($V$1004:$AE$1004,1,MATCH(COLUMNS($V$1006:X1006),$V$1006:$AE$1006,0)))),"Fix")))</f>
        <v>0</v>
      </c>
      <c r="E881" s="3">
        <f>IF(OR(INDEX($P$2:$P$1001,MATCH(ROWS($O$2:O881),$O$2:$O$1001,0),1)&gt;=100000,INDEX($V$1005:$AE$1005,1,MATCH(COLUMNS($V$1006:Y1006),$V$1006:$AE$1006,0))&gt;=100000), " ",IF(INDEX($V$2:$AE$1001,MATCH(ROWS($O$2:O881),$O$2:$O$1001,0),MATCH(COLUMNS($V$1006:Y1006),$V$1006:$AE$1006,0)), HYPERLINK("#",""), HYPERLINK(CONCATENATE("#Metadata!", ADDRESS(INDEX($Q$2:$Q$1001,MATCH(ROWS($O$2:O881),$O$2:$O$1001,0),0), INDEX($V$1004:$AE$1004,1,MATCH(COLUMNS($V$1006:Y1006),$V$1006:$AE$1006,0)))),"Fix")))</f>
        <v>0</v>
      </c>
      <c r="F881" s="3">
        <f>IF(OR(INDEX($P$2:$P$1001,MATCH(ROWS($O$2:O881),$O$2:$O$1001,0),1)&gt;=100000,INDEX($V$1005:$AE$1005,1,MATCH(COLUMNS($V$1006:Z1006),$V$1006:$AE$1006,0))&gt;=100000), " ",IF(INDEX($V$2:$AE$1001,MATCH(ROWS($O$2:O881),$O$2:$O$1001,0),MATCH(COLUMNS($V$1006:Z1006),$V$1006:$AE$1006,0)), HYPERLINK("#",""), HYPERLINK(CONCATENATE("#Metadata!", ADDRESS(INDEX($Q$2:$Q$1001,MATCH(ROWS($O$2:O881),$O$2:$O$1001,0),0), INDEX($V$1004:$AE$1004,1,MATCH(COLUMNS($V$1006:Z1006),$V$1006:$AE$1006,0)))),"Fix")))</f>
        <v>0</v>
      </c>
      <c r="G881" s="3">
        <f>IF(OR(INDEX($P$2:$P$1001,MATCH(ROWS($O$2:O881),$O$2:$O$1001,0),1)&gt;=100000,INDEX($V$1005:$AE$1005,1,MATCH(COLUMNS($V$1006:AA1006),$V$1006:$AE$1006,0))&gt;=100000), " ",IF(INDEX($V$2:$AE$1001,MATCH(ROWS($O$2:O881),$O$2:$O$1001,0),MATCH(COLUMNS($V$1006:AA1006),$V$1006:$AE$1006,0)), HYPERLINK("#",""), HYPERLINK(CONCATENATE("#Metadata!", ADDRESS(INDEX($Q$2:$Q$1001,MATCH(ROWS($O$2:O881),$O$2:$O$1001,0),0), INDEX($V$1004:$AE$1004,1,MATCH(COLUMNS($V$1006:AA1006),$V$1006:$AE$1006,0)))),"Fix")))</f>
        <v>0</v>
      </c>
      <c r="H881" s="3">
        <f>IF(OR(INDEX($P$2:$P$1001,MATCH(ROWS($O$2:O881),$O$2:$O$1001,0),1)&gt;=100000,INDEX($V$1005:$AE$1005,1,MATCH(COLUMNS($V$1006:AB1006),$V$1006:$AE$1006,0))&gt;=100000), " ",IF(INDEX($V$2:$AE$1001,MATCH(ROWS($O$2:O881),$O$2:$O$1001,0),MATCH(COLUMNS($V$1006:AB1006),$V$1006:$AE$1006,0)), HYPERLINK("#",""), HYPERLINK(CONCATENATE("#Metadata!", ADDRESS(INDEX($Q$2:$Q$1001,MATCH(ROWS($O$2:O881),$O$2:$O$1001,0),0), INDEX($V$1004:$AE$1004,1,MATCH(COLUMNS($V$1006:AB1006),$V$1006:$AE$1006,0)))),"Fix")))</f>
        <v>0</v>
      </c>
      <c r="I881" s="3">
        <f>IF(OR(INDEX($P$2:$P$1001,MATCH(ROWS($O$2:O881),$O$2:$O$1001,0),1)&gt;=100000,INDEX($V$1005:$AE$1005,1,MATCH(COLUMNS($V$1006:AC1006),$V$1006:$AE$1006,0))&gt;=100000), " ",IF(INDEX($V$2:$AE$1001,MATCH(ROWS($O$2:O881),$O$2:$O$1001,0),MATCH(COLUMNS($V$1006:AC1006),$V$1006:$AE$1006,0)), HYPERLINK("#",""), HYPERLINK(CONCATENATE("#Metadata!", ADDRESS(INDEX($Q$2:$Q$1001,MATCH(ROWS($O$2:O881),$O$2:$O$1001,0),0), INDEX($V$1004:$AE$1004,1,MATCH(COLUMNS($V$1006:AC1006),$V$1006:$AE$1006,0)))),"Fix")))</f>
        <v>0</v>
      </c>
      <c r="J881" s="3">
        <f>IF(OR(INDEX($P$2:$P$1001,MATCH(ROWS($O$2:O881),$O$2:$O$1001,0),1)&gt;=100000,INDEX($V$1005:$AE$1005,1,MATCH(COLUMNS($V$1006:AD1006),$V$1006:$AE$1006,0))&gt;=100000), " ",IF(INDEX($V$2:$AE$1001,MATCH(ROWS($O$2:O881),$O$2:$O$1001,0),MATCH(COLUMNS($V$1006:AD1006),$V$1006:$AE$1006,0)), HYPERLINK("#",""), HYPERLINK(CONCATENATE("#Metadata!", ADDRESS(INDEX($Q$2:$Q$1001,MATCH(ROWS($O$2:O881),$O$2:$O$1001,0),0), INDEX($V$1004:$AE$1004,1,MATCH(COLUMNS($V$1006:AD1006),$V$1006:$AE$1006,0)))),"Fix")))</f>
        <v>0</v>
      </c>
      <c r="K881" s="3">
        <f>IF(OR(INDEX($P$2:$P$1001,MATCH(ROWS($O$2:O881),$O$2:$O$1001,0),1)&gt;=100000,INDEX($V$1005:$AE$1005,1,MATCH(COLUMNS($V$1006:AE1006),$V$1006:$AE$1006,0))&gt;=100000), " ",IF(INDEX($V$2:$AE$1001,MATCH(ROWS($O$2:O881),$O$2:$O$1001,0),MATCH(COLUMNS($V$1006:AE1006),$V$1006:$AE$1006,0)), HYPERLINK("#",""), HYPERLINK(CONCATENATE("#Metadata!", ADDRESS(INDEX($Q$2:$Q$1001,MATCH(ROWS($O$2:O881),$O$2:$O$1001,0),0), INDEX($V$1004:$AE$1004,1,MATCH(COLUMNS($V$1006:AE1006),$V$1006:$AE$1006,0)))),"Fix")))</f>
        <v>0</v>
      </c>
      <c r="O881">
        <v>0</v>
      </c>
      <c r="P881">
        <v>0</v>
      </c>
      <c r="Q881">
        <v>0</v>
      </c>
      <c r="R881">
        <f>IF(S881,TRUE,AND(V881:AE881))</f>
        <v>0</v>
      </c>
      <c r="S881">
        <f>COUNTBLANK(Metadata!B881:K881)=COLUMNS(Metadata!B881:K881)</f>
        <v>0</v>
      </c>
      <c r="T881">
        <v>0</v>
      </c>
      <c r="V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W881">
        <f>AND(IF(Metadata!C881="",FALSE,TRUE),exact(Metadata!C881,"animal secretion"))</f>
        <v>0</v>
      </c>
      <c r="X881">
        <f>AND(IF(Metadata!D881="",FALSE,TRUE),exact(Metadata!D881,"saliva"))</f>
        <v>0</v>
      </c>
      <c r="Y881">
        <f>AND(IF(Metadata!E881="",FALSE,TRUE),exact(Metadata!E881,"human-oral"))</f>
        <v>0</v>
      </c>
      <c r="Z881">
        <f>AND(IF(Metadata!F881="",FALSE,TRUE),exact(Metadata!F881,"UBERON:oral cavity"))</f>
        <v>0</v>
      </c>
      <c r="AA881">
        <f>AND(IF(Metadata!G881="",FALSE,TRUE),exact(Metadata!G881,"UBERON:saliva"))</f>
        <v>0</v>
      </c>
      <c r="AB881">
        <f>AND(IF(Metadata!H881="",FALSE,TRUE),exact(Metadata!H881,"UBERON:tongue"))</f>
        <v>0</v>
      </c>
      <c r="AC881">
        <f>AND(IF(Metadata!I881="",FALSE,TRUE),exact(Metadata!I881,"tongue"))</f>
        <v>0</v>
      </c>
      <c r="AD881">
        <f>AND(IF(Metadata!J881="",FALSE,TRUE),exact(Metadata!J881,"human oral metagenome"))</f>
        <v>0</v>
      </c>
      <c r="AE881">
        <f>AND(IF(Metadata!K881="",FALSE,TRUE),exact(Metadata!K881,"447426"))</f>
        <v>0</v>
      </c>
    </row>
    <row r="882" spans="1:31">
      <c r="A882" s="4">
        <f>IF(B882=" "," ",HYPERLINK(CONCATENATE("#metadata!",ADDRESS(INDEX($Q$2:$Q$1001,MATCH(ROWS($O$2:O882),$O$2:$O$1001,0),0),1)),INDEX($T$2:$T$1001,MATCH(ROWS($O$2:O882),$O$2:$O$1001,0),0)))</f>
        <v>0</v>
      </c>
      <c r="B882" s="3">
        <f>IF(OR(INDEX($P$2:$P$1001,MATCH(ROWS($O$2:O882),$O$2:$O$1001,0),1)&gt;=100000,INDEX($V$1005:$AE$1005,1,MATCH(COLUMNS($V$1006:V1006),$V$1006:$AE$1006,0))&gt;=100000), " ",IF(INDEX($V$2:$AE$1001,MATCH(ROWS($O$2:O882),$O$2:$O$1001,0),MATCH(COLUMNS($V$1006:V1006),$V$1006:$AE$1006,0)), HYPERLINK("#",""), HYPERLINK(CONCATENATE("#Metadata!", ADDRESS(INDEX($Q$2:$Q$1001,MATCH(ROWS($O$2:O882),$O$2:$O$1001,0),0), INDEX($V$1004:$AE$1004,1,MATCH(COLUMNS($V$1006:V1006),$V$1006:$AE$1006,0)))),"Fix")))</f>
        <v>0</v>
      </c>
      <c r="C882" s="3">
        <f>IF(OR(INDEX($P$2:$P$1001,MATCH(ROWS($O$2:O882),$O$2:$O$1001,0),1)&gt;=100000,INDEX($V$1005:$AE$1005,1,MATCH(COLUMNS($V$1006:W1006),$V$1006:$AE$1006,0))&gt;=100000), " ",IF(INDEX($V$2:$AE$1001,MATCH(ROWS($O$2:O882),$O$2:$O$1001,0),MATCH(COLUMNS($V$1006:W1006),$V$1006:$AE$1006,0)), HYPERLINK("#",""), HYPERLINK(CONCATENATE("#Metadata!", ADDRESS(INDEX($Q$2:$Q$1001,MATCH(ROWS($O$2:O882),$O$2:$O$1001,0),0), INDEX($V$1004:$AE$1004,1,MATCH(COLUMNS($V$1006:W1006),$V$1006:$AE$1006,0)))),"Fix")))</f>
        <v>0</v>
      </c>
      <c r="D882" s="3">
        <f>IF(OR(INDEX($P$2:$P$1001,MATCH(ROWS($O$2:O882),$O$2:$O$1001,0),1)&gt;=100000,INDEX($V$1005:$AE$1005,1,MATCH(COLUMNS($V$1006:X1006),$V$1006:$AE$1006,0))&gt;=100000), " ",IF(INDEX($V$2:$AE$1001,MATCH(ROWS($O$2:O882),$O$2:$O$1001,0),MATCH(COLUMNS($V$1006:X1006),$V$1006:$AE$1006,0)), HYPERLINK("#",""), HYPERLINK(CONCATENATE("#Metadata!", ADDRESS(INDEX($Q$2:$Q$1001,MATCH(ROWS($O$2:O882),$O$2:$O$1001,0),0), INDEX($V$1004:$AE$1004,1,MATCH(COLUMNS($V$1006:X1006),$V$1006:$AE$1006,0)))),"Fix")))</f>
        <v>0</v>
      </c>
      <c r="E882" s="3">
        <f>IF(OR(INDEX($P$2:$P$1001,MATCH(ROWS($O$2:O882),$O$2:$O$1001,0),1)&gt;=100000,INDEX($V$1005:$AE$1005,1,MATCH(COLUMNS($V$1006:Y1006),$V$1006:$AE$1006,0))&gt;=100000), " ",IF(INDEX($V$2:$AE$1001,MATCH(ROWS($O$2:O882),$O$2:$O$1001,0),MATCH(COLUMNS($V$1006:Y1006),$V$1006:$AE$1006,0)), HYPERLINK("#",""), HYPERLINK(CONCATENATE("#Metadata!", ADDRESS(INDEX($Q$2:$Q$1001,MATCH(ROWS($O$2:O882),$O$2:$O$1001,0),0), INDEX($V$1004:$AE$1004,1,MATCH(COLUMNS($V$1006:Y1006),$V$1006:$AE$1006,0)))),"Fix")))</f>
        <v>0</v>
      </c>
      <c r="F882" s="3">
        <f>IF(OR(INDEX($P$2:$P$1001,MATCH(ROWS($O$2:O882),$O$2:$O$1001,0),1)&gt;=100000,INDEX($V$1005:$AE$1005,1,MATCH(COLUMNS($V$1006:Z1006),$V$1006:$AE$1006,0))&gt;=100000), " ",IF(INDEX($V$2:$AE$1001,MATCH(ROWS($O$2:O882),$O$2:$O$1001,0),MATCH(COLUMNS($V$1006:Z1006),$V$1006:$AE$1006,0)), HYPERLINK("#",""), HYPERLINK(CONCATENATE("#Metadata!", ADDRESS(INDEX($Q$2:$Q$1001,MATCH(ROWS($O$2:O882),$O$2:$O$1001,0),0), INDEX($V$1004:$AE$1004,1,MATCH(COLUMNS($V$1006:Z1006),$V$1006:$AE$1006,0)))),"Fix")))</f>
        <v>0</v>
      </c>
      <c r="G882" s="3">
        <f>IF(OR(INDEX($P$2:$P$1001,MATCH(ROWS($O$2:O882),$O$2:$O$1001,0),1)&gt;=100000,INDEX($V$1005:$AE$1005,1,MATCH(COLUMNS($V$1006:AA1006),$V$1006:$AE$1006,0))&gt;=100000), " ",IF(INDEX($V$2:$AE$1001,MATCH(ROWS($O$2:O882),$O$2:$O$1001,0),MATCH(COLUMNS($V$1006:AA1006),$V$1006:$AE$1006,0)), HYPERLINK("#",""), HYPERLINK(CONCATENATE("#Metadata!", ADDRESS(INDEX($Q$2:$Q$1001,MATCH(ROWS($O$2:O882),$O$2:$O$1001,0),0), INDEX($V$1004:$AE$1004,1,MATCH(COLUMNS($V$1006:AA1006),$V$1006:$AE$1006,0)))),"Fix")))</f>
        <v>0</v>
      </c>
      <c r="H882" s="3">
        <f>IF(OR(INDEX($P$2:$P$1001,MATCH(ROWS($O$2:O882),$O$2:$O$1001,0),1)&gt;=100000,INDEX($V$1005:$AE$1005,1,MATCH(COLUMNS($V$1006:AB1006),$V$1006:$AE$1006,0))&gt;=100000), " ",IF(INDEX($V$2:$AE$1001,MATCH(ROWS($O$2:O882),$O$2:$O$1001,0),MATCH(COLUMNS($V$1006:AB1006),$V$1006:$AE$1006,0)), HYPERLINK("#",""), HYPERLINK(CONCATENATE("#Metadata!", ADDRESS(INDEX($Q$2:$Q$1001,MATCH(ROWS($O$2:O882),$O$2:$O$1001,0),0), INDEX($V$1004:$AE$1004,1,MATCH(COLUMNS($V$1006:AB1006),$V$1006:$AE$1006,0)))),"Fix")))</f>
        <v>0</v>
      </c>
      <c r="I882" s="3">
        <f>IF(OR(INDEX($P$2:$P$1001,MATCH(ROWS($O$2:O882),$O$2:$O$1001,0),1)&gt;=100000,INDEX($V$1005:$AE$1005,1,MATCH(COLUMNS($V$1006:AC1006),$V$1006:$AE$1006,0))&gt;=100000), " ",IF(INDEX($V$2:$AE$1001,MATCH(ROWS($O$2:O882),$O$2:$O$1001,0),MATCH(COLUMNS($V$1006:AC1006),$V$1006:$AE$1006,0)), HYPERLINK("#",""), HYPERLINK(CONCATENATE("#Metadata!", ADDRESS(INDEX($Q$2:$Q$1001,MATCH(ROWS($O$2:O882),$O$2:$O$1001,0),0), INDEX($V$1004:$AE$1004,1,MATCH(COLUMNS($V$1006:AC1006),$V$1006:$AE$1006,0)))),"Fix")))</f>
        <v>0</v>
      </c>
      <c r="J882" s="3">
        <f>IF(OR(INDEX($P$2:$P$1001,MATCH(ROWS($O$2:O882),$O$2:$O$1001,0),1)&gt;=100000,INDEX($V$1005:$AE$1005,1,MATCH(COLUMNS($V$1006:AD1006),$V$1006:$AE$1006,0))&gt;=100000), " ",IF(INDEX($V$2:$AE$1001,MATCH(ROWS($O$2:O882),$O$2:$O$1001,0),MATCH(COLUMNS($V$1006:AD1006),$V$1006:$AE$1006,0)), HYPERLINK("#",""), HYPERLINK(CONCATENATE("#Metadata!", ADDRESS(INDEX($Q$2:$Q$1001,MATCH(ROWS($O$2:O882),$O$2:$O$1001,0),0), INDEX($V$1004:$AE$1004,1,MATCH(COLUMNS($V$1006:AD1006),$V$1006:$AE$1006,0)))),"Fix")))</f>
        <v>0</v>
      </c>
      <c r="K882" s="3">
        <f>IF(OR(INDEX($P$2:$P$1001,MATCH(ROWS($O$2:O882),$O$2:$O$1001,0),1)&gt;=100000,INDEX($V$1005:$AE$1005,1,MATCH(COLUMNS($V$1006:AE1006),$V$1006:$AE$1006,0))&gt;=100000), " ",IF(INDEX($V$2:$AE$1001,MATCH(ROWS($O$2:O882),$O$2:$O$1001,0),MATCH(COLUMNS($V$1006:AE1006),$V$1006:$AE$1006,0)), HYPERLINK("#",""), HYPERLINK(CONCATENATE("#Metadata!", ADDRESS(INDEX($Q$2:$Q$1001,MATCH(ROWS($O$2:O882),$O$2:$O$1001,0),0), INDEX($V$1004:$AE$1004,1,MATCH(COLUMNS($V$1006:AE1006),$V$1006:$AE$1006,0)))),"Fix")))</f>
        <v>0</v>
      </c>
      <c r="O882">
        <v>0</v>
      </c>
      <c r="P882">
        <v>0</v>
      </c>
      <c r="Q882">
        <v>0</v>
      </c>
      <c r="R882">
        <f>IF(S882,TRUE,AND(V882:AE882))</f>
        <v>0</v>
      </c>
      <c r="S882">
        <f>COUNTBLANK(Metadata!B882:K882)=COLUMNS(Metadata!B882:K882)</f>
        <v>0</v>
      </c>
      <c r="T882">
        <v>0</v>
      </c>
      <c r="V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W882">
        <f>AND(IF(Metadata!C882="",FALSE,TRUE),exact(Metadata!C882,"animal secretion"))</f>
        <v>0</v>
      </c>
      <c r="X882">
        <f>AND(IF(Metadata!D882="",FALSE,TRUE),exact(Metadata!D882,"saliva"))</f>
        <v>0</v>
      </c>
      <c r="Y882">
        <f>AND(IF(Metadata!E882="",FALSE,TRUE),exact(Metadata!E882,"human-oral"))</f>
        <v>0</v>
      </c>
      <c r="Z882">
        <f>AND(IF(Metadata!F882="",FALSE,TRUE),exact(Metadata!F882,"UBERON:oral cavity"))</f>
        <v>0</v>
      </c>
      <c r="AA882">
        <f>AND(IF(Metadata!G882="",FALSE,TRUE),exact(Metadata!G882,"UBERON:saliva"))</f>
        <v>0</v>
      </c>
      <c r="AB882">
        <f>AND(IF(Metadata!H882="",FALSE,TRUE),exact(Metadata!H882,"UBERON:tongue"))</f>
        <v>0</v>
      </c>
      <c r="AC882">
        <f>AND(IF(Metadata!I882="",FALSE,TRUE),exact(Metadata!I882,"tongue"))</f>
        <v>0</v>
      </c>
      <c r="AD882">
        <f>AND(IF(Metadata!J882="",FALSE,TRUE),exact(Metadata!J882,"human oral metagenome"))</f>
        <v>0</v>
      </c>
      <c r="AE882">
        <f>AND(IF(Metadata!K882="",FALSE,TRUE),exact(Metadata!K882,"447426"))</f>
        <v>0</v>
      </c>
    </row>
    <row r="883" spans="1:31">
      <c r="A883" s="4">
        <f>IF(B883=" "," ",HYPERLINK(CONCATENATE("#metadata!",ADDRESS(INDEX($Q$2:$Q$1001,MATCH(ROWS($O$2:O883),$O$2:$O$1001,0),0),1)),INDEX($T$2:$T$1001,MATCH(ROWS($O$2:O883),$O$2:$O$1001,0),0)))</f>
        <v>0</v>
      </c>
      <c r="B883" s="3">
        <f>IF(OR(INDEX($P$2:$P$1001,MATCH(ROWS($O$2:O883),$O$2:$O$1001,0),1)&gt;=100000,INDEX($V$1005:$AE$1005,1,MATCH(COLUMNS($V$1006:V1006),$V$1006:$AE$1006,0))&gt;=100000), " ",IF(INDEX($V$2:$AE$1001,MATCH(ROWS($O$2:O883),$O$2:$O$1001,0),MATCH(COLUMNS($V$1006:V1006),$V$1006:$AE$1006,0)), HYPERLINK("#",""), HYPERLINK(CONCATENATE("#Metadata!", ADDRESS(INDEX($Q$2:$Q$1001,MATCH(ROWS($O$2:O883),$O$2:$O$1001,0),0), INDEX($V$1004:$AE$1004,1,MATCH(COLUMNS($V$1006:V1006),$V$1006:$AE$1006,0)))),"Fix")))</f>
        <v>0</v>
      </c>
      <c r="C883" s="3">
        <f>IF(OR(INDEX($P$2:$P$1001,MATCH(ROWS($O$2:O883),$O$2:$O$1001,0),1)&gt;=100000,INDEX($V$1005:$AE$1005,1,MATCH(COLUMNS($V$1006:W1006),$V$1006:$AE$1006,0))&gt;=100000), " ",IF(INDEX($V$2:$AE$1001,MATCH(ROWS($O$2:O883),$O$2:$O$1001,0),MATCH(COLUMNS($V$1006:W1006),$V$1006:$AE$1006,0)), HYPERLINK("#",""), HYPERLINK(CONCATENATE("#Metadata!", ADDRESS(INDEX($Q$2:$Q$1001,MATCH(ROWS($O$2:O883),$O$2:$O$1001,0),0), INDEX($V$1004:$AE$1004,1,MATCH(COLUMNS($V$1006:W1006),$V$1006:$AE$1006,0)))),"Fix")))</f>
        <v>0</v>
      </c>
      <c r="D883" s="3">
        <f>IF(OR(INDEX($P$2:$P$1001,MATCH(ROWS($O$2:O883),$O$2:$O$1001,0),1)&gt;=100000,INDEX($V$1005:$AE$1005,1,MATCH(COLUMNS($V$1006:X1006),$V$1006:$AE$1006,0))&gt;=100000), " ",IF(INDEX($V$2:$AE$1001,MATCH(ROWS($O$2:O883),$O$2:$O$1001,0),MATCH(COLUMNS($V$1006:X1006),$V$1006:$AE$1006,0)), HYPERLINK("#",""), HYPERLINK(CONCATENATE("#Metadata!", ADDRESS(INDEX($Q$2:$Q$1001,MATCH(ROWS($O$2:O883),$O$2:$O$1001,0),0), INDEX($V$1004:$AE$1004,1,MATCH(COLUMNS($V$1006:X1006),$V$1006:$AE$1006,0)))),"Fix")))</f>
        <v>0</v>
      </c>
      <c r="E883" s="3">
        <f>IF(OR(INDEX($P$2:$P$1001,MATCH(ROWS($O$2:O883),$O$2:$O$1001,0),1)&gt;=100000,INDEX($V$1005:$AE$1005,1,MATCH(COLUMNS($V$1006:Y1006),$V$1006:$AE$1006,0))&gt;=100000), " ",IF(INDEX($V$2:$AE$1001,MATCH(ROWS($O$2:O883),$O$2:$O$1001,0),MATCH(COLUMNS($V$1006:Y1006),$V$1006:$AE$1006,0)), HYPERLINK("#",""), HYPERLINK(CONCATENATE("#Metadata!", ADDRESS(INDEX($Q$2:$Q$1001,MATCH(ROWS($O$2:O883),$O$2:$O$1001,0),0), INDEX($V$1004:$AE$1004,1,MATCH(COLUMNS($V$1006:Y1006),$V$1006:$AE$1006,0)))),"Fix")))</f>
        <v>0</v>
      </c>
      <c r="F883" s="3">
        <f>IF(OR(INDEX($P$2:$P$1001,MATCH(ROWS($O$2:O883),$O$2:$O$1001,0),1)&gt;=100000,INDEX($V$1005:$AE$1005,1,MATCH(COLUMNS($V$1006:Z1006),$V$1006:$AE$1006,0))&gt;=100000), " ",IF(INDEX($V$2:$AE$1001,MATCH(ROWS($O$2:O883),$O$2:$O$1001,0),MATCH(COLUMNS($V$1006:Z1006),$V$1006:$AE$1006,0)), HYPERLINK("#",""), HYPERLINK(CONCATENATE("#Metadata!", ADDRESS(INDEX($Q$2:$Q$1001,MATCH(ROWS($O$2:O883),$O$2:$O$1001,0),0), INDEX($V$1004:$AE$1004,1,MATCH(COLUMNS($V$1006:Z1006),$V$1006:$AE$1006,0)))),"Fix")))</f>
        <v>0</v>
      </c>
      <c r="G883" s="3">
        <f>IF(OR(INDEX($P$2:$P$1001,MATCH(ROWS($O$2:O883),$O$2:$O$1001,0),1)&gt;=100000,INDEX($V$1005:$AE$1005,1,MATCH(COLUMNS($V$1006:AA1006),$V$1006:$AE$1006,0))&gt;=100000), " ",IF(INDEX($V$2:$AE$1001,MATCH(ROWS($O$2:O883),$O$2:$O$1001,0),MATCH(COLUMNS($V$1006:AA1006),$V$1006:$AE$1006,0)), HYPERLINK("#",""), HYPERLINK(CONCATENATE("#Metadata!", ADDRESS(INDEX($Q$2:$Q$1001,MATCH(ROWS($O$2:O883),$O$2:$O$1001,0),0), INDEX($V$1004:$AE$1004,1,MATCH(COLUMNS($V$1006:AA1006),$V$1006:$AE$1006,0)))),"Fix")))</f>
        <v>0</v>
      </c>
      <c r="H883" s="3">
        <f>IF(OR(INDEX($P$2:$P$1001,MATCH(ROWS($O$2:O883),$O$2:$O$1001,0),1)&gt;=100000,INDEX($V$1005:$AE$1005,1,MATCH(COLUMNS($V$1006:AB1006),$V$1006:$AE$1006,0))&gt;=100000), " ",IF(INDEX($V$2:$AE$1001,MATCH(ROWS($O$2:O883),$O$2:$O$1001,0),MATCH(COLUMNS($V$1006:AB1006),$V$1006:$AE$1006,0)), HYPERLINK("#",""), HYPERLINK(CONCATENATE("#Metadata!", ADDRESS(INDEX($Q$2:$Q$1001,MATCH(ROWS($O$2:O883),$O$2:$O$1001,0),0), INDEX($V$1004:$AE$1004,1,MATCH(COLUMNS($V$1006:AB1006),$V$1006:$AE$1006,0)))),"Fix")))</f>
        <v>0</v>
      </c>
      <c r="I883" s="3">
        <f>IF(OR(INDEX($P$2:$P$1001,MATCH(ROWS($O$2:O883),$O$2:$O$1001,0),1)&gt;=100000,INDEX($V$1005:$AE$1005,1,MATCH(COLUMNS($V$1006:AC1006),$V$1006:$AE$1006,0))&gt;=100000), " ",IF(INDEX($V$2:$AE$1001,MATCH(ROWS($O$2:O883),$O$2:$O$1001,0),MATCH(COLUMNS($V$1006:AC1006),$V$1006:$AE$1006,0)), HYPERLINK("#",""), HYPERLINK(CONCATENATE("#Metadata!", ADDRESS(INDEX($Q$2:$Q$1001,MATCH(ROWS($O$2:O883),$O$2:$O$1001,0),0), INDEX($V$1004:$AE$1004,1,MATCH(COLUMNS($V$1006:AC1006),$V$1006:$AE$1006,0)))),"Fix")))</f>
        <v>0</v>
      </c>
      <c r="J883" s="3">
        <f>IF(OR(INDEX($P$2:$P$1001,MATCH(ROWS($O$2:O883),$O$2:$O$1001,0),1)&gt;=100000,INDEX($V$1005:$AE$1005,1,MATCH(COLUMNS($V$1006:AD1006),$V$1006:$AE$1006,0))&gt;=100000), " ",IF(INDEX($V$2:$AE$1001,MATCH(ROWS($O$2:O883),$O$2:$O$1001,0),MATCH(COLUMNS($V$1006:AD1006),$V$1006:$AE$1006,0)), HYPERLINK("#",""), HYPERLINK(CONCATENATE("#Metadata!", ADDRESS(INDEX($Q$2:$Q$1001,MATCH(ROWS($O$2:O883),$O$2:$O$1001,0),0), INDEX($V$1004:$AE$1004,1,MATCH(COLUMNS($V$1006:AD1006),$V$1006:$AE$1006,0)))),"Fix")))</f>
        <v>0</v>
      </c>
      <c r="K883" s="3">
        <f>IF(OR(INDEX($P$2:$P$1001,MATCH(ROWS($O$2:O883),$O$2:$O$1001,0),1)&gt;=100000,INDEX($V$1005:$AE$1005,1,MATCH(COLUMNS($V$1006:AE1006),$V$1006:$AE$1006,0))&gt;=100000), " ",IF(INDEX($V$2:$AE$1001,MATCH(ROWS($O$2:O883),$O$2:$O$1001,0),MATCH(COLUMNS($V$1006:AE1006),$V$1006:$AE$1006,0)), HYPERLINK("#",""), HYPERLINK(CONCATENATE("#Metadata!", ADDRESS(INDEX($Q$2:$Q$1001,MATCH(ROWS($O$2:O883),$O$2:$O$1001,0),0), INDEX($V$1004:$AE$1004,1,MATCH(COLUMNS($V$1006:AE1006),$V$1006:$AE$1006,0)))),"Fix")))</f>
        <v>0</v>
      </c>
      <c r="O883">
        <v>0</v>
      </c>
      <c r="P883">
        <v>0</v>
      </c>
      <c r="Q883">
        <v>0</v>
      </c>
      <c r="R883">
        <f>IF(S883,TRUE,AND(V883:AE883))</f>
        <v>0</v>
      </c>
      <c r="S883">
        <f>COUNTBLANK(Metadata!B883:K883)=COLUMNS(Metadata!B883:K883)</f>
        <v>0</v>
      </c>
      <c r="T883">
        <v>0</v>
      </c>
      <c r="V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W883">
        <f>AND(IF(Metadata!C883="",FALSE,TRUE),exact(Metadata!C883,"animal secretion"))</f>
        <v>0</v>
      </c>
      <c r="X883">
        <f>AND(IF(Metadata!D883="",FALSE,TRUE),exact(Metadata!D883,"saliva"))</f>
        <v>0</v>
      </c>
      <c r="Y883">
        <f>AND(IF(Metadata!E883="",FALSE,TRUE),exact(Metadata!E883,"human-oral"))</f>
        <v>0</v>
      </c>
      <c r="Z883">
        <f>AND(IF(Metadata!F883="",FALSE,TRUE),exact(Metadata!F883,"UBERON:oral cavity"))</f>
        <v>0</v>
      </c>
      <c r="AA883">
        <f>AND(IF(Metadata!G883="",FALSE,TRUE),exact(Metadata!G883,"UBERON:saliva"))</f>
        <v>0</v>
      </c>
      <c r="AB883">
        <f>AND(IF(Metadata!H883="",FALSE,TRUE),exact(Metadata!H883,"UBERON:tongue"))</f>
        <v>0</v>
      </c>
      <c r="AC883">
        <f>AND(IF(Metadata!I883="",FALSE,TRUE),exact(Metadata!I883,"tongue"))</f>
        <v>0</v>
      </c>
      <c r="AD883">
        <f>AND(IF(Metadata!J883="",FALSE,TRUE),exact(Metadata!J883,"human oral metagenome"))</f>
        <v>0</v>
      </c>
      <c r="AE883">
        <f>AND(IF(Metadata!K883="",FALSE,TRUE),exact(Metadata!K883,"447426"))</f>
        <v>0</v>
      </c>
    </row>
    <row r="884" spans="1:31">
      <c r="A884" s="4">
        <f>IF(B884=" "," ",HYPERLINK(CONCATENATE("#metadata!",ADDRESS(INDEX($Q$2:$Q$1001,MATCH(ROWS($O$2:O884),$O$2:$O$1001,0),0),1)),INDEX($T$2:$T$1001,MATCH(ROWS($O$2:O884),$O$2:$O$1001,0),0)))</f>
        <v>0</v>
      </c>
      <c r="B884" s="3">
        <f>IF(OR(INDEX($P$2:$P$1001,MATCH(ROWS($O$2:O884),$O$2:$O$1001,0),1)&gt;=100000,INDEX($V$1005:$AE$1005,1,MATCH(COLUMNS($V$1006:V1006),$V$1006:$AE$1006,0))&gt;=100000), " ",IF(INDEX($V$2:$AE$1001,MATCH(ROWS($O$2:O884),$O$2:$O$1001,0),MATCH(COLUMNS($V$1006:V1006),$V$1006:$AE$1006,0)), HYPERLINK("#",""), HYPERLINK(CONCATENATE("#Metadata!", ADDRESS(INDEX($Q$2:$Q$1001,MATCH(ROWS($O$2:O884),$O$2:$O$1001,0),0), INDEX($V$1004:$AE$1004,1,MATCH(COLUMNS($V$1006:V1006),$V$1006:$AE$1006,0)))),"Fix")))</f>
        <v>0</v>
      </c>
      <c r="C884" s="3">
        <f>IF(OR(INDEX($P$2:$P$1001,MATCH(ROWS($O$2:O884),$O$2:$O$1001,0),1)&gt;=100000,INDEX($V$1005:$AE$1005,1,MATCH(COLUMNS($V$1006:W1006),$V$1006:$AE$1006,0))&gt;=100000), " ",IF(INDEX($V$2:$AE$1001,MATCH(ROWS($O$2:O884),$O$2:$O$1001,0),MATCH(COLUMNS($V$1006:W1006),$V$1006:$AE$1006,0)), HYPERLINK("#",""), HYPERLINK(CONCATENATE("#Metadata!", ADDRESS(INDEX($Q$2:$Q$1001,MATCH(ROWS($O$2:O884),$O$2:$O$1001,0),0), INDEX($V$1004:$AE$1004,1,MATCH(COLUMNS($V$1006:W1006),$V$1006:$AE$1006,0)))),"Fix")))</f>
        <v>0</v>
      </c>
      <c r="D884" s="3">
        <f>IF(OR(INDEX($P$2:$P$1001,MATCH(ROWS($O$2:O884),$O$2:$O$1001,0),1)&gt;=100000,INDEX($V$1005:$AE$1005,1,MATCH(COLUMNS($V$1006:X1006),$V$1006:$AE$1006,0))&gt;=100000), " ",IF(INDEX($V$2:$AE$1001,MATCH(ROWS($O$2:O884),$O$2:$O$1001,0),MATCH(COLUMNS($V$1006:X1006),$V$1006:$AE$1006,0)), HYPERLINK("#",""), HYPERLINK(CONCATENATE("#Metadata!", ADDRESS(INDEX($Q$2:$Q$1001,MATCH(ROWS($O$2:O884),$O$2:$O$1001,0),0), INDEX($V$1004:$AE$1004,1,MATCH(COLUMNS($V$1006:X1006),$V$1006:$AE$1006,0)))),"Fix")))</f>
        <v>0</v>
      </c>
      <c r="E884" s="3">
        <f>IF(OR(INDEX($P$2:$P$1001,MATCH(ROWS($O$2:O884),$O$2:$O$1001,0),1)&gt;=100000,INDEX($V$1005:$AE$1005,1,MATCH(COLUMNS($V$1006:Y1006),$V$1006:$AE$1006,0))&gt;=100000), " ",IF(INDEX($V$2:$AE$1001,MATCH(ROWS($O$2:O884),$O$2:$O$1001,0),MATCH(COLUMNS($V$1006:Y1006),$V$1006:$AE$1006,0)), HYPERLINK("#",""), HYPERLINK(CONCATENATE("#Metadata!", ADDRESS(INDEX($Q$2:$Q$1001,MATCH(ROWS($O$2:O884),$O$2:$O$1001,0),0), INDEX($V$1004:$AE$1004,1,MATCH(COLUMNS($V$1006:Y1006),$V$1006:$AE$1006,0)))),"Fix")))</f>
        <v>0</v>
      </c>
      <c r="F884" s="3">
        <f>IF(OR(INDEX($P$2:$P$1001,MATCH(ROWS($O$2:O884),$O$2:$O$1001,0),1)&gt;=100000,INDEX($V$1005:$AE$1005,1,MATCH(COLUMNS($V$1006:Z1006),$V$1006:$AE$1006,0))&gt;=100000), " ",IF(INDEX($V$2:$AE$1001,MATCH(ROWS($O$2:O884),$O$2:$O$1001,0),MATCH(COLUMNS($V$1006:Z1006),$V$1006:$AE$1006,0)), HYPERLINK("#",""), HYPERLINK(CONCATENATE("#Metadata!", ADDRESS(INDEX($Q$2:$Q$1001,MATCH(ROWS($O$2:O884),$O$2:$O$1001,0),0), INDEX($V$1004:$AE$1004,1,MATCH(COLUMNS($V$1006:Z1006),$V$1006:$AE$1006,0)))),"Fix")))</f>
        <v>0</v>
      </c>
      <c r="G884" s="3">
        <f>IF(OR(INDEX($P$2:$P$1001,MATCH(ROWS($O$2:O884),$O$2:$O$1001,0),1)&gt;=100000,INDEX($V$1005:$AE$1005,1,MATCH(COLUMNS($V$1006:AA1006),$V$1006:$AE$1006,0))&gt;=100000), " ",IF(INDEX($V$2:$AE$1001,MATCH(ROWS($O$2:O884),$O$2:$O$1001,0),MATCH(COLUMNS($V$1006:AA1006),$V$1006:$AE$1006,0)), HYPERLINK("#",""), HYPERLINK(CONCATENATE("#Metadata!", ADDRESS(INDEX($Q$2:$Q$1001,MATCH(ROWS($O$2:O884),$O$2:$O$1001,0),0), INDEX($V$1004:$AE$1004,1,MATCH(COLUMNS($V$1006:AA1006),$V$1006:$AE$1006,0)))),"Fix")))</f>
        <v>0</v>
      </c>
      <c r="H884" s="3">
        <f>IF(OR(INDEX($P$2:$P$1001,MATCH(ROWS($O$2:O884),$O$2:$O$1001,0),1)&gt;=100000,INDEX($V$1005:$AE$1005,1,MATCH(COLUMNS($V$1006:AB1006),$V$1006:$AE$1006,0))&gt;=100000), " ",IF(INDEX($V$2:$AE$1001,MATCH(ROWS($O$2:O884),$O$2:$O$1001,0),MATCH(COLUMNS($V$1006:AB1006),$V$1006:$AE$1006,0)), HYPERLINK("#",""), HYPERLINK(CONCATENATE("#Metadata!", ADDRESS(INDEX($Q$2:$Q$1001,MATCH(ROWS($O$2:O884),$O$2:$O$1001,0),0), INDEX($V$1004:$AE$1004,1,MATCH(COLUMNS($V$1006:AB1006),$V$1006:$AE$1006,0)))),"Fix")))</f>
        <v>0</v>
      </c>
      <c r="I884" s="3">
        <f>IF(OR(INDEX($P$2:$P$1001,MATCH(ROWS($O$2:O884),$O$2:$O$1001,0),1)&gt;=100000,INDEX($V$1005:$AE$1005,1,MATCH(COLUMNS($V$1006:AC1006),$V$1006:$AE$1006,0))&gt;=100000), " ",IF(INDEX($V$2:$AE$1001,MATCH(ROWS($O$2:O884),$O$2:$O$1001,0),MATCH(COLUMNS($V$1006:AC1006),$V$1006:$AE$1006,0)), HYPERLINK("#",""), HYPERLINK(CONCATENATE("#Metadata!", ADDRESS(INDEX($Q$2:$Q$1001,MATCH(ROWS($O$2:O884),$O$2:$O$1001,0),0), INDEX($V$1004:$AE$1004,1,MATCH(COLUMNS($V$1006:AC1006),$V$1006:$AE$1006,0)))),"Fix")))</f>
        <v>0</v>
      </c>
      <c r="J884" s="3">
        <f>IF(OR(INDEX($P$2:$P$1001,MATCH(ROWS($O$2:O884),$O$2:$O$1001,0),1)&gt;=100000,INDEX($V$1005:$AE$1005,1,MATCH(COLUMNS($V$1006:AD1006),$V$1006:$AE$1006,0))&gt;=100000), " ",IF(INDEX($V$2:$AE$1001,MATCH(ROWS($O$2:O884),$O$2:$O$1001,0),MATCH(COLUMNS($V$1006:AD1006),$V$1006:$AE$1006,0)), HYPERLINK("#",""), HYPERLINK(CONCATENATE("#Metadata!", ADDRESS(INDEX($Q$2:$Q$1001,MATCH(ROWS($O$2:O884),$O$2:$O$1001,0),0), INDEX($V$1004:$AE$1004,1,MATCH(COLUMNS($V$1006:AD1006),$V$1006:$AE$1006,0)))),"Fix")))</f>
        <v>0</v>
      </c>
      <c r="K884" s="3">
        <f>IF(OR(INDEX($P$2:$P$1001,MATCH(ROWS($O$2:O884),$O$2:$O$1001,0),1)&gt;=100000,INDEX($V$1005:$AE$1005,1,MATCH(COLUMNS($V$1006:AE1006),$V$1006:$AE$1006,0))&gt;=100000), " ",IF(INDEX($V$2:$AE$1001,MATCH(ROWS($O$2:O884),$O$2:$O$1001,0),MATCH(COLUMNS($V$1006:AE1006),$V$1006:$AE$1006,0)), HYPERLINK("#",""), HYPERLINK(CONCATENATE("#Metadata!", ADDRESS(INDEX($Q$2:$Q$1001,MATCH(ROWS($O$2:O884),$O$2:$O$1001,0),0), INDEX($V$1004:$AE$1004,1,MATCH(COLUMNS($V$1006:AE1006),$V$1006:$AE$1006,0)))),"Fix")))</f>
        <v>0</v>
      </c>
      <c r="O884">
        <v>0</v>
      </c>
      <c r="P884">
        <v>0</v>
      </c>
      <c r="Q884">
        <v>0</v>
      </c>
      <c r="R884">
        <f>IF(S884,TRUE,AND(V884:AE884))</f>
        <v>0</v>
      </c>
      <c r="S884">
        <f>COUNTBLANK(Metadata!B884:K884)=COLUMNS(Metadata!B884:K884)</f>
        <v>0</v>
      </c>
      <c r="T884">
        <v>0</v>
      </c>
      <c r="V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W884">
        <f>AND(IF(Metadata!C884="",FALSE,TRUE),exact(Metadata!C884,"animal secretion"))</f>
        <v>0</v>
      </c>
      <c r="X884">
        <f>AND(IF(Metadata!D884="",FALSE,TRUE),exact(Metadata!D884,"saliva"))</f>
        <v>0</v>
      </c>
      <c r="Y884">
        <f>AND(IF(Metadata!E884="",FALSE,TRUE),exact(Metadata!E884,"human-oral"))</f>
        <v>0</v>
      </c>
      <c r="Z884">
        <f>AND(IF(Metadata!F884="",FALSE,TRUE),exact(Metadata!F884,"UBERON:oral cavity"))</f>
        <v>0</v>
      </c>
      <c r="AA884">
        <f>AND(IF(Metadata!G884="",FALSE,TRUE),exact(Metadata!G884,"UBERON:saliva"))</f>
        <v>0</v>
      </c>
      <c r="AB884">
        <f>AND(IF(Metadata!H884="",FALSE,TRUE),exact(Metadata!H884,"UBERON:tongue"))</f>
        <v>0</v>
      </c>
      <c r="AC884">
        <f>AND(IF(Metadata!I884="",FALSE,TRUE),exact(Metadata!I884,"tongue"))</f>
        <v>0</v>
      </c>
      <c r="AD884">
        <f>AND(IF(Metadata!J884="",FALSE,TRUE),exact(Metadata!J884,"human oral metagenome"))</f>
        <v>0</v>
      </c>
      <c r="AE884">
        <f>AND(IF(Metadata!K884="",FALSE,TRUE),exact(Metadata!K884,"447426"))</f>
        <v>0</v>
      </c>
    </row>
    <row r="885" spans="1:31">
      <c r="A885" s="4">
        <f>IF(B885=" "," ",HYPERLINK(CONCATENATE("#metadata!",ADDRESS(INDEX($Q$2:$Q$1001,MATCH(ROWS($O$2:O885),$O$2:$O$1001,0),0),1)),INDEX($T$2:$T$1001,MATCH(ROWS($O$2:O885),$O$2:$O$1001,0),0)))</f>
        <v>0</v>
      </c>
      <c r="B885" s="3">
        <f>IF(OR(INDEX($P$2:$P$1001,MATCH(ROWS($O$2:O885),$O$2:$O$1001,0),1)&gt;=100000,INDEX($V$1005:$AE$1005,1,MATCH(COLUMNS($V$1006:V1006),$V$1006:$AE$1006,0))&gt;=100000), " ",IF(INDEX($V$2:$AE$1001,MATCH(ROWS($O$2:O885),$O$2:$O$1001,0),MATCH(COLUMNS($V$1006:V1006),$V$1006:$AE$1006,0)), HYPERLINK("#",""), HYPERLINK(CONCATENATE("#Metadata!", ADDRESS(INDEX($Q$2:$Q$1001,MATCH(ROWS($O$2:O885),$O$2:$O$1001,0),0), INDEX($V$1004:$AE$1004,1,MATCH(COLUMNS($V$1006:V1006),$V$1006:$AE$1006,0)))),"Fix")))</f>
        <v>0</v>
      </c>
      <c r="C885" s="3">
        <f>IF(OR(INDEX($P$2:$P$1001,MATCH(ROWS($O$2:O885),$O$2:$O$1001,0),1)&gt;=100000,INDEX($V$1005:$AE$1005,1,MATCH(COLUMNS($V$1006:W1006),$V$1006:$AE$1006,0))&gt;=100000), " ",IF(INDEX($V$2:$AE$1001,MATCH(ROWS($O$2:O885),$O$2:$O$1001,0),MATCH(COLUMNS($V$1006:W1006),$V$1006:$AE$1006,0)), HYPERLINK("#",""), HYPERLINK(CONCATENATE("#Metadata!", ADDRESS(INDEX($Q$2:$Q$1001,MATCH(ROWS($O$2:O885),$O$2:$O$1001,0),0), INDEX($V$1004:$AE$1004,1,MATCH(COLUMNS($V$1006:W1006),$V$1006:$AE$1006,0)))),"Fix")))</f>
        <v>0</v>
      </c>
      <c r="D885" s="3">
        <f>IF(OR(INDEX($P$2:$P$1001,MATCH(ROWS($O$2:O885),$O$2:$O$1001,0),1)&gt;=100000,INDEX($V$1005:$AE$1005,1,MATCH(COLUMNS($V$1006:X1006),$V$1006:$AE$1006,0))&gt;=100000), " ",IF(INDEX($V$2:$AE$1001,MATCH(ROWS($O$2:O885),$O$2:$O$1001,0),MATCH(COLUMNS($V$1006:X1006),$V$1006:$AE$1006,0)), HYPERLINK("#",""), HYPERLINK(CONCATENATE("#Metadata!", ADDRESS(INDEX($Q$2:$Q$1001,MATCH(ROWS($O$2:O885),$O$2:$O$1001,0),0), INDEX($V$1004:$AE$1004,1,MATCH(COLUMNS($V$1006:X1006),$V$1006:$AE$1006,0)))),"Fix")))</f>
        <v>0</v>
      </c>
      <c r="E885" s="3">
        <f>IF(OR(INDEX($P$2:$P$1001,MATCH(ROWS($O$2:O885),$O$2:$O$1001,0),1)&gt;=100000,INDEX($V$1005:$AE$1005,1,MATCH(COLUMNS($V$1006:Y1006),$V$1006:$AE$1006,0))&gt;=100000), " ",IF(INDEX($V$2:$AE$1001,MATCH(ROWS($O$2:O885),$O$2:$O$1001,0),MATCH(COLUMNS($V$1006:Y1006),$V$1006:$AE$1006,0)), HYPERLINK("#",""), HYPERLINK(CONCATENATE("#Metadata!", ADDRESS(INDEX($Q$2:$Q$1001,MATCH(ROWS($O$2:O885),$O$2:$O$1001,0),0), INDEX($V$1004:$AE$1004,1,MATCH(COLUMNS($V$1006:Y1006),$V$1006:$AE$1006,0)))),"Fix")))</f>
        <v>0</v>
      </c>
      <c r="F885" s="3">
        <f>IF(OR(INDEX($P$2:$P$1001,MATCH(ROWS($O$2:O885),$O$2:$O$1001,0),1)&gt;=100000,INDEX($V$1005:$AE$1005,1,MATCH(COLUMNS($V$1006:Z1006),$V$1006:$AE$1006,0))&gt;=100000), " ",IF(INDEX($V$2:$AE$1001,MATCH(ROWS($O$2:O885),$O$2:$O$1001,0),MATCH(COLUMNS($V$1006:Z1006),$V$1006:$AE$1006,0)), HYPERLINK("#",""), HYPERLINK(CONCATENATE("#Metadata!", ADDRESS(INDEX($Q$2:$Q$1001,MATCH(ROWS($O$2:O885),$O$2:$O$1001,0),0), INDEX($V$1004:$AE$1004,1,MATCH(COLUMNS($V$1006:Z1006),$V$1006:$AE$1006,0)))),"Fix")))</f>
        <v>0</v>
      </c>
      <c r="G885" s="3">
        <f>IF(OR(INDEX($P$2:$P$1001,MATCH(ROWS($O$2:O885),$O$2:$O$1001,0),1)&gt;=100000,INDEX($V$1005:$AE$1005,1,MATCH(COLUMNS($V$1006:AA1006),$V$1006:$AE$1006,0))&gt;=100000), " ",IF(INDEX($V$2:$AE$1001,MATCH(ROWS($O$2:O885),$O$2:$O$1001,0),MATCH(COLUMNS($V$1006:AA1006),$V$1006:$AE$1006,0)), HYPERLINK("#",""), HYPERLINK(CONCATENATE("#Metadata!", ADDRESS(INDEX($Q$2:$Q$1001,MATCH(ROWS($O$2:O885),$O$2:$O$1001,0),0), INDEX($V$1004:$AE$1004,1,MATCH(COLUMNS($V$1006:AA1006),$V$1006:$AE$1006,0)))),"Fix")))</f>
        <v>0</v>
      </c>
      <c r="H885" s="3">
        <f>IF(OR(INDEX($P$2:$P$1001,MATCH(ROWS($O$2:O885),$O$2:$O$1001,0),1)&gt;=100000,INDEX($V$1005:$AE$1005,1,MATCH(COLUMNS($V$1006:AB1006),$V$1006:$AE$1006,0))&gt;=100000), " ",IF(INDEX($V$2:$AE$1001,MATCH(ROWS($O$2:O885),$O$2:$O$1001,0),MATCH(COLUMNS($V$1006:AB1006),$V$1006:$AE$1006,0)), HYPERLINK("#",""), HYPERLINK(CONCATENATE("#Metadata!", ADDRESS(INDEX($Q$2:$Q$1001,MATCH(ROWS($O$2:O885),$O$2:$O$1001,0),0), INDEX($V$1004:$AE$1004,1,MATCH(COLUMNS($V$1006:AB1006),$V$1006:$AE$1006,0)))),"Fix")))</f>
        <v>0</v>
      </c>
      <c r="I885" s="3">
        <f>IF(OR(INDEX($P$2:$P$1001,MATCH(ROWS($O$2:O885),$O$2:$O$1001,0),1)&gt;=100000,INDEX($V$1005:$AE$1005,1,MATCH(COLUMNS($V$1006:AC1006),$V$1006:$AE$1006,0))&gt;=100000), " ",IF(INDEX($V$2:$AE$1001,MATCH(ROWS($O$2:O885),$O$2:$O$1001,0),MATCH(COLUMNS($V$1006:AC1006),$V$1006:$AE$1006,0)), HYPERLINK("#",""), HYPERLINK(CONCATENATE("#Metadata!", ADDRESS(INDEX($Q$2:$Q$1001,MATCH(ROWS($O$2:O885),$O$2:$O$1001,0),0), INDEX($V$1004:$AE$1004,1,MATCH(COLUMNS($V$1006:AC1006),$V$1006:$AE$1006,0)))),"Fix")))</f>
        <v>0</v>
      </c>
      <c r="J885" s="3">
        <f>IF(OR(INDEX($P$2:$P$1001,MATCH(ROWS($O$2:O885),$O$2:$O$1001,0),1)&gt;=100000,INDEX($V$1005:$AE$1005,1,MATCH(COLUMNS($V$1006:AD1006),$V$1006:$AE$1006,0))&gt;=100000), " ",IF(INDEX($V$2:$AE$1001,MATCH(ROWS($O$2:O885),$O$2:$O$1001,0),MATCH(COLUMNS($V$1006:AD1006),$V$1006:$AE$1006,0)), HYPERLINK("#",""), HYPERLINK(CONCATENATE("#Metadata!", ADDRESS(INDEX($Q$2:$Q$1001,MATCH(ROWS($O$2:O885),$O$2:$O$1001,0),0), INDEX($V$1004:$AE$1004,1,MATCH(COLUMNS($V$1006:AD1006),$V$1006:$AE$1006,0)))),"Fix")))</f>
        <v>0</v>
      </c>
      <c r="K885" s="3">
        <f>IF(OR(INDEX($P$2:$P$1001,MATCH(ROWS($O$2:O885),$O$2:$O$1001,0),1)&gt;=100000,INDEX($V$1005:$AE$1005,1,MATCH(COLUMNS($V$1006:AE1006),$V$1006:$AE$1006,0))&gt;=100000), " ",IF(INDEX($V$2:$AE$1001,MATCH(ROWS($O$2:O885),$O$2:$O$1001,0),MATCH(COLUMNS($V$1006:AE1006),$V$1006:$AE$1006,0)), HYPERLINK("#",""), HYPERLINK(CONCATENATE("#Metadata!", ADDRESS(INDEX($Q$2:$Q$1001,MATCH(ROWS($O$2:O885),$O$2:$O$1001,0),0), INDEX($V$1004:$AE$1004,1,MATCH(COLUMNS($V$1006:AE1006),$V$1006:$AE$1006,0)))),"Fix")))</f>
        <v>0</v>
      </c>
      <c r="O885">
        <v>0</v>
      </c>
      <c r="P885">
        <v>0</v>
      </c>
      <c r="Q885">
        <v>0</v>
      </c>
      <c r="R885">
        <f>IF(S885,TRUE,AND(V885:AE885))</f>
        <v>0</v>
      </c>
      <c r="S885">
        <f>COUNTBLANK(Metadata!B885:K885)=COLUMNS(Metadata!B885:K885)</f>
        <v>0</v>
      </c>
      <c r="T885">
        <v>0</v>
      </c>
      <c r="V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W885">
        <f>AND(IF(Metadata!C885="",FALSE,TRUE),exact(Metadata!C885,"animal secretion"))</f>
        <v>0</v>
      </c>
      <c r="X885">
        <f>AND(IF(Metadata!D885="",FALSE,TRUE),exact(Metadata!D885,"saliva"))</f>
        <v>0</v>
      </c>
      <c r="Y885">
        <f>AND(IF(Metadata!E885="",FALSE,TRUE),exact(Metadata!E885,"human-oral"))</f>
        <v>0</v>
      </c>
      <c r="Z885">
        <f>AND(IF(Metadata!F885="",FALSE,TRUE),exact(Metadata!F885,"UBERON:oral cavity"))</f>
        <v>0</v>
      </c>
      <c r="AA885">
        <f>AND(IF(Metadata!G885="",FALSE,TRUE),exact(Metadata!G885,"UBERON:saliva"))</f>
        <v>0</v>
      </c>
      <c r="AB885">
        <f>AND(IF(Metadata!H885="",FALSE,TRUE),exact(Metadata!H885,"UBERON:tongue"))</f>
        <v>0</v>
      </c>
      <c r="AC885">
        <f>AND(IF(Metadata!I885="",FALSE,TRUE),exact(Metadata!I885,"tongue"))</f>
        <v>0</v>
      </c>
      <c r="AD885">
        <f>AND(IF(Metadata!J885="",FALSE,TRUE),exact(Metadata!J885,"human oral metagenome"))</f>
        <v>0</v>
      </c>
      <c r="AE885">
        <f>AND(IF(Metadata!K885="",FALSE,TRUE),exact(Metadata!K885,"447426"))</f>
        <v>0</v>
      </c>
    </row>
    <row r="886" spans="1:31">
      <c r="A886" s="4">
        <f>IF(B886=" "," ",HYPERLINK(CONCATENATE("#metadata!",ADDRESS(INDEX($Q$2:$Q$1001,MATCH(ROWS($O$2:O886),$O$2:$O$1001,0),0),1)),INDEX($T$2:$T$1001,MATCH(ROWS($O$2:O886),$O$2:$O$1001,0),0)))</f>
        <v>0</v>
      </c>
      <c r="B886" s="3">
        <f>IF(OR(INDEX($P$2:$P$1001,MATCH(ROWS($O$2:O886),$O$2:$O$1001,0),1)&gt;=100000,INDEX($V$1005:$AE$1005,1,MATCH(COLUMNS($V$1006:V1006),$V$1006:$AE$1006,0))&gt;=100000), " ",IF(INDEX($V$2:$AE$1001,MATCH(ROWS($O$2:O886),$O$2:$O$1001,0),MATCH(COLUMNS($V$1006:V1006),$V$1006:$AE$1006,0)), HYPERLINK("#",""), HYPERLINK(CONCATENATE("#Metadata!", ADDRESS(INDEX($Q$2:$Q$1001,MATCH(ROWS($O$2:O886),$O$2:$O$1001,0),0), INDEX($V$1004:$AE$1004,1,MATCH(COLUMNS($V$1006:V1006),$V$1006:$AE$1006,0)))),"Fix")))</f>
        <v>0</v>
      </c>
      <c r="C886" s="3">
        <f>IF(OR(INDEX($P$2:$P$1001,MATCH(ROWS($O$2:O886),$O$2:$O$1001,0),1)&gt;=100000,INDEX($V$1005:$AE$1005,1,MATCH(COLUMNS($V$1006:W1006),$V$1006:$AE$1006,0))&gt;=100000), " ",IF(INDEX($V$2:$AE$1001,MATCH(ROWS($O$2:O886),$O$2:$O$1001,0),MATCH(COLUMNS($V$1006:W1006),$V$1006:$AE$1006,0)), HYPERLINK("#",""), HYPERLINK(CONCATENATE("#Metadata!", ADDRESS(INDEX($Q$2:$Q$1001,MATCH(ROWS($O$2:O886),$O$2:$O$1001,0),0), INDEX($V$1004:$AE$1004,1,MATCH(COLUMNS($V$1006:W1006),$V$1006:$AE$1006,0)))),"Fix")))</f>
        <v>0</v>
      </c>
      <c r="D886" s="3">
        <f>IF(OR(INDEX($P$2:$P$1001,MATCH(ROWS($O$2:O886),$O$2:$O$1001,0),1)&gt;=100000,INDEX($V$1005:$AE$1005,1,MATCH(COLUMNS($V$1006:X1006),$V$1006:$AE$1006,0))&gt;=100000), " ",IF(INDEX($V$2:$AE$1001,MATCH(ROWS($O$2:O886),$O$2:$O$1001,0),MATCH(COLUMNS($V$1006:X1006),$V$1006:$AE$1006,0)), HYPERLINK("#",""), HYPERLINK(CONCATENATE("#Metadata!", ADDRESS(INDEX($Q$2:$Q$1001,MATCH(ROWS($O$2:O886),$O$2:$O$1001,0),0), INDEX($V$1004:$AE$1004,1,MATCH(COLUMNS($V$1006:X1006),$V$1006:$AE$1006,0)))),"Fix")))</f>
        <v>0</v>
      </c>
      <c r="E886" s="3">
        <f>IF(OR(INDEX($P$2:$P$1001,MATCH(ROWS($O$2:O886),$O$2:$O$1001,0),1)&gt;=100000,INDEX($V$1005:$AE$1005,1,MATCH(COLUMNS($V$1006:Y1006),$V$1006:$AE$1006,0))&gt;=100000), " ",IF(INDEX($V$2:$AE$1001,MATCH(ROWS($O$2:O886),$O$2:$O$1001,0),MATCH(COLUMNS($V$1006:Y1006),$V$1006:$AE$1006,0)), HYPERLINK("#",""), HYPERLINK(CONCATENATE("#Metadata!", ADDRESS(INDEX($Q$2:$Q$1001,MATCH(ROWS($O$2:O886),$O$2:$O$1001,0),0), INDEX($V$1004:$AE$1004,1,MATCH(COLUMNS($V$1006:Y1006),$V$1006:$AE$1006,0)))),"Fix")))</f>
        <v>0</v>
      </c>
      <c r="F886" s="3">
        <f>IF(OR(INDEX($P$2:$P$1001,MATCH(ROWS($O$2:O886),$O$2:$O$1001,0),1)&gt;=100000,INDEX($V$1005:$AE$1005,1,MATCH(COLUMNS($V$1006:Z1006),$V$1006:$AE$1006,0))&gt;=100000), " ",IF(INDEX($V$2:$AE$1001,MATCH(ROWS($O$2:O886),$O$2:$O$1001,0),MATCH(COLUMNS($V$1006:Z1006),$V$1006:$AE$1006,0)), HYPERLINK("#",""), HYPERLINK(CONCATENATE("#Metadata!", ADDRESS(INDEX($Q$2:$Q$1001,MATCH(ROWS($O$2:O886),$O$2:$O$1001,0),0), INDEX($V$1004:$AE$1004,1,MATCH(COLUMNS($V$1006:Z1006),$V$1006:$AE$1006,0)))),"Fix")))</f>
        <v>0</v>
      </c>
      <c r="G886" s="3">
        <f>IF(OR(INDEX($P$2:$P$1001,MATCH(ROWS($O$2:O886),$O$2:$O$1001,0),1)&gt;=100000,INDEX($V$1005:$AE$1005,1,MATCH(COLUMNS($V$1006:AA1006),$V$1006:$AE$1006,0))&gt;=100000), " ",IF(INDEX($V$2:$AE$1001,MATCH(ROWS($O$2:O886),$O$2:$O$1001,0),MATCH(COLUMNS($V$1006:AA1006),$V$1006:$AE$1006,0)), HYPERLINK("#",""), HYPERLINK(CONCATENATE("#Metadata!", ADDRESS(INDEX($Q$2:$Q$1001,MATCH(ROWS($O$2:O886),$O$2:$O$1001,0),0), INDEX($V$1004:$AE$1004,1,MATCH(COLUMNS($V$1006:AA1006),$V$1006:$AE$1006,0)))),"Fix")))</f>
        <v>0</v>
      </c>
      <c r="H886" s="3">
        <f>IF(OR(INDEX($P$2:$P$1001,MATCH(ROWS($O$2:O886),$O$2:$O$1001,0),1)&gt;=100000,INDEX($V$1005:$AE$1005,1,MATCH(COLUMNS($V$1006:AB1006),$V$1006:$AE$1006,0))&gt;=100000), " ",IF(INDEX($V$2:$AE$1001,MATCH(ROWS($O$2:O886),$O$2:$O$1001,0),MATCH(COLUMNS($V$1006:AB1006),$V$1006:$AE$1006,0)), HYPERLINK("#",""), HYPERLINK(CONCATENATE("#Metadata!", ADDRESS(INDEX($Q$2:$Q$1001,MATCH(ROWS($O$2:O886),$O$2:$O$1001,0),0), INDEX($V$1004:$AE$1004,1,MATCH(COLUMNS($V$1006:AB1006),$V$1006:$AE$1006,0)))),"Fix")))</f>
        <v>0</v>
      </c>
      <c r="I886" s="3">
        <f>IF(OR(INDEX($P$2:$P$1001,MATCH(ROWS($O$2:O886),$O$2:$O$1001,0),1)&gt;=100000,INDEX($V$1005:$AE$1005,1,MATCH(COLUMNS($V$1006:AC1006),$V$1006:$AE$1006,0))&gt;=100000), " ",IF(INDEX($V$2:$AE$1001,MATCH(ROWS($O$2:O886),$O$2:$O$1001,0),MATCH(COLUMNS($V$1006:AC1006),$V$1006:$AE$1006,0)), HYPERLINK("#",""), HYPERLINK(CONCATENATE("#Metadata!", ADDRESS(INDEX($Q$2:$Q$1001,MATCH(ROWS($O$2:O886),$O$2:$O$1001,0),0), INDEX($V$1004:$AE$1004,1,MATCH(COLUMNS($V$1006:AC1006),$V$1006:$AE$1006,0)))),"Fix")))</f>
        <v>0</v>
      </c>
      <c r="J886" s="3">
        <f>IF(OR(INDEX($P$2:$P$1001,MATCH(ROWS($O$2:O886),$O$2:$O$1001,0),1)&gt;=100000,INDEX($V$1005:$AE$1005,1,MATCH(COLUMNS($V$1006:AD1006),$V$1006:$AE$1006,0))&gt;=100000), " ",IF(INDEX($V$2:$AE$1001,MATCH(ROWS($O$2:O886),$O$2:$O$1001,0),MATCH(COLUMNS($V$1006:AD1006),$V$1006:$AE$1006,0)), HYPERLINK("#",""), HYPERLINK(CONCATENATE("#Metadata!", ADDRESS(INDEX($Q$2:$Q$1001,MATCH(ROWS($O$2:O886),$O$2:$O$1001,0),0), INDEX($V$1004:$AE$1004,1,MATCH(COLUMNS($V$1006:AD1006),$V$1006:$AE$1006,0)))),"Fix")))</f>
        <v>0</v>
      </c>
      <c r="K886" s="3">
        <f>IF(OR(INDEX($P$2:$P$1001,MATCH(ROWS($O$2:O886),$O$2:$O$1001,0),1)&gt;=100000,INDEX($V$1005:$AE$1005,1,MATCH(COLUMNS($V$1006:AE1006),$V$1006:$AE$1006,0))&gt;=100000), " ",IF(INDEX($V$2:$AE$1001,MATCH(ROWS($O$2:O886),$O$2:$O$1001,0),MATCH(COLUMNS($V$1006:AE1006),$V$1006:$AE$1006,0)), HYPERLINK("#",""), HYPERLINK(CONCATENATE("#Metadata!", ADDRESS(INDEX($Q$2:$Q$1001,MATCH(ROWS($O$2:O886),$O$2:$O$1001,0),0), INDEX($V$1004:$AE$1004,1,MATCH(COLUMNS($V$1006:AE1006),$V$1006:$AE$1006,0)))),"Fix")))</f>
        <v>0</v>
      </c>
      <c r="O886">
        <v>0</v>
      </c>
      <c r="P886">
        <v>0</v>
      </c>
      <c r="Q886">
        <v>0</v>
      </c>
      <c r="R886">
        <f>IF(S886,TRUE,AND(V886:AE886))</f>
        <v>0</v>
      </c>
      <c r="S886">
        <f>COUNTBLANK(Metadata!B886:K886)=COLUMNS(Metadata!B886:K886)</f>
        <v>0</v>
      </c>
      <c r="T886">
        <v>0</v>
      </c>
      <c r="V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W886">
        <f>AND(IF(Metadata!C886="",FALSE,TRUE),exact(Metadata!C886,"animal secretion"))</f>
        <v>0</v>
      </c>
      <c r="X886">
        <f>AND(IF(Metadata!D886="",FALSE,TRUE),exact(Metadata!D886,"saliva"))</f>
        <v>0</v>
      </c>
      <c r="Y886">
        <f>AND(IF(Metadata!E886="",FALSE,TRUE),exact(Metadata!E886,"human-oral"))</f>
        <v>0</v>
      </c>
      <c r="Z886">
        <f>AND(IF(Metadata!F886="",FALSE,TRUE),exact(Metadata!F886,"UBERON:oral cavity"))</f>
        <v>0</v>
      </c>
      <c r="AA886">
        <f>AND(IF(Metadata!G886="",FALSE,TRUE),exact(Metadata!G886,"UBERON:saliva"))</f>
        <v>0</v>
      </c>
      <c r="AB886">
        <f>AND(IF(Metadata!H886="",FALSE,TRUE),exact(Metadata!H886,"UBERON:tongue"))</f>
        <v>0</v>
      </c>
      <c r="AC886">
        <f>AND(IF(Metadata!I886="",FALSE,TRUE),exact(Metadata!I886,"tongue"))</f>
        <v>0</v>
      </c>
      <c r="AD886">
        <f>AND(IF(Metadata!J886="",FALSE,TRUE),exact(Metadata!J886,"human oral metagenome"))</f>
        <v>0</v>
      </c>
      <c r="AE886">
        <f>AND(IF(Metadata!K886="",FALSE,TRUE),exact(Metadata!K886,"447426"))</f>
        <v>0</v>
      </c>
    </row>
    <row r="887" spans="1:31">
      <c r="A887" s="4">
        <f>IF(B887=" "," ",HYPERLINK(CONCATENATE("#metadata!",ADDRESS(INDEX($Q$2:$Q$1001,MATCH(ROWS($O$2:O887),$O$2:$O$1001,0),0),1)),INDEX($T$2:$T$1001,MATCH(ROWS($O$2:O887),$O$2:$O$1001,0),0)))</f>
        <v>0</v>
      </c>
      <c r="B887" s="3">
        <f>IF(OR(INDEX($P$2:$P$1001,MATCH(ROWS($O$2:O887),$O$2:$O$1001,0),1)&gt;=100000,INDEX($V$1005:$AE$1005,1,MATCH(COLUMNS($V$1006:V1006),$V$1006:$AE$1006,0))&gt;=100000), " ",IF(INDEX($V$2:$AE$1001,MATCH(ROWS($O$2:O887),$O$2:$O$1001,0),MATCH(COLUMNS($V$1006:V1006),$V$1006:$AE$1006,0)), HYPERLINK("#",""), HYPERLINK(CONCATENATE("#Metadata!", ADDRESS(INDEX($Q$2:$Q$1001,MATCH(ROWS($O$2:O887),$O$2:$O$1001,0),0), INDEX($V$1004:$AE$1004,1,MATCH(COLUMNS($V$1006:V1006),$V$1006:$AE$1006,0)))),"Fix")))</f>
        <v>0</v>
      </c>
      <c r="C887" s="3">
        <f>IF(OR(INDEX($P$2:$P$1001,MATCH(ROWS($O$2:O887),$O$2:$O$1001,0),1)&gt;=100000,INDEX($V$1005:$AE$1005,1,MATCH(COLUMNS($V$1006:W1006),$V$1006:$AE$1006,0))&gt;=100000), " ",IF(INDEX($V$2:$AE$1001,MATCH(ROWS($O$2:O887),$O$2:$O$1001,0),MATCH(COLUMNS($V$1006:W1006),$V$1006:$AE$1006,0)), HYPERLINK("#",""), HYPERLINK(CONCATENATE("#Metadata!", ADDRESS(INDEX($Q$2:$Q$1001,MATCH(ROWS($O$2:O887),$O$2:$O$1001,0),0), INDEX($V$1004:$AE$1004,1,MATCH(COLUMNS($V$1006:W1006),$V$1006:$AE$1006,0)))),"Fix")))</f>
        <v>0</v>
      </c>
      <c r="D887" s="3">
        <f>IF(OR(INDEX($P$2:$P$1001,MATCH(ROWS($O$2:O887),$O$2:$O$1001,0),1)&gt;=100000,INDEX($V$1005:$AE$1005,1,MATCH(COLUMNS($V$1006:X1006),$V$1006:$AE$1006,0))&gt;=100000), " ",IF(INDEX($V$2:$AE$1001,MATCH(ROWS($O$2:O887),$O$2:$O$1001,0),MATCH(COLUMNS($V$1006:X1006),$V$1006:$AE$1006,0)), HYPERLINK("#",""), HYPERLINK(CONCATENATE("#Metadata!", ADDRESS(INDEX($Q$2:$Q$1001,MATCH(ROWS($O$2:O887),$O$2:$O$1001,0),0), INDEX($V$1004:$AE$1004,1,MATCH(COLUMNS($V$1006:X1006),$V$1006:$AE$1006,0)))),"Fix")))</f>
        <v>0</v>
      </c>
      <c r="E887" s="3">
        <f>IF(OR(INDEX($P$2:$P$1001,MATCH(ROWS($O$2:O887),$O$2:$O$1001,0),1)&gt;=100000,INDEX($V$1005:$AE$1005,1,MATCH(COLUMNS($V$1006:Y1006),$V$1006:$AE$1006,0))&gt;=100000), " ",IF(INDEX($V$2:$AE$1001,MATCH(ROWS($O$2:O887),$O$2:$O$1001,0),MATCH(COLUMNS($V$1006:Y1006),$V$1006:$AE$1006,0)), HYPERLINK("#",""), HYPERLINK(CONCATENATE("#Metadata!", ADDRESS(INDEX($Q$2:$Q$1001,MATCH(ROWS($O$2:O887),$O$2:$O$1001,0),0), INDEX($V$1004:$AE$1004,1,MATCH(COLUMNS($V$1006:Y1006),$V$1006:$AE$1006,0)))),"Fix")))</f>
        <v>0</v>
      </c>
      <c r="F887" s="3">
        <f>IF(OR(INDEX($P$2:$P$1001,MATCH(ROWS($O$2:O887),$O$2:$O$1001,0),1)&gt;=100000,INDEX($V$1005:$AE$1005,1,MATCH(COLUMNS($V$1006:Z1006),$V$1006:$AE$1006,0))&gt;=100000), " ",IF(INDEX($V$2:$AE$1001,MATCH(ROWS($O$2:O887),$O$2:$O$1001,0),MATCH(COLUMNS($V$1006:Z1006),$V$1006:$AE$1006,0)), HYPERLINK("#",""), HYPERLINK(CONCATENATE("#Metadata!", ADDRESS(INDEX($Q$2:$Q$1001,MATCH(ROWS($O$2:O887),$O$2:$O$1001,0),0), INDEX($V$1004:$AE$1004,1,MATCH(COLUMNS($V$1006:Z1006),$V$1006:$AE$1006,0)))),"Fix")))</f>
        <v>0</v>
      </c>
      <c r="G887" s="3">
        <f>IF(OR(INDEX($P$2:$P$1001,MATCH(ROWS($O$2:O887),$O$2:$O$1001,0),1)&gt;=100000,INDEX($V$1005:$AE$1005,1,MATCH(COLUMNS($V$1006:AA1006),$V$1006:$AE$1006,0))&gt;=100000), " ",IF(INDEX($V$2:$AE$1001,MATCH(ROWS($O$2:O887),$O$2:$O$1001,0),MATCH(COLUMNS($V$1006:AA1006),$V$1006:$AE$1006,0)), HYPERLINK("#",""), HYPERLINK(CONCATENATE("#Metadata!", ADDRESS(INDEX($Q$2:$Q$1001,MATCH(ROWS($O$2:O887),$O$2:$O$1001,0),0), INDEX($V$1004:$AE$1004,1,MATCH(COLUMNS($V$1006:AA1006),$V$1006:$AE$1006,0)))),"Fix")))</f>
        <v>0</v>
      </c>
      <c r="H887" s="3">
        <f>IF(OR(INDEX($P$2:$P$1001,MATCH(ROWS($O$2:O887),$O$2:$O$1001,0),1)&gt;=100000,INDEX($V$1005:$AE$1005,1,MATCH(COLUMNS($V$1006:AB1006),$V$1006:$AE$1006,0))&gt;=100000), " ",IF(INDEX($V$2:$AE$1001,MATCH(ROWS($O$2:O887),$O$2:$O$1001,0),MATCH(COLUMNS($V$1006:AB1006),$V$1006:$AE$1006,0)), HYPERLINK("#",""), HYPERLINK(CONCATENATE("#Metadata!", ADDRESS(INDEX($Q$2:$Q$1001,MATCH(ROWS($O$2:O887),$O$2:$O$1001,0),0), INDEX($V$1004:$AE$1004,1,MATCH(COLUMNS($V$1006:AB1006),$V$1006:$AE$1006,0)))),"Fix")))</f>
        <v>0</v>
      </c>
      <c r="I887" s="3">
        <f>IF(OR(INDEX($P$2:$P$1001,MATCH(ROWS($O$2:O887),$O$2:$O$1001,0),1)&gt;=100000,INDEX($V$1005:$AE$1005,1,MATCH(COLUMNS($V$1006:AC1006),$V$1006:$AE$1006,0))&gt;=100000), " ",IF(INDEX($V$2:$AE$1001,MATCH(ROWS($O$2:O887),$O$2:$O$1001,0),MATCH(COLUMNS($V$1006:AC1006),$V$1006:$AE$1006,0)), HYPERLINK("#",""), HYPERLINK(CONCATENATE("#Metadata!", ADDRESS(INDEX($Q$2:$Q$1001,MATCH(ROWS($O$2:O887),$O$2:$O$1001,0),0), INDEX($V$1004:$AE$1004,1,MATCH(COLUMNS($V$1006:AC1006),$V$1006:$AE$1006,0)))),"Fix")))</f>
        <v>0</v>
      </c>
      <c r="J887" s="3">
        <f>IF(OR(INDEX($P$2:$P$1001,MATCH(ROWS($O$2:O887),$O$2:$O$1001,0),1)&gt;=100000,INDEX($V$1005:$AE$1005,1,MATCH(COLUMNS($V$1006:AD1006),$V$1006:$AE$1006,0))&gt;=100000), " ",IF(INDEX($V$2:$AE$1001,MATCH(ROWS($O$2:O887),$O$2:$O$1001,0),MATCH(COLUMNS($V$1006:AD1006),$V$1006:$AE$1006,0)), HYPERLINK("#",""), HYPERLINK(CONCATENATE("#Metadata!", ADDRESS(INDEX($Q$2:$Q$1001,MATCH(ROWS($O$2:O887),$O$2:$O$1001,0),0), INDEX($V$1004:$AE$1004,1,MATCH(COLUMNS($V$1006:AD1006),$V$1006:$AE$1006,0)))),"Fix")))</f>
        <v>0</v>
      </c>
      <c r="K887" s="3">
        <f>IF(OR(INDEX($P$2:$P$1001,MATCH(ROWS($O$2:O887),$O$2:$O$1001,0),1)&gt;=100000,INDEX($V$1005:$AE$1005,1,MATCH(COLUMNS($V$1006:AE1006),$V$1006:$AE$1006,0))&gt;=100000), " ",IF(INDEX($V$2:$AE$1001,MATCH(ROWS($O$2:O887),$O$2:$O$1001,0),MATCH(COLUMNS($V$1006:AE1006),$V$1006:$AE$1006,0)), HYPERLINK("#",""), HYPERLINK(CONCATENATE("#Metadata!", ADDRESS(INDEX($Q$2:$Q$1001,MATCH(ROWS($O$2:O887),$O$2:$O$1001,0),0), INDEX($V$1004:$AE$1004,1,MATCH(COLUMNS($V$1006:AE1006),$V$1006:$AE$1006,0)))),"Fix")))</f>
        <v>0</v>
      </c>
      <c r="O887">
        <v>0</v>
      </c>
      <c r="P887">
        <v>0</v>
      </c>
      <c r="Q887">
        <v>0</v>
      </c>
      <c r="R887">
        <f>IF(S887,TRUE,AND(V887:AE887))</f>
        <v>0</v>
      </c>
      <c r="S887">
        <f>COUNTBLANK(Metadata!B887:K887)=COLUMNS(Metadata!B887:K887)</f>
        <v>0</v>
      </c>
      <c r="T887">
        <v>0</v>
      </c>
      <c r="V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W887">
        <f>AND(IF(Metadata!C887="",FALSE,TRUE),exact(Metadata!C887,"animal secretion"))</f>
        <v>0</v>
      </c>
      <c r="X887">
        <f>AND(IF(Metadata!D887="",FALSE,TRUE),exact(Metadata!D887,"saliva"))</f>
        <v>0</v>
      </c>
      <c r="Y887">
        <f>AND(IF(Metadata!E887="",FALSE,TRUE),exact(Metadata!E887,"human-oral"))</f>
        <v>0</v>
      </c>
      <c r="Z887">
        <f>AND(IF(Metadata!F887="",FALSE,TRUE),exact(Metadata!F887,"UBERON:oral cavity"))</f>
        <v>0</v>
      </c>
      <c r="AA887">
        <f>AND(IF(Metadata!G887="",FALSE,TRUE),exact(Metadata!G887,"UBERON:saliva"))</f>
        <v>0</v>
      </c>
      <c r="AB887">
        <f>AND(IF(Metadata!H887="",FALSE,TRUE),exact(Metadata!H887,"UBERON:tongue"))</f>
        <v>0</v>
      </c>
      <c r="AC887">
        <f>AND(IF(Metadata!I887="",FALSE,TRUE),exact(Metadata!I887,"tongue"))</f>
        <v>0</v>
      </c>
      <c r="AD887">
        <f>AND(IF(Metadata!J887="",FALSE,TRUE),exact(Metadata!J887,"human oral metagenome"))</f>
        <v>0</v>
      </c>
      <c r="AE887">
        <f>AND(IF(Metadata!K887="",FALSE,TRUE),exact(Metadata!K887,"447426"))</f>
        <v>0</v>
      </c>
    </row>
    <row r="888" spans="1:31">
      <c r="A888" s="4">
        <f>IF(B888=" "," ",HYPERLINK(CONCATENATE("#metadata!",ADDRESS(INDEX($Q$2:$Q$1001,MATCH(ROWS($O$2:O888),$O$2:$O$1001,0),0),1)),INDEX($T$2:$T$1001,MATCH(ROWS($O$2:O888),$O$2:$O$1001,0),0)))</f>
        <v>0</v>
      </c>
      <c r="B888" s="3">
        <f>IF(OR(INDEX($P$2:$P$1001,MATCH(ROWS($O$2:O888),$O$2:$O$1001,0),1)&gt;=100000,INDEX($V$1005:$AE$1005,1,MATCH(COLUMNS($V$1006:V1006),$V$1006:$AE$1006,0))&gt;=100000), " ",IF(INDEX($V$2:$AE$1001,MATCH(ROWS($O$2:O888),$O$2:$O$1001,0),MATCH(COLUMNS($V$1006:V1006),$V$1006:$AE$1006,0)), HYPERLINK("#",""), HYPERLINK(CONCATENATE("#Metadata!", ADDRESS(INDEX($Q$2:$Q$1001,MATCH(ROWS($O$2:O888),$O$2:$O$1001,0),0), INDEX($V$1004:$AE$1004,1,MATCH(COLUMNS($V$1006:V1006),$V$1006:$AE$1006,0)))),"Fix")))</f>
        <v>0</v>
      </c>
      <c r="C888" s="3">
        <f>IF(OR(INDEX($P$2:$P$1001,MATCH(ROWS($O$2:O888),$O$2:$O$1001,0),1)&gt;=100000,INDEX($V$1005:$AE$1005,1,MATCH(COLUMNS($V$1006:W1006),$V$1006:$AE$1006,0))&gt;=100000), " ",IF(INDEX($V$2:$AE$1001,MATCH(ROWS($O$2:O888),$O$2:$O$1001,0),MATCH(COLUMNS($V$1006:W1006),$V$1006:$AE$1006,0)), HYPERLINK("#",""), HYPERLINK(CONCATENATE("#Metadata!", ADDRESS(INDEX($Q$2:$Q$1001,MATCH(ROWS($O$2:O888),$O$2:$O$1001,0),0), INDEX($V$1004:$AE$1004,1,MATCH(COLUMNS($V$1006:W1006),$V$1006:$AE$1006,0)))),"Fix")))</f>
        <v>0</v>
      </c>
      <c r="D888" s="3">
        <f>IF(OR(INDEX($P$2:$P$1001,MATCH(ROWS($O$2:O888),$O$2:$O$1001,0),1)&gt;=100000,INDEX($V$1005:$AE$1005,1,MATCH(COLUMNS($V$1006:X1006),$V$1006:$AE$1006,0))&gt;=100000), " ",IF(INDEX($V$2:$AE$1001,MATCH(ROWS($O$2:O888),$O$2:$O$1001,0),MATCH(COLUMNS($V$1006:X1006),$V$1006:$AE$1006,0)), HYPERLINK("#",""), HYPERLINK(CONCATENATE("#Metadata!", ADDRESS(INDEX($Q$2:$Q$1001,MATCH(ROWS($O$2:O888),$O$2:$O$1001,0),0), INDEX($V$1004:$AE$1004,1,MATCH(COLUMNS($V$1006:X1006),$V$1006:$AE$1006,0)))),"Fix")))</f>
        <v>0</v>
      </c>
      <c r="E888" s="3">
        <f>IF(OR(INDEX($P$2:$P$1001,MATCH(ROWS($O$2:O888),$O$2:$O$1001,0),1)&gt;=100000,INDEX($V$1005:$AE$1005,1,MATCH(COLUMNS($V$1006:Y1006),$V$1006:$AE$1006,0))&gt;=100000), " ",IF(INDEX($V$2:$AE$1001,MATCH(ROWS($O$2:O888),$O$2:$O$1001,0),MATCH(COLUMNS($V$1006:Y1006),$V$1006:$AE$1006,0)), HYPERLINK("#",""), HYPERLINK(CONCATENATE("#Metadata!", ADDRESS(INDEX($Q$2:$Q$1001,MATCH(ROWS($O$2:O888),$O$2:$O$1001,0),0), INDEX($V$1004:$AE$1004,1,MATCH(COLUMNS($V$1006:Y1006),$V$1006:$AE$1006,0)))),"Fix")))</f>
        <v>0</v>
      </c>
      <c r="F888" s="3">
        <f>IF(OR(INDEX($P$2:$P$1001,MATCH(ROWS($O$2:O888),$O$2:$O$1001,0),1)&gt;=100000,INDEX($V$1005:$AE$1005,1,MATCH(COLUMNS($V$1006:Z1006),$V$1006:$AE$1006,0))&gt;=100000), " ",IF(INDEX($V$2:$AE$1001,MATCH(ROWS($O$2:O888),$O$2:$O$1001,0),MATCH(COLUMNS($V$1006:Z1006),$V$1006:$AE$1006,0)), HYPERLINK("#",""), HYPERLINK(CONCATENATE("#Metadata!", ADDRESS(INDEX($Q$2:$Q$1001,MATCH(ROWS($O$2:O888),$O$2:$O$1001,0),0), INDEX($V$1004:$AE$1004,1,MATCH(COLUMNS($V$1006:Z1006),$V$1006:$AE$1006,0)))),"Fix")))</f>
        <v>0</v>
      </c>
      <c r="G888" s="3">
        <f>IF(OR(INDEX($P$2:$P$1001,MATCH(ROWS($O$2:O888),$O$2:$O$1001,0),1)&gt;=100000,INDEX($V$1005:$AE$1005,1,MATCH(COLUMNS($V$1006:AA1006),$V$1006:$AE$1006,0))&gt;=100000), " ",IF(INDEX($V$2:$AE$1001,MATCH(ROWS($O$2:O888),$O$2:$O$1001,0),MATCH(COLUMNS($V$1006:AA1006),$V$1006:$AE$1006,0)), HYPERLINK("#",""), HYPERLINK(CONCATENATE("#Metadata!", ADDRESS(INDEX($Q$2:$Q$1001,MATCH(ROWS($O$2:O888),$O$2:$O$1001,0),0), INDEX($V$1004:$AE$1004,1,MATCH(COLUMNS($V$1006:AA1006),$V$1006:$AE$1006,0)))),"Fix")))</f>
        <v>0</v>
      </c>
      <c r="H888" s="3">
        <f>IF(OR(INDEX($P$2:$P$1001,MATCH(ROWS($O$2:O888),$O$2:$O$1001,0),1)&gt;=100000,INDEX($V$1005:$AE$1005,1,MATCH(COLUMNS($V$1006:AB1006),$V$1006:$AE$1006,0))&gt;=100000), " ",IF(INDEX($V$2:$AE$1001,MATCH(ROWS($O$2:O888),$O$2:$O$1001,0),MATCH(COLUMNS($V$1006:AB1006),$V$1006:$AE$1006,0)), HYPERLINK("#",""), HYPERLINK(CONCATENATE("#Metadata!", ADDRESS(INDEX($Q$2:$Q$1001,MATCH(ROWS($O$2:O888),$O$2:$O$1001,0),0), INDEX($V$1004:$AE$1004,1,MATCH(COLUMNS($V$1006:AB1006),$V$1006:$AE$1006,0)))),"Fix")))</f>
        <v>0</v>
      </c>
      <c r="I888" s="3">
        <f>IF(OR(INDEX($P$2:$P$1001,MATCH(ROWS($O$2:O888),$O$2:$O$1001,0),1)&gt;=100000,INDEX($V$1005:$AE$1005,1,MATCH(COLUMNS($V$1006:AC1006),$V$1006:$AE$1006,0))&gt;=100000), " ",IF(INDEX($V$2:$AE$1001,MATCH(ROWS($O$2:O888),$O$2:$O$1001,0),MATCH(COLUMNS($V$1006:AC1006),$V$1006:$AE$1006,0)), HYPERLINK("#",""), HYPERLINK(CONCATENATE("#Metadata!", ADDRESS(INDEX($Q$2:$Q$1001,MATCH(ROWS($O$2:O888),$O$2:$O$1001,0),0), INDEX($V$1004:$AE$1004,1,MATCH(COLUMNS($V$1006:AC1006),$V$1006:$AE$1006,0)))),"Fix")))</f>
        <v>0</v>
      </c>
      <c r="J888" s="3">
        <f>IF(OR(INDEX($P$2:$P$1001,MATCH(ROWS($O$2:O888),$O$2:$O$1001,0),1)&gt;=100000,INDEX($V$1005:$AE$1005,1,MATCH(COLUMNS($V$1006:AD1006),$V$1006:$AE$1006,0))&gt;=100000), " ",IF(INDEX($V$2:$AE$1001,MATCH(ROWS($O$2:O888),$O$2:$O$1001,0),MATCH(COLUMNS($V$1006:AD1006),$V$1006:$AE$1006,0)), HYPERLINK("#",""), HYPERLINK(CONCATENATE("#Metadata!", ADDRESS(INDEX($Q$2:$Q$1001,MATCH(ROWS($O$2:O888),$O$2:$O$1001,0),0), INDEX($V$1004:$AE$1004,1,MATCH(COLUMNS($V$1006:AD1006),$V$1006:$AE$1006,0)))),"Fix")))</f>
        <v>0</v>
      </c>
      <c r="K888" s="3">
        <f>IF(OR(INDEX($P$2:$P$1001,MATCH(ROWS($O$2:O888),$O$2:$O$1001,0),1)&gt;=100000,INDEX($V$1005:$AE$1005,1,MATCH(COLUMNS($V$1006:AE1006),$V$1006:$AE$1006,0))&gt;=100000), " ",IF(INDEX($V$2:$AE$1001,MATCH(ROWS($O$2:O888),$O$2:$O$1001,0),MATCH(COLUMNS($V$1006:AE1006),$V$1006:$AE$1006,0)), HYPERLINK("#",""), HYPERLINK(CONCATENATE("#Metadata!", ADDRESS(INDEX($Q$2:$Q$1001,MATCH(ROWS($O$2:O888),$O$2:$O$1001,0),0), INDEX($V$1004:$AE$1004,1,MATCH(COLUMNS($V$1006:AE1006),$V$1006:$AE$1006,0)))),"Fix")))</f>
        <v>0</v>
      </c>
      <c r="O888">
        <v>0</v>
      </c>
      <c r="P888">
        <v>0</v>
      </c>
      <c r="Q888">
        <v>0</v>
      </c>
      <c r="R888">
        <f>IF(S888,TRUE,AND(V888:AE888))</f>
        <v>0</v>
      </c>
      <c r="S888">
        <f>COUNTBLANK(Metadata!B888:K888)=COLUMNS(Metadata!B888:K888)</f>
        <v>0</v>
      </c>
      <c r="T888">
        <v>0</v>
      </c>
      <c r="V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W888">
        <f>AND(IF(Metadata!C888="",FALSE,TRUE),exact(Metadata!C888,"animal secretion"))</f>
        <v>0</v>
      </c>
      <c r="X888">
        <f>AND(IF(Metadata!D888="",FALSE,TRUE),exact(Metadata!D888,"saliva"))</f>
        <v>0</v>
      </c>
      <c r="Y888">
        <f>AND(IF(Metadata!E888="",FALSE,TRUE),exact(Metadata!E888,"human-oral"))</f>
        <v>0</v>
      </c>
      <c r="Z888">
        <f>AND(IF(Metadata!F888="",FALSE,TRUE),exact(Metadata!F888,"UBERON:oral cavity"))</f>
        <v>0</v>
      </c>
      <c r="AA888">
        <f>AND(IF(Metadata!G888="",FALSE,TRUE),exact(Metadata!G888,"UBERON:saliva"))</f>
        <v>0</v>
      </c>
      <c r="AB888">
        <f>AND(IF(Metadata!H888="",FALSE,TRUE),exact(Metadata!H888,"UBERON:tongue"))</f>
        <v>0</v>
      </c>
      <c r="AC888">
        <f>AND(IF(Metadata!I888="",FALSE,TRUE),exact(Metadata!I888,"tongue"))</f>
        <v>0</v>
      </c>
      <c r="AD888">
        <f>AND(IF(Metadata!J888="",FALSE,TRUE),exact(Metadata!J888,"human oral metagenome"))</f>
        <v>0</v>
      </c>
      <c r="AE888">
        <f>AND(IF(Metadata!K888="",FALSE,TRUE),exact(Metadata!K888,"447426"))</f>
        <v>0</v>
      </c>
    </row>
    <row r="889" spans="1:31">
      <c r="A889" s="4">
        <f>IF(B889=" "," ",HYPERLINK(CONCATENATE("#metadata!",ADDRESS(INDEX($Q$2:$Q$1001,MATCH(ROWS($O$2:O889),$O$2:$O$1001,0),0),1)),INDEX($T$2:$T$1001,MATCH(ROWS($O$2:O889),$O$2:$O$1001,0),0)))</f>
        <v>0</v>
      </c>
      <c r="B889" s="3">
        <f>IF(OR(INDEX($P$2:$P$1001,MATCH(ROWS($O$2:O889),$O$2:$O$1001,0),1)&gt;=100000,INDEX($V$1005:$AE$1005,1,MATCH(COLUMNS($V$1006:V1006),$V$1006:$AE$1006,0))&gt;=100000), " ",IF(INDEX($V$2:$AE$1001,MATCH(ROWS($O$2:O889),$O$2:$O$1001,0),MATCH(COLUMNS($V$1006:V1006),$V$1006:$AE$1006,0)), HYPERLINK("#",""), HYPERLINK(CONCATENATE("#Metadata!", ADDRESS(INDEX($Q$2:$Q$1001,MATCH(ROWS($O$2:O889),$O$2:$O$1001,0),0), INDEX($V$1004:$AE$1004,1,MATCH(COLUMNS($V$1006:V1006),$V$1006:$AE$1006,0)))),"Fix")))</f>
        <v>0</v>
      </c>
      <c r="C889" s="3">
        <f>IF(OR(INDEX($P$2:$P$1001,MATCH(ROWS($O$2:O889),$O$2:$O$1001,0),1)&gt;=100000,INDEX($V$1005:$AE$1005,1,MATCH(COLUMNS($V$1006:W1006),$V$1006:$AE$1006,0))&gt;=100000), " ",IF(INDEX($V$2:$AE$1001,MATCH(ROWS($O$2:O889),$O$2:$O$1001,0),MATCH(COLUMNS($V$1006:W1006),$V$1006:$AE$1006,0)), HYPERLINK("#",""), HYPERLINK(CONCATENATE("#Metadata!", ADDRESS(INDEX($Q$2:$Q$1001,MATCH(ROWS($O$2:O889),$O$2:$O$1001,0),0), INDEX($V$1004:$AE$1004,1,MATCH(COLUMNS($V$1006:W1006),$V$1006:$AE$1006,0)))),"Fix")))</f>
        <v>0</v>
      </c>
      <c r="D889" s="3">
        <f>IF(OR(INDEX($P$2:$P$1001,MATCH(ROWS($O$2:O889),$O$2:$O$1001,0),1)&gt;=100000,INDEX($V$1005:$AE$1005,1,MATCH(COLUMNS($V$1006:X1006),$V$1006:$AE$1006,0))&gt;=100000), " ",IF(INDEX($V$2:$AE$1001,MATCH(ROWS($O$2:O889),$O$2:$O$1001,0),MATCH(COLUMNS($V$1006:X1006),$V$1006:$AE$1006,0)), HYPERLINK("#",""), HYPERLINK(CONCATENATE("#Metadata!", ADDRESS(INDEX($Q$2:$Q$1001,MATCH(ROWS($O$2:O889),$O$2:$O$1001,0),0), INDEX($V$1004:$AE$1004,1,MATCH(COLUMNS($V$1006:X1006),$V$1006:$AE$1006,0)))),"Fix")))</f>
        <v>0</v>
      </c>
      <c r="E889" s="3">
        <f>IF(OR(INDEX($P$2:$P$1001,MATCH(ROWS($O$2:O889),$O$2:$O$1001,0),1)&gt;=100000,INDEX($V$1005:$AE$1005,1,MATCH(COLUMNS($V$1006:Y1006),$V$1006:$AE$1006,0))&gt;=100000), " ",IF(INDEX($V$2:$AE$1001,MATCH(ROWS($O$2:O889),$O$2:$O$1001,0),MATCH(COLUMNS($V$1006:Y1006),$V$1006:$AE$1006,0)), HYPERLINK("#",""), HYPERLINK(CONCATENATE("#Metadata!", ADDRESS(INDEX($Q$2:$Q$1001,MATCH(ROWS($O$2:O889),$O$2:$O$1001,0),0), INDEX($V$1004:$AE$1004,1,MATCH(COLUMNS($V$1006:Y1006),$V$1006:$AE$1006,0)))),"Fix")))</f>
        <v>0</v>
      </c>
      <c r="F889" s="3">
        <f>IF(OR(INDEX($P$2:$P$1001,MATCH(ROWS($O$2:O889),$O$2:$O$1001,0),1)&gt;=100000,INDEX($V$1005:$AE$1005,1,MATCH(COLUMNS($V$1006:Z1006),$V$1006:$AE$1006,0))&gt;=100000), " ",IF(INDEX($V$2:$AE$1001,MATCH(ROWS($O$2:O889),$O$2:$O$1001,0),MATCH(COLUMNS($V$1006:Z1006),$V$1006:$AE$1006,0)), HYPERLINK("#",""), HYPERLINK(CONCATENATE("#Metadata!", ADDRESS(INDEX($Q$2:$Q$1001,MATCH(ROWS($O$2:O889),$O$2:$O$1001,0),0), INDEX($V$1004:$AE$1004,1,MATCH(COLUMNS($V$1006:Z1006),$V$1006:$AE$1006,0)))),"Fix")))</f>
        <v>0</v>
      </c>
      <c r="G889" s="3">
        <f>IF(OR(INDEX($P$2:$P$1001,MATCH(ROWS($O$2:O889),$O$2:$O$1001,0),1)&gt;=100000,INDEX($V$1005:$AE$1005,1,MATCH(COLUMNS($V$1006:AA1006),$V$1006:$AE$1006,0))&gt;=100000), " ",IF(INDEX($V$2:$AE$1001,MATCH(ROWS($O$2:O889),$O$2:$O$1001,0),MATCH(COLUMNS($V$1006:AA1006),$V$1006:$AE$1006,0)), HYPERLINK("#",""), HYPERLINK(CONCATENATE("#Metadata!", ADDRESS(INDEX($Q$2:$Q$1001,MATCH(ROWS($O$2:O889),$O$2:$O$1001,0),0), INDEX($V$1004:$AE$1004,1,MATCH(COLUMNS($V$1006:AA1006),$V$1006:$AE$1006,0)))),"Fix")))</f>
        <v>0</v>
      </c>
      <c r="H889" s="3">
        <f>IF(OR(INDEX($P$2:$P$1001,MATCH(ROWS($O$2:O889),$O$2:$O$1001,0),1)&gt;=100000,INDEX($V$1005:$AE$1005,1,MATCH(COLUMNS($V$1006:AB1006),$V$1006:$AE$1006,0))&gt;=100000), " ",IF(INDEX($V$2:$AE$1001,MATCH(ROWS($O$2:O889),$O$2:$O$1001,0),MATCH(COLUMNS($V$1006:AB1006),$V$1006:$AE$1006,0)), HYPERLINK("#",""), HYPERLINK(CONCATENATE("#Metadata!", ADDRESS(INDEX($Q$2:$Q$1001,MATCH(ROWS($O$2:O889),$O$2:$O$1001,0),0), INDEX($V$1004:$AE$1004,1,MATCH(COLUMNS($V$1006:AB1006),$V$1006:$AE$1006,0)))),"Fix")))</f>
        <v>0</v>
      </c>
      <c r="I889" s="3">
        <f>IF(OR(INDEX($P$2:$P$1001,MATCH(ROWS($O$2:O889),$O$2:$O$1001,0),1)&gt;=100000,INDEX($V$1005:$AE$1005,1,MATCH(COLUMNS($V$1006:AC1006),$V$1006:$AE$1006,0))&gt;=100000), " ",IF(INDEX($V$2:$AE$1001,MATCH(ROWS($O$2:O889),$O$2:$O$1001,0),MATCH(COLUMNS($V$1006:AC1006),$V$1006:$AE$1006,0)), HYPERLINK("#",""), HYPERLINK(CONCATENATE("#Metadata!", ADDRESS(INDEX($Q$2:$Q$1001,MATCH(ROWS($O$2:O889),$O$2:$O$1001,0),0), INDEX($V$1004:$AE$1004,1,MATCH(COLUMNS($V$1006:AC1006),$V$1006:$AE$1006,0)))),"Fix")))</f>
        <v>0</v>
      </c>
      <c r="J889" s="3">
        <f>IF(OR(INDEX($P$2:$P$1001,MATCH(ROWS($O$2:O889),$O$2:$O$1001,0),1)&gt;=100000,INDEX($V$1005:$AE$1005,1,MATCH(COLUMNS($V$1006:AD1006),$V$1006:$AE$1006,0))&gt;=100000), " ",IF(INDEX($V$2:$AE$1001,MATCH(ROWS($O$2:O889),$O$2:$O$1001,0),MATCH(COLUMNS($V$1006:AD1006),$V$1006:$AE$1006,0)), HYPERLINK("#",""), HYPERLINK(CONCATENATE("#Metadata!", ADDRESS(INDEX($Q$2:$Q$1001,MATCH(ROWS($O$2:O889),$O$2:$O$1001,0),0), INDEX($V$1004:$AE$1004,1,MATCH(COLUMNS($V$1006:AD1006),$V$1006:$AE$1006,0)))),"Fix")))</f>
        <v>0</v>
      </c>
      <c r="K889" s="3">
        <f>IF(OR(INDEX($P$2:$P$1001,MATCH(ROWS($O$2:O889),$O$2:$O$1001,0),1)&gt;=100000,INDEX($V$1005:$AE$1005,1,MATCH(COLUMNS($V$1006:AE1006),$V$1006:$AE$1006,0))&gt;=100000), " ",IF(INDEX($V$2:$AE$1001,MATCH(ROWS($O$2:O889),$O$2:$O$1001,0),MATCH(COLUMNS($V$1006:AE1006),$V$1006:$AE$1006,0)), HYPERLINK("#",""), HYPERLINK(CONCATENATE("#Metadata!", ADDRESS(INDEX($Q$2:$Q$1001,MATCH(ROWS($O$2:O889),$O$2:$O$1001,0),0), INDEX($V$1004:$AE$1004,1,MATCH(COLUMNS($V$1006:AE1006),$V$1006:$AE$1006,0)))),"Fix")))</f>
        <v>0</v>
      </c>
      <c r="O889">
        <v>0</v>
      </c>
      <c r="P889">
        <v>0</v>
      </c>
      <c r="Q889">
        <v>0</v>
      </c>
      <c r="R889">
        <f>IF(S889,TRUE,AND(V889:AE889))</f>
        <v>0</v>
      </c>
      <c r="S889">
        <f>COUNTBLANK(Metadata!B889:K889)=COLUMNS(Metadata!B889:K889)</f>
        <v>0</v>
      </c>
      <c r="T889">
        <v>0</v>
      </c>
      <c r="V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W889">
        <f>AND(IF(Metadata!C889="",FALSE,TRUE),exact(Metadata!C889,"animal secretion"))</f>
        <v>0</v>
      </c>
      <c r="X889">
        <f>AND(IF(Metadata!D889="",FALSE,TRUE),exact(Metadata!D889,"saliva"))</f>
        <v>0</v>
      </c>
      <c r="Y889">
        <f>AND(IF(Metadata!E889="",FALSE,TRUE),exact(Metadata!E889,"human-oral"))</f>
        <v>0</v>
      </c>
      <c r="Z889">
        <f>AND(IF(Metadata!F889="",FALSE,TRUE),exact(Metadata!F889,"UBERON:oral cavity"))</f>
        <v>0</v>
      </c>
      <c r="AA889">
        <f>AND(IF(Metadata!G889="",FALSE,TRUE),exact(Metadata!G889,"UBERON:saliva"))</f>
        <v>0</v>
      </c>
      <c r="AB889">
        <f>AND(IF(Metadata!H889="",FALSE,TRUE),exact(Metadata!H889,"UBERON:tongue"))</f>
        <v>0</v>
      </c>
      <c r="AC889">
        <f>AND(IF(Metadata!I889="",FALSE,TRUE),exact(Metadata!I889,"tongue"))</f>
        <v>0</v>
      </c>
      <c r="AD889">
        <f>AND(IF(Metadata!J889="",FALSE,TRUE),exact(Metadata!J889,"human oral metagenome"))</f>
        <v>0</v>
      </c>
      <c r="AE889">
        <f>AND(IF(Metadata!K889="",FALSE,TRUE),exact(Metadata!K889,"447426"))</f>
        <v>0</v>
      </c>
    </row>
    <row r="890" spans="1:31">
      <c r="A890" s="4">
        <f>IF(B890=" "," ",HYPERLINK(CONCATENATE("#metadata!",ADDRESS(INDEX($Q$2:$Q$1001,MATCH(ROWS($O$2:O890),$O$2:$O$1001,0),0),1)),INDEX($T$2:$T$1001,MATCH(ROWS($O$2:O890),$O$2:$O$1001,0),0)))</f>
        <v>0</v>
      </c>
      <c r="B890" s="3">
        <f>IF(OR(INDEX($P$2:$P$1001,MATCH(ROWS($O$2:O890),$O$2:$O$1001,0),1)&gt;=100000,INDEX($V$1005:$AE$1005,1,MATCH(COLUMNS($V$1006:V1006),$V$1006:$AE$1006,0))&gt;=100000), " ",IF(INDEX($V$2:$AE$1001,MATCH(ROWS($O$2:O890),$O$2:$O$1001,0),MATCH(COLUMNS($V$1006:V1006),$V$1006:$AE$1006,0)), HYPERLINK("#",""), HYPERLINK(CONCATENATE("#Metadata!", ADDRESS(INDEX($Q$2:$Q$1001,MATCH(ROWS($O$2:O890),$O$2:$O$1001,0),0), INDEX($V$1004:$AE$1004,1,MATCH(COLUMNS($V$1006:V1006),$V$1006:$AE$1006,0)))),"Fix")))</f>
        <v>0</v>
      </c>
      <c r="C890" s="3">
        <f>IF(OR(INDEX($P$2:$P$1001,MATCH(ROWS($O$2:O890),$O$2:$O$1001,0),1)&gt;=100000,INDEX($V$1005:$AE$1005,1,MATCH(COLUMNS($V$1006:W1006),$V$1006:$AE$1006,0))&gt;=100000), " ",IF(INDEX($V$2:$AE$1001,MATCH(ROWS($O$2:O890),$O$2:$O$1001,0),MATCH(COLUMNS($V$1006:W1006),$V$1006:$AE$1006,0)), HYPERLINK("#",""), HYPERLINK(CONCATENATE("#Metadata!", ADDRESS(INDEX($Q$2:$Q$1001,MATCH(ROWS($O$2:O890),$O$2:$O$1001,0),0), INDEX($V$1004:$AE$1004,1,MATCH(COLUMNS($V$1006:W1006),$V$1006:$AE$1006,0)))),"Fix")))</f>
        <v>0</v>
      </c>
      <c r="D890" s="3">
        <f>IF(OR(INDEX($P$2:$P$1001,MATCH(ROWS($O$2:O890),$O$2:$O$1001,0),1)&gt;=100000,INDEX($V$1005:$AE$1005,1,MATCH(COLUMNS($V$1006:X1006),$V$1006:$AE$1006,0))&gt;=100000), " ",IF(INDEX($V$2:$AE$1001,MATCH(ROWS($O$2:O890),$O$2:$O$1001,0),MATCH(COLUMNS($V$1006:X1006),$V$1006:$AE$1006,0)), HYPERLINK("#",""), HYPERLINK(CONCATENATE("#Metadata!", ADDRESS(INDEX($Q$2:$Q$1001,MATCH(ROWS($O$2:O890),$O$2:$O$1001,0),0), INDEX($V$1004:$AE$1004,1,MATCH(COLUMNS($V$1006:X1006),$V$1006:$AE$1006,0)))),"Fix")))</f>
        <v>0</v>
      </c>
      <c r="E890" s="3">
        <f>IF(OR(INDEX($P$2:$P$1001,MATCH(ROWS($O$2:O890),$O$2:$O$1001,0),1)&gt;=100000,INDEX($V$1005:$AE$1005,1,MATCH(COLUMNS($V$1006:Y1006),$V$1006:$AE$1006,0))&gt;=100000), " ",IF(INDEX($V$2:$AE$1001,MATCH(ROWS($O$2:O890),$O$2:$O$1001,0),MATCH(COLUMNS($V$1006:Y1006),$V$1006:$AE$1006,0)), HYPERLINK("#",""), HYPERLINK(CONCATENATE("#Metadata!", ADDRESS(INDEX($Q$2:$Q$1001,MATCH(ROWS($O$2:O890),$O$2:$O$1001,0),0), INDEX($V$1004:$AE$1004,1,MATCH(COLUMNS($V$1006:Y1006),$V$1006:$AE$1006,0)))),"Fix")))</f>
        <v>0</v>
      </c>
      <c r="F890" s="3">
        <f>IF(OR(INDEX($P$2:$P$1001,MATCH(ROWS($O$2:O890),$O$2:$O$1001,0),1)&gt;=100000,INDEX($V$1005:$AE$1005,1,MATCH(COLUMNS($V$1006:Z1006),$V$1006:$AE$1006,0))&gt;=100000), " ",IF(INDEX($V$2:$AE$1001,MATCH(ROWS($O$2:O890),$O$2:$O$1001,0),MATCH(COLUMNS($V$1006:Z1006),$V$1006:$AE$1006,0)), HYPERLINK("#",""), HYPERLINK(CONCATENATE("#Metadata!", ADDRESS(INDEX($Q$2:$Q$1001,MATCH(ROWS($O$2:O890),$O$2:$O$1001,0),0), INDEX($V$1004:$AE$1004,1,MATCH(COLUMNS($V$1006:Z1006),$V$1006:$AE$1006,0)))),"Fix")))</f>
        <v>0</v>
      </c>
      <c r="G890" s="3">
        <f>IF(OR(INDEX($P$2:$P$1001,MATCH(ROWS($O$2:O890),$O$2:$O$1001,0),1)&gt;=100000,INDEX($V$1005:$AE$1005,1,MATCH(COLUMNS($V$1006:AA1006),$V$1006:$AE$1006,0))&gt;=100000), " ",IF(INDEX($V$2:$AE$1001,MATCH(ROWS($O$2:O890),$O$2:$O$1001,0),MATCH(COLUMNS($V$1006:AA1006),$V$1006:$AE$1006,0)), HYPERLINK("#",""), HYPERLINK(CONCATENATE("#Metadata!", ADDRESS(INDEX($Q$2:$Q$1001,MATCH(ROWS($O$2:O890),$O$2:$O$1001,0),0), INDEX($V$1004:$AE$1004,1,MATCH(COLUMNS($V$1006:AA1006),$V$1006:$AE$1006,0)))),"Fix")))</f>
        <v>0</v>
      </c>
      <c r="H890" s="3">
        <f>IF(OR(INDEX($P$2:$P$1001,MATCH(ROWS($O$2:O890),$O$2:$O$1001,0),1)&gt;=100000,INDEX($V$1005:$AE$1005,1,MATCH(COLUMNS($V$1006:AB1006),$V$1006:$AE$1006,0))&gt;=100000), " ",IF(INDEX($V$2:$AE$1001,MATCH(ROWS($O$2:O890),$O$2:$O$1001,0),MATCH(COLUMNS($V$1006:AB1006),$V$1006:$AE$1006,0)), HYPERLINK("#",""), HYPERLINK(CONCATENATE("#Metadata!", ADDRESS(INDEX($Q$2:$Q$1001,MATCH(ROWS($O$2:O890),$O$2:$O$1001,0),0), INDEX($V$1004:$AE$1004,1,MATCH(COLUMNS($V$1006:AB1006),$V$1006:$AE$1006,0)))),"Fix")))</f>
        <v>0</v>
      </c>
      <c r="I890" s="3">
        <f>IF(OR(INDEX($P$2:$P$1001,MATCH(ROWS($O$2:O890),$O$2:$O$1001,0),1)&gt;=100000,INDEX($V$1005:$AE$1005,1,MATCH(COLUMNS($V$1006:AC1006),$V$1006:$AE$1006,0))&gt;=100000), " ",IF(INDEX($V$2:$AE$1001,MATCH(ROWS($O$2:O890),$O$2:$O$1001,0),MATCH(COLUMNS($V$1006:AC1006),$V$1006:$AE$1006,0)), HYPERLINK("#",""), HYPERLINK(CONCATENATE("#Metadata!", ADDRESS(INDEX($Q$2:$Q$1001,MATCH(ROWS($O$2:O890),$O$2:$O$1001,0),0), INDEX($V$1004:$AE$1004,1,MATCH(COLUMNS($V$1006:AC1006),$V$1006:$AE$1006,0)))),"Fix")))</f>
        <v>0</v>
      </c>
      <c r="J890" s="3">
        <f>IF(OR(INDEX($P$2:$P$1001,MATCH(ROWS($O$2:O890),$O$2:$O$1001,0),1)&gt;=100000,INDEX($V$1005:$AE$1005,1,MATCH(COLUMNS($V$1006:AD1006),$V$1006:$AE$1006,0))&gt;=100000), " ",IF(INDEX($V$2:$AE$1001,MATCH(ROWS($O$2:O890),$O$2:$O$1001,0),MATCH(COLUMNS($V$1006:AD1006),$V$1006:$AE$1006,0)), HYPERLINK("#",""), HYPERLINK(CONCATENATE("#Metadata!", ADDRESS(INDEX($Q$2:$Q$1001,MATCH(ROWS($O$2:O890),$O$2:$O$1001,0),0), INDEX($V$1004:$AE$1004,1,MATCH(COLUMNS($V$1006:AD1006),$V$1006:$AE$1006,0)))),"Fix")))</f>
        <v>0</v>
      </c>
      <c r="K890" s="3">
        <f>IF(OR(INDEX($P$2:$P$1001,MATCH(ROWS($O$2:O890),$O$2:$O$1001,0),1)&gt;=100000,INDEX($V$1005:$AE$1005,1,MATCH(COLUMNS($V$1006:AE1006),$V$1006:$AE$1006,0))&gt;=100000), " ",IF(INDEX($V$2:$AE$1001,MATCH(ROWS($O$2:O890),$O$2:$O$1001,0),MATCH(COLUMNS($V$1006:AE1006),$V$1006:$AE$1006,0)), HYPERLINK("#",""), HYPERLINK(CONCATENATE("#Metadata!", ADDRESS(INDEX($Q$2:$Q$1001,MATCH(ROWS($O$2:O890),$O$2:$O$1001,0),0), INDEX($V$1004:$AE$1004,1,MATCH(COLUMNS($V$1006:AE1006),$V$1006:$AE$1006,0)))),"Fix")))</f>
        <v>0</v>
      </c>
      <c r="O890">
        <v>0</v>
      </c>
      <c r="P890">
        <v>0</v>
      </c>
      <c r="Q890">
        <v>0</v>
      </c>
      <c r="R890">
        <f>IF(S890,TRUE,AND(V890:AE890))</f>
        <v>0</v>
      </c>
      <c r="S890">
        <f>COUNTBLANK(Metadata!B890:K890)=COLUMNS(Metadata!B890:K890)</f>
        <v>0</v>
      </c>
      <c r="T890">
        <v>0</v>
      </c>
      <c r="V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W890">
        <f>AND(IF(Metadata!C890="",FALSE,TRUE),exact(Metadata!C890,"animal secretion"))</f>
        <v>0</v>
      </c>
      <c r="X890">
        <f>AND(IF(Metadata!D890="",FALSE,TRUE),exact(Metadata!D890,"saliva"))</f>
        <v>0</v>
      </c>
      <c r="Y890">
        <f>AND(IF(Metadata!E890="",FALSE,TRUE),exact(Metadata!E890,"human-oral"))</f>
        <v>0</v>
      </c>
      <c r="Z890">
        <f>AND(IF(Metadata!F890="",FALSE,TRUE),exact(Metadata!F890,"UBERON:oral cavity"))</f>
        <v>0</v>
      </c>
      <c r="AA890">
        <f>AND(IF(Metadata!G890="",FALSE,TRUE),exact(Metadata!G890,"UBERON:saliva"))</f>
        <v>0</v>
      </c>
      <c r="AB890">
        <f>AND(IF(Metadata!H890="",FALSE,TRUE),exact(Metadata!H890,"UBERON:tongue"))</f>
        <v>0</v>
      </c>
      <c r="AC890">
        <f>AND(IF(Metadata!I890="",FALSE,TRUE),exact(Metadata!I890,"tongue"))</f>
        <v>0</v>
      </c>
      <c r="AD890">
        <f>AND(IF(Metadata!J890="",FALSE,TRUE),exact(Metadata!J890,"human oral metagenome"))</f>
        <v>0</v>
      </c>
      <c r="AE890">
        <f>AND(IF(Metadata!K890="",FALSE,TRUE),exact(Metadata!K890,"447426"))</f>
        <v>0</v>
      </c>
    </row>
    <row r="891" spans="1:31">
      <c r="A891" s="4">
        <f>IF(B891=" "," ",HYPERLINK(CONCATENATE("#metadata!",ADDRESS(INDEX($Q$2:$Q$1001,MATCH(ROWS($O$2:O891),$O$2:$O$1001,0),0),1)),INDEX($T$2:$T$1001,MATCH(ROWS($O$2:O891),$O$2:$O$1001,0),0)))</f>
        <v>0</v>
      </c>
      <c r="B891" s="3">
        <f>IF(OR(INDEX($P$2:$P$1001,MATCH(ROWS($O$2:O891),$O$2:$O$1001,0),1)&gt;=100000,INDEX($V$1005:$AE$1005,1,MATCH(COLUMNS($V$1006:V1006),$V$1006:$AE$1006,0))&gt;=100000), " ",IF(INDEX($V$2:$AE$1001,MATCH(ROWS($O$2:O891),$O$2:$O$1001,0),MATCH(COLUMNS($V$1006:V1006),$V$1006:$AE$1006,0)), HYPERLINK("#",""), HYPERLINK(CONCATENATE("#Metadata!", ADDRESS(INDEX($Q$2:$Q$1001,MATCH(ROWS($O$2:O891),$O$2:$O$1001,0),0), INDEX($V$1004:$AE$1004,1,MATCH(COLUMNS($V$1006:V1006),$V$1006:$AE$1006,0)))),"Fix")))</f>
        <v>0</v>
      </c>
      <c r="C891" s="3">
        <f>IF(OR(INDEX($P$2:$P$1001,MATCH(ROWS($O$2:O891),$O$2:$O$1001,0),1)&gt;=100000,INDEX($V$1005:$AE$1005,1,MATCH(COLUMNS($V$1006:W1006),$V$1006:$AE$1006,0))&gt;=100000), " ",IF(INDEX($V$2:$AE$1001,MATCH(ROWS($O$2:O891),$O$2:$O$1001,0),MATCH(COLUMNS($V$1006:W1006),$V$1006:$AE$1006,0)), HYPERLINK("#",""), HYPERLINK(CONCATENATE("#Metadata!", ADDRESS(INDEX($Q$2:$Q$1001,MATCH(ROWS($O$2:O891),$O$2:$O$1001,0),0), INDEX($V$1004:$AE$1004,1,MATCH(COLUMNS($V$1006:W1006),$V$1006:$AE$1006,0)))),"Fix")))</f>
        <v>0</v>
      </c>
      <c r="D891" s="3">
        <f>IF(OR(INDEX($P$2:$P$1001,MATCH(ROWS($O$2:O891),$O$2:$O$1001,0),1)&gt;=100000,INDEX($V$1005:$AE$1005,1,MATCH(COLUMNS($V$1006:X1006),$V$1006:$AE$1006,0))&gt;=100000), " ",IF(INDEX($V$2:$AE$1001,MATCH(ROWS($O$2:O891),$O$2:$O$1001,0),MATCH(COLUMNS($V$1006:X1006),$V$1006:$AE$1006,0)), HYPERLINK("#",""), HYPERLINK(CONCATENATE("#Metadata!", ADDRESS(INDEX($Q$2:$Q$1001,MATCH(ROWS($O$2:O891),$O$2:$O$1001,0),0), INDEX($V$1004:$AE$1004,1,MATCH(COLUMNS($V$1006:X1006),$V$1006:$AE$1006,0)))),"Fix")))</f>
        <v>0</v>
      </c>
      <c r="E891" s="3">
        <f>IF(OR(INDEX($P$2:$P$1001,MATCH(ROWS($O$2:O891),$O$2:$O$1001,0),1)&gt;=100000,INDEX($V$1005:$AE$1005,1,MATCH(COLUMNS($V$1006:Y1006),$V$1006:$AE$1006,0))&gt;=100000), " ",IF(INDEX($V$2:$AE$1001,MATCH(ROWS($O$2:O891),$O$2:$O$1001,0),MATCH(COLUMNS($V$1006:Y1006),$V$1006:$AE$1006,0)), HYPERLINK("#",""), HYPERLINK(CONCATENATE("#Metadata!", ADDRESS(INDEX($Q$2:$Q$1001,MATCH(ROWS($O$2:O891),$O$2:$O$1001,0),0), INDEX($V$1004:$AE$1004,1,MATCH(COLUMNS($V$1006:Y1006),$V$1006:$AE$1006,0)))),"Fix")))</f>
        <v>0</v>
      </c>
      <c r="F891" s="3">
        <f>IF(OR(INDEX($P$2:$P$1001,MATCH(ROWS($O$2:O891),$O$2:$O$1001,0),1)&gt;=100000,INDEX($V$1005:$AE$1005,1,MATCH(COLUMNS($V$1006:Z1006),$V$1006:$AE$1006,0))&gt;=100000), " ",IF(INDEX($V$2:$AE$1001,MATCH(ROWS($O$2:O891),$O$2:$O$1001,0),MATCH(COLUMNS($V$1006:Z1006),$V$1006:$AE$1006,0)), HYPERLINK("#",""), HYPERLINK(CONCATENATE("#Metadata!", ADDRESS(INDEX($Q$2:$Q$1001,MATCH(ROWS($O$2:O891),$O$2:$O$1001,0),0), INDEX($V$1004:$AE$1004,1,MATCH(COLUMNS($V$1006:Z1006),$V$1006:$AE$1006,0)))),"Fix")))</f>
        <v>0</v>
      </c>
      <c r="G891" s="3">
        <f>IF(OR(INDEX($P$2:$P$1001,MATCH(ROWS($O$2:O891),$O$2:$O$1001,0),1)&gt;=100000,INDEX($V$1005:$AE$1005,1,MATCH(COLUMNS($V$1006:AA1006),$V$1006:$AE$1006,0))&gt;=100000), " ",IF(INDEX($V$2:$AE$1001,MATCH(ROWS($O$2:O891),$O$2:$O$1001,0),MATCH(COLUMNS($V$1006:AA1006),$V$1006:$AE$1006,0)), HYPERLINK("#",""), HYPERLINK(CONCATENATE("#Metadata!", ADDRESS(INDEX($Q$2:$Q$1001,MATCH(ROWS($O$2:O891),$O$2:$O$1001,0),0), INDEX($V$1004:$AE$1004,1,MATCH(COLUMNS($V$1006:AA1006),$V$1006:$AE$1006,0)))),"Fix")))</f>
        <v>0</v>
      </c>
      <c r="H891" s="3">
        <f>IF(OR(INDEX($P$2:$P$1001,MATCH(ROWS($O$2:O891),$O$2:$O$1001,0),1)&gt;=100000,INDEX($V$1005:$AE$1005,1,MATCH(COLUMNS($V$1006:AB1006),$V$1006:$AE$1006,0))&gt;=100000), " ",IF(INDEX($V$2:$AE$1001,MATCH(ROWS($O$2:O891),$O$2:$O$1001,0),MATCH(COLUMNS($V$1006:AB1006),$V$1006:$AE$1006,0)), HYPERLINK("#",""), HYPERLINK(CONCATENATE("#Metadata!", ADDRESS(INDEX($Q$2:$Q$1001,MATCH(ROWS($O$2:O891),$O$2:$O$1001,0),0), INDEX($V$1004:$AE$1004,1,MATCH(COLUMNS($V$1006:AB1006),$V$1006:$AE$1006,0)))),"Fix")))</f>
        <v>0</v>
      </c>
      <c r="I891" s="3">
        <f>IF(OR(INDEX($P$2:$P$1001,MATCH(ROWS($O$2:O891),$O$2:$O$1001,0),1)&gt;=100000,INDEX($V$1005:$AE$1005,1,MATCH(COLUMNS($V$1006:AC1006),$V$1006:$AE$1006,0))&gt;=100000), " ",IF(INDEX($V$2:$AE$1001,MATCH(ROWS($O$2:O891),$O$2:$O$1001,0),MATCH(COLUMNS($V$1006:AC1006),$V$1006:$AE$1006,0)), HYPERLINK("#",""), HYPERLINK(CONCATENATE("#Metadata!", ADDRESS(INDEX($Q$2:$Q$1001,MATCH(ROWS($O$2:O891),$O$2:$O$1001,0),0), INDEX($V$1004:$AE$1004,1,MATCH(COLUMNS($V$1006:AC1006),$V$1006:$AE$1006,0)))),"Fix")))</f>
        <v>0</v>
      </c>
      <c r="J891" s="3">
        <f>IF(OR(INDEX($P$2:$P$1001,MATCH(ROWS($O$2:O891),$O$2:$O$1001,0),1)&gt;=100000,INDEX($V$1005:$AE$1005,1,MATCH(COLUMNS($V$1006:AD1006),$V$1006:$AE$1006,0))&gt;=100000), " ",IF(INDEX($V$2:$AE$1001,MATCH(ROWS($O$2:O891),$O$2:$O$1001,0),MATCH(COLUMNS($V$1006:AD1006),$V$1006:$AE$1006,0)), HYPERLINK("#",""), HYPERLINK(CONCATENATE("#Metadata!", ADDRESS(INDEX($Q$2:$Q$1001,MATCH(ROWS($O$2:O891),$O$2:$O$1001,0),0), INDEX($V$1004:$AE$1004,1,MATCH(COLUMNS($V$1006:AD1006),$V$1006:$AE$1006,0)))),"Fix")))</f>
        <v>0</v>
      </c>
      <c r="K891" s="3">
        <f>IF(OR(INDEX($P$2:$P$1001,MATCH(ROWS($O$2:O891),$O$2:$O$1001,0),1)&gt;=100000,INDEX($V$1005:$AE$1005,1,MATCH(COLUMNS($V$1006:AE1006),$V$1006:$AE$1006,0))&gt;=100000), " ",IF(INDEX($V$2:$AE$1001,MATCH(ROWS($O$2:O891),$O$2:$O$1001,0),MATCH(COLUMNS($V$1006:AE1006),$V$1006:$AE$1006,0)), HYPERLINK("#",""), HYPERLINK(CONCATENATE("#Metadata!", ADDRESS(INDEX($Q$2:$Q$1001,MATCH(ROWS($O$2:O891),$O$2:$O$1001,0),0), INDEX($V$1004:$AE$1004,1,MATCH(COLUMNS($V$1006:AE1006),$V$1006:$AE$1006,0)))),"Fix")))</f>
        <v>0</v>
      </c>
      <c r="O891">
        <v>0</v>
      </c>
      <c r="P891">
        <v>0</v>
      </c>
      <c r="Q891">
        <v>0</v>
      </c>
      <c r="R891">
        <f>IF(S891,TRUE,AND(V891:AE891))</f>
        <v>0</v>
      </c>
      <c r="S891">
        <f>COUNTBLANK(Metadata!B891:K891)=COLUMNS(Metadata!B891:K891)</f>
        <v>0</v>
      </c>
      <c r="T891">
        <v>0</v>
      </c>
      <c r="V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W891">
        <f>AND(IF(Metadata!C891="",FALSE,TRUE),exact(Metadata!C891,"animal secretion"))</f>
        <v>0</v>
      </c>
      <c r="X891">
        <f>AND(IF(Metadata!D891="",FALSE,TRUE),exact(Metadata!D891,"saliva"))</f>
        <v>0</v>
      </c>
      <c r="Y891">
        <f>AND(IF(Metadata!E891="",FALSE,TRUE),exact(Metadata!E891,"human-oral"))</f>
        <v>0</v>
      </c>
      <c r="Z891">
        <f>AND(IF(Metadata!F891="",FALSE,TRUE),exact(Metadata!F891,"UBERON:oral cavity"))</f>
        <v>0</v>
      </c>
      <c r="AA891">
        <f>AND(IF(Metadata!G891="",FALSE,TRUE),exact(Metadata!G891,"UBERON:saliva"))</f>
        <v>0</v>
      </c>
      <c r="AB891">
        <f>AND(IF(Metadata!H891="",FALSE,TRUE),exact(Metadata!H891,"UBERON:tongue"))</f>
        <v>0</v>
      </c>
      <c r="AC891">
        <f>AND(IF(Metadata!I891="",FALSE,TRUE),exact(Metadata!I891,"tongue"))</f>
        <v>0</v>
      </c>
      <c r="AD891">
        <f>AND(IF(Metadata!J891="",FALSE,TRUE),exact(Metadata!J891,"human oral metagenome"))</f>
        <v>0</v>
      </c>
      <c r="AE891">
        <f>AND(IF(Metadata!K891="",FALSE,TRUE),exact(Metadata!K891,"447426"))</f>
        <v>0</v>
      </c>
    </row>
    <row r="892" spans="1:31">
      <c r="A892" s="4">
        <f>IF(B892=" "," ",HYPERLINK(CONCATENATE("#metadata!",ADDRESS(INDEX($Q$2:$Q$1001,MATCH(ROWS($O$2:O892),$O$2:$O$1001,0),0),1)),INDEX($T$2:$T$1001,MATCH(ROWS($O$2:O892),$O$2:$O$1001,0),0)))</f>
        <v>0</v>
      </c>
      <c r="B892" s="3">
        <f>IF(OR(INDEX($P$2:$P$1001,MATCH(ROWS($O$2:O892),$O$2:$O$1001,0),1)&gt;=100000,INDEX($V$1005:$AE$1005,1,MATCH(COLUMNS($V$1006:V1006),$V$1006:$AE$1006,0))&gt;=100000), " ",IF(INDEX($V$2:$AE$1001,MATCH(ROWS($O$2:O892),$O$2:$O$1001,0),MATCH(COLUMNS($V$1006:V1006),$V$1006:$AE$1006,0)), HYPERLINK("#",""), HYPERLINK(CONCATENATE("#Metadata!", ADDRESS(INDEX($Q$2:$Q$1001,MATCH(ROWS($O$2:O892),$O$2:$O$1001,0),0), INDEX($V$1004:$AE$1004,1,MATCH(COLUMNS($V$1006:V1006),$V$1006:$AE$1006,0)))),"Fix")))</f>
        <v>0</v>
      </c>
      <c r="C892" s="3">
        <f>IF(OR(INDEX($P$2:$P$1001,MATCH(ROWS($O$2:O892),$O$2:$O$1001,0),1)&gt;=100000,INDEX($V$1005:$AE$1005,1,MATCH(COLUMNS($V$1006:W1006),$V$1006:$AE$1006,0))&gt;=100000), " ",IF(INDEX($V$2:$AE$1001,MATCH(ROWS($O$2:O892),$O$2:$O$1001,0),MATCH(COLUMNS($V$1006:W1006),$V$1006:$AE$1006,0)), HYPERLINK("#",""), HYPERLINK(CONCATENATE("#Metadata!", ADDRESS(INDEX($Q$2:$Q$1001,MATCH(ROWS($O$2:O892),$O$2:$O$1001,0),0), INDEX($V$1004:$AE$1004,1,MATCH(COLUMNS($V$1006:W1006),$V$1006:$AE$1006,0)))),"Fix")))</f>
        <v>0</v>
      </c>
      <c r="D892" s="3">
        <f>IF(OR(INDEX($P$2:$P$1001,MATCH(ROWS($O$2:O892),$O$2:$O$1001,0),1)&gt;=100000,INDEX($V$1005:$AE$1005,1,MATCH(COLUMNS($V$1006:X1006),$V$1006:$AE$1006,0))&gt;=100000), " ",IF(INDEX($V$2:$AE$1001,MATCH(ROWS($O$2:O892),$O$2:$O$1001,0),MATCH(COLUMNS($V$1006:X1006),$V$1006:$AE$1006,0)), HYPERLINK("#",""), HYPERLINK(CONCATENATE("#Metadata!", ADDRESS(INDEX($Q$2:$Q$1001,MATCH(ROWS($O$2:O892),$O$2:$O$1001,0),0), INDEX($V$1004:$AE$1004,1,MATCH(COLUMNS($V$1006:X1006),$V$1006:$AE$1006,0)))),"Fix")))</f>
        <v>0</v>
      </c>
      <c r="E892" s="3">
        <f>IF(OR(INDEX($P$2:$P$1001,MATCH(ROWS($O$2:O892),$O$2:$O$1001,0),1)&gt;=100000,INDEX($V$1005:$AE$1005,1,MATCH(COLUMNS($V$1006:Y1006),$V$1006:$AE$1006,0))&gt;=100000), " ",IF(INDEX($V$2:$AE$1001,MATCH(ROWS($O$2:O892),$O$2:$O$1001,0),MATCH(COLUMNS($V$1006:Y1006),$V$1006:$AE$1006,0)), HYPERLINK("#",""), HYPERLINK(CONCATENATE("#Metadata!", ADDRESS(INDEX($Q$2:$Q$1001,MATCH(ROWS($O$2:O892),$O$2:$O$1001,0),0), INDEX($V$1004:$AE$1004,1,MATCH(COLUMNS($V$1006:Y1006),$V$1006:$AE$1006,0)))),"Fix")))</f>
        <v>0</v>
      </c>
      <c r="F892" s="3">
        <f>IF(OR(INDEX($P$2:$P$1001,MATCH(ROWS($O$2:O892),$O$2:$O$1001,0),1)&gt;=100000,INDEX($V$1005:$AE$1005,1,MATCH(COLUMNS($V$1006:Z1006),$V$1006:$AE$1006,0))&gt;=100000), " ",IF(INDEX($V$2:$AE$1001,MATCH(ROWS($O$2:O892),$O$2:$O$1001,0),MATCH(COLUMNS($V$1006:Z1006),$V$1006:$AE$1006,0)), HYPERLINK("#",""), HYPERLINK(CONCATENATE("#Metadata!", ADDRESS(INDEX($Q$2:$Q$1001,MATCH(ROWS($O$2:O892),$O$2:$O$1001,0),0), INDEX($V$1004:$AE$1004,1,MATCH(COLUMNS($V$1006:Z1006),$V$1006:$AE$1006,0)))),"Fix")))</f>
        <v>0</v>
      </c>
      <c r="G892" s="3">
        <f>IF(OR(INDEX($P$2:$P$1001,MATCH(ROWS($O$2:O892),$O$2:$O$1001,0),1)&gt;=100000,INDEX($V$1005:$AE$1005,1,MATCH(COLUMNS($V$1006:AA1006),$V$1006:$AE$1006,0))&gt;=100000), " ",IF(INDEX($V$2:$AE$1001,MATCH(ROWS($O$2:O892),$O$2:$O$1001,0),MATCH(COLUMNS($V$1006:AA1006),$V$1006:$AE$1006,0)), HYPERLINK("#",""), HYPERLINK(CONCATENATE("#Metadata!", ADDRESS(INDEX($Q$2:$Q$1001,MATCH(ROWS($O$2:O892),$O$2:$O$1001,0),0), INDEX($V$1004:$AE$1004,1,MATCH(COLUMNS($V$1006:AA1006),$V$1006:$AE$1006,0)))),"Fix")))</f>
        <v>0</v>
      </c>
      <c r="H892" s="3">
        <f>IF(OR(INDEX($P$2:$P$1001,MATCH(ROWS($O$2:O892),$O$2:$O$1001,0),1)&gt;=100000,INDEX($V$1005:$AE$1005,1,MATCH(COLUMNS($V$1006:AB1006),$V$1006:$AE$1006,0))&gt;=100000), " ",IF(INDEX($V$2:$AE$1001,MATCH(ROWS($O$2:O892),$O$2:$O$1001,0),MATCH(COLUMNS($V$1006:AB1006),$V$1006:$AE$1006,0)), HYPERLINK("#",""), HYPERLINK(CONCATENATE("#Metadata!", ADDRESS(INDEX($Q$2:$Q$1001,MATCH(ROWS($O$2:O892),$O$2:$O$1001,0),0), INDEX($V$1004:$AE$1004,1,MATCH(COLUMNS($V$1006:AB1006),$V$1006:$AE$1006,0)))),"Fix")))</f>
        <v>0</v>
      </c>
      <c r="I892" s="3">
        <f>IF(OR(INDEX($P$2:$P$1001,MATCH(ROWS($O$2:O892),$O$2:$O$1001,0),1)&gt;=100000,INDEX($V$1005:$AE$1005,1,MATCH(COLUMNS($V$1006:AC1006),$V$1006:$AE$1006,0))&gt;=100000), " ",IF(INDEX($V$2:$AE$1001,MATCH(ROWS($O$2:O892),$O$2:$O$1001,0),MATCH(COLUMNS($V$1006:AC1006),$V$1006:$AE$1006,0)), HYPERLINK("#",""), HYPERLINK(CONCATENATE("#Metadata!", ADDRESS(INDEX($Q$2:$Q$1001,MATCH(ROWS($O$2:O892),$O$2:$O$1001,0),0), INDEX($V$1004:$AE$1004,1,MATCH(COLUMNS($V$1006:AC1006),$V$1006:$AE$1006,0)))),"Fix")))</f>
        <v>0</v>
      </c>
      <c r="J892" s="3">
        <f>IF(OR(INDEX($P$2:$P$1001,MATCH(ROWS($O$2:O892),$O$2:$O$1001,0),1)&gt;=100000,INDEX($V$1005:$AE$1005,1,MATCH(COLUMNS($V$1006:AD1006),$V$1006:$AE$1006,0))&gt;=100000), " ",IF(INDEX($V$2:$AE$1001,MATCH(ROWS($O$2:O892),$O$2:$O$1001,0),MATCH(COLUMNS($V$1006:AD1006),$V$1006:$AE$1006,0)), HYPERLINK("#",""), HYPERLINK(CONCATENATE("#Metadata!", ADDRESS(INDEX($Q$2:$Q$1001,MATCH(ROWS($O$2:O892),$O$2:$O$1001,0),0), INDEX($V$1004:$AE$1004,1,MATCH(COLUMNS($V$1006:AD1006),$V$1006:$AE$1006,0)))),"Fix")))</f>
        <v>0</v>
      </c>
      <c r="K892" s="3">
        <f>IF(OR(INDEX($P$2:$P$1001,MATCH(ROWS($O$2:O892),$O$2:$O$1001,0),1)&gt;=100000,INDEX($V$1005:$AE$1005,1,MATCH(COLUMNS($V$1006:AE1006),$V$1006:$AE$1006,0))&gt;=100000), " ",IF(INDEX($V$2:$AE$1001,MATCH(ROWS($O$2:O892),$O$2:$O$1001,0),MATCH(COLUMNS($V$1006:AE1006),$V$1006:$AE$1006,0)), HYPERLINK("#",""), HYPERLINK(CONCATENATE("#Metadata!", ADDRESS(INDEX($Q$2:$Q$1001,MATCH(ROWS($O$2:O892),$O$2:$O$1001,0),0), INDEX($V$1004:$AE$1004,1,MATCH(COLUMNS($V$1006:AE1006),$V$1006:$AE$1006,0)))),"Fix")))</f>
        <v>0</v>
      </c>
      <c r="O892">
        <v>0</v>
      </c>
      <c r="P892">
        <v>0</v>
      </c>
      <c r="Q892">
        <v>0</v>
      </c>
      <c r="R892">
        <f>IF(S892,TRUE,AND(V892:AE892))</f>
        <v>0</v>
      </c>
      <c r="S892">
        <f>COUNTBLANK(Metadata!B892:K892)=COLUMNS(Metadata!B892:K892)</f>
        <v>0</v>
      </c>
      <c r="T892">
        <v>0</v>
      </c>
      <c r="V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W892">
        <f>AND(IF(Metadata!C892="",FALSE,TRUE),exact(Metadata!C892,"animal secretion"))</f>
        <v>0</v>
      </c>
      <c r="X892">
        <f>AND(IF(Metadata!D892="",FALSE,TRUE),exact(Metadata!D892,"saliva"))</f>
        <v>0</v>
      </c>
      <c r="Y892">
        <f>AND(IF(Metadata!E892="",FALSE,TRUE),exact(Metadata!E892,"human-oral"))</f>
        <v>0</v>
      </c>
      <c r="Z892">
        <f>AND(IF(Metadata!F892="",FALSE,TRUE),exact(Metadata!F892,"UBERON:oral cavity"))</f>
        <v>0</v>
      </c>
      <c r="AA892">
        <f>AND(IF(Metadata!G892="",FALSE,TRUE),exact(Metadata!G892,"UBERON:saliva"))</f>
        <v>0</v>
      </c>
      <c r="AB892">
        <f>AND(IF(Metadata!H892="",FALSE,TRUE),exact(Metadata!H892,"UBERON:tongue"))</f>
        <v>0</v>
      </c>
      <c r="AC892">
        <f>AND(IF(Metadata!I892="",FALSE,TRUE),exact(Metadata!I892,"tongue"))</f>
        <v>0</v>
      </c>
      <c r="AD892">
        <f>AND(IF(Metadata!J892="",FALSE,TRUE),exact(Metadata!J892,"human oral metagenome"))</f>
        <v>0</v>
      </c>
      <c r="AE892">
        <f>AND(IF(Metadata!K892="",FALSE,TRUE),exact(Metadata!K892,"447426"))</f>
        <v>0</v>
      </c>
    </row>
    <row r="893" spans="1:31">
      <c r="A893" s="4">
        <f>IF(B893=" "," ",HYPERLINK(CONCATENATE("#metadata!",ADDRESS(INDEX($Q$2:$Q$1001,MATCH(ROWS($O$2:O893),$O$2:$O$1001,0),0),1)),INDEX($T$2:$T$1001,MATCH(ROWS($O$2:O893),$O$2:$O$1001,0),0)))</f>
        <v>0</v>
      </c>
      <c r="B893" s="3">
        <f>IF(OR(INDEX($P$2:$P$1001,MATCH(ROWS($O$2:O893),$O$2:$O$1001,0),1)&gt;=100000,INDEX($V$1005:$AE$1005,1,MATCH(COLUMNS($V$1006:V1006),$V$1006:$AE$1006,0))&gt;=100000), " ",IF(INDEX($V$2:$AE$1001,MATCH(ROWS($O$2:O893),$O$2:$O$1001,0),MATCH(COLUMNS($V$1006:V1006),$V$1006:$AE$1006,0)), HYPERLINK("#",""), HYPERLINK(CONCATENATE("#Metadata!", ADDRESS(INDEX($Q$2:$Q$1001,MATCH(ROWS($O$2:O893),$O$2:$O$1001,0),0), INDEX($V$1004:$AE$1004,1,MATCH(COLUMNS($V$1006:V1006),$V$1006:$AE$1006,0)))),"Fix")))</f>
        <v>0</v>
      </c>
      <c r="C893" s="3">
        <f>IF(OR(INDEX($P$2:$P$1001,MATCH(ROWS($O$2:O893),$O$2:$O$1001,0),1)&gt;=100000,INDEX($V$1005:$AE$1005,1,MATCH(COLUMNS($V$1006:W1006),$V$1006:$AE$1006,0))&gt;=100000), " ",IF(INDEX($V$2:$AE$1001,MATCH(ROWS($O$2:O893),$O$2:$O$1001,0),MATCH(COLUMNS($V$1006:W1006),$V$1006:$AE$1006,0)), HYPERLINK("#",""), HYPERLINK(CONCATENATE("#Metadata!", ADDRESS(INDEX($Q$2:$Q$1001,MATCH(ROWS($O$2:O893),$O$2:$O$1001,0),0), INDEX($V$1004:$AE$1004,1,MATCH(COLUMNS($V$1006:W1006),$V$1006:$AE$1006,0)))),"Fix")))</f>
        <v>0</v>
      </c>
      <c r="D893" s="3">
        <f>IF(OR(INDEX($P$2:$P$1001,MATCH(ROWS($O$2:O893),$O$2:$O$1001,0),1)&gt;=100000,INDEX($V$1005:$AE$1005,1,MATCH(COLUMNS($V$1006:X1006),$V$1006:$AE$1006,0))&gt;=100000), " ",IF(INDEX($V$2:$AE$1001,MATCH(ROWS($O$2:O893),$O$2:$O$1001,0),MATCH(COLUMNS($V$1006:X1006),$V$1006:$AE$1006,0)), HYPERLINK("#",""), HYPERLINK(CONCATENATE("#Metadata!", ADDRESS(INDEX($Q$2:$Q$1001,MATCH(ROWS($O$2:O893),$O$2:$O$1001,0),0), INDEX($V$1004:$AE$1004,1,MATCH(COLUMNS($V$1006:X1006),$V$1006:$AE$1006,0)))),"Fix")))</f>
        <v>0</v>
      </c>
      <c r="E893" s="3">
        <f>IF(OR(INDEX($P$2:$P$1001,MATCH(ROWS($O$2:O893),$O$2:$O$1001,0),1)&gt;=100000,INDEX($V$1005:$AE$1005,1,MATCH(COLUMNS($V$1006:Y1006),$V$1006:$AE$1006,0))&gt;=100000), " ",IF(INDEX($V$2:$AE$1001,MATCH(ROWS($O$2:O893),$O$2:$O$1001,0),MATCH(COLUMNS($V$1006:Y1006),$V$1006:$AE$1006,0)), HYPERLINK("#",""), HYPERLINK(CONCATENATE("#Metadata!", ADDRESS(INDEX($Q$2:$Q$1001,MATCH(ROWS($O$2:O893),$O$2:$O$1001,0),0), INDEX($V$1004:$AE$1004,1,MATCH(COLUMNS($V$1006:Y1006),$V$1006:$AE$1006,0)))),"Fix")))</f>
        <v>0</v>
      </c>
      <c r="F893" s="3">
        <f>IF(OR(INDEX($P$2:$P$1001,MATCH(ROWS($O$2:O893),$O$2:$O$1001,0),1)&gt;=100000,INDEX($V$1005:$AE$1005,1,MATCH(COLUMNS($V$1006:Z1006),$V$1006:$AE$1006,0))&gt;=100000), " ",IF(INDEX($V$2:$AE$1001,MATCH(ROWS($O$2:O893),$O$2:$O$1001,0),MATCH(COLUMNS($V$1006:Z1006),$V$1006:$AE$1006,0)), HYPERLINK("#",""), HYPERLINK(CONCATENATE("#Metadata!", ADDRESS(INDEX($Q$2:$Q$1001,MATCH(ROWS($O$2:O893),$O$2:$O$1001,0),0), INDEX($V$1004:$AE$1004,1,MATCH(COLUMNS($V$1006:Z1006),$V$1006:$AE$1006,0)))),"Fix")))</f>
        <v>0</v>
      </c>
      <c r="G893" s="3">
        <f>IF(OR(INDEX($P$2:$P$1001,MATCH(ROWS($O$2:O893),$O$2:$O$1001,0),1)&gt;=100000,INDEX($V$1005:$AE$1005,1,MATCH(COLUMNS($V$1006:AA1006),$V$1006:$AE$1006,0))&gt;=100000), " ",IF(INDEX($V$2:$AE$1001,MATCH(ROWS($O$2:O893),$O$2:$O$1001,0),MATCH(COLUMNS($V$1006:AA1006),$V$1006:$AE$1006,0)), HYPERLINK("#",""), HYPERLINK(CONCATENATE("#Metadata!", ADDRESS(INDEX($Q$2:$Q$1001,MATCH(ROWS($O$2:O893),$O$2:$O$1001,0),0), INDEX($V$1004:$AE$1004,1,MATCH(COLUMNS($V$1006:AA1006),$V$1006:$AE$1006,0)))),"Fix")))</f>
        <v>0</v>
      </c>
      <c r="H893" s="3">
        <f>IF(OR(INDEX($P$2:$P$1001,MATCH(ROWS($O$2:O893),$O$2:$O$1001,0),1)&gt;=100000,INDEX($V$1005:$AE$1005,1,MATCH(COLUMNS($V$1006:AB1006),$V$1006:$AE$1006,0))&gt;=100000), " ",IF(INDEX($V$2:$AE$1001,MATCH(ROWS($O$2:O893),$O$2:$O$1001,0),MATCH(COLUMNS($V$1006:AB1006),$V$1006:$AE$1006,0)), HYPERLINK("#",""), HYPERLINK(CONCATENATE("#Metadata!", ADDRESS(INDEX($Q$2:$Q$1001,MATCH(ROWS($O$2:O893),$O$2:$O$1001,0),0), INDEX($V$1004:$AE$1004,1,MATCH(COLUMNS($V$1006:AB1006),$V$1006:$AE$1006,0)))),"Fix")))</f>
        <v>0</v>
      </c>
      <c r="I893" s="3">
        <f>IF(OR(INDEX($P$2:$P$1001,MATCH(ROWS($O$2:O893),$O$2:$O$1001,0),1)&gt;=100000,INDEX($V$1005:$AE$1005,1,MATCH(COLUMNS($V$1006:AC1006),$V$1006:$AE$1006,0))&gt;=100000), " ",IF(INDEX($V$2:$AE$1001,MATCH(ROWS($O$2:O893),$O$2:$O$1001,0),MATCH(COLUMNS($V$1006:AC1006),$V$1006:$AE$1006,0)), HYPERLINK("#",""), HYPERLINK(CONCATENATE("#Metadata!", ADDRESS(INDEX($Q$2:$Q$1001,MATCH(ROWS($O$2:O893),$O$2:$O$1001,0),0), INDEX($V$1004:$AE$1004,1,MATCH(COLUMNS($V$1006:AC1006),$V$1006:$AE$1006,0)))),"Fix")))</f>
        <v>0</v>
      </c>
      <c r="J893" s="3">
        <f>IF(OR(INDEX($P$2:$P$1001,MATCH(ROWS($O$2:O893),$O$2:$O$1001,0),1)&gt;=100000,INDEX($V$1005:$AE$1005,1,MATCH(COLUMNS($V$1006:AD1006),$V$1006:$AE$1006,0))&gt;=100000), " ",IF(INDEX($V$2:$AE$1001,MATCH(ROWS($O$2:O893),$O$2:$O$1001,0),MATCH(COLUMNS($V$1006:AD1006),$V$1006:$AE$1006,0)), HYPERLINK("#",""), HYPERLINK(CONCATENATE("#Metadata!", ADDRESS(INDEX($Q$2:$Q$1001,MATCH(ROWS($O$2:O893),$O$2:$O$1001,0),0), INDEX($V$1004:$AE$1004,1,MATCH(COLUMNS($V$1006:AD1006),$V$1006:$AE$1006,0)))),"Fix")))</f>
        <v>0</v>
      </c>
      <c r="K893" s="3">
        <f>IF(OR(INDEX($P$2:$P$1001,MATCH(ROWS($O$2:O893),$O$2:$O$1001,0),1)&gt;=100000,INDEX($V$1005:$AE$1005,1,MATCH(COLUMNS($V$1006:AE1006),$V$1006:$AE$1006,0))&gt;=100000), " ",IF(INDEX($V$2:$AE$1001,MATCH(ROWS($O$2:O893),$O$2:$O$1001,0),MATCH(COLUMNS($V$1006:AE1006),$V$1006:$AE$1006,0)), HYPERLINK("#",""), HYPERLINK(CONCATENATE("#Metadata!", ADDRESS(INDEX($Q$2:$Q$1001,MATCH(ROWS($O$2:O893),$O$2:$O$1001,0),0), INDEX($V$1004:$AE$1004,1,MATCH(COLUMNS($V$1006:AE1006),$V$1006:$AE$1006,0)))),"Fix")))</f>
        <v>0</v>
      </c>
      <c r="O893">
        <v>0</v>
      </c>
      <c r="P893">
        <v>0</v>
      </c>
      <c r="Q893">
        <v>0</v>
      </c>
      <c r="R893">
        <f>IF(S893,TRUE,AND(V893:AE893))</f>
        <v>0</v>
      </c>
      <c r="S893">
        <f>COUNTBLANK(Metadata!B893:K893)=COLUMNS(Metadata!B893:K893)</f>
        <v>0</v>
      </c>
      <c r="T893">
        <v>0</v>
      </c>
      <c r="V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W893">
        <f>AND(IF(Metadata!C893="",FALSE,TRUE),exact(Metadata!C893,"animal secretion"))</f>
        <v>0</v>
      </c>
      <c r="X893">
        <f>AND(IF(Metadata!D893="",FALSE,TRUE),exact(Metadata!D893,"saliva"))</f>
        <v>0</v>
      </c>
      <c r="Y893">
        <f>AND(IF(Metadata!E893="",FALSE,TRUE),exact(Metadata!E893,"human-oral"))</f>
        <v>0</v>
      </c>
      <c r="Z893">
        <f>AND(IF(Metadata!F893="",FALSE,TRUE),exact(Metadata!F893,"UBERON:oral cavity"))</f>
        <v>0</v>
      </c>
      <c r="AA893">
        <f>AND(IF(Metadata!G893="",FALSE,TRUE),exact(Metadata!G893,"UBERON:saliva"))</f>
        <v>0</v>
      </c>
      <c r="AB893">
        <f>AND(IF(Metadata!H893="",FALSE,TRUE),exact(Metadata!H893,"UBERON:tongue"))</f>
        <v>0</v>
      </c>
      <c r="AC893">
        <f>AND(IF(Metadata!I893="",FALSE,TRUE),exact(Metadata!I893,"tongue"))</f>
        <v>0</v>
      </c>
      <c r="AD893">
        <f>AND(IF(Metadata!J893="",FALSE,TRUE),exact(Metadata!J893,"human oral metagenome"))</f>
        <v>0</v>
      </c>
      <c r="AE893">
        <f>AND(IF(Metadata!K893="",FALSE,TRUE),exact(Metadata!K893,"447426"))</f>
        <v>0</v>
      </c>
    </row>
    <row r="894" spans="1:31">
      <c r="A894" s="4">
        <f>IF(B894=" "," ",HYPERLINK(CONCATENATE("#metadata!",ADDRESS(INDEX($Q$2:$Q$1001,MATCH(ROWS($O$2:O894),$O$2:$O$1001,0),0),1)),INDEX($T$2:$T$1001,MATCH(ROWS($O$2:O894),$O$2:$O$1001,0),0)))</f>
        <v>0</v>
      </c>
      <c r="B894" s="3">
        <f>IF(OR(INDEX($P$2:$P$1001,MATCH(ROWS($O$2:O894),$O$2:$O$1001,0),1)&gt;=100000,INDEX($V$1005:$AE$1005,1,MATCH(COLUMNS($V$1006:V1006),$V$1006:$AE$1006,0))&gt;=100000), " ",IF(INDEX($V$2:$AE$1001,MATCH(ROWS($O$2:O894),$O$2:$O$1001,0),MATCH(COLUMNS($V$1006:V1006),$V$1006:$AE$1006,0)), HYPERLINK("#",""), HYPERLINK(CONCATENATE("#Metadata!", ADDRESS(INDEX($Q$2:$Q$1001,MATCH(ROWS($O$2:O894),$O$2:$O$1001,0),0), INDEX($V$1004:$AE$1004,1,MATCH(COLUMNS($V$1006:V1006),$V$1006:$AE$1006,0)))),"Fix")))</f>
        <v>0</v>
      </c>
      <c r="C894" s="3">
        <f>IF(OR(INDEX($P$2:$P$1001,MATCH(ROWS($O$2:O894),$O$2:$O$1001,0),1)&gt;=100000,INDEX($V$1005:$AE$1005,1,MATCH(COLUMNS($V$1006:W1006),$V$1006:$AE$1006,0))&gt;=100000), " ",IF(INDEX($V$2:$AE$1001,MATCH(ROWS($O$2:O894),$O$2:$O$1001,0),MATCH(COLUMNS($V$1006:W1006),$V$1006:$AE$1006,0)), HYPERLINK("#",""), HYPERLINK(CONCATENATE("#Metadata!", ADDRESS(INDEX($Q$2:$Q$1001,MATCH(ROWS($O$2:O894),$O$2:$O$1001,0),0), INDEX($V$1004:$AE$1004,1,MATCH(COLUMNS($V$1006:W1006),$V$1006:$AE$1006,0)))),"Fix")))</f>
        <v>0</v>
      </c>
      <c r="D894" s="3">
        <f>IF(OR(INDEX($P$2:$P$1001,MATCH(ROWS($O$2:O894),$O$2:$O$1001,0),1)&gt;=100000,INDEX($V$1005:$AE$1005,1,MATCH(COLUMNS($V$1006:X1006),$V$1006:$AE$1006,0))&gt;=100000), " ",IF(INDEX($V$2:$AE$1001,MATCH(ROWS($O$2:O894),$O$2:$O$1001,0),MATCH(COLUMNS($V$1006:X1006),$V$1006:$AE$1006,0)), HYPERLINK("#",""), HYPERLINK(CONCATENATE("#Metadata!", ADDRESS(INDEX($Q$2:$Q$1001,MATCH(ROWS($O$2:O894),$O$2:$O$1001,0),0), INDEX($V$1004:$AE$1004,1,MATCH(COLUMNS($V$1006:X1006),$V$1006:$AE$1006,0)))),"Fix")))</f>
        <v>0</v>
      </c>
      <c r="E894" s="3">
        <f>IF(OR(INDEX($P$2:$P$1001,MATCH(ROWS($O$2:O894),$O$2:$O$1001,0),1)&gt;=100000,INDEX($V$1005:$AE$1005,1,MATCH(COLUMNS($V$1006:Y1006),$V$1006:$AE$1006,0))&gt;=100000), " ",IF(INDEX($V$2:$AE$1001,MATCH(ROWS($O$2:O894),$O$2:$O$1001,0),MATCH(COLUMNS($V$1006:Y1006),$V$1006:$AE$1006,0)), HYPERLINK("#",""), HYPERLINK(CONCATENATE("#Metadata!", ADDRESS(INDEX($Q$2:$Q$1001,MATCH(ROWS($O$2:O894),$O$2:$O$1001,0),0), INDEX($V$1004:$AE$1004,1,MATCH(COLUMNS($V$1006:Y1006),$V$1006:$AE$1006,0)))),"Fix")))</f>
        <v>0</v>
      </c>
      <c r="F894" s="3">
        <f>IF(OR(INDEX($P$2:$P$1001,MATCH(ROWS($O$2:O894),$O$2:$O$1001,0),1)&gt;=100000,INDEX($V$1005:$AE$1005,1,MATCH(COLUMNS($V$1006:Z1006),$V$1006:$AE$1006,0))&gt;=100000), " ",IF(INDEX($V$2:$AE$1001,MATCH(ROWS($O$2:O894),$O$2:$O$1001,0),MATCH(COLUMNS($V$1006:Z1006),$V$1006:$AE$1006,0)), HYPERLINK("#",""), HYPERLINK(CONCATENATE("#Metadata!", ADDRESS(INDEX($Q$2:$Q$1001,MATCH(ROWS($O$2:O894),$O$2:$O$1001,0),0), INDEX($V$1004:$AE$1004,1,MATCH(COLUMNS($V$1006:Z1006),$V$1006:$AE$1006,0)))),"Fix")))</f>
        <v>0</v>
      </c>
      <c r="G894" s="3">
        <f>IF(OR(INDEX($P$2:$P$1001,MATCH(ROWS($O$2:O894),$O$2:$O$1001,0),1)&gt;=100000,INDEX($V$1005:$AE$1005,1,MATCH(COLUMNS($V$1006:AA1006),$V$1006:$AE$1006,0))&gt;=100000), " ",IF(INDEX($V$2:$AE$1001,MATCH(ROWS($O$2:O894),$O$2:$O$1001,0),MATCH(COLUMNS($V$1006:AA1006),$V$1006:$AE$1006,0)), HYPERLINK("#",""), HYPERLINK(CONCATENATE("#Metadata!", ADDRESS(INDEX($Q$2:$Q$1001,MATCH(ROWS($O$2:O894),$O$2:$O$1001,0),0), INDEX($V$1004:$AE$1004,1,MATCH(COLUMNS($V$1006:AA1006),$V$1006:$AE$1006,0)))),"Fix")))</f>
        <v>0</v>
      </c>
      <c r="H894" s="3">
        <f>IF(OR(INDEX($P$2:$P$1001,MATCH(ROWS($O$2:O894),$O$2:$O$1001,0),1)&gt;=100000,INDEX($V$1005:$AE$1005,1,MATCH(COLUMNS($V$1006:AB1006),$V$1006:$AE$1006,0))&gt;=100000), " ",IF(INDEX($V$2:$AE$1001,MATCH(ROWS($O$2:O894),$O$2:$O$1001,0),MATCH(COLUMNS($V$1006:AB1006),$V$1006:$AE$1006,0)), HYPERLINK("#",""), HYPERLINK(CONCATENATE("#Metadata!", ADDRESS(INDEX($Q$2:$Q$1001,MATCH(ROWS($O$2:O894),$O$2:$O$1001,0),0), INDEX($V$1004:$AE$1004,1,MATCH(COLUMNS($V$1006:AB1006),$V$1006:$AE$1006,0)))),"Fix")))</f>
        <v>0</v>
      </c>
      <c r="I894" s="3">
        <f>IF(OR(INDEX($P$2:$P$1001,MATCH(ROWS($O$2:O894),$O$2:$O$1001,0),1)&gt;=100000,INDEX($V$1005:$AE$1005,1,MATCH(COLUMNS($V$1006:AC1006),$V$1006:$AE$1006,0))&gt;=100000), " ",IF(INDEX($V$2:$AE$1001,MATCH(ROWS($O$2:O894),$O$2:$O$1001,0),MATCH(COLUMNS($V$1006:AC1006),$V$1006:$AE$1006,0)), HYPERLINK("#",""), HYPERLINK(CONCATENATE("#Metadata!", ADDRESS(INDEX($Q$2:$Q$1001,MATCH(ROWS($O$2:O894),$O$2:$O$1001,0),0), INDEX($V$1004:$AE$1004,1,MATCH(COLUMNS($V$1006:AC1006),$V$1006:$AE$1006,0)))),"Fix")))</f>
        <v>0</v>
      </c>
      <c r="J894" s="3">
        <f>IF(OR(INDEX($P$2:$P$1001,MATCH(ROWS($O$2:O894),$O$2:$O$1001,0),1)&gt;=100000,INDEX($V$1005:$AE$1005,1,MATCH(COLUMNS($V$1006:AD1006),$V$1006:$AE$1006,0))&gt;=100000), " ",IF(INDEX($V$2:$AE$1001,MATCH(ROWS($O$2:O894),$O$2:$O$1001,0),MATCH(COLUMNS($V$1006:AD1006),$V$1006:$AE$1006,0)), HYPERLINK("#",""), HYPERLINK(CONCATENATE("#Metadata!", ADDRESS(INDEX($Q$2:$Q$1001,MATCH(ROWS($O$2:O894),$O$2:$O$1001,0),0), INDEX($V$1004:$AE$1004,1,MATCH(COLUMNS($V$1006:AD1006),$V$1006:$AE$1006,0)))),"Fix")))</f>
        <v>0</v>
      </c>
      <c r="K894" s="3">
        <f>IF(OR(INDEX($P$2:$P$1001,MATCH(ROWS($O$2:O894),$O$2:$O$1001,0),1)&gt;=100000,INDEX($V$1005:$AE$1005,1,MATCH(COLUMNS($V$1006:AE1006),$V$1006:$AE$1006,0))&gt;=100000), " ",IF(INDEX($V$2:$AE$1001,MATCH(ROWS($O$2:O894),$O$2:$O$1001,0),MATCH(COLUMNS($V$1006:AE1006),$V$1006:$AE$1006,0)), HYPERLINK("#",""), HYPERLINK(CONCATENATE("#Metadata!", ADDRESS(INDEX($Q$2:$Q$1001,MATCH(ROWS($O$2:O894),$O$2:$O$1001,0),0), INDEX($V$1004:$AE$1004,1,MATCH(COLUMNS($V$1006:AE1006),$V$1006:$AE$1006,0)))),"Fix")))</f>
        <v>0</v>
      </c>
      <c r="O894">
        <v>0</v>
      </c>
      <c r="P894">
        <v>0</v>
      </c>
      <c r="Q894">
        <v>0</v>
      </c>
      <c r="R894">
        <f>IF(S894,TRUE,AND(V894:AE894))</f>
        <v>0</v>
      </c>
      <c r="S894">
        <f>COUNTBLANK(Metadata!B894:K894)=COLUMNS(Metadata!B894:K894)</f>
        <v>0</v>
      </c>
      <c r="T894">
        <v>0</v>
      </c>
      <c r="V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W894">
        <f>AND(IF(Metadata!C894="",FALSE,TRUE),exact(Metadata!C894,"animal secretion"))</f>
        <v>0</v>
      </c>
      <c r="X894">
        <f>AND(IF(Metadata!D894="",FALSE,TRUE),exact(Metadata!D894,"saliva"))</f>
        <v>0</v>
      </c>
      <c r="Y894">
        <f>AND(IF(Metadata!E894="",FALSE,TRUE),exact(Metadata!E894,"human-oral"))</f>
        <v>0</v>
      </c>
      <c r="Z894">
        <f>AND(IF(Metadata!F894="",FALSE,TRUE),exact(Metadata!F894,"UBERON:oral cavity"))</f>
        <v>0</v>
      </c>
      <c r="AA894">
        <f>AND(IF(Metadata!G894="",FALSE,TRUE),exact(Metadata!G894,"UBERON:saliva"))</f>
        <v>0</v>
      </c>
      <c r="AB894">
        <f>AND(IF(Metadata!H894="",FALSE,TRUE),exact(Metadata!H894,"UBERON:tongue"))</f>
        <v>0</v>
      </c>
      <c r="AC894">
        <f>AND(IF(Metadata!I894="",FALSE,TRUE),exact(Metadata!I894,"tongue"))</f>
        <v>0</v>
      </c>
      <c r="AD894">
        <f>AND(IF(Metadata!J894="",FALSE,TRUE),exact(Metadata!J894,"human oral metagenome"))</f>
        <v>0</v>
      </c>
      <c r="AE894">
        <f>AND(IF(Metadata!K894="",FALSE,TRUE),exact(Metadata!K894,"447426"))</f>
        <v>0</v>
      </c>
    </row>
    <row r="895" spans="1:31">
      <c r="A895" s="4">
        <f>IF(B895=" "," ",HYPERLINK(CONCATENATE("#metadata!",ADDRESS(INDEX($Q$2:$Q$1001,MATCH(ROWS($O$2:O895),$O$2:$O$1001,0),0),1)),INDEX($T$2:$T$1001,MATCH(ROWS($O$2:O895),$O$2:$O$1001,0),0)))</f>
        <v>0</v>
      </c>
      <c r="B895" s="3">
        <f>IF(OR(INDEX($P$2:$P$1001,MATCH(ROWS($O$2:O895),$O$2:$O$1001,0),1)&gt;=100000,INDEX($V$1005:$AE$1005,1,MATCH(COLUMNS($V$1006:V1006),$V$1006:$AE$1006,0))&gt;=100000), " ",IF(INDEX($V$2:$AE$1001,MATCH(ROWS($O$2:O895),$O$2:$O$1001,0),MATCH(COLUMNS($V$1006:V1006),$V$1006:$AE$1006,0)), HYPERLINK("#",""), HYPERLINK(CONCATENATE("#Metadata!", ADDRESS(INDEX($Q$2:$Q$1001,MATCH(ROWS($O$2:O895),$O$2:$O$1001,0),0), INDEX($V$1004:$AE$1004,1,MATCH(COLUMNS($V$1006:V1006),$V$1006:$AE$1006,0)))),"Fix")))</f>
        <v>0</v>
      </c>
      <c r="C895" s="3">
        <f>IF(OR(INDEX($P$2:$P$1001,MATCH(ROWS($O$2:O895),$O$2:$O$1001,0),1)&gt;=100000,INDEX($V$1005:$AE$1005,1,MATCH(COLUMNS($V$1006:W1006),$V$1006:$AE$1006,0))&gt;=100000), " ",IF(INDEX($V$2:$AE$1001,MATCH(ROWS($O$2:O895),$O$2:$O$1001,0),MATCH(COLUMNS($V$1006:W1006),$V$1006:$AE$1006,0)), HYPERLINK("#",""), HYPERLINK(CONCATENATE("#Metadata!", ADDRESS(INDEX($Q$2:$Q$1001,MATCH(ROWS($O$2:O895),$O$2:$O$1001,0),0), INDEX($V$1004:$AE$1004,1,MATCH(COLUMNS($V$1006:W1006),$V$1006:$AE$1006,0)))),"Fix")))</f>
        <v>0</v>
      </c>
      <c r="D895" s="3">
        <f>IF(OR(INDEX($P$2:$P$1001,MATCH(ROWS($O$2:O895),$O$2:$O$1001,0),1)&gt;=100000,INDEX($V$1005:$AE$1005,1,MATCH(COLUMNS($V$1006:X1006),$V$1006:$AE$1006,0))&gt;=100000), " ",IF(INDEX($V$2:$AE$1001,MATCH(ROWS($O$2:O895),$O$2:$O$1001,0),MATCH(COLUMNS($V$1006:X1006),$V$1006:$AE$1006,0)), HYPERLINK("#",""), HYPERLINK(CONCATENATE("#Metadata!", ADDRESS(INDEX($Q$2:$Q$1001,MATCH(ROWS($O$2:O895),$O$2:$O$1001,0),0), INDEX($V$1004:$AE$1004,1,MATCH(COLUMNS($V$1006:X1006),$V$1006:$AE$1006,0)))),"Fix")))</f>
        <v>0</v>
      </c>
      <c r="E895" s="3">
        <f>IF(OR(INDEX($P$2:$P$1001,MATCH(ROWS($O$2:O895),$O$2:$O$1001,0),1)&gt;=100000,INDEX($V$1005:$AE$1005,1,MATCH(COLUMNS($V$1006:Y1006),$V$1006:$AE$1006,0))&gt;=100000), " ",IF(INDEX($V$2:$AE$1001,MATCH(ROWS($O$2:O895),$O$2:$O$1001,0),MATCH(COLUMNS($V$1006:Y1006),$V$1006:$AE$1006,0)), HYPERLINK("#",""), HYPERLINK(CONCATENATE("#Metadata!", ADDRESS(INDEX($Q$2:$Q$1001,MATCH(ROWS($O$2:O895),$O$2:$O$1001,0),0), INDEX($V$1004:$AE$1004,1,MATCH(COLUMNS($V$1006:Y1006),$V$1006:$AE$1006,0)))),"Fix")))</f>
        <v>0</v>
      </c>
      <c r="F895" s="3">
        <f>IF(OR(INDEX($P$2:$P$1001,MATCH(ROWS($O$2:O895),$O$2:$O$1001,0),1)&gt;=100000,INDEX($V$1005:$AE$1005,1,MATCH(COLUMNS($V$1006:Z1006),$V$1006:$AE$1006,0))&gt;=100000), " ",IF(INDEX($V$2:$AE$1001,MATCH(ROWS($O$2:O895),$O$2:$O$1001,0),MATCH(COLUMNS($V$1006:Z1006),$V$1006:$AE$1006,0)), HYPERLINK("#",""), HYPERLINK(CONCATENATE("#Metadata!", ADDRESS(INDEX($Q$2:$Q$1001,MATCH(ROWS($O$2:O895),$O$2:$O$1001,0),0), INDEX($V$1004:$AE$1004,1,MATCH(COLUMNS($V$1006:Z1006),$V$1006:$AE$1006,0)))),"Fix")))</f>
        <v>0</v>
      </c>
      <c r="G895" s="3">
        <f>IF(OR(INDEX($P$2:$P$1001,MATCH(ROWS($O$2:O895),$O$2:$O$1001,0),1)&gt;=100000,INDEX($V$1005:$AE$1005,1,MATCH(COLUMNS($V$1006:AA1006),$V$1006:$AE$1006,0))&gt;=100000), " ",IF(INDEX($V$2:$AE$1001,MATCH(ROWS($O$2:O895),$O$2:$O$1001,0),MATCH(COLUMNS($V$1006:AA1006),$V$1006:$AE$1006,0)), HYPERLINK("#",""), HYPERLINK(CONCATENATE("#Metadata!", ADDRESS(INDEX($Q$2:$Q$1001,MATCH(ROWS($O$2:O895),$O$2:$O$1001,0),0), INDEX($V$1004:$AE$1004,1,MATCH(COLUMNS($V$1006:AA1006),$V$1006:$AE$1006,0)))),"Fix")))</f>
        <v>0</v>
      </c>
      <c r="H895" s="3">
        <f>IF(OR(INDEX($P$2:$P$1001,MATCH(ROWS($O$2:O895),$O$2:$O$1001,0),1)&gt;=100000,INDEX($V$1005:$AE$1005,1,MATCH(COLUMNS($V$1006:AB1006),$V$1006:$AE$1006,0))&gt;=100000), " ",IF(INDEX($V$2:$AE$1001,MATCH(ROWS($O$2:O895),$O$2:$O$1001,0),MATCH(COLUMNS($V$1006:AB1006),$V$1006:$AE$1006,0)), HYPERLINK("#",""), HYPERLINK(CONCATENATE("#Metadata!", ADDRESS(INDEX($Q$2:$Q$1001,MATCH(ROWS($O$2:O895),$O$2:$O$1001,0),0), INDEX($V$1004:$AE$1004,1,MATCH(COLUMNS($V$1006:AB1006),$V$1006:$AE$1006,0)))),"Fix")))</f>
        <v>0</v>
      </c>
      <c r="I895" s="3">
        <f>IF(OR(INDEX($P$2:$P$1001,MATCH(ROWS($O$2:O895),$O$2:$O$1001,0),1)&gt;=100000,INDEX($V$1005:$AE$1005,1,MATCH(COLUMNS($V$1006:AC1006),$V$1006:$AE$1006,0))&gt;=100000), " ",IF(INDEX($V$2:$AE$1001,MATCH(ROWS($O$2:O895),$O$2:$O$1001,0),MATCH(COLUMNS($V$1006:AC1006),$V$1006:$AE$1006,0)), HYPERLINK("#",""), HYPERLINK(CONCATENATE("#Metadata!", ADDRESS(INDEX($Q$2:$Q$1001,MATCH(ROWS($O$2:O895),$O$2:$O$1001,0),0), INDEX($V$1004:$AE$1004,1,MATCH(COLUMNS($V$1006:AC1006),$V$1006:$AE$1006,0)))),"Fix")))</f>
        <v>0</v>
      </c>
      <c r="J895" s="3">
        <f>IF(OR(INDEX($P$2:$P$1001,MATCH(ROWS($O$2:O895),$O$2:$O$1001,0),1)&gt;=100000,INDEX($V$1005:$AE$1005,1,MATCH(COLUMNS($V$1006:AD1006),$V$1006:$AE$1006,0))&gt;=100000), " ",IF(INDEX($V$2:$AE$1001,MATCH(ROWS($O$2:O895),$O$2:$O$1001,0),MATCH(COLUMNS($V$1006:AD1006),$V$1006:$AE$1006,0)), HYPERLINK("#",""), HYPERLINK(CONCATENATE("#Metadata!", ADDRESS(INDEX($Q$2:$Q$1001,MATCH(ROWS($O$2:O895),$O$2:$O$1001,0),0), INDEX($V$1004:$AE$1004,1,MATCH(COLUMNS($V$1006:AD1006),$V$1006:$AE$1006,0)))),"Fix")))</f>
        <v>0</v>
      </c>
      <c r="K895" s="3">
        <f>IF(OR(INDEX($P$2:$P$1001,MATCH(ROWS($O$2:O895),$O$2:$O$1001,0),1)&gt;=100000,INDEX($V$1005:$AE$1005,1,MATCH(COLUMNS($V$1006:AE1006),$V$1006:$AE$1006,0))&gt;=100000), " ",IF(INDEX($V$2:$AE$1001,MATCH(ROWS($O$2:O895),$O$2:$O$1001,0),MATCH(COLUMNS($V$1006:AE1006),$V$1006:$AE$1006,0)), HYPERLINK("#",""), HYPERLINK(CONCATENATE("#Metadata!", ADDRESS(INDEX($Q$2:$Q$1001,MATCH(ROWS($O$2:O895),$O$2:$O$1001,0),0), INDEX($V$1004:$AE$1004,1,MATCH(COLUMNS($V$1006:AE1006),$V$1006:$AE$1006,0)))),"Fix")))</f>
        <v>0</v>
      </c>
      <c r="O895">
        <v>0</v>
      </c>
      <c r="P895">
        <v>0</v>
      </c>
      <c r="Q895">
        <v>0</v>
      </c>
      <c r="R895">
        <f>IF(S895,TRUE,AND(V895:AE895))</f>
        <v>0</v>
      </c>
      <c r="S895">
        <f>COUNTBLANK(Metadata!B895:K895)=COLUMNS(Metadata!B895:K895)</f>
        <v>0</v>
      </c>
      <c r="T895">
        <v>0</v>
      </c>
      <c r="V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W895">
        <f>AND(IF(Metadata!C895="",FALSE,TRUE),exact(Metadata!C895,"animal secretion"))</f>
        <v>0</v>
      </c>
      <c r="X895">
        <f>AND(IF(Metadata!D895="",FALSE,TRUE),exact(Metadata!D895,"saliva"))</f>
        <v>0</v>
      </c>
      <c r="Y895">
        <f>AND(IF(Metadata!E895="",FALSE,TRUE),exact(Metadata!E895,"human-oral"))</f>
        <v>0</v>
      </c>
      <c r="Z895">
        <f>AND(IF(Metadata!F895="",FALSE,TRUE),exact(Metadata!F895,"UBERON:oral cavity"))</f>
        <v>0</v>
      </c>
      <c r="AA895">
        <f>AND(IF(Metadata!G895="",FALSE,TRUE),exact(Metadata!G895,"UBERON:saliva"))</f>
        <v>0</v>
      </c>
      <c r="AB895">
        <f>AND(IF(Metadata!H895="",FALSE,TRUE),exact(Metadata!H895,"UBERON:tongue"))</f>
        <v>0</v>
      </c>
      <c r="AC895">
        <f>AND(IF(Metadata!I895="",FALSE,TRUE),exact(Metadata!I895,"tongue"))</f>
        <v>0</v>
      </c>
      <c r="AD895">
        <f>AND(IF(Metadata!J895="",FALSE,TRUE),exact(Metadata!J895,"human oral metagenome"))</f>
        <v>0</v>
      </c>
      <c r="AE895">
        <f>AND(IF(Metadata!K895="",FALSE,TRUE),exact(Metadata!K895,"447426"))</f>
        <v>0</v>
      </c>
    </row>
    <row r="896" spans="1:31">
      <c r="A896" s="4">
        <f>IF(B896=" "," ",HYPERLINK(CONCATENATE("#metadata!",ADDRESS(INDEX($Q$2:$Q$1001,MATCH(ROWS($O$2:O896),$O$2:$O$1001,0),0),1)),INDEX($T$2:$T$1001,MATCH(ROWS($O$2:O896),$O$2:$O$1001,0),0)))</f>
        <v>0</v>
      </c>
      <c r="B896" s="3">
        <f>IF(OR(INDEX($P$2:$P$1001,MATCH(ROWS($O$2:O896),$O$2:$O$1001,0),1)&gt;=100000,INDEX($V$1005:$AE$1005,1,MATCH(COLUMNS($V$1006:V1006),$V$1006:$AE$1006,0))&gt;=100000), " ",IF(INDEX($V$2:$AE$1001,MATCH(ROWS($O$2:O896),$O$2:$O$1001,0),MATCH(COLUMNS($V$1006:V1006),$V$1006:$AE$1006,0)), HYPERLINK("#",""), HYPERLINK(CONCATENATE("#Metadata!", ADDRESS(INDEX($Q$2:$Q$1001,MATCH(ROWS($O$2:O896),$O$2:$O$1001,0),0), INDEX($V$1004:$AE$1004,1,MATCH(COLUMNS($V$1006:V1006),$V$1006:$AE$1006,0)))),"Fix")))</f>
        <v>0</v>
      </c>
      <c r="C896" s="3">
        <f>IF(OR(INDEX($P$2:$P$1001,MATCH(ROWS($O$2:O896),$O$2:$O$1001,0),1)&gt;=100000,INDEX($V$1005:$AE$1005,1,MATCH(COLUMNS($V$1006:W1006),$V$1006:$AE$1006,0))&gt;=100000), " ",IF(INDEX($V$2:$AE$1001,MATCH(ROWS($O$2:O896),$O$2:$O$1001,0),MATCH(COLUMNS($V$1006:W1006),$V$1006:$AE$1006,0)), HYPERLINK("#",""), HYPERLINK(CONCATENATE("#Metadata!", ADDRESS(INDEX($Q$2:$Q$1001,MATCH(ROWS($O$2:O896),$O$2:$O$1001,0),0), INDEX($V$1004:$AE$1004,1,MATCH(COLUMNS($V$1006:W1006),$V$1006:$AE$1006,0)))),"Fix")))</f>
        <v>0</v>
      </c>
      <c r="D896" s="3">
        <f>IF(OR(INDEX($P$2:$P$1001,MATCH(ROWS($O$2:O896),$O$2:$O$1001,0),1)&gt;=100000,INDEX($V$1005:$AE$1005,1,MATCH(COLUMNS($V$1006:X1006),$V$1006:$AE$1006,0))&gt;=100000), " ",IF(INDEX($V$2:$AE$1001,MATCH(ROWS($O$2:O896),$O$2:$O$1001,0),MATCH(COLUMNS($V$1006:X1006),$V$1006:$AE$1006,0)), HYPERLINK("#",""), HYPERLINK(CONCATENATE("#Metadata!", ADDRESS(INDEX($Q$2:$Q$1001,MATCH(ROWS($O$2:O896),$O$2:$O$1001,0),0), INDEX($V$1004:$AE$1004,1,MATCH(COLUMNS($V$1006:X1006),$V$1006:$AE$1006,0)))),"Fix")))</f>
        <v>0</v>
      </c>
      <c r="E896" s="3">
        <f>IF(OR(INDEX($P$2:$P$1001,MATCH(ROWS($O$2:O896),$O$2:$O$1001,0),1)&gt;=100000,INDEX($V$1005:$AE$1005,1,MATCH(COLUMNS($V$1006:Y1006),$V$1006:$AE$1006,0))&gt;=100000), " ",IF(INDEX($V$2:$AE$1001,MATCH(ROWS($O$2:O896),$O$2:$O$1001,0),MATCH(COLUMNS($V$1006:Y1006),$V$1006:$AE$1006,0)), HYPERLINK("#",""), HYPERLINK(CONCATENATE("#Metadata!", ADDRESS(INDEX($Q$2:$Q$1001,MATCH(ROWS($O$2:O896),$O$2:$O$1001,0),0), INDEX($V$1004:$AE$1004,1,MATCH(COLUMNS($V$1006:Y1006),$V$1006:$AE$1006,0)))),"Fix")))</f>
        <v>0</v>
      </c>
      <c r="F896" s="3">
        <f>IF(OR(INDEX($P$2:$P$1001,MATCH(ROWS($O$2:O896),$O$2:$O$1001,0),1)&gt;=100000,INDEX($V$1005:$AE$1005,1,MATCH(COLUMNS($V$1006:Z1006),$V$1006:$AE$1006,0))&gt;=100000), " ",IF(INDEX($V$2:$AE$1001,MATCH(ROWS($O$2:O896),$O$2:$O$1001,0),MATCH(COLUMNS($V$1006:Z1006),$V$1006:$AE$1006,0)), HYPERLINK("#",""), HYPERLINK(CONCATENATE("#Metadata!", ADDRESS(INDEX($Q$2:$Q$1001,MATCH(ROWS($O$2:O896),$O$2:$O$1001,0),0), INDEX($V$1004:$AE$1004,1,MATCH(COLUMNS($V$1006:Z1006),$V$1006:$AE$1006,0)))),"Fix")))</f>
        <v>0</v>
      </c>
      <c r="G896" s="3">
        <f>IF(OR(INDEX($P$2:$P$1001,MATCH(ROWS($O$2:O896),$O$2:$O$1001,0),1)&gt;=100000,INDEX($V$1005:$AE$1005,1,MATCH(COLUMNS($V$1006:AA1006),$V$1006:$AE$1006,0))&gt;=100000), " ",IF(INDEX($V$2:$AE$1001,MATCH(ROWS($O$2:O896),$O$2:$O$1001,0),MATCH(COLUMNS($V$1006:AA1006),$V$1006:$AE$1006,0)), HYPERLINK("#",""), HYPERLINK(CONCATENATE("#Metadata!", ADDRESS(INDEX($Q$2:$Q$1001,MATCH(ROWS($O$2:O896),$O$2:$O$1001,0),0), INDEX($V$1004:$AE$1004,1,MATCH(COLUMNS($V$1006:AA1006),$V$1006:$AE$1006,0)))),"Fix")))</f>
        <v>0</v>
      </c>
      <c r="H896" s="3">
        <f>IF(OR(INDEX($P$2:$P$1001,MATCH(ROWS($O$2:O896),$O$2:$O$1001,0),1)&gt;=100000,INDEX($V$1005:$AE$1005,1,MATCH(COLUMNS($V$1006:AB1006),$V$1006:$AE$1006,0))&gt;=100000), " ",IF(INDEX($V$2:$AE$1001,MATCH(ROWS($O$2:O896),$O$2:$O$1001,0),MATCH(COLUMNS($V$1006:AB1006),$V$1006:$AE$1006,0)), HYPERLINK("#",""), HYPERLINK(CONCATENATE("#Metadata!", ADDRESS(INDEX($Q$2:$Q$1001,MATCH(ROWS($O$2:O896),$O$2:$O$1001,0),0), INDEX($V$1004:$AE$1004,1,MATCH(COLUMNS($V$1006:AB1006),$V$1006:$AE$1006,0)))),"Fix")))</f>
        <v>0</v>
      </c>
      <c r="I896" s="3">
        <f>IF(OR(INDEX($P$2:$P$1001,MATCH(ROWS($O$2:O896),$O$2:$O$1001,0),1)&gt;=100000,INDEX($V$1005:$AE$1005,1,MATCH(COLUMNS($V$1006:AC1006),$V$1006:$AE$1006,0))&gt;=100000), " ",IF(INDEX($V$2:$AE$1001,MATCH(ROWS($O$2:O896),$O$2:$O$1001,0),MATCH(COLUMNS($V$1006:AC1006),$V$1006:$AE$1006,0)), HYPERLINK("#",""), HYPERLINK(CONCATENATE("#Metadata!", ADDRESS(INDEX($Q$2:$Q$1001,MATCH(ROWS($O$2:O896),$O$2:$O$1001,0),0), INDEX($V$1004:$AE$1004,1,MATCH(COLUMNS($V$1006:AC1006),$V$1006:$AE$1006,0)))),"Fix")))</f>
        <v>0</v>
      </c>
      <c r="J896" s="3">
        <f>IF(OR(INDEX($P$2:$P$1001,MATCH(ROWS($O$2:O896),$O$2:$O$1001,0),1)&gt;=100000,INDEX($V$1005:$AE$1005,1,MATCH(COLUMNS($V$1006:AD1006),$V$1006:$AE$1006,0))&gt;=100000), " ",IF(INDEX($V$2:$AE$1001,MATCH(ROWS($O$2:O896),$O$2:$O$1001,0),MATCH(COLUMNS($V$1006:AD1006),$V$1006:$AE$1006,0)), HYPERLINK("#",""), HYPERLINK(CONCATENATE("#Metadata!", ADDRESS(INDEX($Q$2:$Q$1001,MATCH(ROWS($O$2:O896),$O$2:$O$1001,0),0), INDEX($V$1004:$AE$1004,1,MATCH(COLUMNS($V$1006:AD1006),$V$1006:$AE$1006,0)))),"Fix")))</f>
        <v>0</v>
      </c>
      <c r="K896" s="3">
        <f>IF(OR(INDEX($P$2:$P$1001,MATCH(ROWS($O$2:O896),$O$2:$O$1001,0),1)&gt;=100000,INDEX($V$1005:$AE$1005,1,MATCH(COLUMNS($V$1006:AE1006),$V$1006:$AE$1006,0))&gt;=100000), " ",IF(INDEX($V$2:$AE$1001,MATCH(ROWS($O$2:O896),$O$2:$O$1001,0),MATCH(COLUMNS($V$1006:AE1006),$V$1006:$AE$1006,0)), HYPERLINK("#",""), HYPERLINK(CONCATENATE("#Metadata!", ADDRESS(INDEX($Q$2:$Q$1001,MATCH(ROWS($O$2:O896),$O$2:$O$1001,0),0), INDEX($V$1004:$AE$1004,1,MATCH(COLUMNS($V$1006:AE1006),$V$1006:$AE$1006,0)))),"Fix")))</f>
        <v>0</v>
      </c>
      <c r="O896">
        <v>0</v>
      </c>
      <c r="P896">
        <v>0</v>
      </c>
      <c r="Q896">
        <v>0</v>
      </c>
      <c r="R896">
        <f>IF(S896,TRUE,AND(V896:AE896))</f>
        <v>0</v>
      </c>
      <c r="S896">
        <f>COUNTBLANK(Metadata!B896:K896)=COLUMNS(Metadata!B896:K896)</f>
        <v>0</v>
      </c>
      <c r="T896">
        <v>0</v>
      </c>
      <c r="V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W896">
        <f>AND(IF(Metadata!C896="",FALSE,TRUE),exact(Metadata!C896,"animal secretion"))</f>
        <v>0</v>
      </c>
      <c r="X896">
        <f>AND(IF(Metadata!D896="",FALSE,TRUE),exact(Metadata!D896,"saliva"))</f>
        <v>0</v>
      </c>
      <c r="Y896">
        <f>AND(IF(Metadata!E896="",FALSE,TRUE),exact(Metadata!E896,"human-oral"))</f>
        <v>0</v>
      </c>
      <c r="Z896">
        <f>AND(IF(Metadata!F896="",FALSE,TRUE),exact(Metadata!F896,"UBERON:oral cavity"))</f>
        <v>0</v>
      </c>
      <c r="AA896">
        <f>AND(IF(Metadata!G896="",FALSE,TRUE),exact(Metadata!G896,"UBERON:saliva"))</f>
        <v>0</v>
      </c>
      <c r="AB896">
        <f>AND(IF(Metadata!H896="",FALSE,TRUE),exact(Metadata!H896,"UBERON:tongue"))</f>
        <v>0</v>
      </c>
      <c r="AC896">
        <f>AND(IF(Metadata!I896="",FALSE,TRUE),exact(Metadata!I896,"tongue"))</f>
        <v>0</v>
      </c>
      <c r="AD896">
        <f>AND(IF(Metadata!J896="",FALSE,TRUE),exact(Metadata!J896,"human oral metagenome"))</f>
        <v>0</v>
      </c>
      <c r="AE896">
        <f>AND(IF(Metadata!K896="",FALSE,TRUE),exact(Metadata!K896,"447426"))</f>
        <v>0</v>
      </c>
    </row>
    <row r="897" spans="1:31">
      <c r="A897" s="4">
        <f>IF(B897=" "," ",HYPERLINK(CONCATENATE("#metadata!",ADDRESS(INDEX($Q$2:$Q$1001,MATCH(ROWS($O$2:O897),$O$2:$O$1001,0),0),1)),INDEX($T$2:$T$1001,MATCH(ROWS($O$2:O897),$O$2:$O$1001,0),0)))</f>
        <v>0</v>
      </c>
      <c r="B897" s="3">
        <f>IF(OR(INDEX($P$2:$P$1001,MATCH(ROWS($O$2:O897),$O$2:$O$1001,0),1)&gt;=100000,INDEX($V$1005:$AE$1005,1,MATCH(COLUMNS($V$1006:V1006),$V$1006:$AE$1006,0))&gt;=100000), " ",IF(INDEX($V$2:$AE$1001,MATCH(ROWS($O$2:O897),$O$2:$O$1001,0),MATCH(COLUMNS($V$1006:V1006),$V$1006:$AE$1006,0)), HYPERLINK("#",""), HYPERLINK(CONCATENATE("#Metadata!", ADDRESS(INDEX($Q$2:$Q$1001,MATCH(ROWS($O$2:O897),$O$2:$O$1001,0),0), INDEX($V$1004:$AE$1004,1,MATCH(COLUMNS($V$1006:V1006),$V$1006:$AE$1006,0)))),"Fix")))</f>
        <v>0</v>
      </c>
      <c r="C897" s="3">
        <f>IF(OR(INDEX($P$2:$P$1001,MATCH(ROWS($O$2:O897),$O$2:$O$1001,0),1)&gt;=100000,INDEX($V$1005:$AE$1005,1,MATCH(COLUMNS($V$1006:W1006),$V$1006:$AE$1006,0))&gt;=100000), " ",IF(INDEX($V$2:$AE$1001,MATCH(ROWS($O$2:O897),$O$2:$O$1001,0),MATCH(COLUMNS($V$1006:W1006),$V$1006:$AE$1006,0)), HYPERLINK("#",""), HYPERLINK(CONCATENATE("#Metadata!", ADDRESS(INDEX($Q$2:$Q$1001,MATCH(ROWS($O$2:O897),$O$2:$O$1001,0),0), INDEX($V$1004:$AE$1004,1,MATCH(COLUMNS($V$1006:W1006),$V$1006:$AE$1006,0)))),"Fix")))</f>
        <v>0</v>
      </c>
      <c r="D897" s="3">
        <f>IF(OR(INDEX($P$2:$P$1001,MATCH(ROWS($O$2:O897),$O$2:$O$1001,0),1)&gt;=100000,INDEX($V$1005:$AE$1005,1,MATCH(COLUMNS($V$1006:X1006),$V$1006:$AE$1006,0))&gt;=100000), " ",IF(INDEX($V$2:$AE$1001,MATCH(ROWS($O$2:O897),$O$2:$O$1001,0),MATCH(COLUMNS($V$1006:X1006),$V$1006:$AE$1006,0)), HYPERLINK("#",""), HYPERLINK(CONCATENATE("#Metadata!", ADDRESS(INDEX($Q$2:$Q$1001,MATCH(ROWS($O$2:O897),$O$2:$O$1001,0),0), INDEX($V$1004:$AE$1004,1,MATCH(COLUMNS($V$1006:X1006),$V$1006:$AE$1006,0)))),"Fix")))</f>
        <v>0</v>
      </c>
      <c r="E897" s="3">
        <f>IF(OR(INDEX($P$2:$P$1001,MATCH(ROWS($O$2:O897),$O$2:$O$1001,0),1)&gt;=100000,INDEX($V$1005:$AE$1005,1,MATCH(COLUMNS($V$1006:Y1006),$V$1006:$AE$1006,0))&gt;=100000), " ",IF(INDEX($V$2:$AE$1001,MATCH(ROWS($O$2:O897),$O$2:$O$1001,0),MATCH(COLUMNS($V$1006:Y1006),$V$1006:$AE$1006,0)), HYPERLINK("#",""), HYPERLINK(CONCATENATE("#Metadata!", ADDRESS(INDEX($Q$2:$Q$1001,MATCH(ROWS($O$2:O897),$O$2:$O$1001,0),0), INDEX($V$1004:$AE$1004,1,MATCH(COLUMNS($V$1006:Y1006),$V$1006:$AE$1006,0)))),"Fix")))</f>
        <v>0</v>
      </c>
      <c r="F897" s="3">
        <f>IF(OR(INDEX($P$2:$P$1001,MATCH(ROWS($O$2:O897),$O$2:$O$1001,0),1)&gt;=100000,INDEX($V$1005:$AE$1005,1,MATCH(COLUMNS($V$1006:Z1006),$V$1006:$AE$1006,0))&gt;=100000), " ",IF(INDEX($V$2:$AE$1001,MATCH(ROWS($O$2:O897),$O$2:$O$1001,0),MATCH(COLUMNS($V$1006:Z1006),$V$1006:$AE$1006,0)), HYPERLINK("#",""), HYPERLINK(CONCATENATE("#Metadata!", ADDRESS(INDEX($Q$2:$Q$1001,MATCH(ROWS($O$2:O897),$O$2:$O$1001,0),0), INDEX($V$1004:$AE$1004,1,MATCH(COLUMNS($V$1006:Z1006),$V$1006:$AE$1006,0)))),"Fix")))</f>
        <v>0</v>
      </c>
      <c r="G897" s="3">
        <f>IF(OR(INDEX($P$2:$P$1001,MATCH(ROWS($O$2:O897),$O$2:$O$1001,0),1)&gt;=100000,INDEX($V$1005:$AE$1005,1,MATCH(COLUMNS($V$1006:AA1006),$V$1006:$AE$1006,0))&gt;=100000), " ",IF(INDEX($V$2:$AE$1001,MATCH(ROWS($O$2:O897),$O$2:$O$1001,0),MATCH(COLUMNS($V$1006:AA1006),$V$1006:$AE$1006,0)), HYPERLINK("#",""), HYPERLINK(CONCATENATE("#Metadata!", ADDRESS(INDEX($Q$2:$Q$1001,MATCH(ROWS($O$2:O897),$O$2:$O$1001,0),0), INDEX($V$1004:$AE$1004,1,MATCH(COLUMNS($V$1006:AA1006),$V$1006:$AE$1006,0)))),"Fix")))</f>
        <v>0</v>
      </c>
      <c r="H897" s="3">
        <f>IF(OR(INDEX($P$2:$P$1001,MATCH(ROWS($O$2:O897),$O$2:$O$1001,0),1)&gt;=100000,INDEX($V$1005:$AE$1005,1,MATCH(COLUMNS($V$1006:AB1006),$V$1006:$AE$1006,0))&gt;=100000), " ",IF(INDEX($V$2:$AE$1001,MATCH(ROWS($O$2:O897),$O$2:$O$1001,0),MATCH(COLUMNS($V$1006:AB1006),$V$1006:$AE$1006,0)), HYPERLINK("#",""), HYPERLINK(CONCATENATE("#Metadata!", ADDRESS(INDEX($Q$2:$Q$1001,MATCH(ROWS($O$2:O897),$O$2:$O$1001,0),0), INDEX($V$1004:$AE$1004,1,MATCH(COLUMNS($V$1006:AB1006),$V$1006:$AE$1006,0)))),"Fix")))</f>
        <v>0</v>
      </c>
      <c r="I897" s="3">
        <f>IF(OR(INDEX($P$2:$P$1001,MATCH(ROWS($O$2:O897),$O$2:$O$1001,0),1)&gt;=100000,INDEX($V$1005:$AE$1005,1,MATCH(COLUMNS($V$1006:AC1006),$V$1006:$AE$1006,0))&gt;=100000), " ",IF(INDEX($V$2:$AE$1001,MATCH(ROWS($O$2:O897),$O$2:$O$1001,0),MATCH(COLUMNS($V$1006:AC1006),$V$1006:$AE$1006,0)), HYPERLINK("#",""), HYPERLINK(CONCATENATE("#Metadata!", ADDRESS(INDEX($Q$2:$Q$1001,MATCH(ROWS($O$2:O897),$O$2:$O$1001,0),0), INDEX($V$1004:$AE$1004,1,MATCH(COLUMNS($V$1006:AC1006),$V$1006:$AE$1006,0)))),"Fix")))</f>
        <v>0</v>
      </c>
      <c r="J897" s="3">
        <f>IF(OR(INDEX($P$2:$P$1001,MATCH(ROWS($O$2:O897),$O$2:$O$1001,0),1)&gt;=100000,INDEX($V$1005:$AE$1005,1,MATCH(COLUMNS($V$1006:AD1006),$V$1006:$AE$1006,0))&gt;=100000), " ",IF(INDEX($V$2:$AE$1001,MATCH(ROWS($O$2:O897),$O$2:$O$1001,0),MATCH(COLUMNS($V$1006:AD1006),$V$1006:$AE$1006,0)), HYPERLINK("#",""), HYPERLINK(CONCATENATE("#Metadata!", ADDRESS(INDEX($Q$2:$Q$1001,MATCH(ROWS($O$2:O897),$O$2:$O$1001,0),0), INDEX($V$1004:$AE$1004,1,MATCH(COLUMNS($V$1006:AD1006),$V$1006:$AE$1006,0)))),"Fix")))</f>
        <v>0</v>
      </c>
      <c r="K897" s="3">
        <f>IF(OR(INDEX($P$2:$P$1001,MATCH(ROWS($O$2:O897),$O$2:$O$1001,0),1)&gt;=100000,INDEX($V$1005:$AE$1005,1,MATCH(COLUMNS($V$1006:AE1006),$V$1006:$AE$1006,0))&gt;=100000), " ",IF(INDEX($V$2:$AE$1001,MATCH(ROWS($O$2:O897),$O$2:$O$1001,0),MATCH(COLUMNS($V$1006:AE1006),$V$1006:$AE$1006,0)), HYPERLINK("#",""), HYPERLINK(CONCATENATE("#Metadata!", ADDRESS(INDEX($Q$2:$Q$1001,MATCH(ROWS($O$2:O897),$O$2:$O$1001,0),0), INDEX($V$1004:$AE$1004,1,MATCH(COLUMNS($V$1006:AE1006),$V$1006:$AE$1006,0)))),"Fix")))</f>
        <v>0</v>
      </c>
      <c r="O897">
        <v>0</v>
      </c>
      <c r="P897">
        <v>0</v>
      </c>
      <c r="Q897">
        <v>0</v>
      </c>
      <c r="R897">
        <f>IF(S897,TRUE,AND(V897:AE897))</f>
        <v>0</v>
      </c>
      <c r="S897">
        <f>COUNTBLANK(Metadata!B897:K897)=COLUMNS(Metadata!B897:K897)</f>
        <v>0</v>
      </c>
      <c r="T897">
        <v>0</v>
      </c>
      <c r="V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W897">
        <f>AND(IF(Metadata!C897="",FALSE,TRUE),exact(Metadata!C897,"animal secretion"))</f>
        <v>0</v>
      </c>
      <c r="X897">
        <f>AND(IF(Metadata!D897="",FALSE,TRUE),exact(Metadata!D897,"saliva"))</f>
        <v>0</v>
      </c>
      <c r="Y897">
        <f>AND(IF(Metadata!E897="",FALSE,TRUE),exact(Metadata!E897,"human-oral"))</f>
        <v>0</v>
      </c>
      <c r="Z897">
        <f>AND(IF(Metadata!F897="",FALSE,TRUE),exact(Metadata!F897,"UBERON:oral cavity"))</f>
        <v>0</v>
      </c>
      <c r="AA897">
        <f>AND(IF(Metadata!G897="",FALSE,TRUE),exact(Metadata!G897,"UBERON:saliva"))</f>
        <v>0</v>
      </c>
      <c r="AB897">
        <f>AND(IF(Metadata!H897="",FALSE,TRUE),exact(Metadata!H897,"UBERON:tongue"))</f>
        <v>0</v>
      </c>
      <c r="AC897">
        <f>AND(IF(Metadata!I897="",FALSE,TRUE),exact(Metadata!I897,"tongue"))</f>
        <v>0</v>
      </c>
      <c r="AD897">
        <f>AND(IF(Metadata!J897="",FALSE,TRUE),exact(Metadata!J897,"human oral metagenome"))</f>
        <v>0</v>
      </c>
      <c r="AE897">
        <f>AND(IF(Metadata!K897="",FALSE,TRUE),exact(Metadata!K897,"447426"))</f>
        <v>0</v>
      </c>
    </row>
    <row r="898" spans="1:31">
      <c r="A898" s="4">
        <f>IF(B898=" "," ",HYPERLINK(CONCATENATE("#metadata!",ADDRESS(INDEX($Q$2:$Q$1001,MATCH(ROWS($O$2:O898),$O$2:$O$1001,0),0),1)),INDEX($T$2:$T$1001,MATCH(ROWS($O$2:O898),$O$2:$O$1001,0),0)))</f>
        <v>0</v>
      </c>
      <c r="B898" s="3">
        <f>IF(OR(INDEX($P$2:$P$1001,MATCH(ROWS($O$2:O898),$O$2:$O$1001,0),1)&gt;=100000,INDEX($V$1005:$AE$1005,1,MATCH(COLUMNS($V$1006:V1006),$V$1006:$AE$1006,0))&gt;=100000), " ",IF(INDEX($V$2:$AE$1001,MATCH(ROWS($O$2:O898),$O$2:$O$1001,0),MATCH(COLUMNS($V$1006:V1006),$V$1006:$AE$1006,0)), HYPERLINK("#",""), HYPERLINK(CONCATENATE("#Metadata!", ADDRESS(INDEX($Q$2:$Q$1001,MATCH(ROWS($O$2:O898),$O$2:$O$1001,0),0), INDEX($V$1004:$AE$1004,1,MATCH(COLUMNS($V$1006:V1006),$V$1006:$AE$1006,0)))),"Fix")))</f>
        <v>0</v>
      </c>
      <c r="C898" s="3">
        <f>IF(OR(INDEX($P$2:$P$1001,MATCH(ROWS($O$2:O898),$O$2:$O$1001,0),1)&gt;=100000,INDEX($V$1005:$AE$1005,1,MATCH(COLUMNS($V$1006:W1006),$V$1006:$AE$1006,0))&gt;=100000), " ",IF(INDEX($V$2:$AE$1001,MATCH(ROWS($O$2:O898),$O$2:$O$1001,0),MATCH(COLUMNS($V$1006:W1006),$V$1006:$AE$1006,0)), HYPERLINK("#",""), HYPERLINK(CONCATENATE("#Metadata!", ADDRESS(INDEX($Q$2:$Q$1001,MATCH(ROWS($O$2:O898),$O$2:$O$1001,0),0), INDEX($V$1004:$AE$1004,1,MATCH(COLUMNS($V$1006:W1006),$V$1006:$AE$1006,0)))),"Fix")))</f>
        <v>0</v>
      </c>
      <c r="D898" s="3">
        <f>IF(OR(INDEX($P$2:$P$1001,MATCH(ROWS($O$2:O898),$O$2:$O$1001,0),1)&gt;=100000,INDEX($V$1005:$AE$1005,1,MATCH(COLUMNS($V$1006:X1006),$V$1006:$AE$1006,0))&gt;=100000), " ",IF(INDEX($V$2:$AE$1001,MATCH(ROWS($O$2:O898),$O$2:$O$1001,0),MATCH(COLUMNS($V$1006:X1006),$V$1006:$AE$1006,0)), HYPERLINK("#",""), HYPERLINK(CONCATENATE("#Metadata!", ADDRESS(INDEX($Q$2:$Q$1001,MATCH(ROWS($O$2:O898),$O$2:$O$1001,0),0), INDEX($V$1004:$AE$1004,1,MATCH(COLUMNS($V$1006:X1006),$V$1006:$AE$1006,0)))),"Fix")))</f>
        <v>0</v>
      </c>
      <c r="E898" s="3">
        <f>IF(OR(INDEX($P$2:$P$1001,MATCH(ROWS($O$2:O898),$O$2:$O$1001,0),1)&gt;=100000,INDEX($V$1005:$AE$1005,1,MATCH(COLUMNS($V$1006:Y1006),$V$1006:$AE$1006,0))&gt;=100000), " ",IF(INDEX($V$2:$AE$1001,MATCH(ROWS($O$2:O898),$O$2:$O$1001,0),MATCH(COLUMNS($V$1006:Y1006),$V$1006:$AE$1006,0)), HYPERLINK("#",""), HYPERLINK(CONCATENATE("#Metadata!", ADDRESS(INDEX($Q$2:$Q$1001,MATCH(ROWS($O$2:O898),$O$2:$O$1001,0),0), INDEX($V$1004:$AE$1004,1,MATCH(COLUMNS($V$1006:Y1006),$V$1006:$AE$1006,0)))),"Fix")))</f>
        <v>0</v>
      </c>
      <c r="F898" s="3">
        <f>IF(OR(INDEX($P$2:$P$1001,MATCH(ROWS($O$2:O898),$O$2:$O$1001,0),1)&gt;=100000,INDEX($V$1005:$AE$1005,1,MATCH(COLUMNS($V$1006:Z1006),$V$1006:$AE$1006,0))&gt;=100000), " ",IF(INDEX($V$2:$AE$1001,MATCH(ROWS($O$2:O898),$O$2:$O$1001,0),MATCH(COLUMNS($V$1006:Z1006),$V$1006:$AE$1006,0)), HYPERLINK("#",""), HYPERLINK(CONCATENATE("#Metadata!", ADDRESS(INDEX($Q$2:$Q$1001,MATCH(ROWS($O$2:O898),$O$2:$O$1001,0),0), INDEX($V$1004:$AE$1004,1,MATCH(COLUMNS($V$1006:Z1006),$V$1006:$AE$1006,0)))),"Fix")))</f>
        <v>0</v>
      </c>
      <c r="G898" s="3">
        <f>IF(OR(INDEX($P$2:$P$1001,MATCH(ROWS($O$2:O898),$O$2:$O$1001,0),1)&gt;=100000,INDEX($V$1005:$AE$1005,1,MATCH(COLUMNS($V$1006:AA1006),$V$1006:$AE$1006,0))&gt;=100000), " ",IF(INDEX($V$2:$AE$1001,MATCH(ROWS($O$2:O898),$O$2:$O$1001,0),MATCH(COLUMNS($V$1006:AA1006),$V$1006:$AE$1006,0)), HYPERLINK("#",""), HYPERLINK(CONCATENATE("#Metadata!", ADDRESS(INDEX($Q$2:$Q$1001,MATCH(ROWS($O$2:O898),$O$2:$O$1001,0),0), INDEX($V$1004:$AE$1004,1,MATCH(COLUMNS($V$1006:AA1006),$V$1006:$AE$1006,0)))),"Fix")))</f>
        <v>0</v>
      </c>
      <c r="H898" s="3">
        <f>IF(OR(INDEX($P$2:$P$1001,MATCH(ROWS($O$2:O898),$O$2:$O$1001,0),1)&gt;=100000,INDEX($V$1005:$AE$1005,1,MATCH(COLUMNS($V$1006:AB1006),$V$1006:$AE$1006,0))&gt;=100000), " ",IF(INDEX($V$2:$AE$1001,MATCH(ROWS($O$2:O898),$O$2:$O$1001,0),MATCH(COLUMNS($V$1006:AB1006),$V$1006:$AE$1006,0)), HYPERLINK("#",""), HYPERLINK(CONCATENATE("#Metadata!", ADDRESS(INDEX($Q$2:$Q$1001,MATCH(ROWS($O$2:O898),$O$2:$O$1001,0),0), INDEX($V$1004:$AE$1004,1,MATCH(COLUMNS($V$1006:AB1006),$V$1006:$AE$1006,0)))),"Fix")))</f>
        <v>0</v>
      </c>
      <c r="I898" s="3">
        <f>IF(OR(INDEX($P$2:$P$1001,MATCH(ROWS($O$2:O898),$O$2:$O$1001,0),1)&gt;=100000,INDEX($V$1005:$AE$1005,1,MATCH(COLUMNS($V$1006:AC1006),$V$1006:$AE$1006,0))&gt;=100000), " ",IF(INDEX($V$2:$AE$1001,MATCH(ROWS($O$2:O898),$O$2:$O$1001,0),MATCH(COLUMNS($V$1006:AC1006),$V$1006:$AE$1006,0)), HYPERLINK("#",""), HYPERLINK(CONCATENATE("#Metadata!", ADDRESS(INDEX($Q$2:$Q$1001,MATCH(ROWS($O$2:O898),$O$2:$O$1001,0),0), INDEX($V$1004:$AE$1004,1,MATCH(COLUMNS($V$1006:AC1006),$V$1006:$AE$1006,0)))),"Fix")))</f>
        <v>0</v>
      </c>
      <c r="J898" s="3">
        <f>IF(OR(INDEX($P$2:$P$1001,MATCH(ROWS($O$2:O898),$O$2:$O$1001,0),1)&gt;=100000,INDEX($V$1005:$AE$1005,1,MATCH(COLUMNS($V$1006:AD1006),$V$1006:$AE$1006,0))&gt;=100000), " ",IF(INDEX($V$2:$AE$1001,MATCH(ROWS($O$2:O898),$O$2:$O$1001,0),MATCH(COLUMNS($V$1006:AD1006),$V$1006:$AE$1006,0)), HYPERLINK("#",""), HYPERLINK(CONCATENATE("#Metadata!", ADDRESS(INDEX($Q$2:$Q$1001,MATCH(ROWS($O$2:O898),$O$2:$O$1001,0),0), INDEX($V$1004:$AE$1004,1,MATCH(COLUMNS($V$1006:AD1006),$V$1006:$AE$1006,0)))),"Fix")))</f>
        <v>0</v>
      </c>
      <c r="K898" s="3">
        <f>IF(OR(INDEX($P$2:$P$1001,MATCH(ROWS($O$2:O898),$O$2:$O$1001,0),1)&gt;=100000,INDEX($V$1005:$AE$1005,1,MATCH(COLUMNS($V$1006:AE1006),$V$1006:$AE$1006,0))&gt;=100000), " ",IF(INDEX($V$2:$AE$1001,MATCH(ROWS($O$2:O898),$O$2:$O$1001,0),MATCH(COLUMNS($V$1006:AE1006),$V$1006:$AE$1006,0)), HYPERLINK("#",""), HYPERLINK(CONCATENATE("#Metadata!", ADDRESS(INDEX($Q$2:$Q$1001,MATCH(ROWS($O$2:O898),$O$2:$O$1001,0),0), INDEX($V$1004:$AE$1004,1,MATCH(COLUMNS($V$1006:AE1006),$V$1006:$AE$1006,0)))),"Fix")))</f>
        <v>0</v>
      </c>
      <c r="O898">
        <v>0</v>
      </c>
      <c r="P898">
        <v>0</v>
      </c>
      <c r="Q898">
        <v>0</v>
      </c>
      <c r="R898">
        <f>IF(S898,TRUE,AND(V898:AE898))</f>
        <v>0</v>
      </c>
      <c r="S898">
        <f>COUNTBLANK(Metadata!B898:K898)=COLUMNS(Metadata!B898:K898)</f>
        <v>0</v>
      </c>
      <c r="T898">
        <v>0</v>
      </c>
      <c r="V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W898">
        <f>AND(IF(Metadata!C898="",FALSE,TRUE),exact(Metadata!C898,"animal secretion"))</f>
        <v>0</v>
      </c>
      <c r="X898">
        <f>AND(IF(Metadata!D898="",FALSE,TRUE),exact(Metadata!D898,"saliva"))</f>
        <v>0</v>
      </c>
      <c r="Y898">
        <f>AND(IF(Metadata!E898="",FALSE,TRUE),exact(Metadata!E898,"human-oral"))</f>
        <v>0</v>
      </c>
      <c r="Z898">
        <f>AND(IF(Metadata!F898="",FALSE,TRUE),exact(Metadata!F898,"UBERON:oral cavity"))</f>
        <v>0</v>
      </c>
      <c r="AA898">
        <f>AND(IF(Metadata!G898="",FALSE,TRUE),exact(Metadata!G898,"UBERON:saliva"))</f>
        <v>0</v>
      </c>
      <c r="AB898">
        <f>AND(IF(Metadata!H898="",FALSE,TRUE),exact(Metadata!H898,"UBERON:tongue"))</f>
        <v>0</v>
      </c>
      <c r="AC898">
        <f>AND(IF(Metadata!I898="",FALSE,TRUE),exact(Metadata!I898,"tongue"))</f>
        <v>0</v>
      </c>
      <c r="AD898">
        <f>AND(IF(Metadata!J898="",FALSE,TRUE),exact(Metadata!J898,"human oral metagenome"))</f>
        <v>0</v>
      </c>
      <c r="AE898">
        <f>AND(IF(Metadata!K898="",FALSE,TRUE),exact(Metadata!K898,"447426"))</f>
        <v>0</v>
      </c>
    </row>
    <row r="899" spans="1:31">
      <c r="A899" s="4">
        <f>IF(B899=" "," ",HYPERLINK(CONCATENATE("#metadata!",ADDRESS(INDEX($Q$2:$Q$1001,MATCH(ROWS($O$2:O899),$O$2:$O$1001,0),0),1)),INDEX($T$2:$T$1001,MATCH(ROWS($O$2:O899),$O$2:$O$1001,0),0)))</f>
        <v>0</v>
      </c>
      <c r="B899" s="3">
        <f>IF(OR(INDEX($P$2:$P$1001,MATCH(ROWS($O$2:O899),$O$2:$O$1001,0),1)&gt;=100000,INDEX($V$1005:$AE$1005,1,MATCH(COLUMNS($V$1006:V1006),$V$1006:$AE$1006,0))&gt;=100000), " ",IF(INDEX($V$2:$AE$1001,MATCH(ROWS($O$2:O899),$O$2:$O$1001,0),MATCH(COLUMNS($V$1006:V1006),$V$1006:$AE$1006,0)), HYPERLINK("#",""), HYPERLINK(CONCATENATE("#Metadata!", ADDRESS(INDEX($Q$2:$Q$1001,MATCH(ROWS($O$2:O899),$O$2:$O$1001,0),0), INDEX($V$1004:$AE$1004,1,MATCH(COLUMNS($V$1006:V1006),$V$1006:$AE$1006,0)))),"Fix")))</f>
        <v>0</v>
      </c>
      <c r="C899" s="3">
        <f>IF(OR(INDEX($P$2:$P$1001,MATCH(ROWS($O$2:O899),$O$2:$O$1001,0),1)&gt;=100000,INDEX($V$1005:$AE$1005,1,MATCH(COLUMNS($V$1006:W1006),$V$1006:$AE$1006,0))&gt;=100000), " ",IF(INDEX($V$2:$AE$1001,MATCH(ROWS($O$2:O899),$O$2:$O$1001,0),MATCH(COLUMNS($V$1006:W1006),$V$1006:$AE$1006,0)), HYPERLINK("#",""), HYPERLINK(CONCATENATE("#Metadata!", ADDRESS(INDEX($Q$2:$Q$1001,MATCH(ROWS($O$2:O899),$O$2:$O$1001,0),0), INDEX($V$1004:$AE$1004,1,MATCH(COLUMNS($V$1006:W1006),$V$1006:$AE$1006,0)))),"Fix")))</f>
        <v>0</v>
      </c>
      <c r="D899" s="3">
        <f>IF(OR(INDEX($P$2:$P$1001,MATCH(ROWS($O$2:O899),$O$2:$O$1001,0),1)&gt;=100000,INDEX($V$1005:$AE$1005,1,MATCH(COLUMNS($V$1006:X1006),$V$1006:$AE$1006,0))&gt;=100000), " ",IF(INDEX($V$2:$AE$1001,MATCH(ROWS($O$2:O899),$O$2:$O$1001,0),MATCH(COLUMNS($V$1006:X1006),$V$1006:$AE$1006,0)), HYPERLINK("#",""), HYPERLINK(CONCATENATE("#Metadata!", ADDRESS(INDEX($Q$2:$Q$1001,MATCH(ROWS($O$2:O899),$O$2:$O$1001,0),0), INDEX($V$1004:$AE$1004,1,MATCH(COLUMNS($V$1006:X1006),$V$1006:$AE$1006,0)))),"Fix")))</f>
        <v>0</v>
      </c>
      <c r="E899" s="3">
        <f>IF(OR(INDEX($P$2:$P$1001,MATCH(ROWS($O$2:O899),$O$2:$O$1001,0),1)&gt;=100000,INDEX($V$1005:$AE$1005,1,MATCH(COLUMNS($V$1006:Y1006),$V$1006:$AE$1006,0))&gt;=100000), " ",IF(INDEX($V$2:$AE$1001,MATCH(ROWS($O$2:O899),$O$2:$O$1001,0),MATCH(COLUMNS($V$1006:Y1006),$V$1006:$AE$1006,0)), HYPERLINK("#",""), HYPERLINK(CONCATENATE("#Metadata!", ADDRESS(INDEX($Q$2:$Q$1001,MATCH(ROWS($O$2:O899),$O$2:$O$1001,0),0), INDEX($V$1004:$AE$1004,1,MATCH(COLUMNS($V$1006:Y1006),$V$1006:$AE$1006,0)))),"Fix")))</f>
        <v>0</v>
      </c>
      <c r="F899" s="3">
        <f>IF(OR(INDEX($P$2:$P$1001,MATCH(ROWS($O$2:O899),$O$2:$O$1001,0),1)&gt;=100000,INDEX($V$1005:$AE$1005,1,MATCH(COLUMNS($V$1006:Z1006),$V$1006:$AE$1006,0))&gt;=100000), " ",IF(INDEX($V$2:$AE$1001,MATCH(ROWS($O$2:O899),$O$2:$O$1001,0),MATCH(COLUMNS($V$1006:Z1006),$V$1006:$AE$1006,0)), HYPERLINK("#",""), HYPERLINK(CONCATENATE("#Metadata!", ADDRESS(INDEX($Q$2:$Q$1001,MATCH(ROWS($O$2:O899),$O$2:$O$1001,0),0), INDEX($V$1004:$AE$1004,1,MATCH(COLUMNS($V$1006:Z1006),$V$1006:$AE$1006,0)))),"Fix")))</f>
        <v>0</v>
      </c>
      <c r="G899" s="3">
        <f>IF(OR(INDEX($P$2:$P$1001,MATCH(ROWS($O$2:O899),$O$2:$O$1001,0),1)&gt;=100000,INDEX($V$1005:$AE$1005,1,MATCH(COLUMNS($V$1006:AA1006),$V$1006:$AE$1006,0))&gt;=100000), " ",IF(INDEX($V$2:$AE$1001,MATCH(ROWS($O$2:O899),$O$2:$O$1001,0),MATCH(COLUMNS($V$1006:AA1006),$V$1006:$AE$1006,0)), HYPERLINK("#",""), HYPERLINK(CONCATENATE("#Metadata!", ADDRESS(INDEX($Q$2:$Q$1001,MATCH(ROWS($O$2:O899),$O$2:$O$1001,0),0), INDEX($V$1004:$AE$1004,1,MATCH(COLUMNS($V$1006:AA1006),$V$1006:$AE$1006,0)))),"Fix")))</f>
        <v>0</v>
      </c>
      <c r="H899" s="3">
        <f>IF(OR(INDEX($P$2:$P$1001,MATCH(ROWS($O$2:O899),$O$2:$O$1001,0),1)&gt;=100000,INDEX($V$1005:$AE$1005,1,MATCH(COLUMNS($V$1006:AB1006),$V$1006:$AE$1006,0))&gt;=100000), " ",IF(INDEX($V$2:$AE$1001,MATCH(ROWS($O$2:O899),$O$2:$O$1001,0),MATCH(COLUMNS($V$1006:AB1006),$V$1006:$AE$1006,0)), HYPERLINK("#",""), HYPERLINK(CONCATENATE("#Metadata!", ADDRESS(INDEX($Q$2:$Q$1001,MATCH(ROWS($O$2:O899),$O$2:$O$1001,0),0), INDEX($V$1004:$AE$1004,1,MATCH(COLUMNS($V$1006:AB1006),$V$1006:$AE$1006,0)))),"Fix")))</f>
        <v>0</v>
      </c>
      <c r="I899" s="3">
        <f>IF(OR(INDEX($P$2:$P$1001,MATCH(ROWS($O$2:O899),$O$2:$O$1001,0),1)&gt;=100000,INDEX($V$1005:$AE$1005,1,MATCH(COLUMNS($V$1006:AC1006),$V$1006:$AE$1006,0))&gt;=100000), " ",IF(INDEX($V$2:$AE$1001,MATCH(ROWS($O$2:O899),$O$2:$O$1001,0),MATCH(COLUMNS($V$1006:AC1006),$V$1006:$AE$1006,0)), HYPERLINK("#",""), HYPERLINK(CONCATENATE("#Metadata!", ADDRESS(INDEX($Q$2:$Q$1001,MATCH(ROWS($O$2:O899),$O$2:$O$1001,0),0), INDEX($V$1004:$AE$1004,1,MATCH(COLUMNS($V$1006:AC1006),$V$1006:$AE$1006,0)))),"Fix")))</f>
        <v>0</v>
      </c>
      <c r="J899" s="3">
        <f>IF(OR(INDEX($P$2:$P$1001,MATCH(ROWS($O$2:O899),$O$2:$O$1001,0),1)&gt;=100000,INDEX($V$1005:$AE$1005,1,MATCH(COLUMNS($V$1006:AD1006),$V$1006:$AE$1006,0))&gt;=100000), " ",IF(INDEX($V$2:$AE$1001,MATCH(ROWS($O$2:O899),$O$2:$O$1001,0),MATCH(COLUMNS($V$1006:AD1006),$V$1006:$AE$1006,0)), HYPERLINK("#",""), HYPERLINK(CONCATENATE("#Metadata!", ADDRESS(INDEX($Q$2:$Q$1001,MATCH(ROWS($O$2:O899),$O$2:$O$1001,0),0), INDEX($V$1004:$AE$1004,1,MATCH(COLUMNS($V$1006:AD1006),$V$1006:$AE$1006,0)))),"Fix")))</f>
        <v>0</v>
      </c>
      <c r="K899" s="3">
        <f>IF(OR(INDEX($P$2:$P$1001,MATCH(ROWS($O$2:O899),$O$2:$O$1001,0),1)&gt;=100000,INDEX($V$1005:$AE$1005,1,MATCH(COLUMNS($V$1006:AE1006),$V$1006:$AE$1006,0))&gt;=100000), " ",IF(INDEX($V$2:$AE$1001,MATCH(ROWS($O$2:O899),$O$2:$O$1001,0),MATCH(COLUMNS($V$1006:AE1006),$V$1006:$AE$1006,0)), HYPERLINK("#",""), HYPERLINK(CONCATENATE("#Metadata!", ADDRESS(INDEX($Q$2:$Q$1001,MATCH(ROWS($O$2:O899),$O$2:$O$1001,0),0), INDEX($V$1004:$AE$1004,1,MATCH(COLUMNS($V$1006:AE1006),$V$1006:$AE$1006,0)))),"Fix")))</f>
        <v>0</v>
      </c>
      <c r="O899">
        <v>0</v>
      </c>
      <c r="P899">
        <v>0</v>
      </c>
      <c r="Q899">
        <v>0</v>
      </c>
      <c r="R899">
        <f>IF(S899,TRUE,AND(V899:AE899))</f>
        <v>0</v>
      </c>
      <c r="S899">
        <f>COUNTBLANK(Metadata!B899:K899)=COLUMNS(Metadata!B899:K899)</f>
        <v>0</v>
      </c>
      <c r="T899">
        <v>0</v>
      </c>
      <c r="V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W899">
        <f>AND(IF(Metadata!C899="",FALSE,TRUE),exact(Metadata!C899,"animal secretion"))</f>
        <v>0</v>
      </c>
      <c r="X899">
        <f>AND(IF(Metadata!D899="",FALSE,TRUE),exact(Metadata!D899,"saliva"))</f>
        <v>0</v>
      </c>
      <c r="Y899">
        <f>AND(IF(Metadata!E899="",FALSE,TRUE),exact(Metadata!E899,"human-oral"))</f>
        <v>0</v>
      </c>
      <c r="Z899">
        <f>AND(IF(Metadata!F899="",FALSE,TRUE),exact(Metadata!F899,"UBERON:oral cavity"))</f>
        <v>0</v>
      </c>
      <c r="AA899">
        <f>AND(IF(Metadata!G899="",FALSE,TRUE),exact(Metadata!G899,"UBERON:saliva"))</f>
        <v>0</v>
      </c>
      <c r="AB899">
        <f>AND(IF(Metadata!H899="",FALSE,TRUE),exact(Metadata!H899,"UBERON:tongue"))</f>
        <v>0</v>
      </c>
      <c r="AC899">
        <f>AND(IF(Metadata!I899="",FALSE,TRUE),exact(Metadata!I899,"tongue"))</f>
        <v>0</v>
      </c>
      <c r="AD899">
        <f>AND(IF(Metadata!J899="",FALSE,TRUE),exact(Metadata!J899,"human oral metagenome"))</f>
        <v>0</v>
      </c>
      <c r="AE899">
        <f>AND(IF(Metadata!K899="",FALSE,TRUE),exact(Metadata!K899,"447426"))</f>
        <v>0</v>
      </c>
    </row>
    <row r="900" spans="1:31">
      <c r="A900" s="4">
        <f>IF(B900=" "," ",HYPERLINK(CONCATENATE("#metadata!",ADDRESS(INDEX($Q$2:$Q$1001,MATCH(ROWS($O$2:O900),$O$2:$O$1001,0),0),1)),INDEX($T$2:$T$1001,MATCH(ROWS($O$2:O900),$O$2:$O$1001,0),0)))</f>
        <v>0</v>
      </c>
      <c r="B900" s="3">
        <f>IF(OR(INDEX($P$2:$P$1001,MATCH(ROWS($O$2:O900),$O$2:$O$1001,0),1)&gt;=100000,INDEX($V$1005:$AE$1005,1,MATCH(COLUMNS($V$1006:V1006),$V$1006:$AE$1006,0))&gt;=100000), " ",IF(INDEX($V$2:$AE$1001,MATCH(ROWS($O$2:O900),$O$2:$O$1001,0),MATCH(COLUMNS($V$1006:V1006),$V$1006:$AE$1006,0)), HYPERLINK("#",""), HYPERLINK(CONCATENATE("#Metadata!", ADDRESS(INDEX($Q$2:$Q$1001,MATCH(ROWS($O$2:O900),$O$2:$O$1001,0),0), INDEX($V$1004:$AE$1004,1,MATCH(COLUMNS($V$1006:V1006),$V$1006:$AE$1006,0)))),"Fix")))</f>
        <v>0</v>
      </c>
      <c r="C900" s="3">
        <f>IF(OR(INDEX($P$2:$P$1001,MATCH(ROWS($O$2:O900),$O$2:$O$1001,0),1)&gt;=100000,INDEX($V$1005:$AE$1005,1,MATCH(COLUMNS($V$1006:W1006),$V$1006:$AE$1006,0))&gt;=100000), " ",IF(INDEX($V$2:$AE$1001,MATCH(ROWS($O$2:O900),$O$2:$O$1001,0),MATCH(COLUMNS($V$1006:W1006),$V$1006:$AE$1006,0)), HYPERLINK("#",""), HYPERLINK(CONCATENATE("#Metadata!", ADDRESS(INDEX($Q$2:$Q$1001,MATCH(ROWS($O$2:O900),$O$2:$O$1001,0),0), INDEX($V$1004:$AE$1004,1,MATCH(COLUMNS($V$1006:W1006),$V$1006:$AE$1006,0)))),"Fix")))</f>
        <v>0</v>
      </c>
      <c r="D900" s="3">
        <f>IF(OR(INDEX($P$2:$P$1001,MATCH(ROWS($O$2:O900),$O$2:$O$1001,0),1)&gt;=100000,INDEX($V$1005:$AE$1005,1,MATCH(COLUMNS($V$1006:X1006),$V$1006:$AE$1006,0))&gt;=100000), " ",IF(INDEX($V$2:$AE$1001,MATCH(ROWS($O$2:O900),$O$2:$O$1001,0),MATCH(COLUMNS($V$1006:X1006),$V$1006:$AE$1006,0)), HYPERLINK("#",""), HYPERLINK(CONCATENATE("#Metadata!", ADDRESS(INDEX($Q$2:$Q$1001,MATCH(ROWS($O$2:O900),$O$2:$O$1001,0),0), INDEX($V$1004:$AE$1004,1,MATCH(COLUMNS($V$1006:X1006),$V$1006:$AE$1006,0)))),"Fix")))</f>
        <v>0</v>
      </c>
      <c r="E900" s="3">
        <f>IF(OR(INDEX($P$2:$P$1001,MATCH(ROWS($O$2:O900),$O$2:$O$1001,0),1)&gt;=100000,INDEX($V$1005:$AE$1005,1,MATCH(COLUMNS($V$1006:Y1006),$V$1006:$AE$1006,0))&gt;=100000), " ",IF(INDEX($V$2:$AE$1001,MATCH(ROWS($O$2:O900),$O$2:$O$1001,0),MATCH(COLUMNS($V$1006:Y1006),$V$1006:$AE$1006,0)), HYPERLINK("#",""), HYPERLINK(CONCATENATE("#Metadata!", ADDRESS(INDEX($Q$2:$Q$1001,MATCH(ROWS($O$2:O900),$O$2:$O$1001,0),0), INDEX($V$1004:$AE$1004,1,MATCH(COLUMNS($V$1006:Y1006),$V$1006:$AE$1006,0)))),"Fix")))</f>
        <v>0</v>
      </c>
      <c r="F900" s="3">
        <f>IF(OR(INDEX($P$2:$P$1001,MATCH(ROWS($O$2:O900),$O$2:$O$1001,0),1)&gt;=100000,INDEX($V$1005:$AE$1005,1,MATCH(COLUMNS($V$1006:Z1006),$V$1006:$AE$1006,0))&gt;=100000), " ",IF(INDEX($V$2:$AE$1001,MATCH(ROWS($O$2:O900),$O$2:$O$1001,0),MATCH(COLUMNS($V$1006:Z1006),$V$1006:$AE$1006,0)), HYPERLINK("#",""), HYPERLINK(CONCATENATE("#Metadata!", ADDRESS(INDEX($Q$2:$Q$1001,MATCH(ROWS($O$2:O900),$O$2:$O$1001,0),0), INDEX($V$1004:$AE$1004,1,MATCH(COLUMNS($V$1006:Z1006),$V$1006:$AE$1006,0)))),"Fix")))</f>
        <v>0</v>
      </c>
      <c r="G900" s="3">
        <f>IF(OR(INDEX($P$2:$P$1001,MATCH(ROWS($O$2:O900),$O$2:$O$1001,0),1)&gt;=100000,INDEX($V$1005:$AE$1005,1,MATCH(COLUMNS($V$1006:AA1006),$V$1006:$AE$1006,0))&gt;=100000), " ",IF(INDEX($V$2:$AE$1001,MATCH(ROWS($O$2:O900),$O$2:$O$1001,0),MATCH(COLUMNS($V$1006:AA1006),$V$1006:$AE$1006,0)), HYPERLINK("#",""), HYPERLINK(CONCATENATE("#Metadata!", ADDRESS(INDEX($Q$2:$Q$1001,MATCH(ROWS($O$2:O900),$O$2:$O$1001,0),0), INDEX($V$1004:$AE$1004,1,MATCH(COLUMNS($V$1006:AA1006),$V$1006:$AE$1006,0)))),"Fix")))</f>
        <v>0</v>
      </c>
      <c r="H900" s="3">
        <f>IF(OR(INDEX($P$2:$P$1001,MATCH(ROWS($O$2:O900),$O$2:$O$1001,0),1)&gt;=100000,INDEX($V$1005:$AE$1005,1,MATCH(COLUMNS($V$1006:AB1006),$V$1006:$AE$1006,0))&gt;=100000), " ",IF(INDEX($V$2:$AE$1001,MATCH(ROWS($O$2:O900),$O$2:$O$1001,0),MATCH(COLUMNS($V$1006:AB1006),$V$1006:$AE$1006,0)), HYPERLINK("#",""), HYPERLINK(CONCATENATE("#Metadata!", ADDRESS(INDEX($Q$2:$Q$1001,MATCH(ROWS($O$2:O900),$O$2:$O$1001,0),0), INDEX($V$1004:$AE$1004,1,MATCH(COLUMNS($V$1006:AB1006),$V$1006:$AE$1006,0)))),"Fix")))</f>
        <v>0</v>
      </c>
      <c r="I900" s="3">
        <f>IF(OR(INDEX($P$2:$P$1001,MATCH(ROWS($O$2:O900),$O$2:$O$1001,0),1)&gt;=100000,INDEX($V$1005:$AE$1005,1,MATCH(COLUMNS($V$1006:AC1006),$V$1006:$AE$1006,0))&gt;=100000), " ",IF(INDEX($V$2:$AE$1001,MATCH(ROWS($O$2:O900),$O$2:$O$1001,0),MATCH(COLUMNS($V$1006:AC1006),$V$1006:$AE$1006,0)), HYPERLINK("#",""), HYPERLINK(CONCATENATE("#Metadata!", ADDRESS(INDEX($Q$2:$Q$1001,MATCH(ROWS($O$2:O900),$O$2:$O$1001,0),0), INDEX($V$1004:$AE$1004,1,MATCH(COLUMNS($V$1006:AC1006),$V$1006:$AE$1006,0)))),"Fix")))</f>
        <v>0</v>
      </c>
      <c r="J900" s="3">
        <f>IF(OR(INDEX($P$2:$P$1001,MATCH(ROWS($O$2:O900),$O$2:$O$1001,0),1)&gt;=100000,INDEX($V$1005:$AE$1005,1,MATCH(COLUMNS($V$1006:AD1006),$V$1006:$AE$1006,0))&gt;=100000), " ",IF(INDEX($V$2:$AE$1001,MATCH(ROWS($O$2:O900),$O$2:$O$1001,0),MATCH(COLUMNS($V$1006:AD1006),$V$1006:$AE$1006,0)), HYPERLINK("#",""), HYPERLINK(CONCATENATE("#Metadata!", ADDRESS(INDEX($Q$2:$Q$1001,MATCH(ROWS($O$2:O900),$O$2:$O$1001,0),0), INDEX($V$1004:$AE$1004,1,MATCH(COLUMNS($V$1006:AD1006),$V$1006:$AE$1006,0)))),"Fix")))</f>
        <v>0</v>
      </c>
      <c r="K900" s="3">
        <f>IF(OR(INDEX($P$2:$P$1001,MATCH(ROWS($O$2:O900),$O$2:$O$1001,0),1)&gt;=100000,INDEX($V$1005:$AE$1005,1,MATCH(COLUMNS($V$1006:AE1006),$V$1006:$AE$1006,0))&gt;=100000), " ",IF(INDEX($V$2:$AE$1001,MATCH(ROWS($O$2:O900),$O$2:$O$1001,0),MATCH(COLUMNS($V$1006:AE1006),$V$1006:$AE$1006,0)), HYPERLINK("#",""), HYPERLINK(CONCATENATE("#Metadata!", ADDRESS(INDEX($Q$2:$Q$1001,MATCH(ROWS($O$2:O900),$O$2:$O$1001,0),0), INDEX($V$1004:$AE$1004,1,MATCH(COLUMNS($V$1006:AE1006),$V$1006:$AE$1006,0)))),"Fix")))</f>
        <v>0</v>
      </c>
      <c r="O900">
        <v>0</v>
      </c>
      <c r="P900">
        <v>0</v>
      </c>
      <c r="Q900">
        <v>0</v>
      </c>
      <c r="R900">
        <f>IF(S900,TRUE,AND(V900:AE900))</f>
        <v>0</v>
      </c>
      <c r="S900">
        <f>COUNTBLANK(Metadata!B900:K900)=COLUMNS(Metadata!B900:K900)</f>
        <v>0</v>
      </c>
      <c r="T900">
        <v>0</v>
      </c>
      <c r="V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W900">
        <f>AND(IF(Metadata!C900="",FALSE,TRUE),exact(Metadata!C900,"animal secretion"))</f>
        <v>0</v>
      </c>
      <c r="X900">
        <f>AND(IF(Metadata!D900="",FALSE,TRUE),exact(Metadata!D900,"saliva"))</f>
        <v>0</v>
      </c>
      <c r="Y900">
        <f>AND(IF(Metadata!E900="",FALSE,TRUE),exact(Metadata!E900,"human-oral"))</f>
        <v>0</v>
      </c>
      <c r="Z900">
        <f>AND(IF(Metadata!F900="",FALSE,TRUE),exact(Metadata!F900,"UBERON:oral cavity"))</f>
        <v>0</v>
      </c>
      <c r="AA900">
        <f>AND(IF(Metadata!G900="",FALSE,TRUE),exact(Metadata!G900,"UBERON:saliva"))</f>
        <v>0</v>
      </c>
      <c r="AB900">
        <f>AND(IF(Metadata!H900="",FALSE,TRUE),exact(Metadata!H900,"UBERON:tongue"))</f>
        <v>0</v>
      </c>
      <c r="AC900">
        <f>AND(IF(Metadata!I900="",FALSE,TRUE),exact(Metadata!I900,"tongue"))</f>
        <v>0</v>
      </c>
      <c r="AD900">
        <f>AND(IF(Metadata!J900="",FALSE,TRUE),exact(Metadata!J900,"human oral metagenome"))</f>
        <v>0</v>
      </c>
      <c r="AE900">
        <f>AND(IF(Metadata!K900="",FALSE,TRUE),exact(Metadata!K900,"447426"))</f>
        <v>0</v>
      </c>
    </row>
    <row r="901" spans="1:31">
      <c r="A901" s="4">
        <f>IF(B901=" "," ",HYPERLINK(CONCATENATE("#metadata!",ADDRESS(INDEX($Q$2:$Q$1001,MATCH(ROWS($O$2:O901),$O$2:$O$1001,0),0),1)),INDEX($T$2:$T$1001,MATCH(ROWS($O$2:O901),$O$2:$O$1001,0),0)))</f>
        <v>0</v>
      </c>
      <c r="B901" s="3">
        <f>IF(OR(INDEX($P$2:$P$1001,MATCH(ROWS($O$2:O901),$O$2:$O$1001,0),1)&gt;=100000,INDEX($V$1005:$AE$1005,1,MATCH(COLUMNS($V$1006:V1006),$V$1006:$AE$1006,0))&gt;=100000), " ",IF(INDEX($V$2:$AE$1001,MATCH(ROWS($O$2:O901),$O$2:$O$1001,0),MATCH(COLUMNS($V$1006:V1006),$V$1006:$AE$1006,0)), HYPERLINK("#",""), HYPERLINK(CONCATENATE("#Metadata!", ADDRESS(INDEX($Q$2:$Q$1001,MATCH(ROWS($O$2:O901),$O$2:$O$1001,0),0), INDEX($V$1004:$AE$1004,1,MATCH(COLUMNS($V$1006:V1006),$V$1006:$AE$1006,0)))),"Fix")))</f>
        <v>0</v>
      </c>
      <c r="C901" s="3">
        <f>IF(OR(INDEX($P$2:$P$1001,MATCH(ROWS($O$2:O901),$O$2:$O$1001,0),1)&gt;=100000,INDEX($V$1005:$AE$1005,1,MATCH(COLUMNS($V$1006:W1006),$V$1006:$AE$1006,0))&gt;=100000), " ",IF(INDEX($V$2:$AE$1001,MATCH(ROWS($O$2:O901),$O$2:$O$1001,0),MATCH(COLUMNS($V$1006:W1006),$V$1006:$AE$1006,0)), HYPERLINK("#",""), HYPERLINK(CONCATENATE("#Metadata!", ADDRESS(INDEX($Q$2:$Q$1001,MATCH(ROWS($O$2:O901),$O$2:$O$1001,0),0), INDEX($V$1004:$AE$1004,1,MATCH(COLUMNS($V$1006:W1006),$V$1006:$AE$1006,0)))),"Fix")))</f>
        <v>0</v>
      </c>
      <c r="D901" s="3">
        <f>IF(OR(INDEX($P$2:$P$1001,MATCH(ROWS($O$2:O901),$O$2:$O$1001,0),1)&gt;=100000,INDEX($V$1005:$AE$1005,1,MATCH(COLUMNS($V$1006:X1006),$V$1006:$AE$1006,0))&gt;=100000), " ",IF(INDEX($V$2:$AE$1001,MATCH(ROWS($O$2:O901),$O$2:$O$1001,0),MATCH(COLUMNS($V$1006:X1006),$V$1006:$AE$1006,0)), HYPERLINK("#",""), HYPERLINK(CONCATENATE("#Metadata!", ADDRESS(INDEX($Q$2:$Q$1001,MATCH(ROWS($O$2:O901),$O$2:$O$1001,0),0), INDEX($V$1004:$AE$1004,1,MATCH(COLUMNS($V$1006:X1006),$V$1006:$AE$1006,0)))),"Fix")))</f>
        <v>0</v>
      </c>
      <c r="E901" s="3">
        <f>IF(OR(INDEX($P$2:$P$1001,MATCH(ROWS($O$2:O901),$O$2:$O$1001,0),1)&gt;=100000,INDEX($V$1005:$AE$1005,1,MATCH(COLUMNS($V$1006:Y1006),$V$1006:$AE$1006,0))&gt;=100000), " ",IF(INDEX($V$2:$AE$1001,MATCH(ROWS($O$2:O901),$O$2:$O$1001,0),MATCH(COLUMNS($V$1006:Y1006),$V$1006:$AE$1006,0)), HYPERLINK("#",""), HYPERLINK(CONCATENATE("#Metadata!", ADDRESS(INDEX($Q$2:$Q$1001,MATCH(ROWS($O$2:O901),$O$2:$O$1001,0),0), INDEX($V$1004:$AE$1004,1,MATCH(COLUMNS($V$1006:Y1006),$V$1006:$AE$1006,0)))),"Fix")))</f>
        <v>0</v>
      </c>
      <c r="F901" s="3">
        <f>IF(OR(INDEX($P$2:$P$1001,MATCH(ROWS($O$2:O901),$O$2:$O$1001,0),1)&gt;=100000,INDEX($V$1005:$AE$1005,1,MATCH(COLUMNS($V$1006:Z1006),$V$1006:$AE$1006,0))&gt;=100000), " ",IF(INDEX($V$2:$AE$1001,MATCH(ROWS($O$2:O901),$O$2:$O$1001,0),MATCH(COLUMNS($V$1006:Z1006),$V$1006:$AE$1006,0)), HYPERLINK("#",""), HYPERLINK(CONCATENATE("#Metadata!", ADDRESS(INDEX($Q$2:$Q$1001,MATCH(ROWS($O$2:O901),$O$2:$O$1001,0),0), INDEX($V$1004:$AE$1004,1,MATCH(COLUMNS($V$1006:Z1006),$V$1006:$AE$1006,0)))),"Fix")))</f>
        <v>0</v>
      </c>
      <c r="G901" s="3">
        <f>IF(OR(INDEX($P$2:$P$1001,MATCH(ROWS($O$2:O901),$O$2:$O$1001,0),1)&gt;=100000,INDEX($V$1005:$AE$1005,1,MATCH(COLUMNS($V$1006:AA1006),$V$1006:$AE$1006,0))&gt;=100000), " ",IF(INDEX($V$2:$AE$1001,MATCH(ROWS($O$2:O901),$O$2:$O$1001,0),MATCH(COLUMNS($V$1006:AA1006),$V$1006:$AE$1006,0)), HYPERLINK("#",""), HYPERLINK(CONCATENATE("#Metadata!", ADDRESS(INDEX($Q$2:$Q$1001,MATCH(ROWS($O$2:O901),$O$2:$O$1001,0),0), INDEX($V$1004:$AE$1004,1,MATCH(COLUMNS($V$1006:AA1006),$V$1006:$AE$1006,0)))),"Fix")))</f>
        <v>0</v>
      </c>
      <c r="H901" s="3">
        <f>IF(OR(INDEX($P$2:$P$1001,MATCH(ROWS($O$2:O901),$O$2:$O$1001,0),1)&gt;=100000,INDEX($V$1005:$AE$1005,1,MATCH(COLUMNS($V$1006:AB1006),$V$1006:$AE$1006,0))&gt;=100000), " ",IF(INDEX($V$2:$AE$1001,MATCH(ROWS($O$2:O901),$O$2:$O$1001,0),MATCH(COLUMNS($V$1006:AB1006),$V$1006:$AE$1006,0)), HYPERLINK("#",""), HYPERLINK(CONCATENATE("#Metadata!", ADDRESS(INDEX($Q$2:$Q$1001,MATCH(ROWS($O$2:O901),$O$2:$O$1001,0),0), INDEX($V$1004:$AE$1004,1,MATCH(COLUMNS($V$1006:AB1006),$V$1006:$AE$1006,0)))),"Fix")))</f>
        <v>0</v>
      </c>
      <c r="I901" s="3">
        <f>IF(OR(INDEX($P$2:$P$1001,MATCH(ROWS($O$2:O901),$O$2:$O$1001,0),1)&gt;=100000,INDEX($V$1005:$AE$1005,1,MATCH(COLUMNS($V$1006:AC1006),$V$1006:$AE$1006,0))&gt;=100000), " ",IF(INDEX($V$2:$AE$1001,MATCH(ROWS($O$2:O901),$O$2:$O$1001,0),MATCH(COLUMNS($V$1006:AC1006),$V$1006:$AE$1006,0)), HYPERLINK("#",""), HYPERLINK(CONCATENATE("#Metadata!", ADDRESS(INDEX($Q$2:$Q$1001,MATCH(ROWS($O$2:O901),$O$2:$O$1001,0),0), INDEX($V$1004:$AE$1004,1,MATCH(COLUMNS($V$1006:AC1006),$V$1006:$AE$1006,0)))),"Fix")))</f>
        <v>0</v>
      </c>
      <c r="J901" s="3">
        <f>IF(OR(INDEX($P$2:$P$1001,MATCH(ROWS($O$2:O901),$O$2:$O$1001,0),1)&gt;=100000,INDEX($V$1005:$AE$1005,1,MATCH(COLUMNS($V$1006:AD1006),$V$1006:$AE$1006,0))&gt;=100000), " ",IF(INDEX($V$2:$AE$1001,MATCH(ROWS($O$2:O901),$O$2:$O$1001,0),MATCH(COLUMNS($V$1006:AD1006),$V$1006:$AE$1006,0)), HYPERLINK("#",""), HYPERLINK(CONCATENATE("#Metadata!", ADDRESS(INDEX($Q$2:$Q$1001,MATCH(ROWS($O$2:O901),$O$2:$O$1001,0),0), INDEX($V$1004:$AE$1004,1,MATCH(COLUMNS($V$1006:AD1006),$V$1006:$AE$1006,0)))),"Fix")))</f>
        <v>0</v>
      </c>
      <c r="K901" s="3">
        <f>IF(OR(INDEX($P$2:$P$1001,MATCH(ROWS($O$2:O901),$O$2:$O$1001,0),1)&gt;=100000,INDEX($V$1005:$AE$1005,1,MATCH(COLUMNS($V$1006:AE1006),$V$1006:$AE$1006,0))&gt;=100000), " ",IF(INDEX($V$2:$AE$1001,MATCH(ROWS($O$2:O901),$O$2:$O$1001,0),MATCH(COLUMNS($V$1006:AE1006),$V$1006:$AE$1006,0)), HYPERLINK("#",""), HYPERLINK(CONCATENATE("#Metadata!", ADDRESS(INDEX($Q$2:$Q$1001,MATCH(ROWS($O$2:O901),$O$2:$O$1001,0),0), INDEX($V$1004:$AE$1004,1,MATCH(COLUMNS($V$1006:AE1006),$V$1006:$AE$1006,0)))),"Fix")))</f>
        <v>0</v>
      </c>
      <c r="O901">
        <v>0</v>
      </c>
      <c r="P901">
        <v>0</v>
      </c>
      <c r="Q901">
        <v>0</v>
      </c>
      <c r="R901">
        <f>IF(S901,TRUE,AND(V901:AE901))</f>
        <v>0</v>
      </c>
      <c r="S901">
        <f>COUNTBLANK(Metadata!B901:K901)=COLUMNS(Metadata!B901:K901)</f>
        <v>0</v>
      </c>
      <c r="T901">
        <v>0</v>
      </c>
      <c r="V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W901">
        <f>AND(IF(Metadata!C901="",FALSE,TRUE),exact(Metadata!C901,"animal secretion"))</f>
        <v>0</v>
      </c>
      <c r="X901">
        <f>AND(IF(Metadata!D901="",FALSE,TRUE),exact(Metadata!D901,"saliva"))</f>
        <v>0</v>
      </c>
      <c r="Y901">
        <f>AND(IF(Metadata!E901="",FALSE,TRUE),exact(Metadata!E901,"human-oral"))</f>
        <v>0</v>
      </c>
      <c r="Z901">
        <f>AND(IF(Metadata!F901="",FALSE,TRUE),exact(Metadata!F901,"UBERON:oral cavity"))</f>
        <v>0</v>
      </c>
      <c r="AA901">
        <f>AND(IF(Metadata!G901="",FALSE,TRUE),exact(Metadata!G901,"UBERON:saliva"))</f>
        <v>0</v>
      </c>
      <c r="AB901">
        <f>AND(IF(Metadata!H901="",FALSE,TRUE),exact(Metadata!H901,"UBERON:tongue"))</f>
        <v>0</v>
      </c>
      <c r="AC901">
        <f>AND(IF(Metadata!I901="",FALSE,TRUE),exact(Metadata!I901,"tongue"))</f>
        <v>0</v>
      </c>
      <c r="AD901">
        <f>AND(IF(Metadata!J901="",FALSE,TRUE),exact(Metadata!J901,"human oral metagenome"))</f>
        <v>0</v>
      </c>
      <c r="AE901">
        <f>AND(IF(Metadata!K901="",FALSE,TRUE),exact(Metadata!K901,"447426"))</f>
        <v>0</v>
      </c>
    </row>
    <row r="902" spans="1:31">
      <c r="A902" s="4">
        <f>IF(B902=" "," ",HYPERLINK(CONCATENATE("#metadata!",ADDRESS(INDEX($Q$2:$Q$1001,MATCH(ROWS($O$2:O902),$O$2:$O$1001,0),0),1)),INDEX($T$2:$T$1001,MATCH(ROWS($O$2:O902),$O$2:$O$1001,0),0)))</f>
        <v>0</v>
      </c>
      <c r="B902" s="3">
        <f>IF(OR(INDEX($P$2:$P$1001,MATCH(ROWS($O$2:O902),$O$2:$O$1001,0),1)&gt;=100000,INDEX($V$1005:$AE$1005,1,MATCH(COLUMNS($V$1006:V1006),$V$1006:$AE$1006,0))&gt;=100000), " ",IF(INDEX($V$2:$AE$1001,MATCH(ROWS($O$2:O902),$O$2:$O$1001,0),MATCH(COLUMNS($V$1006:V1006),$V$1006:$AE$1006,0)), HYPERLINK("#",""), HYPERLINK(CONCATENATE("#Metadata!", ADDRESS(INDEX($Q$2:$Q$1001,MATCH(ROWS($O$2:O902),$O$2:$O$1001,0),0), INDEX($V$1004:$AE$1004,1,MATCH(COLUMNS($V$1006:V1006),$V$1006:$AE$1006,0)))),"Fix")))</f>
        <v>0</v>
      </c>
      <c r="C902" s="3">
        <f>IF(OR(INDEX($P$2:$P$1001,MATCH(ROWS($O$2:O902),$O$2:$O$1001,0),1)&gt;=100000,INDEX($V$1005:$AE$1005,1,MATCH(COLUMNS($V$1006:W1006),$V$1006:$AE$1006,0))&gt;=100000), " ",IF(INDEX($V$2:$AE$1001,MATCH(ROWS($O$2:O902),$O$2:$O$1001,0),MATCH(COLUMNS($V$1006:W1006),$V$1006:$AE$1006,0)), HYPERLINK("#",""), HYPERLINK(CONCATENATE("#Metadata!", ADDRESS(INDEX($Q$2:$Q$1001,MATCH(ROWS($O$2:O902),$O$2:$O$1001,0),0), INDEX($V$1004:$AE$1004,1,MATCH(COLUMNS($V$1006:W1006),$V$1006:$AE$1006,0)))),"Fix")))</f>
        <v>0</v>
      </c>
      <c r="D902" s="3">
        <f>IF(OR(INDEX($P$2:$P$1001,MATCH(ROWS($O$2:O902),$O$2:$O$1001,0),1)&gt;=100000,INDEX($V$1005:$AE$1005,1,MATCH(COLUMNS($V$1006:X1006),$V$1006:$AE$1006,0))&gt;=100000), " ",IF(INDEX($V$2:$AE$1001,MATCH(ROWS($O$2:O902),$O$2:$O$1001,0),MATCH(COLUMNS($V$1006:X1006),$V$1006:$AE$1006,0)), HYPERLINK("#",""), HYPERLINK(CONCATENATE("#Metadata!", ADDRESS(INDEX($Q$2:$Q$1001,MATCH(ROWS($O$2:O902),$O$2:$O$1001,0),0), INDEX($V$1004:$AE$1004,1,MATCH(COLUMNS($V$1006:X1006),$V$1006:$AE$1006,0)))),"Fix")))</f>
        <v>0</v>
      </c>
      <c r="E902" s="3">
        <f>IF(OR(INDEX($P$2:$P$1001,MATCH(ROWS($O$2:O902),$O$2:$O$1001,0),1)&gt;=100000,INDEX($V$1005:$AE$1005,1,MATCH(COLUMNS($V$1006:Y1006),$V$1006:$AE$1006,0))&gt;=100000), " ",IF(INDEX($V$2:$AE$1001,MATCH(ROWS($O$2:O902),$O$2:$O$1001,0),MATCH(COLUMNS($V$1006:Y1006),$V$1006:$AE$1006,0)), HYPERLINK("#",""), HYPERLINK(CONCATENATE("#Metadata!", ADDRESS(INDEX($Q$2:$Q$1001,MATCH(ROWS($O$2:O902),$O$2:$O$1001,0),0), INDEX($V$1004:$AE$1004,1,MATCH(COLUMNS($V$1006:Y1006),$V$1006:$AE$1006,0)))),"Fix")))</f>
        <v>0</v>
      </c>
      <c r="F902" s="3">
        <f>IF(OR(INDEX($P$2:$P$1001,MATCH(ROWS($O$2:O902),$O$2:$O$1001,0),1)&gt;=100000,INDEX($V$1005:$AE$1005,1,MATCH(COLUMNS($V$1006:Z1006),$V$1006:$AE$1006,0))&gt;=100000), " ",IF(INDEX($V$2:$AE$1001,MATCH(ROWS($O$2:O902),$O$2:$O$1001,0),MATCH(COLUMNS($V$1006:Z1006),$V$1006:$AE$1006,0)), HYPERLINK("#",""), HYPERLINK(CONCATENATE("#Metadata!", ADDRESS(INDEX($Q$2:$Q$1001,MATCH(ROWS($O$2:O902),$O$2:$O$1001,0),0), INDEX($V$1004:$AE$1004,1,MATCH(COLUMNS($V$1006:Z1006),$V$1006:$AE$1006,0)))),"Fix")))</f>
        <v>0</v>
      </c>
      <c r="G902" s="3">
        <f>IF(OR(INDEX($P$2:$P$1001,MATCH(ROWS($O$2:O902),$O$2:$O$1001,0),1)&gt;=100000,INDEX($V$1005:$AE$1005,1,MATCH(COLUMNS($V$1006:AA1006),$V$1006:$AE$1006,0))&gt;=100000), " ",IF(INDEX($V$2:$AE$1001,MATCH(ROWS($O$2:O902),$O$2:$O$1001,0),MATCH(COLUMNS($V$1006:AA1006),$V$1006:$AE$1006,0)), HYPERLINK("#",""), HYPERLINK(CONCATENATE("#Metadata!", ADDRESS(INDEX($Q$2:$Q$1001,MATCH(ROWS($O$2:O902),$O$2:$O$1001,0),0), INDEX($V$1004:$AE$1004,1,MATCH(COLUMNS($V$1006:AA1006),$V$1006:$AE$1006,0)))),"Fix")))</f>
        <v>0</v>
      </c>
      <c r="H902" s="3">
        <f>IF(OR(INDEX($P$2:$P$1001,MATCH(ROWS($O$2:O902),$O$2:$O$1001,0),1)&gt;=100000,INDEX($V$1005:$AE$1005,1,MATCH(COLUMNS($V$1006:AB1006),$V$1006:$AE$1006,0))&gt;=100000), " ",IF(INDEX($V$2:$AE$1001,MATCH(ROWS($O$2:O902),$O$2:$O$1001,0),MATCH(COLUMNS($V$1006:AB1006),$V$1006:$AE$1006,0)), HYPERLINK("#",""), HYPERLINK(CONCATENATE("#Metadata!", ADDRESS(INDEX($Q$2:$Q$1001,MATCH(ROWS($O$2:O902),$O$2:$O$1001,0),0), INDEX($V$1004:$AE$1004,1,MATCH(COLUMNS($V$1006:AB1006),$V$1006:$AE$1006,0)))),"Fix")))</f>
        <v>0</v>
      </c>
      <c r="I902" s="3">
        <f>IF(OR(INDEX($P$2:$P$1001,MATCH(ROWS($O$2:O902),$O$2:$O$1001,0),1)&gt;=100000,INDEX($V$1005:$AE$1005,1,MATCH(COLUMNS($V$1006:AC1006),$V$1006:$AE$1006,0))&gt;=100000), " ",IF(INDEX($V$2:$AE$1001,MATCH(ROWS($O$2:O902),$O$2:$O$1001,0),MATCH(COLUMNS($V$1006:AC1006),$V$1006:$AE$1006,0)), HYPERLINK("#",""), HYPERLINK(CONCATENATE("#Metadata!", ADDRESS(INDEX($Q$2:$Q$1001,MATCH(ROWS($O$2:O902),$O$2:$O$1001,0),0), INDEX($V$1004:$AE$1004,1,MATCH(COLUMNS($V$1006:AC1006),$V$1006:$AE$1006,0)))),"Fix")))</f>
        <v>0</v>
      </c>
      <c r="J902" s="3">
        <f>IF(OR(INDEX($P$2:$P$1001,MATCH(ROWS($O$2:O902),$O$2:$O$1001,0),1)&gt;=100000,INDEX($V$1005:$AE$1005,1,MATCH(COLUMNS($V$1006:AD1006),$V$1006:$AE$1006,0))&gt;=100000), " ",IF(INDEX($V$2:$AE$1001,MATCH(ROWS($O$2:O902),$O$2:$O$1001,0),MATCH(COLUMNS($V$1006:AD1006),$V$1006:$AE$1006,0)), HYPERLINK("#",""), HYPERLINK(CONCATENATE("#Metadata!", ADDRESS(INDEX($Q$2:$Q$1001,MATCH(ROWS($O$2:O902),$O$2:$O$1001,0),0), INDEX($V$1004:$AE$1004,1,MATCH(COLUMNS($V$1006:AD1006),$V$1006:$AE$1006,0)))),"Fix")))</f>
        <v>0</v>
      </c>
      <c r="K902" s="3">
        <f>IF(OR(INDEX($P$2:$P$1001,MATCH(ROWS($O$2:O902),$O$2:$O$1001,0),1)&gt;=100000,INDEX($V$1005:$AE$1005,1,MATCH(COLUMNS($V$1006:AE1006),$V$1006:$AE$1006,0))&gt;=100000), " ",IF(INDEX($V$2:$AE$1001,MATCH(ROWS($O$2:O902),$O$2:$O$1001,0),MATCH(COLUMNS($V$1006:AE1006),$V$1006:$AE$1006,0)), HYPERLINK("#",""), HYPERLINK(CONCATENATE("#Metadata!", ADDRESS(INDEX($Q$2:$Q$1001,MATCH(ROWS($O$2:O902),$O$2:$O$1001,0),0), INDEX($V$1004:$AE$1004,1,MATCH(COLUMNS($V$1006:AE1006),$V$1006:$AE$1006,0)))),"Fix")))</f>
        <v>0</v>
      </c>
      <c r="O902">
        <v>0</v>
      </c>
      <c r="P902">
        <v>0</v>
      </c>
      <c r="Q902">
        <v>0</v>
      </c>
      <c r="R902">
        <f>IF(S902,TRUE,AND(V902:AE902))</f>
        <v>0</v>
      </c>
      <c r="S902">
        <f>COUNTBLANK(Metadata!B902:K902)=COLUMNS(Metadata!B902:K902)</f>
        <v>0</v>
      </c>
      <c r="T902">
        <v>0</v>
      </c>
      <c r="V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W902">
        <f>AND(IF(Metadata!C902="",FALSE,TRUE),exact(Metadata!C902,"animal secretion"))</f>
        <v>0</v>
      </c>
      <c r="X902">
        <f>AND(IF(Metadata!D902="",FALSE,TRUE),exact(Metadata!D902,"saliva"))</f>
        <v>0</v>
      </c>
      <c r="Y902">
        <f>AND(IF(Metadata!E902="",FALSE,TRUE),exact(Metadata!E902,"human-oral"))</f>
        <v>0</v>
      </c>
      <c r="Z902">
        <f>AND(IF(Metadata!F902="",FALSE,TRUE),exact(Metadata!F902,"UBERON:oral cavity"))</f>
        <v>0</v>
      </c>
      <c r="AA902">
        <f>AND(IF(Metadata!G902="",FALSE,TRUE),exact(Metadata!G902,"UBERON:saliva"))</f>
        <v>0</v>
      </c>
      <c r="AB902">
        <f>AND(IF(Metadata!H902="",FALSE,TRUE),exact(Metadata!H902,"UBERON:tongue"))</f>
        <v>0</v>
      </c>
      <c r="AC902">
        <f>AND(IF(Metadata!I902="",FALSE,TRUE),exact(Metadata!I902,"tongue"))</f>
        <v>0</v>
      </c>
      <c r="AD902">
        <f>AND(IF(Metadata!J902="",FALSE,TRUE),exact(Metadata!J902,"human oral metagenome"))</f>
        <v>0</v>
      </c>
      <c r="AE902">
        <f>AND(IF(Metadata!K902="",FALSE,TRUE),exact(Metadata!K902,"447426"))</f>
        <v>0</v>
      </c>
    </row>
    <row r="903" spans="1:31">
      <c r="A903" s="4">
        <f>IF(B903=" "," ",HYPERLINK(CONCATENATE("#metadata!",ADDRESS(INDEX($Q$2:$Q$1001,MATCH(ROWS($O$2:O903),$O$2:$O$1001,0),0),1)),INDEX($T$2:$T$1001,MATCH(ROWS($O$2:O903),$O$2:$O$1001,0),0)))</f>
        <v>0</v>
      </c>
      <c r="B903" s="3">
        <f>IF(OR(INDEX($P$2:$P$1001,MATCH(ROWS($O$2:O903),$O$2:$O$1001,0),1)&gt;=100000,INDEX($V$1005:$AE$1005,1,MATCH(COLUMNS($V$1006:V1006),$V$1006:$AE$1006,0))&gt;=100000), " ",IF(INDEX($V$2:$AE$1001,MATCH(ROWS($O$2:O903),$O$2:$O$1001,0),MATCH(COLUMNS($V$1006:V1006),$V$1006:$AE$1006,0)), HYPERLINK("#",""), HYPERLINK(CONCATENATE("#Metadata!", ADDRESS(INDEX($Q$2:$Q$1001,MATCH(ROWS($O$2:O903),$O$2:$O$1001,0),0), INDEX($V$1004:$AE$1004,1,MATCH(COLUMNS($V$1006:V1006),$V$1006:$AE$1006,0)))),"Fix")))</f>
        <v>0</v>
      </c>
      <c r="C903" s="3">
        <f>IF(OR(INDEX($P$2:$P$1001,MATCH(ROWS($O$2:O903),$O$2:$O$1001,0),1)&gt;=100000,INDEX($V$1005:$AE$1005,1,MATCH(COLUMNS($V$1006:W1006),$V$1006:$AE$1006,0))&gt;=100000), " ",IF(INDEX($V$2:$AE$1001,MATCH(ROWS($O$2:O903),$O$2:$O$1001,0),MATCH(COLUMNS($V$1006:W1006),$V$1006:$AE$1006,0)), HYPERLINK("#",""), HYPERLINK(CONCATENATE("#Metadata!", ADDRESS(INDEX($Q$2:$Q$1001,MATCH(ROWS($O$2:O903),$O$2:$O$1001,0),0), INDEX($V$1004:$AE$1004,1,MATCH(COLUMNS($V$1006:W1006),$V$1006:$AE$1006,0)))),"Fix")))</f>
        <v>0</v>
      </c>
      <c r="D903" s="3">
        <f>IF(OR(INDEX($P$2:$P$1001,MATCH(ROWS($O$2:O903),$O$2:$O$1001,0),1)&gt;=100000,INDEX($V$1005:$AE$1005,1,MATCH(COLUMNS($V$1006:X1006),$V$1006:$AE$1006,0))&gt;=100000), " ",IF(INDEX($V$2:$AE$1001,MATCH(ROWS($O$2:O903),$O$2:$O$1001,0),MATCH(COLUMNS($V$1006:X1006),$V$1006:$AE$1006,0)), HYPERLINK("#",""), HYPERLINK(CONCATENATE("#Metadata!", ADDRESS(INDEX($Q$2:$Q$1001,MATCH(ROWS($O$2:O903),$O$2:$O$1001,0),0), INDEX($V$1004:$AE$1004,1,MATCH(COLUMNS($V$1006:X1006),$V$1006:$AE$1006,0)))),"Fix")))</f>
        <v>0</v>
      </c>
      <c r="E903" s="3">
        <f>IF(OR(INDEX($P$2:$P$1001,MATCH(ROWS($O$2:O903),$O$2:$O$1001,0),1)&gt;=100000,INDEX($V$1005:$AE$1005,1,MATCH(COLUMNS($V$1006:Y1006),$V$1006:$AE$1006,0))&gt;=100000), " ",IF(INDEX($V$2:$AE$1001,MATCH(ROWS($O$2:O903),$O$2:$O$1001,0),MATCH(COLUMNS($V$1006:Y1006),$V$1006:$AE$1006,0)), HYPERLINK("#",""), HYPERLINK(CONCATENATE("#Metadata!", ADDRESS(INDEX($Q$2:$Q$1001,MATCH(ROWS($O$2:O903),$O$2:$O$1001,0),0), INDEX($V$1004:$AE$1004,1,MATCH(COLUMNS($V$1006:Y1006),$V$1006:$AE$1006,0)))),"Fix")))</f>
        <v>0</v>
      </c>
      <c r="F903" s="3">
        <f>IF(OR(INDEX($P$2:$P$1001,MATCH(ROWS($O$2:O903),$O$2:$O$1001,0),1)&gt;=100000,INDEX($V$1005:$AE$1005,1,MATCH(COLUMNS($V$1006:Z1006),$V$1006:$AE$1006,0))&gt;=100000), " ",IF(INDEX($V$2:$AE$1001,MATCH(ROWS($O$2:O903),$O$2:$O$1001,0),MATCH(COLUMNS($V$1006:Z1006),$V$1006:$AE$1006,0)), HYPERLINK("#",""), HYPERLINK(CONCATENATE("#Metadata!", ADDRESS(INDEX($Q$2:$Q$1001,MATCH(ROWS($O$2:O903),$O$2:$O$1001,0),0), INDEX($V$1004:$AE$1004,1,MATCH(COLUMNS($V$1006:Z1006),$V$1006:$AE$1006,0)))),"Fix")))</f>
        <v>0</v>
      </c>
      <c r="G903" s="3">
        <f>IF(OR(INDEX($P$2:$P$1001,MATCH(ROWS($O$2:O903),$O$2:$O$1001,0),1)&gt;=100000,INDEX($V$1005:$AE$1005,1,MATCH(COLUMNS($V$1006:AA1006),$V$1006:$AE$1006,0))&gt;=100000), " ",IF(INDEX($V$2:$AE$1001,MATCH(ROWS($O$2:O903),$O$2:$O$1001,0),MATCH(COLUMNS($V$1006:AA1006),$V$1006:$AE$1006,0)), HYPERLINK("#",""), HYPERLINK(CONCATENATE("#Metadata!", ADDRESS(INDEX($Q$2:$Q$1001,MATCH(ROWS($O$2:O903),$O$2:$O$1001,0),0), INDEX($V$1004:$AE$1004,1,MATCH(COLUMNS($V$1006:AA1006),$V$1006:$AE$1006,0)))),"Fix")))</f>
        <v>0</v>
      </c>
      <c r="H903" s="3">
        <f>IF(OR(INDEX($P$2:$P$1001,MATCH(ROWS($O$2:O903),$O$2:$O$1001,0),1)&gt;=100000,INDEX($V$1005:$AE$1005,1,MATCH(COLUMNS($V$1006:AB1006),$V$1006:$AE$1006,0))&gt;=100000), " ",IF(INDEX($V$2:$AE$1001,MATCH(ROWS($O$2:O903),$O$2:$O$1001,0),MATCH(COLUMNS($V$1006:AB1006),$V$1006:$AE$1006,0)), HYPERLINK("#",""), HYPERLINK(CONCATENATE("#Metadata!", ADDRESS(INDEX($Q$2:$Q$1001,MATCH(ROWS($O$2:O903),$O$2:$O$1001,0),0), INDEX($V$1004:$AE$1004,1,MATCH(COLUMNS($V$1006:AB1006),$V$1006:$AE$1006,0)))),"Fix")))</f>
        <v>0</v>
      </c>
      <c r="I903" s="3">
        <f>IF(OR(INDEX($P$2:$P$1001,MATCH(ROWS($O$2:O903),$O$2:$O$1001,0),1)&gt;=100000,INDEX($V$1005:$AE$1005,1,MATCH(COLUMNS($V$1006:AC1006),$V$1006:$AE$1006,0))&gt;=100000), " ",IF(INDEX($V$2:$AE$1001,MATCH(ROWS($O$2:O903),$O$2:$O$1001,0),MATCH(COLUMNS($V$1006:AC1006),$V$1006:$AE$1006,0)), HYPERLINK("#",""), HYPERLINK(CONCATENATE("#Metadata!", ADDRESS(INDEX($Q$2:$Q$1001,MATCH(ROWS($O$2:O903),$O$2:$O$1001,0),0), INDEX($V$1004:$AE$1004,1,MATCH(COLUMNS($V$1006:AC1006),$V$1006:$AE$1006,0)))),"Fix")))</f>
        <v>0</v>
      </c>
      <c r="J903" s="3">
        <f>IF(OR(INDEX($P$2:$P$1001,MATCH(ROWS($O$2:O903),$O$2:$O$1001,0),1)&gt;=100000,INDEX($V$1005:$AE$1005,1,MATCH(COLUMNS($V$1006:AD1006),$V$1006:$AE$1006,0))&gt;=100000), " ",IF(INDEX($V$2:$AE$1001,MATCH(ROWS($O$2:O903),$O$2:$O$1001,0),MATCH(COLUMNS($V$1006:AD1006),$V$1006:$AE$1006,0)), HYPERLINK("#",""), HYPERLINK(CONCATENATE("#Metadata!", ADDRESS(INDEX($Q$2:$Q$1001,MATCH(ROWS($O$2:O903),$O$2:$O$1001,0),0), INDEX($V$1004:$AE$1004,1,MATCH(COLUMNS($V$1006:AD1006),$V$1006:$AE$1006,0)))),"Fix")))</f>
        <v>0</v>
      </c>
      <c r="K903" s="3">
        <f>IF(OR(INDEX($P$2:$P$1001,MATCH(ROWS($O$2:O903),$O$2:$O$1001,0),1)&gt;=100000,INDEX($V$1005:$AE$1005,1,MATCH(COLUMNS($V$1006:AE1006),$V$1006:$AE$1006,0))&gt;=100000), " ",IF(INDEX($V$2:$AE$1001,MATCH(ROWS($O$2:O903),$O$2:$O$1001,0),MATCH(COLUMNS($V$1006:AE1006),$V$1006:$AE$1006,0)), HYPERLINK("#",""), HYPERLINK(CONCATENATE("#Metadata!", ADDRESS(INDEX($Q$2:$Q$1001,MATCH(ROWS($O$2:O903),$O$2:$O$1001,0),0), INDEX($V$1004:$AE$1004,1,MATCH(COLUMNS($V$1006:AE1006),$V$1006:$AE$1006,0)))),"Fix")))</f>
        <v>0</v>
      </c>
      <c r="O903">
        <v>0</v>
      </c>
      <c r="P903">
        <v>0</v>
      </c>
      <c r="Q903">
        <v>0</v>
      </c>
      <c r="R903">
        <f>IF(S903,TRUE,AND(V903:AE903))</f>
        <v>0</v>
      </c>
      <c r="S903">
        <f>COUNTBLANK(Metadata!B903:K903)=COLUMNS(Metadata!B903:K903)</f>
        <v>0</v>
      </c>
      <c r="T903">
        <v>0</v>
      </c>
      <c r="V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W903">
        <f>AND(IF(Metadata!C903="",FALSE,TRUE),exact(Metadata!C903,"animal secretion"))</f>
        <v>0</v>
      </c>
      <c r="X903">
        <f>AND(IF(Metadata!D903="",FALSE,TRUE),exact(Metadata!D903,"saliva"))</f>
        <v>0</v>
      </c>
      <c r="Y903">
        <f>AND(IF(Metadata!E903="",FALSE,TRUE),exact(Metadata!E903,"human-oral"))</f>
        <v>0</v>
      </c>
      <c r="Z903">
        <f>AND(IF(Metadata!F903="",FALSE,TRUE),exact(Metadata!F903,"UBERON:oral cavity"))</f>
        <v>0</v>
      </c>
      <c r="AA903">
        <f>AND(IF(Metadata!G903="",FALSE,TRUE),exact(Metadata!G903,"UBERON:saliva"))</f>
        <v>0</v>
      </c>
      <c r="AB903">
        <f>AND(IF(Metadata!H903="",FALSE,TRUE),exact(Metadata!H903,"UBERON:tongue"))</f>
        <v>0</v>
      </c>
      <c r="AC903">
        <f>AND(IF(Metadata!I903="",FALSE,TRUE),exact(Metadata!I903,"tongue"))</f>
        <v>0</v>
      </c>
      <c r="AD903">
        <f>AND(IF(Metadata!J903="",FALSE,TRUE),exact(Metadata!J903,"human oral metagenome"))</f>
        <v>0</v>
      </c>
      <c r="AE903">
        <f>AND(IF(Metadata!K903="",FALSE,TRUE),exact(Metadata!K903,"447426"))</f>
        <v>0</v>
      </c>
    </row>
    <row r="904" spans="1:31">
      <c r="A904" s="4">
        <f>IF(B904=" "," ",HYPERLINK(CONCATENATE("#metadata!",ADDRESS(INDEX($Q$2:$Q$1001,MATCH(ROWS($O$2:O904),$O$2:$O$1001,0),0),1)),INDEX($T$2:$T$1001,MATCH(ROWS($O$2:O904),$O$2:$O$1001,0),0)))</f>
        <v>0</v>
      </c>
      <c r="B904" s="3">
        <f>IF(OR(INDEX($P$2:$P$1001,MATCH(ROWS($O$2:O904),$O$2:$O$1001,0),1)&gt;=100000,INDEX($V$1005:$AE$1005,1,MATCH(COLUMNS($V$1006:V1006),$V$1006:$AE$1006,0))&gt;=100000), " ",IF(INDEX($V$2:$AE$1001,MATCH(ROWS($O$2:O904),$O$2:$O$1001,0),MATCH(COLUMNS($V$1006:V1006),$V$1006:$AE$1006,0)), HYPERLINK("#",""), HYPERLINK(CONCATENATE("#Metadata!", ADDRESS(INDEX($Q$2:$Q$1001,MATCH(ROWS($O$2:O904),$O$2:$O$1001,0),0), INDEX($V$1004:$AE$1004,1,MATCH(COLUMNS($V$1006:V1006),$V$1006:$AE$1006,0)))),"Fix")))</f>
        <v>0</v>
      </c>
      <c r="C904" s="3">
        <f>IF(OR(INDEX($P$2:$P$1001,MATCH(ROWS($O$2:O904),$O$2:$O$1001,0),1)&gt;=100000,INDEX($V$1005:$AE$1005,1,MATCH(COLUMNS($V$1006:W1006),$V$1006:$AE$1006,0))&gt;=100000), " ",IF(INDEX($V$2:$AE$1001,MATCH(ROWS($O$2:O904),$O$2:$O$1001,0),MATCH(COLUMNS($V$1006:W1006),$V$1006:$AE$1006,0)), HYPERLINK("#",""), HYPERLINK(CONCATENATE("#Metadata!", ADDRESS(INDEX($Q$2:$Q$1001,MATCH(ROWS($O$2:O904),$O$2:$O$1001,0),0), INDEX($V$1004:$AE$1004,1,MATCH(COLUMNS($V$1006:W1006),$V$1006:$AE$1006,0)))),"Fix")))</f>
        <v>0</v>
      </c>
      <c r="D904" s="3">
        <f>IF(OR(INDEX($P$2:$P$1001,MATCH(ROWS($O$2:O904),$O$2:$O$1001,0),1)&gt;=100000,INDEX($V$1005:$AE$1005,1,MATCH(COLUMNS($V$1006:X1006),$V$1006:$AE$1006,0))&gt;=100000), " ",IF(INDEX($V$2:$AE$1001,MATCH(ROWS($O$2:O904),$O$2:$O$1001,0),MATCH(COLUMNS($V$1006:X1006),$V$1006:$AE$1006,0)), HYPERLINK("#",""), HYPERLINK(CONCATENATE("#Metadata!", ADDRESS(INDEX($Q$2:$Q$1001,MATCH(ROWS($O$2:O904),$O$2:$O$1001,0),0), INDEX($V$1004:$AE$1004,1,MATCH(COLUMNS($V$1006:X1006),$V$1006:$AE$1006,0)))),"Fix")))</f>
        <v>0</v>
      </c>
      <c r="E904" s="3">
        <f>IF(OR(INDEX($P$2:$P$1001,MATCH(ROWS($O$2:O904),$O$2:$O$1001,0),1)&gt;=100000,INDEX($V$1005:$AE$1005,1,MATCH(COLUMNS($V$1006:Y1006),$V$1006:$AE$1006,0))&gt;=100000), " ",IF(INDEX($V$2:$AE$1001,MATCH(ROWS($O$2:O904),$O$2:$O$1001,0),MATCH(COLUMNS($V$1006:Y1006),$V$1006:$AE$1006,0)), HYPERLINK("#",""), HYPERLINK(CONCATENATE("#Metadata!", ADDRESS(INDEX($Q$2:$Q$1001,MATCH(ROWS($O$2:O904),$O$2:$O$1001,0),0), INDEX($V$1004:$AE$1004,1,MATCH(COLUMNS($V$1006:Y1006),$V$1006:$AE$1006,0)))),"Fix")))</f>
        <v>0</v>
      </c>
      <c r="F904" s="3">
        <f>IF(OR(INDEX($P$2:$P$1001,MATCH(ROWS($O$2:O904),$O$2:$O$1001,0),1)&gt;=100000,INDEX($V$1005:$AE$1005,1,MATCH(COLUMNS($V$1006:Z1006),$V$1006:$AE$1006,0))&gt;=100000), " ",IF(INDEX($V$2:$AE$1001,MATCH(ROWS($O$2:O904),$O$2:$O$1001,0),MATCH(COLUMNS($V$1006:Z1006),$V$1006:$AE$1006,0)), HYPERLINK("#",""), HYPERLINK(CONCATENATE("#Metadata!", ADDRESS(INDEX($Q$2:$Q$1001,MATCH(ROWS($O$2:O904),$O$2:$O$1001,0),0), INDEX($V$1004:$AE$1004,1,MATCH(COLUMNS($V$1006:Z1006),$V$1006:$AE$1006,0)))),"Fix")))</f>
        <v>0</v>
      </c>
      <c r="G904" s="3">
        <f>IF(OR(INDEX($P$2:$P$1001,MATCH(ROWS($O$2:O904),$O$2:$O$1001,0),1)&gt;=100000,INDEX($V$1005:$AE$1005,1,MATCH(COLUMNS($V$1006:AA1006),$V$1006:$AE$1006,0))&gt;=100000), " ",IF(INDEX($V$2:$AE$1001,MATCH(ROWS($O$2:O904),$O$2:$O$1001,0),MATCH(COLUMNS($V$1006:AA1006),$V$1006:$AE$1006,0)), HYPERLINK("#",""), HYPERLINK(CONCATENATE("#Metadata!", ADDRESS(INDEX($Q$2:$Q$1001,MATCH(ROWS($O$2:O904),$O$2:$O$1001,0),0), INDEX($V$1004:$AE$1004,1,MATCH(COLUMNS($V$1006:AA1006),$V$1006:$AE$1006,0)))),"Fix")))</f>
        <v>0</v>
      </c>
      <c r="H904" s="3">
        <f>IF(OR(INDEX($P$2:$P$1001,MATCH(ROWS($O$2:O904),$O$2:$O$1001,0),1)&gt;=100000,INDEX($V$1005:$AE$1005,1,MATCH(COLUMNS($V$1006:AB1006),$V$1006:$AE$1006,0))&gt;=100000), " ",IF(INDEX($V$2:$AE$1001,MATCH(ROWS($O$2:O904),$O$2:$O$1001,0),MATCH(COLUMNS($V$1006:AB1006),$V$1006:$AE$1006,0)), HYPERLINK("#",""), HYPERLINK(CONCATENATE("#Metadata!", ADDRESS(INDEX($Q$2:$Q$1001,MATCH(ROWS($O$2:O904),$O$2:$O$1001,0),0), INDEX($V$1004:$AE$1004,1,MATCH(COLUMNS($V$1006:AB1006),$V$1006:$AE$1006,0)))),"Fix")))</f>
        <v>0</v>
      </c>
      <c r="I904" s="3">
        <f>IF(OR(INDEX($P$2:$P$1001,MATCH(ROWS($O$2:O904),$O$2:$O$1001,0),1)&gt;=100000,INDEX($V$1005:$AE$1005,1,MATCH(COLUMNS($V$1006:AC1006),$V$1006:$AE$1006,0))&gt;=100000), " ",IF(INDEX($V$2:$AE$1001,MATCH(ROWS($O$2:O904),$O$2:$O$1001,0),MATCH(COLUMNS($V$1006:AC1006),$V$1006:$AE$1006,0)), HYPERLINK("#",""), HYPERLINK(CONCATENATE("#Metadata!", ADDRESS(INDEX($Q$2:$Q$1001,MATCH(ROWS($O$2:O904),$O$2:$O$1001,0),0), INDEX($V$1004:$AE$1004,1,MATCH(COLUMNS($V$1006:AC1006),$V$1006:$AE$1006,0)))),"Fix")))</f>
        <v>0</v>
      </c>
      <c r="J904" s="3">
        <f>IF(OR(INDEX($P$2:$P$1001,MATCH(ROWS($O$2:O904),$O$2:$O$1001,0),1)&gt;=100000,INDEX($V$1005:$AE$1005,1,MATCH(COLUMNS($V$1006:AD1006),$V$1006:$AE$1006,0))&gt;=100000), " ",IF(INDEX($V$2:$AE$1001,MATCH(ROWS($O$2:O904),$O$2:$O$1001,0),MATCH(COLUMNS($V$1006:AD1006),$V$1006:$AE$1006,0)), HYPERLINK("#",""), HYPERLINK(CONCATENATE("#Metadata!", ADDRESS(INDEX($Q$2:$Q$1001,MATCH(ROWS($O$2:O904),$O$2:$O$1001,0),0), INDEX($V$1004:$AE$1004,1,MATCH(COLUMNS($V$1006:AD1006),$V$1006:$AE$1006,0)))),"Fix")))</f>
        <v>0</v>
      </c>
      <c r="K904" s="3">
        <f>IF(OR(INDEX($P$2:$P$1001,MATCH(ROWS($O$2:O904),$O$2:$O$1001,0),1)&gt;=100000,INDEX($V$1005:$AE$1005,1,MATCH(COLUMNS($V$1006:AE1006),$V$1006:$AE$1006,0))&gt;=100000), " ",IF(INDEX($V$2:$AE$1001,MATCH(ROWS($O$2:O904),$O$2:$O$1001,0),MATCH(COLUMNS($V$1006:AE1006),$V$1006:$AE$1006,0)), HYPERLINK("#",""), HYPERLINK(CONCATENATE("#Metadata!", ADDRESS(INDEX($Q$2:$Q$1001,MATCH(ROWS($O$2:O904),$O$2:$O$1001,0),0), INDEX($V$1004:$AE$1004,1,MATCH(COLUMNS($V$1006:AE1006),$V$1006:$AE$1006,0)))),"Fix")))</f>
        <v>0</v>
      </c>
      <c r="O904">
        <v>0</v>
      </c>
      <c r="P904">
        <v>0</v>
      </c>
      <c r="Q904">
        <v>0</v>
      </c>
      <c r="R904">
        <f>IF(S904,TRUE,AND(V904:AE904))</f>
        <v>0</v>
      </c>
      <c r="S904">
        <f>COUNTBLANK(Metadata!B904:K904)=COLUMNS(Metadata!B904:K904)</f>
        <v>0</v>
      </c>
      <c r="T904">
        <v>0</v>
      </c>
      <c r="V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W904">
        <f>AND(IF(Metadata!C904="",FALSE,TRUE),exact(Metadata!C904,"animal secretion"))</f>
        <v>0</v>
      </c>
      <c r="X904">
        <f>AND(IF(Metadata!D904="",FALSE,TRUE),exact(Metadata!D904,"saliva"))</f>
        <v>0</v>
      </c>
      <c r="Y904">
        <f>AND(IF(Metadata!E904="",FALSE,TRUE),exact(Metadata!E904,"human-oral"))</f>
        <v>0</v>
      </c>
      <c r="Z904">
        <f>AND(IF(Metadata!F904="",FALSE,TRUE),exact(Metadata!F904,"UBERON:oral cavity"))</f>
        <v>0</v>
      </c>
      <c r="AA904">
        <f>AND(IF(Metadata!G904="",FALSE,TRUE),exact(Metadata!G904,"UBERON:saliva"))</f>
        <v>0</v>
      </c>
      <c r="AB904">
        <f>AND(IF(Metadata!H904="",FALSE,TRUE),exact(Metadata!H904,"UBERON:tongue"))</f>
        <v>0</v>
      </c>
      <c r="AC904">
        <f>AND(IF(Metadata!I904="",FALSE,TRUE),exact(Metadata!I904,"tongue"))</f>
        <v>0</v>
      </c>
      <c r="AD904">
        <f>AND(IF(Metadata!J904="",FALSE,TRUE),exact(Metadata!J904,"human oral metagenome"))</f>
        <v>0</v>
      </c>
      <c r="AE904">
        <f>AND(IF(Metadata!K904="",FALSE,TRUE),exact(Metadata!K904,"447426"))</f>
        <v>0</v>
      </c>
    </row>
    <row r="905" spans="1:31">
      <c r="A905" s="4">
        <f>IF(B905=" "," ",HYPERLINK(CONCATENATE("#metadata!",ADDRESS(INDEX($Q$2:$Q$1001,MATCH(ROWS($O$2:O905),$O$2:$O$1001,0),0),1)),INDEX($T$2:$T$1001,MATCH(ROWS($O$2:O905),$O$2:$O$1001,0),0)))</f>
        <v>0</v>
      </c>
      <c r="B905" s="3">
        <f>IF(OR(INDEX($P$2:$P$1001,MATCH(ROWS($O$2:O905),$O$2:$O$1001,0),1)&gt;=100000,INDEX($V$1005:$AE$1005,1,MATCH(COLUMNS($V$1006:V1006),$V$1006:$AE$1006,0))&gt;=100000), " ",IF(INDEX($V$2:$AE$1001,MATCH(ROWS($O$2:O905),$O$2:$O$1001,0),MATCH(COLUMNS($V$1006:V1006),$V$1006:$AE$1006,0)), HYPERLINK("#",""), HYPERLINK(CONCATENATE("#Metadata!", ADDRESS(INDEX($Q$2:$Q$1001,MATCH(ROWS($O$2:O905),$O$2:$O$1001,0),0), INDEX($V$1004:$AE$1004,1,MATCH(COLUMNS($V$1006:V1006),$V$1006:$AE$1006,0)))),"Fix")))</f>
        <v>0</v>
      </c>
      <c r="C905" s="3">
        <f>IF(OR(INDEX($P$2:$P$1001,MATCH(ROWS($O$2:O905),$O$2:$O$1001,0),1)&gt;=100000,INDEX($V$1005:$AE$1005,1,MATCH(COLUMNS($V$1006:W1006),$V$1006:$AE$1006,0))&gt;=100000), " ",IF(INDEX($V$2:$AE$1001,MATCH(ROWS($O$2:O905),$O$2:$O$1001,0),MATCH(COLUMNS($V$1006:W1006),$V$1006:$AE$1006,0)), HYPERLINK("#",""), HYPERLINK(CONCATENATE("#Metadata!", ADDRESS(INDEX($Q$2:$Q$1001,MATCH(ROWS($O$2:O905),$O$2:$O$1001,0),0), INDEX($V$1004:$AE$1004,1,MATCH(COLUMNS($V$1006:W1006),$V$1006:$AE$1006,0)))),"Fix")))</f>
        <v>0</v>
      </c>
      <c r="D905" s="3">
        <f>IF(OR(INDEX($P$2:$P$1001,MATCH(ROWS($O$2:O905),$O$2:$O$1001,0),1)&gt;=100000,INDEX($V$1005:$AE$1005,1,MATCH(COLUMNS($V$1006:X1006),$V$1006:$AE$1006,0))&gt;=100000), " ",IF(INDEX($V$2:$AE$1001,MATCH(ROWS($O$2:O905),$O$2:$O$1001,0),MATCH(COLUMNS($V$1006:X1006),$V$1006:$AE$1006,0)), HYPERLINK("#",""), HYPERLINK(CONCATENATE("#Metadata!", ADDRESS(INDEX($Q$2:$Q$1001,MATCH(ROWS($O$2:O905),$O$2:$O$1001,0),0), INDEX($V$1004:$AE$1004,1,MATCH(COLUMNS($V$1006:X1006),$V$1006:$AE$1006,0)))),"Fix")))</f>
        <v>0</v>
      </c>
      <c r="E905" s="3">
        <f>IF(OR(INDEX($P$2:$P$1001,MATCH(ROWS($O$2:O905),$O$2:$O$1001,0),1)&gt;=100000,INDEX($V$1005:$AE$1005,1,MATCH(COLUMNS($V$1006:Y1006),$V$1006:$AE$1006,0))&gt;=100000), " ",IF(INDEX($V$2:$AE$1001,MATCH(ROWS($O$2:O905),$O$2:$O$1001,0),MATCH(COLUMNS($V$1006:Y1006),$V$1006:$AE$1006,0)), HYPERLINK("#",""), HYPERLINK(CONCATENATE("#Metadata!", ADDRESS(INDEX($Q$2:$Q$1001,MATCH(ROWS($O$2:O905),$O$2:$O$1001,0),0), INDEX($V$1004:$AE$1004,1,MATCH(COLUMNS($V$1006:Y1006),$V$1006:$AE$1006,0)))),"Fix")))</f>
        <v>0</v>
      </c>
      <c r="F905" s="3">
        <f>IF(OR(INDEX($P$2:$P$1001,MATCH(ROWS($O$2:O905),$O$2:$O$1001,0),1)&gt;=100000,INDEX($V$1005:$AE$1005,1,MATCH(COLUMNS($V$1006:Z1006),$V$1006:$AE$1006,0))&gt;=100000), " ",IF(INDEX($V$2:$AE$1001,MATCH(ROWS($O$2:O905),$O$2:$O$1001,0),MATCH(COLUMNS($V$1006:Z1006),$V$1006:$AE$1006,0)), HYPERLINK("#",""), HYPERLINK(CONCATENATE("#Metadata!", ADDRESS(INDEX($Q$2:$Q$1001,MATCH(ROWS($O$2:O905),$O$2:$O$1001,0),0), INDEX($V$1004:$AE$1004,1,MATCH(COLUMNS($V$1006:Z1006),$V$1006:$AE$1006,0)))),"Fix")))</f>
        <v>0</v>
      </c>
      <c r="G905" s="3">
        <f>IF(OR(INDEX($P$2:$P$1001,MATCH(ROWS($O$2:O905),$O$2:$O$1001,0),1)&gt;=100000,INDEX($V$1005:$AE$1005,1,MATCH(COLUMNS($V$1006:AA1006),$V$1006:$AE$1006,0))&gt;=100000), " ",IF(INDEX($V$2:$AE$1001,MATCH(ROWS($O$2:O905),$O$2:$O$1001,0),MATCH(COLUMNS($V$1006:AA1006),$V$1006:$AE$1006,0)), HYPERLINK("#",""), HYPERLINK(CONCATENATE("#Metadata!", ADDRESS(INDEX($Q$2:$Q$1001,MATCH(ROWS($O$2:O905),$O$2:$O$1001,0),0), INDEX($V$1004:$AE$1004,1,MATCH(COLUMNS($V$1006:AA1006),$V$1006:$AE$1006,0)))),"Fix")))</f>
        <v>0</v>
      </c>
      <c r="H905" s="3">
        <f>IF(OR(INDEX($P$2:$P$1001,MATCH(ROWS($O$2:O905),$O$2:$O$1001,0),1)&gt;=100000,INDEX($V$1005:$AE$1005,1,MATCH(COLUMNS($V$1006:AB1006),$V$1006:$AE$1006,0))&gt;=100000), " ",IF(INDEX($V$2:$AE$1001,MATCH(ROWS($O$2:O905),$O$2:$O$1001,0),MATCH(COLUMNS($V$1006:AB1006),$V$1006:$AE$1006,0)), HYPERLINK("#",""), HYPERLINK(CONCATENATE("#Metadata!", ADDRESS(INDEX($Q$2:$Q$1001,MATCH(ROWS($O$2:O905),$O$2:$O$1001,0),0), INDEX($V$1004:$AE$1004,1,MATCH(COLUMNS($V$1006:AB1006),$V$1006:$AE$1006,0)))),"Fix")))</f>
        <v>0</v>
      </c>
      <c r="I905" s="3">
        <f>IF(OR(INDEX($P$2:$P$1001,MATCH(ROWS($O$2:O905),$O$2:$O$1001,0),1)&gt;=100000,INDEX($V$1005:$AE$1005,1,MATCH(COLUMNS($V$1006:AC1006),$V$1006:$AE$1006,0))&gt;=100000), " ",IF(INDEX($V$2:$AE$1001,MATCH(ROWS($O$2:O905),$O$2:$O$1001,0),MATCH(COLUMNS($V$1006:AC1006),$V$1006:$AE$1006,0)), HYPERLINK("#",""), HYPERLINK(CONCATENATE("#Metadata!", ADDRESS(INDEX($Q$2:$Q$1001,MATCH(ROWS($O$2:O905),$O$2:$O$1001,0),0), INDEX($V$1004:$AE$1004,1,MATCH(COLUMNS($V$1006:AC1006),$V$1006:$AE$1006,0)))),"Fix")))</f>
        <v>0</v>
      </c>
      <c r="J905" s="3">
        <f>IF(OR(INDEX($P$2:$P$1001,MATCH(ROWS($O$2:O905),$O$2:$O$1001,0),1)&gt;=100000,INDEX($V$1005:$AE$1005,1,MATCH(COLUMNS($V$1006:AD1006),$V$1006:$AE$1006,0))&gt;=100000), " ",IF(INDEX($V$2:$AE$1001,MATCH(ROWS($O$2:O905),$O$2:$O$1001,0),MATCH(COLUMNS($V$1006:AD1006),$V$1006:$AE$1006,0)), HYPERLINK("#",""), HYPERLINK(CONCATENATE("#Metadata!", ADDRESS(INDEX($Q$2:$Q$1001,MATCH(ROWS($O$2:O905),$O$2:$O$1001,0),0), INDEX($V$1004:$AE$1004,1,MATCH(COLUMNS($V$1006:AD1006),$V$1006:$AE$1006,0)))),"Fix")))</f>
        <v>0</v>
      </c>
      <c r="K905" s="3">
        <f>IF(OR(INDEX($P$2:$P$1001,MATCH(ROWS($O$2:O905),$O$2:$O$1001,0),1)&gt;=100000,INDEX($V$1005:$AE$1005,1,MATCH(COLUMNS($V$1006:AE1006),$V$1006:$AE$1006,0))&gt;=100000), " ",IF(INDEX($V$2:$AE$1001,MATCH(ROWS($O$2:O905),$O$2:$O$1001,0),MATCH(COLUMNS($V$1006:AE1006),$V$1006:$AE$1006,0)), HYPERLINK("#",""), HYPERLINK(CONCATENATE("#Metadata!", ADDRESS(INDEX($Q$2:$Q$1001,MATCH(ROWS($O$2:O905),$O$2:$O$1001,0),0), INDEX($V$1004:$AE$1004,1,MATCH(COLUMNS($V$1006:AE1006),$V$1006:$AE$1006,0)))),"Fix")))</f>
        <v>0</v>
      </c>
      <c r="O905">
        <v>0</v>
      </c>
      <c r="P905">
        <v>0</v>
      </c>
      <c r="Q905">
        <v>0</v>
      </c>
      <c r="R905">
        <f>IF(S905,TRUE,AND(V905:AE905))</f>
        <v>0</v>
      </c>
      <c r="S905">
        <f>COUNTBLANK(Metadata!B905:K905)=COLUMNS(Metadata!B905:K905)</f>
        <v>0</v>
      </c>
      <c r="T905">
        <v>0</v>
      </c>
      <c r="V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W905">
        <f>AND(IF(Metadata!C905="",FALSE,TRUE),exact(Metadata!C905,"animal secretion"))</f>
        <v>0</v>
      </c>
      <c r="X905">
        <f>AND(IF(Metadata!D905="",FALSE,TRUE),exact(Metadata!D905,"saliva"))</f>
        <v>0</v>
      </c>
      <c r="Y905">
        <f>AND(IF(Metadata!E905="",FALSE,TRUE),exact(Metadata!E905,"human-oral"))</f>
        <v>0</v>
      </c>
      <c r="Z905">
        <f>AND(IF(Metadata!F905="",FALSE,TRUE),exact(Metadata!F905,"UBERON:oral cavity"))</f>
        <v>0</v>
      </c>
      <c r="AA905">
        <f>AND(IF(Metadata!G905="",FALSE,TRUE),exact(Metadata!G905,"UBERON:saliva"))</f>
        <v>0</v>
      </c>
      <c r="AB905">
        <f>AND(IF(Metadata!H905="",FALSE,TRUE),exact(Metadata!H905,"UBERON:tongue"))</f>
        <v>0</v>
      </c>
      <c r="AC905">
        <f>AND(IF(Metadata!I905="",FALSE,TRUE),exact(Metadata!I905,"tongue"))</f>
        <v>0</v>
      </c>
      <c r="AD905">
        <f>AND(IF(Metadata!J905="",FALSE,TRUE),exact(Metadata!J905,"human oral metagenome"))</f>
        <v>0</v>
      </c>
      <c r="AE905">
        <f>AND(IF(Metadata!K905="",FALSE,TRUE),exact(Metadata!K905,"447426"))</f>
        <v>0</v>
      </c>
    </row>
    <row r="906" spans="1:31">
      <c r="A906" s="4">
        <f>IF(B906=" "," ",HYPERLINK(CONCATENATE("#metadata!",ADDRESS(INDEX($Q$2:$Q$1001,MATCH(ROWS($O$2:O906),$O$2:$O$1001,0),0),1)),INDEX($T$2:$T$1001,MATCH(ROWS($O$2:O906),$O$2:$O$1001,0),0)))</f>
        <v>0</v>
      </c>
      <c r="B906" s="3">
        <f>IF(OR(INDEX($P$2:$P$1001,MATCH(ROWS($O$2:O906),$O$2:$O$1001,0),1)&gt;=100000,INDEX($V$1005:$AE$1005,1,MATCH(COLUMNS($V$1006:V1006),$V$1006:$AE$1006,0))&gt;=100000), " ",IF(INDEX($V$2:$AE$1001,MATCH(ROWS($O$2:O906),$O$2:$O$1001,0),MATCH(COLUMNS($V$1006:V1006),$V$1006:$AE$1006,0)), HYPERLINK("#",""), HYPERLINK(CONCATENATE("#Metadata!", ADDRESS(INDEX($Q$2:$Q$1001,MATCH(ROWS($O$2:O906),$O$2:$O$1001,0),0), INDEX($V$1004:$AE$1004,1,MATCH(COLUMNS($V$1006:V1006),$V$1006:$AE$1006,0)))),"Fix")))</f>
        <v>0</v>
      </c>
      <c r="C906" s="3">
        <f>IF(OR(INDEX($P$2:$P$1001,MATCH(ROWS($O$2:O906),$O$2:$O$1001,0),1)&gt;=100000,INDEX($V$1005:$AE$1005,1,MATCH(COLUMNS($V$1006:W1006),$V$1006:$AE$1006,0))&gt;=100000), " ",IF(INDEX($V$2:$AE$1001,MATCH(ROWS($O$2:O906),$O$2:$O$1001,0),MATCH(COLUMNS($V$1006:W1006),$V$1006:$AE$1006,0)), HYPERLINK("#",""), HYPERLINK(CONCATENATE("#Metadata!", ADDRESS(INDEX($Q$2:$Q$1001,MATCH(ROWS($O$2:O906),$O$2:$O$1001,0),0), INDEX($V$1004:$AE$1004,1,MATCH(COLUMNS($V$1006:W1006),$V$1006:$AE$1006,0)))),"Fix")))</f>
        <v>0</v>
      </c>
      <c r="D906" s="3">
        <f>IF(OR(INDEX($P$2:$P$1001,MATCH(ROWS($O$2:O906),$O$2:$O$1001,0),1)&gt;=100000,INDEX($V$1005:$AE$1005,1,MATCH(COLUMNS($V$1006:X1006),$V$1006:$AE$1006,0))&gt;=100000), " ",IF(INDEX($V$2:$AE$1001,MATCH(ROWS($O$2:O906),$O$2:$O$1001,0),MATCH(COLUMNS($V$1006:X1006),$V$1006:$AE$1006,0)), HYPERLINK("#",""), HYPERLINK(CONCATENATE("#Metadata!", ADDRESS(INDEX($Q$2:$Q$1001,MATCH(ROWS($O$2:O906),$O$2:$O$1001,0),0), INDEX($V$1004:$AE$1004,1,MATCH(COLUMNS($V$1006:X1006),$V$1006:$AE$1006,0)))),"Fix")))</f>
        <v>0</v>
      </c>
      <c r="E906" s="3">
        <f>IF(OR(INDEX($P$2:$P$1001,MATCH(ROWS($O$2:O906),$O$2:$O$1001,0),1)&gt;=100000,INDEX($V$1005:$AE$1005,1,MATCH(COLUMNS($V$1006:Y1006),$V$1006:$AE$1006,0))&gt;=100000), " ",IF(INDEX($V$2:$AE$1001,MATCH(ROWS($O$2:O906),$O$2:$O$1001,0),MATCH(COLUMNS($V$1006:Y1006),$V$1006:$AE$1006,0)), HYPERLINK("#",""), HYPERLINK(CONCATENATE("#Metadata!", ADDRESS(INDEX($Q$2:$Q$1001,MATCH(ROWS($O$2:O906),$O$2:$O$1001,0),0), INDEX($V$1004:$AE$1004,1,MATCH(COLUMNS($V$1006:Y1006),$V$1006:$AE$1006,0)))),"Fix")))</f>
        <v>0</v>
      </c>
      <c r="F906" s="3">
        <f>IF(OR(INDEX($P$2:$P$1001,MATCH(ROWS($O$2:O906),$O$2:$O$1001,0),1)&gt;=100000,INDEX($V$1005:$AE$1005,1,MATCH(COLUMNS($V$1006:Z1006),$V$1006:$AE$1006,0))&gt;=100000), " ",IF(INDEX($V$2:$AE$1001,MATCH(ROWS($O$2:O906),$O$2:$O$1001,0),MATCH(COLUMNS($V$1006:Z1006),$V$1006:$AE$1006,0)), HYPERLINK("#",""), HYPERLINK(CONCATENATE("#Metadata!", ADDRESS(INDEX($Q$2:$Q$1001,MATCH(ROWS($O$2:O906),$O$2:$O$1001,0),0), INDEX($V$1004:$AE$1004,1,MATCH(COLUMNS($V$1006:Z1006),$V$1006:$AE$1006,0)))),"Fix")))</f>
        <v>0</v>
      </c>
      <c r="G906" s="3">
        <f>IF(OR(INDEX($P$2:$P$1001,MATCH(ROWS($O$2:O906),$O$2:$O$1001,0),1)&gt;=100000,INDEX($V$1005:$AE$1005,1,MATCH(COLUMNS($V$1006:AA1006),$V$1006:$AE$1006,0))&gt;=100000), " ",IF(INDEX($V$2:$AE$1001,MATCH(ROWS($O$2:O906),$O$2:$O$1001,0),MATCH(COLUMNS($V$1006:AA1006),$V$1006:$AE$1006,0)), HYPERLINK("#",""), HYPERLINK(CONCATENATE("#Metadata!", ADDRESS(INDEX($Q$2:$Q$1001,MATCH(ROWS($O$2:O906),$O$2:$O$1001,0),0), INDEX($V$1004:$AE$1004,1,MATCH(COLUMNS($V$1006:AA1006),$V$1006:$AE$1006,0)))),"Fix")))</f>
        <v>0</v>
      </c>
      <c r="H906" s="3">
        <f>IF(OR(INDEX($P$2:$P$1001,MATCH(ROWS($O$2:O906),$O$2:$O$1001,0),1)&gt;=100000,INDEX($V$1005:$AE$1005,1,MATCH(COLUMNS($V$1006:AB1006),$V$1006:$AE$1006,0))&gt;=100000), " ",IF(INDEX($V$2:$AE$1001,MATCH(ROWS($O$2:O906),$O$2:$O$1001,0),MATCH(COLUMNS($V$1006:AB1006),$V$1006:$AE$1006,0)), HYPERLINK("#",""), HYPERLINK(CONCATENATE("#Metadata!", ADDRESS(INDEX($Q$2:$Q$1001,MATCH(ROWS($O$2:O906),$O$2:$O$1001,0),0), INDEX($V$1004:$AE$1004,1,MATCH(COLUMNS($V$1006:AB1006),$V$1006:$AE$1006,0)))),"Fix")))</f>
        <v>0</v>
      </c>
      <c r="I906" s="3">
        <f>IF(OR(INDEX($P$2:$P$1001,MATCH(ROWS($O$2:O906),$O$2:$O$1001,0),1)&gt;=100000,INDEX($V$1005:$AE$1005,1,MATCH(COLUMNS($V$1006:AC1006),$V$1006:$AE$1006,0))&gt;=100000), " ",IF(INDEX($V$2:$AE$1001,MATCH(ROWS($O$2:O906),$O$2:$O$1001,0),MATCH(COLUMNS($V$1006:AC1006),$V$1006:$AE$1006,0)), HYPERLINK("#",""), HYPERLINK(CONCATENATE("#Metadata!", ADDRESS(INDEX($Q$2:$Q$1001,MATCH(ROWS($O$2:O906),$O$2:$O$1001,0),0), INDEX($V$1004:$AE$1004,1,MATCH(COLUMNS($V$1006:AC1006),$V$1006:$AE$1006,0)))),"Fix")))</f>
        <v>0</v>
      </c>
      <c r="J906" s="3">
        <f>IF(OR(INDEX($P$2:$P$1001,MATCH(ROWS($O$2:O906),$O$2:$O$1001,0),1)&gt;=100000,INDEX($V$1005:$AE$1005,1,MATCH(COLUMNS($V$1006:AD1006),$V$1006:$AE$1006,0))&gt;=100000), " ",IF(INDEX($V$2:$AE$1001,MATCH(ROWS($O$2:O906),$O$2:$O$1001,0),MATCH(COLUMNS($V$1006:AD1006),$V$1006:$AE$1006,0)), HYPERLINK("#",""), HYPERLINK(CONCATENATE("#Metadata!", ADDRESS(INDEX($Q$2:$Q$1001,MATCH(ROWS($O$2:O906),$O$2:$O$1001,0),0), INDEX($V$1004:$AE$1004,1,MATCH(COLUMNS($V$1006:AD1006),$V$1006:$AE$1006,0)))),"Fix")))</f>
        <v>0</v>
      </c>
      <c r="K906" s="3">
        <f>IF(OR(INDEX($P$2:$P$1001,MATCH(ROWS($O$2:O906),$O$2:$O$1001,0),1)&gt;=100000,INDEX($V$1005:$AE$1005,1,MATCH(COLUMNS($V$1006:AE1006),$V$1006:$AE$1006,0))&gt;=100000), " ",IF(INDEX($V$2:$AE$1001,MATCH(ROWS($O$2:O906),$O$2:$O$1001,0),MATCH(COLUMNS($V$1006:AE1006),$V$1006:$AE$1006,0)), HYPERLINK("#",""), HYPERLINK(CONCATENATE("#Metadata!", ADDRESS(INDEX($Q$2:$Q$1001,MATCH(ROWS($O$2:O906),$O$2:$O$1001,0),0), INDEX($V$1004:$AE$1004,1,MATCH(COLUMNS($V$1006:AE1006),$V$1006:$AE$1006,0)))),"Fix")))</f>
        <v>0</v>
      </c>
      <c r="O906">
        <v>0</v>
      </c>
      <c r="P906">
        <v>0</v>
      </c>
      <c r="Q906">
        <v>0</v>
      </c>
      <c r="R906">
        <f>IF(S906,TRUE,AND(V906:AE906))</f>
        <v>0</v>
      </c>
      <c r="S906">
        <f>COUNTBLANK(Metadata!B906:K906)=COLUMNS(Metadata!B906:K906)</f>
        <v>0</v>
      </c>
      <c r="T906">
        <v>0</v>
      </c>
      <c r="V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W906">
        <f>AND(IF(Metadata!C906="",FALSE,TRUE),exact(Metadata!C906,"animal secretion"))</f>
        <v>0</v>
      </c>
      <c r="X906">
        <f>AND(IF(Metadata!D906="",FALSE,TRUE),exact(Metadata!D906,"saliva"))</f>
        <v>0</v>
      </c>
      <c r="Y906">
        <f>AND(IF(Metadata!E906="",FALSE,TRUE),exact(Metadata!E906,"human-oral"))</f>
        <v>0</v>
      </c>
      <c r="Z906">
        <f>AND(IF(Metadata!F906="",FALSE,TRUE),exact(Metadata!F906,"UBERON:oral cavity"))</f>
        <v>0</v>
      </c>
      <c r="AA906">
        <f>AND(IF(Metadata!G906="",FALSE,TRUE),exact(Metadata!G906,"UBERON:saliva"))</f>
        <v>0</v>
      </c>
      <c r="AB906">
        <f>AND(IF(Metadata!H906="",FALSE,TRUE),exact(Metadata!H906,"UBERON:tongue"))</f>
        <v>0</v>
      </c>
      <c r="AC906">
        <f>AND(IF(Metadata!I906="",FALSE,TRUE),exact(Metadata!I906,"tongue"))</f>
        <v>0</v>
      </c>
      <c r="AD906">
        <f>AND(IF(Metadata!J906="",FALSE,TRUE),exact(Metadata!J906,"human oral metagenome"))</f>
        <v>0</v>
      </c>
      <c r="AE906">
        <f>AND(IF(Metadata!K906="",FALSE,TRUE),exact(Metadata!K906,"447426"))</f>
        <v>0</v>
      </c>
    </row>
    <row r="907" spans="1:31">
      <c r="A907" s="4">
        <f>IF(B907=" "," ",HYPERLINK(CONCATENATE("#metadata!",ADDRESS(INDEX($Q$2:$Q$1001,MATCH(ROWS($O$2:O907),$O$2:$O$1001,0),0),1)),INDEX($T$2:$T$1001,MATCH(ROWS($O$2:O907),$O$2:$O$1001,0),0)))</f>
        <v>0</v>
      </c>
      <c r="B907" s="3">
        <f>IF(OR(INDEX($P$2:$P$1001,MATCH(ROWS($O$2:O907),$O$2:$O$1001,0),1)&gt;=100000,INDEX($V$1005:$AE$1005,1,MATCH(COLUMNS($V$1006:V1006),$V$1006:$AE$1006,0))&gt;=100000), " ",IF(INDEX($V$2:$AE$1001,MATCH(ROWS($O$2:O907),$O$2:$O$1001,0),MATCH(COLUMNS($V$1006:V1006),$V$1006:$AE$1006,0)), HYPERLINK("#",""), HYPERLINK(CONCATENATE("#Metadata!", ADDRESS(INDEX($Q$2:$Q$1001,MATCH(ROWS($O$2:O907),$O$2:$O$1001,0),0), INDEX($V$1004:$AE$1004,1,MATCH(COLUMNS($V$1006:V1006),$V$1006:$AE$1006,0)))),"Fix")))</f>
        <v>0</v>
      </c>
      <c r="C907" s="3">
        <f>IF(OR(INDEX($P$2:$P$1001,MATCH(ROWS($O$2:O907),$O$2:$O$1001,0),1)&gt;=100000,INDEX($V$1005:$AE$1005,1,MATCH(COLUMNS($V$1006:W1006),$V$1006:$AE$1006,0))&gt;=100000), " ",IF(INDEX($V$2:$AE$1001,MATCH(ROWS($O$2:O907),$O$2:$O$1001,0),MATCH(COLUMNS($V$1006:W1006),$V$1006:$AE$1006,0)), HYPERLINK("#",""), HYPERLINK(CONCATENATE("#Metadata!", ADDRESS(INDEX($Q$2:$Q$1001,MATCH(ROWS($O$2:O907),$O$2:$O$1001,0),0), INDEX($V$1004:$AE$1004,1,MATCH(COLUMNS($V$1006:W1006),$V$1006:$AE$1006,0)))),"Fix")))</f>
        <v>0</v>
      </c>
      <c r="D907" s="3">
        <f>IF(OR(INDEX($P$2:$P$1001,MATCH(ROWS($O$2:O907),$O$2:$O$1001,0),1)&gt;=100000,INDEX($V$1005:$AE$1005,1,MATCH(COLUMNS($V$1006:X1006),$V$1006:$AE$1006,0))&gt;=100000), " ",IF(INDEX($V$2:$AE$1001,MATCH(ROWS($O$2:O907),$O$2:$O$1001,0),MATCH(COLUMNS($V$1006:X1006),$V$1006:$AE$1006,0)), HYPERLINK("#",""), HYPERLINK(CONCATENATE("#Metadata!", ADDRESS(INDEX($Q$2:$Q$1001,MATCH(ROWS($O$2:O907),$O$2:$O$1001,0),0), INDEX($V$1004:$AE$1004,1,MATCH(COLUMNS($V$1006:X1006),$V$1006:$AE$1006,0)))),"Fix")))</f>
        <v>0</v>
      </c>
      <c r="E907" s="3">
        <f>IF(OR(INDEX($P$2:$P$1001,MATCH(ROWS($O$2:O907),$O$2:$O$1001,0),1)&gt;=100000,INDEX($V$1005:$AE$1005,1,MATCH(COLUMNS($V$1006:Y1006),$V$1006:$AE$1006,0))&gt;=100000), " ",IF(INDEX($V$2:$AE$1001,MATCH(ROWS($O$2:O907),$O$2:$O$1001,0),MATCH(COLUMNS($V$1006:Y1006),$V$1006:$AE$1006,0)), HYPERLINK("#",""), HYPERLINK(CONCATENATE("#Metadata!", ADDRESS(INDEX($Q$2:$Q$1001,MATCH(ROWS($O$2:O907),$O$2:$O$1001,0),0), INDEX($V$1004:$AE$1004,1,MATCH(COLUMNS($V$1006:Y1006),$V$1006:$AE$1006,0)))),"Fix")))</f>
        <v>0</v>
      </c>
      <c r="F907" s="3">
        <f>IF(OR(INDEX($P$2:$P$1001,MATCH(ROWS($O$2:O907),$O$2:$O$1001,0),1)&gt;=100000,INDEX($V$1005:$AE$1005,1,MATCH(COLUMNS($V$1006:Z1006),$V$1006:$AE$1006,0))&gt;=100000), " ",IF(INDEX($V$2:$AE$1001,MATCH(ROWS($O$2:O907),$O$2:$O$1001,0),MATCH(COLUMNS($V$1006:Z1006),$V$1006:$AE$1006,0)), HYPERLINK("#",""), HYPERLINK(CONCATENATE("#Metadata!", ADDRESS(INDEX($Q$2:$Q$1001,MATCH(ROWS($O$2:O907),$O$2:$O$1001,0),0), INDEX($V$1004:$AE$1004,1,MATCH(COLUMNS($V$1006:Z1006),$V$1006:$AE$1006,0)))),"Fix")))</f>
        <v>0</v>
      </c>
      <c r="G907" s="3">
        <f>IF(OR(INDEX($P$2:$P$1001,MATCH(ROWS($O$2:O907),$O$2:$O$1001,0),1)&gt;=100000,INDEX($V$1005:$AE$1005,1,MATCH(COLUMNS($V$1006:AA1006),$V$1006:$AE$1006,0))&gt;=100000), " ",IF(INDEX($V$2:$AE$1001,MATCH(ROWS($O$2:O907),$O$2:$O$1001,0),MATCH(COLUMNS($V$1006:AA1006),$V$1006:$AE$1006,0)), HYPERLINK("#",""), HYPERLINK(CONCATENATE("#Metadata!", ADDRESS(INDEX($Q$2:$Q$1001,MATCH(ROWS($O$2:O907),$O$2:$O$1001,0),0), INDEX($V$1004:$AE$1004,1,MATCH(COLUMNS($V$1006:AA1006),$V$1006:$AE$1006,0)))),"Fix")))</f>
        <v>0</v>
      </c>
      <c r="H907" s="3">
        <f>IF(OR(INDEX($P$2:$P$1001,MATCH(ROWS($O$2:O907),$O$2:$O$1001,0),1)&gt;=100000,INDEX($V$1005:$AE$1005,1,MATCH(COLUMNS($V$1006:AB1006),$V$1006:$AE$1006,0))&gt;=100000), " ",IF(INDEX($V$2:$AE$1001,MATCH(ROWS($O$2:O907),$O$2:$O$1001,0),MATCH(COLUMNS($V$1006:AB1006),$V$1006:$AE$1006,0)), HYPERLINK("#",""), HYPERLINK(CONCATENATE("#Metadata!", ADDRESS(INDEX($Q$2:$Q$1001,MATCH(ROWS($O$2:O907),$O$2:$O$1001,0),0), INDEX($V$1004:$AE$1004,1,MATCH(COLUMNS($V$1006:AB1006),$V$1006:$AE$1006,0)))),"Fix")))</f>
        <v>0</v>
      </c>
      <c r="I907" s="3">
        <f>IF(OR(INDEX($P$2:$P$1001,MATCH(ROWS($O$2:O907),$O$2:$O$1001,0),1)&gt;=100000,INDEX($V$1005:$AE$1005,1,MATCH(COLUMNS($V$1006:AC1006),$V$1006:$AE$1006,0))&gt;=100000), " ",IF(INDEX($V$2:$AE$1001,MATCH(ROWS($O$2:O907),$O$2:$O$1001,0),MATCH(COLUMNS($V$1006:AC1006),$V$1006:$AE$1006,0)), HYPERLINK("#",""), HYPERLINK(CONCATENATE("#Metadata!", ADDRESS(INDEX($Q$2:$Q$1001,MATCH(ROWS($O$2:O907),$O$2:$O$1001,0),0), INDEX($V$1004:$AE$1004,1,MATCH(COLUMNS($V$1006:AC1006),$V$1006:$AE$1006,0)))),"Fix")))</f>
        <v>0</v>
      </c>
      <c r="J907" s="3">
        <f>IF(OR(INDEX($P$2:$P$1001,MATCH(ROWS($O$2:O907),$O$2:$O$1001,0),1)&gt;=100000,INDEX($V$1005:$AE$1005,1,MATCH(COLUMNS($V$1006:AD1006),$V$1006:$AE$1006,0))&gt;=100000), " ",IF(INDEX($V$2:$AE$1001,MATCH(ROWS($O$2:O907),$O$2:$O$1001,0),MATCH(COLUMNS($V$1006:AD1006),$V$1006:$AE$1006,0)), HYPERLINK("#",""), HYPERLINK(CONCATENATE("#Metadata!", ADDRESS(INDEX($Q$2:$Q$1001,MATCH(ROWS($O$2:O907),$O$2:$O$1001,0),0), INDEX($V$1004:$AE$1004,1,MATCH(COLUMNS($V$1006:AD1006),$V$1006:$AE$1006,0)))),"Fix")))</f>
        <v>0</v>
      </c>
      <c r="K907" s="3">
        <f>IF(OR(INDEX($P$2:$P$1001,MATCH(ROWS($O$2:O907),$O$2:$O$1001,0),1)&gt;=100000,INDEX($V$1005:$AE$1005,1,MATCH(COLUMNS($V$1006:AE1006),$V$1006:$AE$1006,0))&gt;=100000), " ",IF(INDEX($V$2:$AE$1001,MATCH(ROWS($O$2:O907),$O$2:$O$1001,0),MATCH(COLUMNS($V$1006:AE1006),$V$1006:$AE$1006,0)), HYPERLINK("#",""), HYPERLINK(CONCATENATE("#Metadata!", ADDRESS(INDEX($Q$2:$Q$1001,MATCH(ROWS($O$2:O907),$O$2:$O$1001,0),0), INDEX($V$1004:$AE$1004,1,MATCH(COLUMNS($V$1006:AE1006),$V$1006:$AE$1006,0)))),"Fix")))</f>
        <v>0</v>
      </c>
      <c r="O907">
        <v>0</v>
      </c>
      <c r="P907">
        <v>0</v>
      </c>
      <c r="Q907">
        <v>0</v>
      </c>
      <c r="R907">
        <f>IF(S907,TRUE,AND(V907:AE907))</f>
        <v>0</v>
      </c>
      <c r="S907">
        <f>COUNTBLANK(Metadata!B907:K907)=COLUMNS(Metadata!B907:K907)</f>
        <v>0</v>
      </c>
      <c r="T907">
        <v>0</v>
      </c>
      <c r="V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W907">
        <f>AND(IF(Metadata!C907="",FALSE,TRUE),exact(Metadata!C907,"animal secretion"))</f>
        <v>0</v>
      </c>
      <c r="X907">
        <f>AND(IF(Metadata!D907="",FALSE,TRUE),exact(Metadata!D907,"saliva"))</f>
        <v>0</v>
      </c>
      <c r="Y907">
        <f>AND(IF(Metadata!E907="",FALSE,TRUE),exact(Metadata!E907,"human-oral"))</f>
        <v>0</v>
      </c>
      <c r="Z907">
        <f>AND(IF(Metadata!F907="",FALSE,TRUE),exact(Metadata!F907,"UBERON:oral cavity"))</f>
        <v>0</v>
      </c>
      <c r="AA907">
        <f>AND(IF(Metadata!G907="",FALSE,TRUE),exact(Metadata!G907,"UBERON:saliva"))</f>
        <v>0</v>
      </c>
      <c r="AB907">
        <f>AND(IF(Metadata!H907="",FALSE,TRUE),exact(Metadata!H907,"UBERON:tongue"))</f>
        <v>0</v>
      </c>
      <c r="AC907">
        <f>AND(IF(Metadata!I907="",FALSE,TRUE),exact(Metadata!I907,"tongue"))</f>
        <v>0</v>
      </c>
      <c r="AD907">
        <f>AND(IF(Metadata!J907="",FALSE,TRUE),exact(Metadata!J907,"human oral metagenome"))</f>
        <v>0</v>
      </c>
      <c r="AE907">
        <f>AND(IF(Metadata!K907="",FALSE,TRUE),exact(Metadata!K907,"447426"))</f>
        <v>0</v>
      </c>
    </row>
    <row r="908" spans="1:31">
      <c r="A908" s="4">
        <f>IF(B908=" "," ",HYPERLINK(CONCATENATE("#metadata!",ADDRESS(INDEX($Q$2:$Q$1001,MATCH(ROWS($O$2:O908),$O$2:$O$1001,0),0),1)),INDEX($T$2:$T$1001,MATCH(ROWS($O$2:O908),$O$2:$O$1001,0),0)))</f>
        <v>0</v>
      </c>
      <c r="B908" s="3">
        <f>IF(OR(INDEX($P$2:$P$1001,MATCH(ROWS($O$2:O908),$O$2:$O$1001,0),1)&gt;=100000,INDEX($V$1005:$AE$1005,1,MATCH(COLUMNS($V$1006:V1006),$V$1006:$AE$1006,0))&gt;=100000), " ",IF(INDEX($V$2:$AE$1001,MATCH(ROWS($O$2:O908),$O$2:$O$1001,0),MATCH(COLUMNS($V$1006:V1006),$V$1006:$AE$1006,0)), HYPERLINK("#",""), HYPERLINK(CONCATENATE("#Metadata!", ADDRESS(INDEX($Q$2:$Q$1001,MATCH(ROWS($O$2:O908),$O$2:$O$1001,0),0), INDEX($V$1004:$AE$1004,1,MATCH(COLUMNS($V$1006:V1006),$V$1006:$AE$1006,0)))),"Fix")))</f>
        <v>0</v>
      </c>
      <c r="C908" s="3">
        <f>IF(OR(INDEX($P$2:$P$1001,MATCH(ROWS($O$2:O908),$O$2:$O$1001,0),1)&gt;=100000,INDEX($V$1005:$AE$1005,1,MATCH(COLUMNS($V$1006:W1006),$V$1006:$AE$1006,0))&gt;=100000), " ",IF(INDEX($V$2:$AE$1001,MATCH(ROWS($O$2:O908),$O$2:$O$1001,0),MATCH(COLUMNS($V$1006:W1006),$V$1006:$AE$1006,0)), HYPERLINK("#",""), HYPERLINK(CONCATENATE("#Metadata!", ADDRESS(INDEX($Q$2:$Q$1001,MATCH(ROWS($O$2:O908),$O$2:$O$1001,0),0), INDEX($V$1004:$AE$1004,1,MATCH(COLUMNS($V$1006:W1006),$V$1006:$AE$1006,0)))),"Fix")))</f>
        <v>0</v>
      </c>
      <c r="D908" s="3">
        <f>IF(OR(INDEX($P$2:$P$1001,MATCH(ROWS($O$2:O908),$O$2:$O$1001,0),1)&gt;=100000,INDEX($V$1005:$AE$1005,1,MATCH(COLUMNS($V$1006:X1006),$V$1006:$AE$1006,0))&gt;=100000), " ",IF(INDEX($V$2:$AE$1001,MATCH(ROWS($O$2:O908),$O$2:$O$1001,0),MATCH(COLUMNS($V$1006:X1006),$V$1006:$AE$1006,0)), HYPERLINK("#",""), HYPERLINK(CONCATENATE("#Metadata!", ADDRESS(INDEX($Q$2:$Q$1001,MATCH(ROWS($O$2:O908),$O$2:$O$1001,0),0), INDEX($V$1004:$AE$1004,1,MATCH(COLUMNS($V$1006:X1006),$V$1006:$AE$1006,0)))),"Fix")))</f>
        <v>0</v>
      </c>
      <c r="E908" s="3">
        <f>IF(OR(INDEX($P$2:$P$1001,MATCH(ROWS($O$2:O908),$O$2:$O$1001,0),1)&gt;=100000,INDEX($V$1005:$AE$1005,1,MATCH(COLUMNS($V$1006:Y1006),$V$1006:$AE$1006,0))&gt;=100000), " ",IF(INDEX($V$2:$AE$1001,MATCH(ROWS($O$2:O908),$O$2:$O$1001,0),MATCH(COLUMNS($V$1006:Y1006),$V$1006:$AE$1006,0)), HYPERLINK("#",""), HYPERLINK(CONCATENATE("#Metadata!", ADDRESS(INDEX($Q$2:$Q$1001,MATCH(ROWS($O$2:O908),$O$2:$O$1001,0),0), INDEX($V$1004:$AE$1004,1,MATCH(COLUMNS($V$1006:Y1006),$V$1006:$AE$1006,0)))),"Fix")))</f>
        <v>0</v>
      </c>
      <c r="F908" s="3">
        <f>IF(OR(INDEX($P$2:$P$1001,MATCH(ROWS($O$2:O908),$O$2:$O$1001,0),1)&gt;=100000,INDEX($V$1005:$AE$1005,1,MATCH(COLUMNS($V$1006:Z1006),$V$1006:$AE$1006,0))&gt;=100000), " ",IF(INDEX($V$2:$AE$1001,MATCH(ROWS($O$2:O908),$O$2:$O$1001,0),MATCH(COLUMNS($V$1006:Z1006),$V$1006:$AE$1006,0)), HYPERLINK("#",""), HYPERLINK(CONCATENATE("#Metadata!", ADDRESS(INDEX($Q$2:$Q$1001,MATCH(ROWS($O$2:O908),$O$2:$O$1001,0),0), INDEX($V$1004:$AE$1004,1,MATCH(COLUMNS($V$1006:Z1006),$V$1006:$AE$1006,0)))),"Fix")))</f>
        <v>0</v>
      </c>
      <c r="G908" s="3">
        <f>IF(OR(INDEX($P$2:$P$1001,MATCH(ROWS($O$2:O908),$O$2:$O$1001,0),1)&gt;=100000,INDEX($V$1005:$AE$1005,1,MATCH(COLUMNS($V$1006:AA1006),$V$1006:$AE$1006,0))&gt;=100000), " ",IF(INDEX($V$2:$AE$1001,MATCH(ROWS($O$2:O908),$O$2:$O$1001,0),MATCH(COLUMNS($V$1006:AA1006),$V$1006:$AE$1006,0)), HYPERLINK("#",""), HYPERLINK(CONCATENATE("#Metadata!", ADDRESS(INDEX($Q$2:$Q$1001,MATCH(ROWS($O$2:O908),$O$2:$O$1001,0),0), INDEX($V$1004:$AE$1004,1,MATCH(COLUMNS($V$1006:AA1006),$V$1006:$AE$1006,0)))),"Fix")))</f>
        <v>0</v>
      </c>
      <c r="H908" s="3">
        <f>IF(OR(INDEX($P$2:$P$1001,MATCH(ROWS($O$2:O908),$O$2:$O$1001,0),1)&gt;=100000,INDEX($V$1005:$AE$1005,1,MATCH(COLUMNS($V$1006:AB1006),$V$1006:$AE$1006,0))&gt;=100000), " ",IF(INDEX($V$2:$AE$1001,MATCH(ROWS($O$2:O908),$O$2:$O$1001,0),MATCH(COLUMNS($V$1006:AB1006),$V$1006:$AE$1006,0)), HYPERLINK("#",""), HYPERLINK(CONCATENATE("#Metadata!", ADDRESS(INDEX($Q$2:$Q$1001,MATCH(ROWS($O$2:O908),$O$2:$O$1001,0),0), INDEX($V$1004:$AE$1004,1,MATCH(COLUMNS($V$1006:AB1006),$V$1006:$AE$1006,0)))),"Fix")))</f>
        <v>0</v>
      </c>
      <c r="I908" s="3">
        <f>IF(OR(INDEX($P$2:$P$1001,MATCH(ROWS($O$2:O908),$O$2:$O$1001,0),1)&gt;=100000,INDEX($V$1005:$AE$1005,1,MATCH(COLUMNS($V$1006:AC1006),$V$1006:$AE$1006,0))&gt;=100000), " ",IF(INDEX($V$2:$AE$1001,MATCH(ROWS($O$2:O908),$O$2:$O$1001,0),MATCH(COLUMNS($V$1006:AC1006),$V$1006:$AE$1006,0)), HYPERLINK("#",""), HYPERLINK(CONCATENATE("#Metadata!", ADDRESS(INDEX($Q$2:$Q$1001,MATCH(ROWS($O$2:O908),$O$2:$O$1001,0),0), INDEX($V$1004:$AE$1004,1,MATCH(COLUMNS($V$1006:AC1006),$V$1006:$AE$1006,0)))),"Fix")))</f>
        <v>0</v>
      </c>
      <c r="J908" s="3">
        <f>IF(OR(INDEX($P$2:$P$1001,MATCH(ROWS($O$2:O908),$O$2:$O$1001,0),1)&gt;=100000,INDEX($V$1005:$AE$1005,1,MATCH(COLUMNS($V$1006:AD1006),$V$1006:$AE$1006,0))&gt;=100000), " ",IF(INDEX($V$2:$AE$1001,MATCH(ROWS($O$2:O908),$O$2:$O$1001,0),MATCH(COLUMNS($V$1006:AD1006),$V$1006:$AE$1006,0)), HYPERLINK("#",""), HYPERLINK(CONCATENATE("#Metadata!", ADDRESS(INDEX($Q$2:$Q$1001,MATCH(ROWS($O$2:O908),$O$2:$O$1001,0),0), INDEX($V$1004:$AE$1004,1,MATCH(COLUMNS($V$1006:AD1006),$V$1006:$AE$1006,0)))),"Fix")))</f>
        <v>0</v>
      </c>
      <c r="K908" s="3">
        <f>IF(OR(INDEX($P$2:$P$1001,MATCH(ROWS($O$2:O908),$O$2:$O$1001,0),1)&gt;=100000,INDEX($V$1005:$AE$1005,1,MATCH(COLUMNS($V$1006:AE1006),$V$1006:$AE$1006,0))&gt;=100000), " ",IF(INDEX($V$2:$AE$1001,MATCH(ROWS($O$2:O908),$O$2:$O$1001,0),MATCH(COLUMNS($V$1006:AE1006),$V$1006:$AE$1006,0)), HYPERLINK("#",""), HYPERLINK(CONCATENATE("#Metadata!", ADDRESS(INDEX($Q$2:$Q$1001,MATCH(ROWS($O$2:O908),$O$2:$O$1001,0),0), INDEX($V$1004:$AE$1004,1,MATCH(COLUMNS($V$1006:AE1006),$V$1006:$AE$1006,0)))),"Fix")))</f>
        <v>0</v>
      </c>
      <c r="O908">
        <v>0</v>
      </c>
      <c r="P908">
        <v>0</v>
      </c>
      <c r="Q908">
        <v>0</v>
      </c>
      <c r="R908">
        <f>IF(S908,TRUE,AND(V908:AE908))</f>
        <v>0</v>
      </c>
      <c r="S908">
        <f>COUNTBLANK(Metadata!B908:K908)=COLUMNS(Metadata!B908:K908)</f>
        <v>0</v>
      </c>
      <c r="T908">
        <v>0</v>
      </c>
      <c r="V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W908">
        <f>AND(IF(Metadata!C908="",FALSE,TRUE),exact(Metadata!C908,"animal secretion"))</f>
        <v>0</v>
      </c>
      <c r="X908">
        <f>AND(IF(Metadata!D908="",FALSE,TRUE),exact(Metadata!D908,"saliva"))</f>
        <v>0</v>
      </c>
      <c r="Y908">
        <f>AND(IF(Metadata!E908="",FALSE,TRUE),exact(Metadata!E908,"human-oral"))</f>
        <v>0</v>
      </c>
      <c r="Z908">
        <f>AND(IF(Metadata!F908="",FALSE,TRUE),exact(Metadata!F908,"UBERON:oral cavity"))</f>
        <v>0</v>
      </c>
      <c r="AA908">
        <f>AND(IF(Metadata!G908="",FALSE,TRUE),exact(Metadata!G908,"UBERON:saliva"))</f>
        <v>0</v>
      </c>
      <c r="AB908">
        <f>AND(IF(Metadata!H908="",FALSE,TRUE),exact(Metadata!H908,"UBERON:tongue"))</f>
        <v>0</v>
      </c>
      <c r="AC908">
        <f>AND(IF(Metadata!I908="",FALSE,TRUE),exact(Metadata!I908,"tongue"))</f>
        <v>0</v>
      </c>
      <c r="AD908">
        <f>AND(IF(Metadata!J908="",FALSE,TRUE),exact(Metadata!J908,"human oral metagenome"))</f>
        <v>0</v>
      </c>
      <c r="AE908">
        <f>AND(IF(Metadata!K908="",FALSE,TRUE),exact(Metadata!K908,"447426"))</f>
        <v>0</v>
      </c>
    </row>
    <row r="909" spans="1:31">
      <c r="A909" s="4">
        <f>IF(B909=" "," ",HYPERLINK(CONCATENATE("#metadata!",ADDRESS(INDEX($Q$2:$Q$1001,MATCH(ROWS($O$2:O909),$O$2:$O$1001,0),0),1)),INDEX($T$2:$T$1001,MATCH(ROWS($O$2:O909),$O$2:$O$1001,0),0)))</f>
        <v>0</v>
      </c>
      <c r="B909" s="3">
        <f>IF(OR(INDEX($P$2:$P$1001,MATCH(ROWS($O$2:O909),$O$2:$O$1001,0),1)&gt;=100000,INDEX($V$1005:$AE$1005,1,MATCH(COLUMNS($V$1006:V1006),$V$1006:$AE$1006,0))&gt;=100000), " ",IF(INDEX($V$2:$AE$1001,MATCH(ROWS($O$2:O909),$O$2:$O$1001,0),MATCH(COLUMNS($V$1006:V1006),$V$1006:$AE$1006,0)), HYPERLINK("#",""), HYPERLINK(CONCATENATE("#Metadata!", ADDRESS(INDEX($Q$2:$Q$1001,MATCH(ROWS($O$2:O909),$O$2:$O$1001,0),0), INDEX($V$1004:$AE$1004,1,MATCH(COLUMNS($V$1006:V1006),$V$1006:$AE$1006,0)))),"Fix")))</f>
        <v>0</v>
      </c>
      <c r="C909" s="3">
        <f>IF(OR(INDEX($P$2:$P$1001,MATCH(ROWS($O$2:O909),$O$2:$O$1001,0),1)&gt;=100000,INDEX($V$1005:$AE$1005,1,MATCH(COLUMNS($V$1006:W1006),$V$1006:$AE$1006,0))&gt;=100000), " ",IF(INDEX($V$2:$AE$1001,MATCH(ROWS($O$2:O909),$O$2:$O$1001,0),MATCH(COLUMNS($V$1006:W1006),$V$1006:$AE$1006,0)), HYPERLINK("#",""), HYPERLINK(CONCATENATE("#Metadata!", ADDRESS(INDEX($Q$2:$Q$1001,MATCH(ROWS($O$2:O909),$O$2:$O$1001,0),0), INDEX($V$1004:$AE$1004,1,MATCH(COLUMNS($V$1006:W1006),$V$1006:$AE$1006,0)))),"Fix")))</f>
        <v>0</v>
      </c>
      <c r="D909" s="3">
        <f>IF(OR(INDEX($P$2:$P$1001,MATCH(ROWS($O$2:O909),$O$2:$O$1001,0),1)&gt;=100000,INDEX($V$1005:$AE$1005,1,MATCH(COLUMNS($V$1006:X1006),$V$1006:$AE$1006,0))&gt;=100000), " ",IF(INDEX($V$2:$AE$1001,MATCH(ROWS($O$2:O909),$O$2:$O$1001,0),MATCH(COLUMNS($V$1006:X1006),$V$1006:$AE$1006,0)), HYPERLINK("#",""), HYPERLINK(CONCATENATE("#Metadata!", ADDRESS(INDEX($Q$2:$Q$1001,MATCH(ROWS($O$2:O909),$O$2:$O$1001,0),0), INDEX($V$1004:$AE$1004,1,MATCH(COLUMNS($V$1006:X1006),$V$1006:$AE$1006,0)))),"Fix")))</f>
        <v>0</v>
      </c>
      <c r="E909" s="3">
        <f>IF(OR(INDEX($P$2:$P$1001,MATCH(ROWS($O$2:O909),$O$2:$O$1001,0),1)&gt;=100000,INDEX($V$1005:$AE$1005,1,MATCH(COLUMNS($V$1006:Y1006),$V$1006:$AE$1006,0))&gt;=100000), " ",IF(INDEX($V$2:$AE$1001,MATCH(ROWS($O$2:O909),$O$2:$O$1001,0),MATCH(COLUMNS($V$1006:Y1006),$V$1006:$AE$1006,0)), HYPERLINK("#",""), HYPERLINK(CONCATENATE("#Metadata!", ADDRESS(INDEX($Q$2:$Q$1001,MATCH(ROWS($O$2:O909),$O$2:$O$1001,0),0), INDEX($V$1004:$AE$1004,1,MATCH(COLUMNS($V$1006:Y1006),$V$1006:$AE$1006,0)))),"Fix")))</f>
        <v>0</v>
      </c>
      <c r="F909" s="3">
        <f>IF(OR(INDEX($P$2:$P$1001,MATCH(ROWS($O$2:O909),$O$2:$O$1001,0),1)&gt;=100000,INDEX($V$1005:$AE$1005,1,MATCH(COLUMNS($V$1006:Z1006),$V$1006:$AE$1006,0))&gt;=100000), " ",IF(INDEX($V$2:$AE$1001,MATCH(ROWS($O$2:O909),$O$2:$O$1001,0),MATCH(COLUMNS($V$1006:Z1006),$V$1006:$AE$1006,0)), HYPERLINK("#",""), HYPERLINK(CONCATENATE("#Metadata!", ADDRESS(INDEX($Q$2:$Q$1001,MATCH(ROWS($O$2:O909),$O$2:$O$1001,0),0), INDEX($V$1004:$AE$1004,1,MATCH(COLUMNS($V$1006:Z1006),$V$1006:$AE$1006,0)))),"Fix")))</f>
        <v>0</v>
      </c>
      <c r="G909" s="3">
        <f>IF(OR(INDEX($P$2:$P$1001,MATCH(ROWS($O$2:O909),$O$2:$O$1001,0),1)&gt;=100000,INDEX($V$1005:$AE$1005,1,MATCH(COLUMNS($V$1006:AA1006),$V$1006:$AE$1006,0))&gt;=100000), " ",IF(INDEX($V$2:$AE$1001,MATCH(ROWS($O$2:O909),$O$2:$O$1001,0),MATCH(COLUMNS($V$1006:AA1006),$V$1006:$AE$1006,0)), HYPERLINK("#",""), HYPERLINK(CONCATENATE("#Metadata!", ADDRESS(INDEX($Q$2:$Q$1001,MATCH(ROWS($O$2:O909),$O$2:$O$1001,0),0), INDEX($V$1004:$AE$1004,1,MATCH(COLUMNS($V$1006:AA1006),$V$1006:$AE$1006,0)))),"Fix")))</f>
        <v>0</v>
      </c>
      <c r="H909" s="3">
        <f>IF(OR(INDEX($P$2:$P$1001,MATCH(ROWS($O$2:O909),$O$2:$O$1001,0),1)&gt;=100000,INDEX($V$1005:$AE$1005,1,MATCH(COLUMNS($V$1006:AB1006),$V$1006:$AE$1006,0))&gt;=100000), " ",IF(INDEX($V$2:$AE$1001,MATCH(ROWS($O$2:O909),$O$2:$O$1001,0),MATCH(COLUMNS($V$1006:AB1006),$V$1006:$AE$1006,0)), HYPERLINK("#",""), HYPERLINK(CONCATENATE("#Metadata!", ADDRESS(INDEX($Q$2:$Q$1001,MATCH(ROWS($O$2:O909),$O$2:$O$1001,0),0), INDEX($V$1004:$AE$1004,1,MATCH(COLUMNS($V$1006:AB1006),$V$1006:$AE$1006,0)))),"Fix")))</f>
        <v>0</v>
      </c>
      <c r="I909" s="3">
        <f>IF(OR(INDEX($P$2:$P$1001,MATCH(ROWS($O$2:O909),$O$2:$O$1001,0),1)&gt;=100000,INDEX($V$1005:$AE$1005,1,MATCH(COLUMNS($V$1006:AC1006),$V$1006:$AE$1006,0))&gt;=100000), " ",IF(INDEX($V$2:$AE$1001,MATCH(ROWS($O$2:O909),$O$2:$O$1001,0),MATCH(COLUMNS($V$1006:AC1006),$V$1006:$AE$1006,0)), HYPERLINK("#",""), HYPERLINK(CONCATENATE("#Metadata!", ADDRESS(INDEX($Q$2:$Q$1001,MATCH(ROWS($O$2:O909),$O$2:$O$1001,0),0), INDEX($V$1004:$AE$1004,1,MATCH(COLUMNS($V$1006:AC1006),$V$1006:$AE$1006,0)))),"Fix")))</f>
        <v>0</v>
      </c>
      <c r="J909" s="3">
        <f>IF(OR(INDEX($P$2:$P$1001,MATCH(ROWS($O$2:O909),$O$2:$O$1001,0),1)&gt;=100000,INDEX($V$1005:$AE$1005,1,MATCH(COLUMNS($V$1006:AD1006),$V$1006:$AE$1006,0))&gt;=100000), " ",IF(INDEX($V$2:$AE$1001,MATCH(ROWS($O$2:O909),$O$2:$O$1001,0),MATCH(COLUMNS($V$1006:AD1006),$V$1006:$AE$1006,0)), HYPERLINK("#",""), HYPERLINK(CONCATENATE("#Metadata!", ADDRESS(INDEX($Q$2:$Q$1001,MATCH(ROWS($O$2:O909),$O$2:$O$1001,0),0), INDEX($V$1004:$AE$1004,1,MATCH(COLUMNS($V$1006:AD1006),$V$1006:$AE$1006,0)))),"Fix")))</f>
        <v>0</v>
      </c>
      <c r="K909" s="3">
        <f>IF(OR(INDEX($P$2:$P$1001,MATCH(ROWS($O$2:O909),$O$2:$O$1001,0),1)&gt;=100000,INDEX($V$1005:$AE$1005,1,MATCH(COLUMNS($V$1006:AE1006),$V$1006:$AE$1006,0))&gt;=100000), " ",IF(INDEX($V$2:$AE$1001,MATCH(ROWS($O$2:O909),$O$2:$O$1001,0),MATCH(COLUMNS($V$1006:AE1006),$V$1006:$AE$1006,0)), HYPERLINK("#",""), HYPERLINK(CONCATENATE("#Metadata!", ADDRESS(INDEX($Q$2:$Q$1001,MATCH(ROWS($O$2:O909),$O$2:$O$1001,0),0), INDEX($V$1004:$AE$1004,1,MATCH(COLUMNS($V$1006:AE1006),$V$1006:$AE$1006,0)))),"Fix")))</f>
        <v>0</v>
      </c>
      <c r="O909">
        <v>0</v>
      </c>
      <c r="P909">
        <v>0</v>
      </c>
      <c r="Q909">
        <v>0</v>
      </c>
      <c r="R909">
        <f>IF(S909,TRUE,AND(V909:AE909))</f>
        <v>0</v>
      </c>
      <c r="S909">
        <f>COUNTBLANK(Metadata!B909:K909)=COLUMNS(Metadata!B909:K909)</f>
        <v>0</v>
      </c>
      <c r="T909">
        <v>0</v>
      </c>
      <c r="V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W909">
        <f>AND(IF(Metadata!C909="",FALSE,TRUE),exact(Metadata!C909,"animal secretion"))</f>
        <v>0</v>
      </c>
      <c r="X909">
        <f>AND(IF(Metadata!D909="",FALSE,TRUE),exact(Metadata!D909,"saliva"))</f>
        <v>0</v>
      </c>
      <c r="Y909">
        <f>AND(IF(Metadata!E909="",FALSE,TRUE),exact(Metadata!E909,"human-oral"))</f>
        <v>0</v>
      </c>
      <c r="Z909">
        <f>AND(IF(Metadata!F909="",FALSE,TRUE),exact(Metadata!F909,"UBERON:oral cavity"))</f>
        <v>0</v>
      </c>
      <c r="AA909">
        <f>AND(IF(Metadata!G909="",FALSE,TRUE),exact(Metadata!G909,"UBERON:saliva"))</f>
        <v>0</v>
      </c>
      <c r="AB909">
        <f>AND(IF(Metadata!H909="",FALSE,TRUE),exact(Metadata!H909,"UBERON:tongue"))</f>
        <v>0</v>
      </c>
      <c r="AC909">
        <f>AND(IF(Metadata!I909="",FALSE,TRUE),exact(Metadata!I909,"tongue"))</f>
        <v>0</v>
      </c>
      <c r="AD909">
        <f>AND(IF(Metadata!J909="",FALSE,TRUE),exact(Metadata!J909,"human oral metagenome"))</f>
        <v>0</v>
      </c>
      <c r="AE909">
        <f>AND(IF(Metadata!K909="",FALSE,TRUE),exact(Metadata!K909,"447426"))</f>
        <v>0</v>
      </c>
    </row>
    <row r="910" spans="1:31">
      <c r="A910" s="4">
        <f>IF(B910=" "," ",HYPERLINK(CONCATENATE("#metadata!",ADDRESS(INDEX($Q$2:$Q$1001,MATCH(ROWS($O$2:O910),$O$2:$O$1001,0),0),1)),INDEX($T$2:$T$1001,MATCH(ROWS($O$2:O910),$O$2:$O$1001,0),0)))</f>
        <v>0</v>
      </c>
      <c r="B910" s="3">
        <f>IF(OR(INDEX($P$2:$P$1001,MATCH(ROWS($O$2:O910),$O$2:$O$1001,0),1)&gt;=100000,INDEX($V$1005:$AE$1005,1,MATCH(COLUMNS($V$1006:V1006),$V$1006:$AE$1006,0))&gt;=100000), " ",IF(INDEX($V$2:$AE$1001,MATCH(ROWS($O$2:O910),$O$2:$O$1001,0),MATCH(COLUMNS($V$1006:V1006),$V$1006:$AE$1006,0)), HYPERLINK("#",""), HYPERLINK(CONCATENATE("#Metadata!", ADDRESS(INDEX($Q$2:$Q$1001,MATCH(ROWS($O$2:O910),$O$2:$O$1001,0),0), INDEX($V$1004:$AE$1004,1,MATCH(COLUMNS($V$1006:V1006),$V$1006:$AE$1006,0)))),"Fix")))</f>
        <v>0</v>
      </c>
      <c r="C910" s="3">
        <f>IF(OR(INDEX($P$2:$P$1001,MATCH(ROWS($O$2:O910),$O$2:$O$1001,0),1)&gt;=100000,INDEX($V$1005:$AE$1005,1,MATCH(COLUMNS($V$1006:W1006),$V$1006:$AE$1006,0))&gt;=100000), " ",IF(INDEX($V$2:$AE$1001,MATCH(ROWS($O$2:O910),$O$2:$O$1001,0),MATCH(COLUMNS($V$1006:W1006),$V$1006:$AE$1006,0)), HYPERLINK("#",""), HYPERLINK(CONCATENATE("#Metadata!", ADDRESS(INDEX($Q$2:$Q$1001,MATCH(ROWS($O$2:O910),$O$2:$O$1001,0),0), INDEX($V$1004:$AE$1004,1,MATCH(COLUMNS($V$1006:W1006),$V$1006:$AE$1006,0)))),"Fix")))</f>
        <v>0</v>
      </c>
      <c r="D910" s="3">
        <f>IF(OR(INDEX($P$2:$P$1001,MATCH(ROWS($O$2:O910),$O$2:$O$1001,0),1)&gt;=100000,INDEX($V$1005:$AE$1005,1,MATCH(COLUMNS($V$1006:X1006),$V$1006:$AE$1006,0))&gt;=100000), " ",IF(INDEX($V$2:$AE$1001,MATCH(ROWS($O$2:O910),$O$2:$O$1001,0),MATCH(COLUMNS($V$1006:X1006),$V$1006:$AE$1006,0)), HYPERLINK("#",""), HYPERLINK(CONCATENATE("#Metadata!", ADDRESS(INDEX($Q$2:$Q$1001,MATCH(ROWS($O$2:O910),$O$2:$O$1001,0),0), INDEX($V$1004:$AE$1004,1,MATCH(COLUMNS($V$1006:X1006),$V$1006:$AE$1006,0)))),"Fix")))</f>
        <v>0</v>
      </c>
      <c r="E910" s="3">
        <f>IF(OR(INDEX($P$2:$P$1001,MATCH(ROWS($O$2:O910),$O$2:$O$1001,0),1)&gt;=100000,INDEX($V$1005:$AE$1005,1,MATCH(COLUMNS($V$1006:Y1006),$V$1006:$AE$1006,0))&gt;=100000), " ",IF(INDEX($V$2:$AE$1001,MATCH(ROWS($O$2:O910),$O$2:$O$1001,0),MATCH(COLUMNS($V$1006:Y1006),$V$1006:$AE$1006,0)), HYPERLINK("#",""), HYPERLINK(CONCATENATE("#Metadata!", ADDRESS(INDEX($Q$2:$Q$1001,MATCH(ROWS($O$2:O910),$O$2:$O$1001,0),0), INDEX($V$1004:$AE$1004,1,MATCH(COLUMNS($V$1006:Y1006),$V$1006:$AE$1006,0)))),"Fix")))</f>
        <v>0</v>
      </c>
      <c r="F910" s="3">
        <f>IF(OR(INDEX($P$2:$P$1001,MATCH(ROWS($O$2:O910),$O$2:$O$1001,0),1)&gt;=100000,INDEX($V$1005:$AE$1005,1,MATCH(COLUMNS($V$1006:Z1006),$V$1006:$AE$1006,0))&gt;=100000), " ",IF(INDEX($V$2:$AE$1001,MATCH(ROWS($O$2:O910),$O$2:$O$1001,0),MATCH(COLUMNS($V$1006:Z1006),$V$1006:$AE$1006,0)), HYPERLINK("#",""), HYPERLINK(CONCATENATE("#Metadata!", ADDRESS(INDEX($Q$2:$Q$1001,MATCH(ROWS($O$2:O910),$O$2:$O$1001,0),0), INDEX($V$1004:$AE$1004,1,MATCH(COLUMNS($V$1006:Z1006),$V$1006:$AE$1006,0)))),"Fix")))</f>
        <v>0</v>
      </c>
      <c r="G910" s="3">
        <f>IF(OR(INDEX($P$2:$P$1001,MATCH(ROWS($O$2:O910),$O$2:$O$1001,0),1)&gt;=100000,INDEX($V$1005:$AE$1005,1,MATCH(COLUMNS($V$1006:AA1006),$V$1006:$AE$1006,0))&gt;=100000), " ",IF(INDEX($V$2:$AE$1001,MATCH(ROWS($O$2:O910),$O$2:$O$1001,0),MATCH(COLUMNS($V$1006:AA1006),$V$1006:$AE$1006,0)), HYPERLINK("#",""), HYPERLINK(CONCATENATE("#Metadata!", ADDRESS(INDEX($Q$2:$Q$1001,MATCH(ROWS($O$2:O910),$O$2:$O$1001,0),0), INDEX($V$1004:$AE$1004,1,MATCH(COLUMNS($V$1006:AA1006),$V$1006:$AE$1006,0)))),"Fix")))</f>
        <v>0</v>
      </c>
      <c r="H910" s="3">
        <f>IF(OR(INDEX($P$2:$P$1001,MATCH(ROWS($O$2:O910),$O$2:$O$1001,0),1)&gt;=100000,INDEX($V$1005:$AE$1005,1,MATCH(COLUMNS($V$1006:AB1006),$V$1006:$AE$1006,0))&gt;=100000), " ",IF(INDEX($V$2:$AE$1001,MATCH(ROWS($O$2:O910),$O$2:$O$1001,0),MATCH(COLUMNS($V$1006:AB1006),$V$1006:$AE$1006,0)), HYPERLINK("#",""), HYPERLINK(CONCATENATE("#Metadata!", ADDRESS(INDEX($Q$2:$Q$1001,MATCH(ROWS($O$2:O910),$O$2:$O$1001,0),0), INDEX($V$1004:$AE$1004,1,MATCH(COLUMNS($V$1006:AB1006),$V$1006:$AE$1006,0)))),"Fix")))</f>
        <v>0</v>
      </c>
      <c r="I910" s="3">
        <f>IF(OR(INDEX($P$2:$P$1001,MATCH(ROWS($O$2:O910),$O$2:$O$1001,0),1)&gt;=100000,INDEX($V$1005:$AE$1005,1,MATCH(COLUMNS($V$1006:AC1006),$V$1006:$AE$1006,0))&gt;=100000), " ",IF(INDEX($V$2:$AE$1001,MATCH(ROWS($O$2:O910),$O$2:$O$1001,0),MATCH(COLUMNS($V$1006:AC1006),$V$1006:$AE$1006,0)), HYPERLINK("#",""), HYPERLINK(CONCATENATE("#Metadata!", ADDRESS(INDEX($Q$2:$Q$1001,MATCH(ROWS($O$2:O910),$O$2:$O$1001,0),0), INDEX($V$1004:$AE$1004,1,MATCH(COLUMNS($V$1006:AC1006),$V$1006:$AE$1006,0)))),"Fix")))</f>
        <v>0</v>
      </c>
      <c r="J910" s="3">
        <f>IF(OR(INDEX($P$2:$P$1001,MATCH(ROWS($O$2:O910),$O$2:$O$1001,0),1)&gt;=100000,INDEX($V$1005:$AE$1005,1,MATCH(COLUMNS($V$1006:AD1006),$V$1006:$AE$1006,0))&gt;=100000), " ",IF(INDEX($V$2:$AE$1001,MATCH(ROWS($O$2:O910),$O$2:$O$1001,0),MATCH(COLUMNS($V$1006:AD1006),$V$1006:$AE$1006,0)), HYPERLINK("#",""), HYPERLINK(CONCATENATE("#Metadata!", ADDRESS(INDEX($Q$2:$Q$1001,MATCH(ROWS($O$2:O910),$O$2:$O$1001,0),0), INDEX($V$1004:$AE$1004,1,MATCH(COLUMNS($V$1006:AD1006),$V$1006:$AE$1006,0)))),"Fix")))</f>
        <v>0</v>
      </c>
      <c r="K910" s="3">
        <f>IF(OR(INDEX($P$2:$P$1001,MATCH(ROWS($O$2:O910),$O$2:$O$1001,0),1)&gt;=100000,INDEX($V$1005:$AE$1005,1,MATCH(COLUMNS($V$1006:AE1006),$V$1006:$AE$1006,0))&gt;=100000), " ",IF(INDEX($V$2:$AE$1001,MATCH(ROWS($O$2:O910),$O$2:$O$1001,0),MATCH(COLUMNS($V$1006:AE1006),$V$1006:$AE$1006,0)), HYPERLINK("#",""), HYPERLINK(CONCATENATE("#Metadata!", ADDRESS(INDEX($Q$2:$Q$1001,MATCH(ROWS($O$2:O910),$O$2:$O$1001,0),0), INDEX($V$1004:$AE$1004,1,MATCH(COLUMNS($V$1006:AE1006),$V$1006:$AE$1006,0)))),"Fix")))</f>
        <v>0</v>
      </c>
      <c r="O910">
        <v>0</v>
      </c>
      <c r="P910">
        <v>0</v>
      </c>
      <c r="Q910">
        <v>0</v>
      </c>
      <c r="R910">
        <f>IF(S910,TRUE,AND(V910:AE910))</f>
        <v>0</v>
      </c>
      <c r="S910">
        <f>COUNTBLANK(Metadata!B910:K910)=COLUMNS(Metadata!B910:K910)</f>
        <v>0</v>
      </c>
      <c r="T910">
        <v>0</v>
      </c>
      <c r="V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W910">
        <f>AND(IF(Metadata!C910="",FALSE,TRUE),exact(Metadata!C910,"animal secretion"))</f>
        <v>0</v>
      </c>
      <c r="X910">
        <f>AND(IF(Metadata!D910="",FALSE,TRUE),exact(Metadata!D910,"saliva"))</f>
        <v>0</v>
      </c>
      <c r="Y910">
        <f>AND(IF(Metadata!E910="",FALSE,TRUE),exact(Metadata!E910,"human-oral"))</f>
        <v>0</v>
      </c>
      <c r="Z910">
        <f>AND(IF(Metadata!F910="",FALSE,TRUE),exact(Metadata!F910,"UBERON:oral cavity"))</f>
        <v>0</v>
      </c>
      <c r="AA910">
        <f>AND(IF(Metadata!G910="",FALSE,TRUE),exact(Metadata!G910,"UBERON:saliva"))</f>
        <v>0</v>
      </c>
      <c r="AB910">
        <f>AND(IF(Metadata!H910="",FALSE,TRUE),exact(Metadata!H910,"UBERON:tongue"))</f>
        <v>0</v>
      </c>
      <c r="AC910">
        <f>AND(IF(Metadata!I910="",FALSE,TRUE),exact(Metadata!I910,"tongue"))</f>
        <v>0</v>
      </c>
      <c r="AD910">
        <f>AND(IF(Metadata!J910="",FALSE,TRUE),exact(Metadata!J910,"human oral metagenome"))</f>
        <v>0</v>
      </c>
      <c r="AE910">
        <f>AND(IF(Metadata!K910="",FALSE,TRUE),exact(Metadata!K910,"447426"))</f>
        <v>0</v>
      </c>
    </row>
    <row r="911" spans="1:31">
      <c r="A911" s="4">
        <f>IF(B911=" "," ",HYPERLINK(CONCATENATE("#metadata!",ADDRESS(INDEX($Q$2:$Q$1001,MATCH(ROWS($O$2:O911),$O$2:$O$1001,0),0),1)),INDEX($T$2:$T$1001,MATCH(ROWS($O$2:O911),$O$2:$O$1001,0),0)))</f>
        <v>0</v>
      </c>
      <c r="B911" s="3">
        <f>IF(OR(INDEX($P$2:$P$1001,MATCH(ROWS($O$2:O911),$O$2:$O$1001,0),1)&gt;=100000,INDEX($V$1005:$AE$1005,1,MATCH(COLUMNS($V$1006:V1006),$V$1006:$AE$1006,0))&gt;=100000), " ",IF(INDEX($V$2:$AE$1001,MATCH(ROWS($O$2:O911),$O$2:$O$1001,0),MATCH(COLUMNS($V$1006:V1006),$V$1006:$AE$1006,0)), HYPERLINK("#",""), HYPERLINK(CONCATENATE("#Metadata!", ADDRESS(INDEX($Q$2:$Q$1001,MATCH(ROWS($O$2:O911),$O$2:$O$1001,0),0), INDEX($V$1004:$AE$1004,1,MATCH(COLUMNS($V$1006:V1006),$V$1006:$AE$1006,0)))),"Fix")))</f>
        <v>0</v>
      </c>
      <c r="C911" s="3">
        <f>IF(OR(INDEX($P$2:$P$1001,MATCH(ROWS($O$2:O911),$O$2:$O$1001,0),1)&gt;=100000,INDEX($V$1005:$AE$1005,1,MATCH(COLUMNS($V$1006:W1006),$V$1006:$AE$1006,0))&gt;=100000), " ",IF(INDEX($V$2:$AE$1001,MATCH(ROWS($O$2:O911),$O$2:$O$1001,0),MATCH(COLUMNS($V$1006:W1006),$V$1006:$AE$1006,0)), HYPERLINK("#",""), HYPERLINK(CONCATENATE("#Metadata!", ADDRESS(INDEX($Q$2:$Q$1001,MATCH(ROWS($O$2:O911),$O$2:$O$1001,0),0), INDEX($V$1004:$AE$1004,1,MATCH(COLUMNS($V$1006:W1006),$V$1006:$AE$1006,0)))),"Fix")))</f>
        <v>0</v>
      </c>
      <c r="D911" s="3">
        <f>IF(OR(INDEX($P$2:$P$1001,MATCH(ROWS($O$2:O911),$O$2:$O$1001,0),1)&gt;=100000,INDEX($V$1005:$AE$1005,1,MATCH(COLUMNS($V$1006:X1006),$V$1006:$AE$1006,0))&gt;=100000), " ",IF(INDEX($V$2:$AE$1001,MATCH(ROWS($O$2:O911),$O$2:$O$1001,0),MATCH(COLUMNS($V$1006:X1006),$V$1006:$AE$1006,0)), HYPERLINK("#",""), HYPERLINK(CONCATENATE("#Metadata!", ADDRESS(INDEX($Q$2:$Q$1001,MATCH(ROWS($O$2:O911),$O$2:$O$1001,0),0), INDEX($V$1004:$AE$1004,1,MATCH(COLUMNS($V$1006:X1006),$V$1006:$AE$1006,0)))),"Fix")))</f>
        <v>0</v>
      </c>
      <c r="E911" s="3">
        <f>IF(OR(INDEX($P$2:$P$1001,MATCH(ROWS($O$2:O911),$O$2:$O$1001,0),1)&gt;=100000,INDEX($V$1005:$AE$1005,1,MATCH(COLUMNS($V$1006:Y1006),$V$1006:$AE$1006,0))&gt;=100000), " ",IF(INDEX($V$2:$AE$1001,MATCH(ROWS($O$2:O911),$O$2:$O$1001,0),MATCH(COLUMNS($V$1006:Y1006),$V$1006:$AE$1006,0)), HYPERLINK("#",""), HYPERLINK(CONCATENATE("#Metadata!", ADDRESS(INDEX($Q$2:$Q$1001,MATCH(ROWS($O$2:O911),$O$2:$O$1001,0),0), INDEX($V$1004:$AE$1004,1,MATCH(COLUMNS($V$1006:Y1006),$V$1006:$AE$1006,0)))),"Fix")))</f>
        <v>0</v>
      </c>
      <c r="F911" s="3">
        <f>IF(OR(INDEX($P$2:$P$1001,MATCH(ROWS($O$2:O911),$O$2:$O$1001,0),1)&gt;=100000,INDEX($V$1005:$AE$1005,1,MATCH(COLUMNS($V$1006:Z1006),$V$1006:$AE$1006,0))&gt;=100000), " ",IF(INDEX($V$2:$AE$1001,MATCH(ROWS($O$2:O911),$O$2:$O$1001,0),MATCH(COLUMNS($V$1006:Z1006),$V$1006:$AE$1006,0)), HYPERLINK("#",""), HYPERLINK(CONCATENATE("#Metadata!", ADDRESS(INDEX($Q$2:$Q$1001,MATCH(ROWS($O$2:O911),$O$2:$O$1001,0),0), INDEX($V$1004:$AE$1004,1,MATCH(COLUMNS($V$1006:Z1006),$V$1006:$AE$1006,0)))),"Fix")))</f>
        <v>0</v>
      </c>
      <c r="G911" s="3">
        <f>IF(OR(INDEX($P$2:$P$1001,MATCH(ROWS($O$2:O911),$O$2:$O$1001,0),1)&gt;=100000,INDEX($V$1005:$AE$1005,1,MATCH(COLUMNS($V$1006:AA1006),$V$1006:$AE$1006,0))&gt;=100000), " ",IF(INDEX($V$2:$AE$1001,MATCH(ROWS($O$2:O911),$O$2:$O$1001,0),MATCH(COLUMNS($V$1006:AA1006),$V$1006:$AE$1006,0)), HYPERLINK("#",""), HYPERLINK(CONCATENATE("#Metadata!", ADDRESS(INDEX($Q$2:$Q$1001,MATCH(ROWS($O$2:O911),$O$2:$O$1001,0),0), INDEX($V$1004:$AE$1004,1,MATCH(COLUMNS($V$1006:AA1006),$V$1006:$AE$1006,0)))),"Fix")))</f>
        <v>0</v>
      </c>
      <c r="H911" s="3">
        <f>IF(OR(INDEX($P$2:$P$1001,MATCH(ROWS($O$2:O911),$O$2:$O$1001,0),1)&gt;=100000,INDEX($V$1005:$AE$1005,1,MATCH(COLUMNS($V$1006:AB1006),$V$1006:$AE$1006,0))&gt;=100000), " ",IF(INDEX($V$2:$AE$1001,MATCH(ROWS($O$2:O911),$O$2:$O$1001,0),MATCH(COLUMNS($V$1006:AB1006),$V$1006:$AE$1006,0)), HYPERLINK("#",""), HYPERLINK(CONCATENATE("#Metadata!", ADDRESS(INDEX($Q$2:$Q$1001,MATCH(ROWS($O$2:O911),$O$2:$O$1001,0),0), INDEX($V$1004:$AE$1004,1,MATCH(COLUMNS($V$1006:AB1006),$V$1006:$AE$1006,0)))),"Fix")))</f>
        <v>0</v>
      </c>
      <c r="I911" s="3">
        <f>IF(OR(INDEX($P$2:$P$1001,MATCH(ROWS($O$2:O911),$O$2:$O$1001,0),1)&gt;=100000,INDEX($V$1005:$AE$1005,1,MATCH(COLUMNS($V$1006:AC1006),$V$1006:$AE$1006,0))&gt;=100000), " ",IF(INDEX($V$2:$AE$1001,MATCH(ROWS($O$2:O911),$O$2:$O$1001,0),MATCH(COLUMNS($V$1006:AC1006),$V$1006:$AE$1006,0)), HYPERLINK("#",""), HYPERLINK(CONCATENATE("#Metadata!", ADDRESS(INDEX($Q$2:$Q$1001,MATCH(ROWS($O$2:O911),$O$2:$O$1001,0),0), INDEX($V$1004:$AE$1004,1,MATCH(COLUMNS($V$1006:AC1006),$V$1006:$AE$1006,0)))),"Fix")))</f>
        <v>0</v>
      </c>
      <c r="J911" s="3">
        <f>IF(OR(INDEX($P$2:$P$1001,MATCH(ROWS($O$2:O911),$O$2:$O$1001,0),1)&gt;=100000,INDEX($V$1005:$AE$1005,1,MATCH(COLUMNS($V$1006:AD1006),$V$1006:$AE$1006,0))&gt;=100000), " ",IF(INDEX($V$2:$AE$1001,MATCH(ROWS($O$2:O911),$O$2:$O$1001,0),MATCH(COLUMNS($V$1006:AD1006),$V$1006:$AE$1006,0)), HYPERLINK("#",""), HYPERLINK(CONCATENATE("#Metadata!", ADDRESS(INDEX($Q$2:$Q$1001,MATCH(ROWS($O$2:O911),$O$2:$O$1001,0),0), INDEX($V$1004:$AE$1004,1,MATCH(COLUMNS($V$1006:AD1006),$V$1006:$AE$1006,0)))),"Fix")))</f>
        <v>0</v>
      </c>
      <c r="K911" s="3">
        <f>IF(OR(INDEX($P$2:$P$1001,MATCH(ROWS($O$2:O911),$O$2:$O$1001,0),1)&gt;=100000,INDEX($V$1005:$AE$1005,1,MATCH(COLUMNS($V$1006:AE1006),$V$1006:$AE$1006,0))&gt;=100000), " ",IF(INDEX($V$2:$AE$1001,MATCH(ROWS($O$2:O911),$O$2:$O$1001,0),MATCH(COLUMNS($V$1006:AE1006),$V$1006:$AE$1006,0)), HYPERLINK("#",""), HYPERLINK(CONCATENATE("#Metadata!", ADDRESS(INDEX($Q$2:$Q$1001,MATCH(ROWS($O$2:O911),$O$2:$O$1001,0),0), INDEX($V$1004:$AE$1004,1,MATCH(COLUMNS($V$1006:AE1006),$V$1006:$AE$1006,0)))),"Fix")))</f>
        <v>0</v>
      </c>
      <c r="O911">
        <v>0</v>
      </c>
      <c r="P911">
        <v>0</v>
      </c>
      <c r="Q911">
        <v>0</v>
      </c>
      <c r="R911">
        <f>IF(S911,TRUE,AND(V911:AE911))</f>
        <v>0</v>
      </c>
      <c r="S911">
        <f>COUNTBLANK(Metadata!B911:K911)=COLUMNS(Metadata!B911:K911)</f>
        <v>0</v>
      </c>
      <c r="T911">
        <v>0</v>
      </c>
      <c r="V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W911">
        <f>AND(IF(Metadata!C911="",FALSE,TRUE),exact(Metadata!C911,"animal secretion"))</f>
        <v>0</v>
      </c>
      <c r="X911">
        <f>AND(IF(Metadata!D911="",FALSE,TRUE),exact(Metadata!D911,"saliva"))</f>
        <v>0</v>
      </c>
      <c r="Y911">
        <f>AND(IF(Metadata!E911="",FALSE,TRUE),exact(Metadata!E911,"human-oral"))</f>
        <v>0</v>
      </c>
      <c r="Z911">
        <f>AND(IF(Metadata!F911="",FALSE,TRUE),exact(Metadata!F911,"UBERON:oral cavity"))</f>
        <v>0</v>
      </c>
      <c r="AA911">
        <f>AND(IF(Metadata!G911="",FALSE,TRUE),exact(Metadata!G911,"UBERON:saliva"))</f>
        <v>0</v>
      </c>
      <c r="AB911">
        <f>AND(IF(Metadata!H911="",FALSE,TRUE),exact(Metadata!H911,"UBERON:tongue"))</f>
        <v>0</v>
      </c>
      <c r="AC911">
        <f>AND(IF(Metadata!I911="",FALSE,TRUE),exact(Metadata!I911,"tongue"))</f>
        <v>0</v>
      </c>
      <c r="AD911">
        <f>AND(IF(Metadata!J911="",FALSE,TRUE),exact(Metadata!J911,"human oral metagenome"))</f>
        <v>0</v>
      </c>
      <c r="AE911">
        <f>AND(IF(Metadata!K911="",FALSE,TRUE),exact(Metadata!K911,"447426"))</f>
        <v>0</v>
      </c>
    </row>
    <row r="912" spans="1:31">
      <c r="A912" s="4">
        <f>IF(B912=" "," ",HYPERLINK(CONCATENATE("#metadata!",ADDRESS(INDEX($Q$2:$Q$1001,MATCH(ROWS($O$2:O912),$O$2:$O$1001,0),0),1)),INDEX($T$2:$T$1001,MATCH(ROWS($O$2:O912),$O$2:$O$1001,0),0)))</f>
        <v>0</v>
      </c>
      <c r="B912" s="3">
        <f>IF(OR(INDEX($P$2:$P$1001,MATCH(ROWS($O$2:O912),$O$2:$O$1001,0),1)&gt;=100000,INDEX($V$1005:$AE$1005,1,MATCH(COLUMNS($V$1006:V1006),$V$1006:$AE$1006,0))&gt;=100000), " ",IF(INDEX($V$2:$AE$1001,MATCH(ROWS($O$2:O912),$O$2:$O$1001,0),MATCH(COLUMNS($V$1006:V1006),$V$1006:$AE$1006,0)), HYPERLINK("#",""), HYPERLINK(CONCATENATE("#Metadata!", ADDRESS(INDEX($Q$2:$Q$1001,MATCH(ROWS($O$2:O912),$O$2:$O$1001,0),0), INDEX($V$1004:$AE$1004,1,MATCH(COLUMNS($V$1006:V1006),$V$1006:$AE$1006,0)))),"Fix")))</f>
        <v>0</v>
      </c>
      <c r="C912" s="3">
        <f>IF(OR(INDEX($P$2:$P$1001,MATCH(ROWS($O$2:O912),$O$2:$O$1001,0),1)&gt;=100000,INDEX($V$1005:$AE$1005,1,MATCH(COLUMNS($V$1006:W1006),$V$1006:$AE$1006,0))&gt;=100000), " ",IF(INDEX($V$2:$AE$1001,MATCH(ROWS($O$2:O912),$O$2:$O$1001,0),MATCH(COLUMNS($V$1006:W1006),$V$1006:$AE$1006,0)), HYPERLINK("#",""), HYPERLINK(CONCATENATE("#Metadata!", ADDRESS(INDEX($Q$2:$Q$1001,MATCH(ROWS($O$2:O912),$O$2:$O$1001,0),0), INDEX($V$1004:$AE$1004,1,MATCH(COLUMNS($V$1006:W1006),$V$1006:$AE$1006,0)))),"Fix")))</f>
        <v>0</v>
      </c>
      <c r="D912" s="3">
        <f>IF(OR(INDEX($P$2:$P$1001,MATCH(ROWS($O$2:O912),$O$2:$O$1001,0),1)&gt;=100000,INDEX($V$1005:$AE$1005,1,MATCH(COLUMNS($V$1006:X1006),$V$1006:$AE$1006,0))&gt;=100000), " ",IF(INDEX($V$2:$AE$1001,MATCH(ROWS($O$2:O912),$O$2:$O$1001,0),MATCH(COLUMNS($V$1006:X1006),$V$1006:$AE$1006,0)), HYPERLINK("#",""), HYPERLINK(CONCATENATE("#Metadata!", ADDRESS(INDEX($Q$2:$Q$1001,MATCH(ROWS($O$2:O912),$O$2:$O$1001,0),0), INDEX($V$1004:$AE$1004,1,MATCH(COLUMNS($V$1006:X1006),$V$1006:$AE$1006,0)))),"Fix")))</f>
        <v>0</v>
      </c>
      <c r="E912" s="3">
        <f>IF(OR(INDEX($P$2:$P$1001,MATCH(ROWS($O$2:O912),$O$2:$O$1001,0),1)&gt;=100000,INDEX($V$1005:$AE$1005,1,MATCH(COLUMNS($V$1006:Y1006),$V$1006:$AE$1006,0))&gt;=100000), " ",IF(INDEX($V$2:$AE$1001,MATCH(ROWS($O$2:O912),$O$2:$O$1001,0),MATCH(COLUMNS($V$1006:Y1006),$V$1006:$AE$1006,0)), HYPERLINK("#",""), HYPERLINK(CONCATENATE("#Metadata!", ADDRESS(INDEX($Q$2:$Q$1001,MATCH(ROWS($O$2:O912),$O$2:$O$1001,0),0), INDEX($V$1004:$AE$1004,1,MATCH(COLUMNS($V$1006:Y1006),$V$1006:$AE$1006,0)))),"Fix")))</f>
        <v>0</v>
      </c>
      <c r="F912" s="3">
        <f>IF(OR(INDEX($P$2:$P$1001,MATCH(ROWS($O$2:O912),$O$2:$O$1001,0),1)&gt;=100000,INDEX($V$1005:$AE$1005,1,MATCH(COLUMNS($V$1006:Z1006),$V$1006:$AE$1006,0))&gt;=100000), " ",IF(INDEX($V$2:$AE$1001,MATCH(ROWS($O$2:O912),$O$2:$O$1001,0),MATCH(COLUMNS($V$1006:Z1006),$V$1006:$AE$1006,0)), HYPERLINK("#",""), HYPERLINK(CONCATENATE("#Metadata!", ADDRESS(INDEX($Q$2:$Q$1001,MATCH(ROWS($O$2:O912),$O$2:$O$1001,0),0), INDEX($V$1004:$AE$1004,1,MATCH(COLUMNS($V$1006:Z1006),$V$1006:$AE$1006,0)))),"Fix")))</f>
        <v>0</v>
      </c>
      <c r="G912" s="3">
        <f>IF(OR(INDEX($P$2:$P$1001,MATCH(ROWS($O$2:O912),$O$2:$O$1001,0),1)&gt;=100000,INDEX($V$1005:$AE$1005,1,MATCH(COLUMNS($V$1006:AA1006),$V$1006:$AE$1006,0))&gt;=100000), " ",IF(INDEX($V$2:$AE$1001,MATCH(ROWS($O$2:O912),$O$2:$O$1001,0),MATCH(COLUMNS($V$1006:AA1006),$V$1006:$AE$1006,0)), HYPERLINK("#",""), HYPERLINK(CONCATENATE("#Metadata!", ADDRESS(INDEX($Q$2:$Q$1001,MATCH(ROWS($O$2:O912),$O$2:$O$1001,0),0), INDEX($V$1004:$AE$1004,1,MATCH(COLUMNS($V$1006:AA1006),$V$1006:$AE$1006,0)))),"Fix")))</f>
        <v>0</v>
      </c>
      <c r="H912" s="3">
        <f>IF(OR(INDEX($P$2:$P$1001,MATCH(ROWS($O$2:O912),$O$2:$O$1001,0),1)&gt;=100000,INDEX($V$1005:$AE$1005,1,MATCH(COLUMNS($V$1006:AB1006),$V$1006:$AE$1006,0))&gt;=100000), " ",IF(INDEX($V$2:$AE$1001,MATCH(ROWS($O$2:O912),$O$2:$O$1001,0),MATCH(COLUMNS($V$1006:AB1006),$V$1006:$AE$1006,0)), HYPERLINK("#",""), HYPERLINK(CONCATENATE("#Metadata!", ADDRESS(INDEX($Q$2:$Q$1001,MATCH(ROWS($O$2:O912),$O$2:$O$1001,0),0), INDEX($V$1004:$AE$1004,1,MATCH(COLUMNS($V$1006:AB1006),$V$1006:$AE$1006,0)))),"Fix")))</f>
        <v>0</v>
      </c>
      <c r="I912" s="3">
        <f>IF(OR(INDEX($P$2:$P$1001,MATCH(ROWS($O$2:O912),$O$2:$O$1001,0),1)&gt;=100000,INDEX($V$1005:$AE$1005,1,MATCH(COLUMNS($V$1006:AC1006),$V$1006:$AE$1006,0))&gt;=100000), " ",IF(INDEX($V$2:$AE$1001,MATCH(ROWS($O$2:O912),$O$2:$O$1001,0),MATCH(COLUMNS($V$1006:AC1006),$V$1006:$AE$1006,0)), HYPERLINK("#",""), HYPERLINK(CONCATENATE("#Metadata!", ADDRESS(INDEX($Q$2:$Q$1001,MATCH(ROWS($O$2:O912),$O$2:$O$1001,0),0), INDEX($V$1004:$AE$1004,1,MATCH(COLUMNS($V$1006:AC1006),$V$1006:$AE$1006,0)))),"Fix")))</f>
        <v>0</v>
      </c>
      <c r="J912" s="3">
        <f>IF(OR(INDEX($P$2:$P$1001,MATCH(ROWS($O$2:O912),$O$2:$O$1001,0),1)&gt;=100000,INDEX($V$1005:$AE$1005,1,MATCH(COLUMNS($V$1006:AD1006),$V$1006:$AE$1006,0))&gt;=100000), " ",IF(INDEX($V$2:$AE$1001,MATCH(ROWS($O$2:O912),$O$2:$O$1001,0),MATCH(COLUMNS($V$1006:AD1006),$V$1006:$AE$1006,0)), HYPERLINK("#",""), HYPERLINK(CONCATENATE("#Metadata!", ADDRESS(INDEX($Q$2:$Q$1001,MATCH(ROWS($O$2:O912),$O$2:$O$1001,0),0), INDEX($V$1004:$AE$1004,1,MATCH(COLUMNS($V$1006:AD1006),$V$1006:$AE$1006,0)))),"Fix")))</f>
        <v>0</v>
      </c>
      <c r="K912" s="3">
        <f>IF(OR(INDEX($P$2:$P$1001,MATCH(ROWS($O$2:O912),$O$2:$O$1001,0),1)&gt;=100000,INDEX($V$1005:$AE$1005,1,MATCH(COLUMNS($V$1006:AE1006),$V$1006:$AE$1006,0))&gt;=100000), " ",IF(INDEX($V$2:$AE$1001,MATCH(ROWS($O$2:O912),$O$2:$O$1001,0),MATCH(COLUMNS($V$1006:AE1006),$V$1006:$AE$1006,0)), HYPERLINK("#",""), HYPERLINK(CONCATENATE("#Metadata!", ADDRESS(INDEX($Q$2:$Q$1001,MATCH(ROWS($O$2:O912),$O$2:$O$1001,0),0), INDEX($V$1004:$AE$1004,1,MATCH(COLUMNS($V$1006:AE1006),$V$1006:$AE$1006,0)))),"Fix")))</f>
        <v>0</v>
      </c>
      <c r="O912">
        <v>0</v>
      </c>
      <c r="P912">
        <v>0</v>
      </c>
      <c r="Q912">
        <v>0</v>
      </c>
      <c r="R912">
        <f>IF(S912,TRUE,AND(V912:AE912))</f>
        <v>0</v>
      </c>
      <c r="S912">
        <f>COUNTBLANK(Metadata!B912:K912)=COLUMNS(Metadata!B912:K912)</f>
        <v>0</v>
      </c>
      <c r="T912">
        <v>0</v>
      </c>
      <c r="V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W912">
        <f>AND(IF(Metadata!C912="",FALSE,TRUE),exact(Metadata!C912,"animal secretion"))</f>
        <v>0</v>
      </c>
      <c r="X912">
        <f>AND(IF(Metadata!D912="",FALSE,TRUE),exact(Metadata!D912,"saliva"))</f>
        <v>0</v>
      </c>
      <c r="Y912">
        <f>AND(IF(Metadata!E912="",FALSE,TRUE),exact(Metadata!E912,"human-oral"))</f>
        <v>0</v>
      </c>
      <c r="Z912">
        <f>AND(IF(Metadata!F912="",FALSE,TRUE),exact(Metadata!F912,"UBERON:oral cavity"))</f>
        <v>0</v>
      </c>
      <c r="AA912">
        <f>AND(IF(Metadata!G912="",FALSE,TRUE),exact(Metadata!G912,"UBERON:saliva"))</f>
        <v>0</v>
      </c>
      <c r="AB912">
        <f>AND(IF(Metadata!H912="",FALSE,TRUE),exact(Metadata!H912,"UBERON:tongue"))</f>
        <v>0</v>
      </c>
      <c r="AC912">
        <f>AND(IF(Metadata!I912="",FALSE,TRUE),exact(Metadata!I912,"tongue"))</f>
        <v>0</v>
      </c>
      <c r="AD912">
        <f>AND(IF(Metadata!J912="",FALSE,TRUE),exact(Metadata!J912,"human oral metagenome"))</f>
        <v>0</v>
      </c>
      <c r="AE912">
        <f>AND(IF(Metadata!K912="",FALSE,TRUE),exact(Metadata!K912,"447426"))</f>
        <v>0</v>
      </c>
    </row>
    <row r="913" spans="1:31">
      <c r="A913" s="4">
        <f>IF(B913=" "," ",HYPERLINK(CONCATENATE("#metadata!",ADDRESS(INDEX($Q$2:$Q$1001,MATCH(ROWS($O$2:O913),$O$2:$O$1001,0),0),1)),INDEX($T$2:$T$1001,MATCH(ROWS($O$2:O913),$O$2:$O$1001,0),0)))</f>
        <v>0</v>
      </c>
      <c r="B913" s="3">
        <f>IF(OR(INDEX($P$2:$P$1001,MATCH(ROWS($O$2:O913),$O$2:$O$1001,0),1)&gt;=100000,INDEX($V$1005:$AE$1005,1,MATCH(COLUMNS($V$1006:V1006),$V$1006:$AE$1006,0))&gt;=100000), " ",IF(INDEX($V$2:$AE$1001,MATCH(ROWS($O$2:O913),$O$2:$O$1001,0),MATCH(COLUMNS($V$1006:V1006),$V$1006:$AE$1006,0)), HYPERLINK("#",""), HYPERLINK(CONCATENATE("#Metadata!", ADDRESS(INDEX($Q$2:$Q$1001,MATCH(ROWS($O$2:O913),$O$2:$O$1001,0),0), INDEX($V$1004:$AE$1004,1,MATCH(COLUMNS($V$1006:V1006),$V$1006:$AE$1006,0)))),"Fix")))</f>
        <v>0</v>
      </c>
      <c r="C913" s="3">
        <f>IF(OR(INDEX($P$2:$P$1001,MATCH(ROWS($O$2:O913),$O$2:$O$1001,0),1)&gt;=100000,INDEX($V$1005:$AE$1005,1,MATCH(COLUMNS($V$1006:W1006),$V$1006:$AE$1006,0))&gt;=100000), " ",IF(INDEX($V$2:$AE$1001,MATCH(ROWS($O$2:O913),$O$2:$O$1001,0),MATCH(COLUMNS($V$1006:W1006),$V$1006:$AE$1006,0)), HYPERLINK("#",""), HYPERLINK(CONCATENATE("#Metadata!", ADDRESS(INDEX($Q$2:$Q$1001,MATCH(ROWS($O$2:O913),$O$2:$O$1001,0),0), INDEX($V$1004:$AE$1004,1,MATCH(COLUMNS($V$1006:W1006),$V$1006:$AE$1006,0)))),"Fix")))</f>
        <v>0</v>
      </c>
      <c r="D913" s="3">
        <f>IF(OR(INDEX($P$2:$P$1001,MATCH(ROWS($O$2:O913),$O$2:$O$1001,0),1)&gt;=100000,INDEX($V$1005:$AE$1005,1,MATCH(COLUMNS($V$1006:X1006),$V$1006:$AE$1006,0))&gt;=100000), " ",IF(INDEX($V$2:$AE$1001,MATCH(ROWS($O$2:O913),$O$2:$O$1001,0),MATCH(COLUMNS($V$1006:X1006),$V$1006:$AE$1006,0)), HYPERLINK("#",""), HYPERLINK(CONCATENATE("#Metadata!", ADDRESS(INDEX($Q$2:$Q$1001,MATCH(ROWS($O$2:O913),$O$2:$O$1001,0),0), INDEX($V$1004:$AE$1004,1,MATCH(COLUMNS($V$1006:X1006),$V$1006:$AE$1006,0)))),"Fix")))</f>
        <v>0</v>
      </c>
      <c r="E913" s="3">
        <f>IF(OR(INDEX($P$2:$P$1001,MATCH(ROWS($O$2:O913),$O$2:$O$1001,0),1)&gt;=100000,INDEX($V$1005:$AE$1005,1,MATCH(COLUMNS($V$1006:Y1006),$V$1006:$AE$1006,0))&gt;=100000), " ",IF(INDEX($V$2:$AE$1001,MATCH(ROWS($O$2:O913),$O$2:$O$1001,0),MATCH(COLUMNS($V$1006:Y1006),$V$1006:$AE$1006,0)), HYPERLINK("#",""), HYPERLINK(CONCATENATE("#Metadata!", ADDRESS(INDEX($Q$2:$Q$1001,MATCH(ROWS($O$2:O913),$O$2:$O$1001,0),0), INDEX($V$1004:$AE$1004,1,MATCH(COLUMNS($V$1006:Y1006),$V$1006:$AE$1006,0)))),"Fix")))</f>
        <v>0</v>
      </c>
      <c r="F913" s="3">
        <f>IF(OR(INDEX($P$2:$P$1001,MATCH(ROWS($O$2:O913),$O$2:$O$1001,0),1)&gt;=100000,INDEX($V$1005:$AE$1005,1,MATCH(COLUMNS($V$1006:Z1006),$V$1006:$AE$1006,0))&gt;=100000), " ",IF(INDEX($V$2:$AE$1001,MATCH(ROWS($O$2:O913),$O$2:$O$1001,0),MATCH(COLUMNS($V$1006:Z1006),$V$1006:$AE$1006,0)), HYPERLINK("#",""), HYPERLINK(CONCATENATE("#Metadata!", ADDRESS(INDEX($Q$2:$Q$1001,MATCH(ROWS($O$2:O913),$O$2:$O$1001,0),0), INDEX($V$1004:$AE$1004,1,MATCH(COLUMNS($V$1006:Z1006),$V$1006:$AE$1006,0)))),"Fix")))</f>
        <v>0</v>
      </c>
      <c r="G913" s="3">
        <f>IF(OR(INDEX($P$2:$P$1001,MATCH(ROWS($O$2:O913),$O$2:$O$1001,0),1)&gt;=100000,INDEX($V$1005:$AE$1005,1,MATCH(COLUMNS($V$1006:AA1006),$V$1006:$AE$1006,0))&gt;=100000), " ",IF(INDEX($V$2:$AE$1001,MATCH(ROWS($O$2:O913),$O$2:$O$1001,0),MATCH(COLUMNS($V$1006:AA1006),$V$1006:$AE$1006,0)), HYPERLINK("#",""), HYPERLINK(CONCATENATE("#Metadata!", ADDRESS(INDEX($Q$2:$Q$1001,MATCH(ROWS($O$2:O913),$O$2:$O$1001,0),0), INDEX($V$1004:$AE$1004,1,MATCH(COLUMNS($V$1006:AA1006),$V$1006:$AE$1006,0)))),"Fix")))</f>
        <v>0</v>
      </c>
      <c r="H913" s="3">
        <f>IF(OR(INDEX($P$2:$P$1001,MATCH(ROWS($O$2:O913),$O$2:$O$1001,0),1)&gt;=100000,INDEX($V$1005:$AE$1005,1,MATCH(COLUMNS($V$1006:AB1006),$V$1006:$AE$1006,0))&gt;=100000), " ",IF(INDEX($V$2:$AE$1001,MATCH(ROWS($O$2:O913),$O$2:$O$1001,0),MATCH(COLUMNS($V$1006:AB1006),$V$1006:$AE$1006,0)), HYPERLINK("#",""), HYPERLINK(CONCATENATE("#Metadata!", ADDRESS(INDEX($Q$2:$Q$1001,MATCH(ROWS($O$2:O913),$O$2:$O$1001,0),0), INDEX($V$1004:$AE$1004,1,MATCH(COLUMNS($V$1006:AB1006),$V$1006:$AE$1006,0)))),"Fix")))</f>
        <v>0</v>
      </c>
      <c r="I913" s="3">
        <f>IF(OR(INDEX($P$2:$P$1001,MATCH(ROWS($O$2:O913),$O$2:$O$1001,0),1)&gt;=100000,INDEX($V$1005:$AE$1005,1,MATCH(COLUMNS($V$1006:AC1006),$V$1006:$AE$1006,0))&gt;=100000), " ",IF(INDEX($V$2:$AE$1001,MATCH(ROWS($O$2:O913),$O$2:$O$1001,0),MATCH(COLUMNS($V$1006:AC1006),$V$1006:$AE$1006,0)), HYPERLINK("#",""), HYPERLINK(CONCATENATE("#Metadata!", ADDRESS(INDEX($Q$2:$Q$1001,MATCH(ROWS($O$2:O913),$O$2:$O$1001,0),0), INDEX($V$1004:$AE$1004,1,MATCH(COLUMNS($V$1006:AC1006),$V$1006:$AE$1006,0)))),"Fix")))</f>
        <v>0</v>
      </c>
      <c r="J913" s="3">
        <f>IF(OR(INDEX($P$2:$P$1001,MATCH(ROWS($O$2:O913),$O$2:$O$1001,0),1)&gt;=100000,INDEX($V$1005:$AE$1005,1,MATCH(COLUMNS($V$1006:AD1006),$V$1006:$AE$1006,0))&gt;=100000), " ",IF(INDEX($V$2:$AE$1001,MATCH(ROWS($O$2:O913),$O$2:$O$1001,0),MATCH(COLUMNS($V$1006:AD1006),$V$1006:$AE$1006,0)), HYPERLINK("#",""), HYPERLINK(CONCATENATE("#Metadata!", ADDRESS(INDEX($Q$2:$Q$1001,MATCH(ROWS($O$2:O913),$O$2:$O$1001,0),0), INDEX($V$1004:$AE$1004,1,MATCH(COLUMNS($V$1006:AD1006),$V$1006:$AE$1006,0)))),"Fix")))</f>
        <v>0</v>
      </c>
      <c r="K913" s="3">
        <f>IF(OR(INDEX($P$2:$P$1001,MATCH(ROWS($O$2:O913),$O$2:$O$1001,0),1)&gt;=100000,INDEX($V$1005:$AE$1005,1,MATCH(COLUMNS($V$1006:AE1006),$V$1006:$AE$1006,0))&gt;=100000), " ",IF(INDEX($V$2:$AE$1001,MATCH(ROWS($O$2:O913),$O$2:$O$1001,0),MATCH(COLUMNS($V$1006:AE1006),$V$1006:$AE$1006,0)), HYPERLINK("#",""), HYPERLINK(CONCATENATE("#Metadata!", ADDRESS(INDEX($Q$2:$Q$1001,MATCH(ROWS($O$2:O913),$O$2:$O$1001,0),0), INDEX($V$1004:$AE$1004,1,MATCH(COLUMNS($V$1006:AE1006),$V$1006:$AE$1006,0)))),"Fix")))</f>
        <v>0</v>
      </c>
      <c r="O913">
        <v>0</v>
      </c>
      <c r="P913">
        <v>0</v>
      </c>
      <c r="Q913">
        <v>0</v>
      </c>
      <c r="R913">
        <f>IF(S913,TRUE,AND(V913:AE913))</f>
        <v>0</v>
      </c>
      <c r="S913">
        <f>COUNTBLANK(Metadata!B913:K913)=COLUMNS(Metadata!B913:K913)</f>
        <v>0</v>
      </c>
      <c r="T913">
        <v>0</v>
      </c>
      <c r="V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W913">
        <f>AND(IF(Metadata!C913="",FALSE,TRUE),exact(Metadata!C913,"animal secretion"))</f>
        <v>0</v>
      </c>
      <c r="X913">
        <f>AND(IF(Metadata!D913="",FALSE,TRUE),exact(Metadata!D913,"saliva"))</f>
        <v>0</v>
      </c>
      <c r="Y913">
        <f>AND(IF(Metadata!E913="",FALSE,TRUE),exact(Metadata!E913,"human-oral"))</f>
        <v>0</v>
      </c>
      <c r="Z913">
        <f>AND(IF(Metadata!F913="",FALSE,TRUE),exact(Metadata!F913,"UBERON:oral cavity"))</f>
        <v>0</v>
      </c>
      <c r="AA913">
        <f>AND(IF(Metadata!G913="",FALSE,TRUE),exact(Metadata!G913,"UBERON:saliva"))</f>
        <v>0</v>
      </c>
      <c r="AB913">
        <f>AND(IF(Metadata!H913="",FALSE,TRUE),exact(Metadata!H913,"UBERON:tongue"))</f>
        <v>0</v>
      </c>
      <c r="AC913">
        <f>AND(IF(Metadata!I913="",FALSE,TRUE),exact(Metadata!I913,"tongue"))</f>
        <v>0</v>
      </c>
      <c r="AD913">
        <f>AND(IF(Metadata!J913="",FALSE,TRUE),exact(Metadata!J913,"human oral metagenome"))</f>
        <v>0</v>
      </c>
      <c r="AE913">
        <f>AND(IF(Metadata!K913="",FALSE,TRUE),exact(Metadata!K913,"447426"))</f>
        <v>0</v>
      </c>
    </row>
    <row r="914" spans="1:31">
      <c r="A914" s="4">
        <f>IF(B914=" "," ",HYPERLINK(CONCATENATE("#metadata!",ADDRESS(INDEX($Q$2:$Q$1001,MATCH(ROWS($O$2:O914),$O$2:$O$1001,0),0),1)),INDEX($T$2:$T$1001,MATCH(ROWS($O$2:O914),$O$2:$O$1001,0),0)))</f>
        <v>0</v>
      </c>
      <c r="B914" s="3">
        <f>IF(OR(INDEX($P$2:$P$1001,MATCH(ROWS($O$2:O914),$O$2:$O$1001,0),1)&gt;=100000,INDEX($V$1005:$AE$1005,1,MATCH(COLUMNS($V$1006:V1006),$V$1006:$AE$1006,0))&gt;=100000), " ",IF(INDEX($V$2:$AE$1001,MATCH(ROWS($O$2:O914),$O$2:$O$1001,0),MATCH(COLUMNS($V$1006:V1006),$V$1006:$AE$1006,0)), HYPERLINK("#",""), HYPERLINK(CONCATENATE("#Metadata!", ADDRESS(INDEX($Q$2:$Q$1001,MATCH(ROWS($O$2:O914),$O$2:$O$1001,0),0), INDEX($V$1004:$AE$1004,1,MATCH(COLUMNS($V$1006:V1006),$V$1006:$AE$1006,0)))),"Fix")))</f>
        <v>0</v>
      </c>
      <c r="C914" s="3">
        <f>IF(OR(INDEX($P$2:$P$1001,MATCH(ROWS($O$2:O914),$O$2:$O$1001,0),1)&gt;=100000,INDEX($V$1005:$AE$1005,1,MATCH(COLUMNS($V$1006:W1006),$V$1006:$AE$1006,0))&gt;=100000), " ",IF(INDEX($V$2:$AE$1001,MATCH(ROWS($O$2:O914),$O$2:$O$1001,0),MATCH(COLUMNS($V$1006:W1006),$V$1006:$AE$1006,0)), HYPERLINK("#",""), HYPERLINK(CONCATENATE("#Metadata!", ADDRESS(INDEX($Q$2:$Q$1001,MATCH(ROWS($O$2:O914),$O$2:$O$1001,0),0), INDEX($V$1004:$AE$1004,1,MATCH(COLUMNS($V$1006:W1006),$V$1006:$AE$1006,0)))),"Fix")))</f>
        <v>0</v>
      </c>
      <c r="D914" s="3">
        <f>IF(OR(INDEX($P$2:$P$1001,MATCH(ROWS($O$2:O914),$O$2:$O$1001,0),1)&gt;=100000,INDEX($V$1005:$AE$1005,1,MATCH(COLUMNS($V$1006:X1006),$V$1006:$AE$1006,0))&gt;=100000), " ",IF(INDEX($V$2:$AE$1001,MATCH(ROWS($O$2:O914),$O$2:$O$1001,0),MATCH(COLUMNS($V$1006:X1006),$V$1006:$AE$1006,0)), HYPERLINK("#",""), HYPERLINK(CONCATENATE("#Metadata!", ADDRESS(INDEX($Q$2:$Q$1001,MATCH(ROWS($O$2:O914),$O$2:$O$1001,0),0), INDEX($V$1004:$AE$1004,1,MATCH(COLUMNS($V$1006:X1006),$V$1006:$AE$1006,0)))),"Fix")))</f>
        <v>0</v>
      </c>
      <c r="E914" s="3">
        <f>IF(OR(INDEX($P$2:$P$1001,MATCH(ROWS($O$2:O914),$O$2:$O$1001,0),1)&gt;=100000,INDEX($V$1005:$AE$1005,1,MATCH(COLUMNS($V$1006:Y1006),$V$1006:$AE$1006,0))&gt;=100000), " ",IF(INDEX($V$2:$AE$1001,MATCH(ROWS($O$2:O914),$O$2:$O$1001,0),MATCH(COLUMNS($V$1006:Y1006),$V$1006:$AE$1006,0)), HYPERLINK("#",""), HYPERLINK(CONCATENATE("#Metadata!", ADDRESS(INDEX($Q$2:$Q$1001,MATCH(ROWS($O$2:O914),$O$2:$O$1001,0),0), INDEX($V$1004:$AE$1004,1,MATCH(COLUMNS($V$1006:Y1006),$V$1006:$AE$1006,0)))),"Fix")))</f>
        <v>0</v>
      </c>
      <c r="F914" s="3">
        <f>IF(OR(INDEX($P$2:$P$1001,MATCH(ROWS($O$2:O914),$O$2:$O$1001,0),1)&gt;=100000,INDEX($V$1005:$AE$1005,1,MATCH(COLUMNS($V$1006:Z1006),$V$1006:$AE$1006,0))&gt;=100000), " ",IF(INDEX($V$2:$AE$1001,MATCH(ROWS($O$2:O914),$O$2:$O$1001,0),MATCH(COLUMNS($V$1006:Z1006),$V$1006:$AE$1006,0)), HYPERLINK("#",""), HYPERLINK(CONCATENATE("#Metadata!", ADDRESS(INDEX($Q$2:$Q$1001,MATCH(ROWS($O$2:O914),$O$2:$O$1001,0),0), INDEX($V$1004:$AE$1004,1,MATCH(COLUMNS($V$1006:Z1006),$V$1006:$AE$1006,0)))),"Fix")))</f>
        <v>0</v>
      </c>
      <c r="G914" s="3">
        <f>IF(OR(INDEX($P$2:$P$1001,MATCH(ROWS($O$2:O914),$O$2:$O$1001,0),1)&gt;=100000,INDEX($V$1005:$AE$1005,1,MATCH(COLUMNS($V$1006:AA1006),$V$1006:$AE$1006,0))&gt;=100000), " ",IF(INDEX($V$2:$AE$1001,MATCH(ROWS($O$2:O914),$O$2:$O$1001,0),MATCH(COLUMNS($V$1006:AA1006),$V$1006:$AE$1006,0)), HYPERLINK("#",""), HYPERLINK(CONCATENATE("#Metadata!", ADDRESS(INDEX($Q$2:$Q$1001,MATCH(ROWS($O$2:O914),$O$2:$O$1001,0),0), INDEX($V$1004:$AE$1004,1,MATCH(COLUMNS($V$1006:AA1006),$V$1006:$AE$1006,0)))),"Fix")))</f>
        <v>0</v>
      </c>
      <c r="H914" s="3">
        <f>IF(OR(INDEX($P$2:$P$1001,MATCH(ROWS($O$2:O914),$O$2:$O$1001,0),1)&gt;=100000,INDEX($V$1005:$AE$1005,1,MATCH(COLUMNS($V$1006:AB1006),$V$1006:$AE$1006,0))&gt;=100000), " ",IF(INDEX($V$2:$AE$1001,MATCH(ROWS($O$2:O914),$O$2:$O$1001,0),MATCH(COLUMNS($V$1006:AB1006),$V$1006:$AE$1006,0)), HYPERLINK("#",""), HYPERLINK(CONCATENATE("#Metadata!", ADDRESS(INDEX($Q$2:$Q$1001,MATCH(ROWS($O$2:O914),$O$2:$O$1001,0),0), INDEX($V$1004:$AE$1004,1,MATCH(COLUMNS($V$1006:AB1006),$V$1006:$AE$1006,0)))),"Fix")))</f>
        <v>0</v>
      </c>
      <c r="I914" s="3">
        <f>IF(OR(INDEX($P$2:$P$1001,MATCH(ROWS($O$2:O914),$O$2:$O$1001,0),1)&gt;=100000,INDEX($V$1005:$AE$1005,1,MATCH(COLUMNS($V$1006:AC1006),$V$1006:$AE$1006,0))&gt;=100000), " ",IF(INDEX($V$2:$AE$1001,MATCH(ROWS($O$2:O914),$O$2:$O$1001,0),MATCH(COLUMNS($V$1006:AC1006),$V$1006:$AE$1006,0)), HYPERLINK("#",""), HYPERLINK(CONCATENATE("#Metadata!", ADDRESS(INDEX($Q$2:$Q$1001,MATCH(ROWS($O$2:O914),$O$2:$O$1001,0),0), INDEX($V$1004:$AE$1004,1,MATCH(COLUMNS($V$1006:AC1006),$V$1006:$AE$1006,0)))),"Fix")))</f>
        <v>0</v>
      </c>
      <c r="J914" s="3">
        <f>IF(OR(INDEX($P$2:$P$1001,MATCH(ROWS($O$2:O914),$O$2:$O$1001,0),1)&gt;=100000,INDEX($V$1005:$AE$1005,1,MATCH(COLUMNS($V$1006:AD1006),$V$1006:$AE$1006,0))&gt;=100000), " ",IF(INDEX($V$2:$AE$1001,MATCH(ROWS($O$2:O914),$O$2:$O$1001,0),MATCH(COLUMNS($V$1006:AD1006),$V$1006:$AE$1006,0)), HYPERLINK("#",""), HYPERLINK(CONCATENATE("#Metadata!", ADDRESS(INDEX($Q$2:$Q$1001,MATCH(ROWS($O$2:O914),$O$2:$O$1001,0),0), INDEX($V$1004:$AE$1004,1,MATCH(COLUMNS($V$1006:AD1006),$V$1006:$AE$1006,0)))),"Fix")))</f>
        <v>0</v>
      </c>
      <c r="K914" s="3">
        <f>IF(OR(INDEX($P$2:$P$1001,MATCH(ROWS($O$2:O914),$O$2:$O$1001,0),1)&gt;=100000,INDEX($V$1005:$AE$1005,1,MATCH(COLUMNS($V$1006:AE1006),$V$1006:$AE$1006,0))&gt;=100000), " ",IF(INDEX($V$2:$AE$1001,MATCH(ROWS($O$2:O914),$O$2:$O$1001,0),MATCH(COLUMNS($V$1006:AE1006),$V$1006:$AE$1006,0)), HYPERLINK("#",""), HYPERLINK(CONCATENATE("#Metadata!", ADDRESS(INDEX($Q$2:$Q$1001,MATCH(ROWS($O$2:O914),$O$2:$O$1001,0),0), INDEX($V$1004:$AE$1004,1,MATCH(COLUMNS($V$1006:AE1006),$V$1006:$AE$1006,0)))),"Fix")))</f>
        <v>0</v>
      </c>
      <c r="O914">
        <v>0</v>
      </c>
      <c r="P914">
        <v>0</v>
      </c>
      <c r="Q914">
        <v>0</v>
      </c>
      <c r="R914">
        <f>IF(S914,TRUE,AND(V914:AE914))</f>
        <v>0</v>
      </c>
      <c r="S914">
        <f>COUNTBLANK(Metadata!B914:K914)=COLUMNS(Metadata!B914:K914)</f>
        <v>0</v>
      </c>
      <c r="T914">
        <v>0</v>
      </c>
      <c r="V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W914">
        <f>AND(IF(Metadata!C914="",FALSE,TRUE),exact(Metadata!C914,"animal secretion"))</f>
        <v>0</v>
      </c>
      <c r="X914">
        <f>AND(IF(Metadata!D914="",FALSE,TRUE),exact(Metadata!D914,"saliva"))</f>
        <v>0</v>
      </c>
      <c r="Y914">
        <f>AND(IF(Metadata!E914="",FALSE,TRUE),exact(Metadata!E914,"human-oral"))</f>
        <v>0</v>
      </c>
      <c r="Z914">
        <f>AND(IF(Metadata!F914="",FALSE,TRUE),exact(Metadata!F914,"UBERON:oral cavity"))</f>
        <v>0</v>
      </c>
      <c r="AA914">
        <f>AND(IF(Metadata!G914="",FALSE,TRUE),exact(Metadata!G914,"UBERON:saliva"))</f>
        <v>0</v>
      </c>
      <c r="AB914">
        <f>AND(IF(Metadata!H914="",FALSE,TRUE),exact(Metadata!H914,"UBERON:tongue"))</f>
        <v>0</v>
      </c>
      <c r="AC914">
        <f>AND(IF(Metadata!I914="",FALSE,TRUE),exact(Metadata!I914,"tongue"))</f>
        <v>0</v>
      </c>
      <c r="AD914">
        <f>AND(IF(Metadata!J914="",FALSE,TRUE),exact(Metadata!J914,"human oral metagenome"))</f>
        <v>0</v>
      </c>
      <c r="AE914">
        <f>AND(IF(Metadata!K914="",FALSE,TRUE),exact(Metadata!K914,"447426"))</f>
        <v>0</v>
      </c>
    </row>
    <row r="915" spans="1:31">
      <c r="A915" s="4">
        <f>IF(B915=" "," ",HYPERLINK(CONCATENATE("#metadata!",ADDRESS(INDEX($Q$2:$Q$1001,MATCH(ROWS($O$2:O915),$O$2:$O$1001,0),0),1)),INDEX($T$2:$T$1001,MATCH(ROWS($O$2:O915),$O$2:$O$1001,0),0)))</f>
        <v>0</v>
      </c>
      <c r="B915" s="3">
        <f>IF(OR(INDEX($P$2:$P$1001,MATCH(ROWS($O$2:O915),$O$2:$O$1001,0),1)&gt;=100000,INDEX($V$1005:$AE$1005,1,MATCH(COLUMNS($V$1006:V1006),$V$1006:$AE$1006,0))&gt;=100000), " ",IF(INDEX($V$2:$AE$1001,MATCH(ROWS($O$2:O915),$O$2:$O$1001,0),MATCH(COLUMNS($V$1006:V1006),$V$1006:$AE$1006,0)), HYPERLINK("#",""), HYPERLINK(CONCATENATE("#Metadata!", ADDRESS(INDEX($Q$2:$Q$1001,MATCH(ROWS($O$2:O915),$O$2:$O$1001,0),0), INDEX($V$1004:$AE$1004,1,MATCH(COLUMNS($V$1006:V1006),$V$1006:$AE$1006,0)))),"Fix")))</f>
        <v>0</v>
      </c>
      <c r="C915" s="3">
        <f>IF(OR(INDEX($P$2:$P$1001,MATCH(ROWS($O$2:O915),$O$2:$O$1001,0),1)&gt;=100000,INDEX($V$1005:$AE$1005,1,MATCH(COLUMNS($V$1006:W1006),$V$1006:$AE$1006,0))&gt;=100000), " ",IF(INDEX($V$2:$AE$1001,MATCH(ROWS($O$2:O915),$O$2:$O$1001,0),MATCH(COLUMNS($V$1006:W1006),$V$1006:$AE$1006,0)), HYPERLINK("#",""), HYPERLINK(CONCATENATE("#Metadata!", ADDRESS(INDEX($Q$2:$Q$1001,MATCH(ROWS($O$2:O915),$O$2:$O$1001,0),0), INDEX($V$1004:$AE$1004,1,MATCH(COLUMNS($V$1006:W1006),$V$1006:$AE$1006,0)))),"Fix")))</f>
        <v>0</v>
      </c>
      <c r="D915" s="3">
        <f>IF(OR(INDEX($P$2:$P$1001,MATCH(ROWS($O$2:O915),$O$2:$O$1001,0),1)&gt;=100000,INDEX($V$1005:$AE$1005,1,MATCH(COLUMNS($V$1006:X1006),$V$1006:$AE$1006,0))&gt;=100000), " ",IF(INDEX($V$2:$AE$1001,MATCH(ROWS($O$2:O915),$O$2:$O$1001,0),MATCH(COLUMNS($V$1006:X1006),$V$1006:$AE$1006,0)), HYPERLINK("#",""), HYPERLINK(CONCATENATE("#Metadata!", ADDRESS(INDEX($Q$2:$Q$1001,MATCH(ROWS($O$2:O915),$O$2:$O$1001,0),0), INDEX($V$1004:$AE$1004,1,MATCH(COLUMNS($V$1006:X1006),$V$1006:$AE$1006,0)))),"Fix")))</f>
        <v>0</v>
      </c>
      <c r="E915" s="3">
        <f>IF(OR(INDEX($P$2:$P$1001,MATCH(ROWS($O$2:O915),$O$2:$O$1001,0),1)&gt;=100000,INDEX($V$1005:$AE$1005,1,MATCH(COLUMNS($V$1006:Y1006),$V$1006:$AE$1006,0))&gt;=100000), " ",IF(INDEX($V$2:$AE$1001,MATCH(ROWS($O$2:O915),$O$2:$O$1001,0),MATCH(COLUMNS($V$1006:Y1006),$V$1006:$AE$1006,0)), HYPERLINK("#",""), HYPERLINK(CONCATENATE("#Metadata!", ADDRESS(INDEX($Q$2:$Q$1001,MATCH(ROWS($O$2:O915),$O$2:$O$1001,0),0), INDEX($V$1004:$AE$1004,1,MATCH(COLUMNS($V$1006:Y1006),$V$1006:$AE$1006,0)))),"Fix")))</f>
        <v>0</v>
      </c>
      <c r="F915" s="3">
        <f>IF(OR(INDEX($P$2:$P$1001,MATCH(ROWS($O$2:O915),$O$2:$O$1001,0),1)&gt;=100000,INDEX($V$1005:$AE$1005,1,MATCH(COLUMNS($V$1006:Z1006),$V$1006:$AE$1006,0))&gt;=100000), " ",IF(INDEX($V$2:$AE$1001,MATCH(ROWS($O$2:O915),$O$2:$O$1001,0),MATCH(COLUMNS($V$1006:Z1006),$V$1006:$AE$1006,0)), HYPERLINK("#",""), HYPERLINK(CONCATENATE("#Metadata!", ADDRESS(INDEX($Q$2:$Q$1001,MATCH(ROWS($O$2:O915),$O$2:$O$1001,0),0), INDEX($V$1004:$AE$1004,1,MATCH(COLUMNS($V$1006:Z1006),$V$1006:$AE$1006,0)))),"Fix")))</f>
        <v>0</v>
      </c>
      <c r="G915" s="3">
        <f>IF(OR(INDEX($P$2:$P$1001,MATCH(ROWS($O$2:O915),$O$2:$O$1001,0),1)&gt;=100000,INDEX($V$1005:$AE$1005,1,MATCH(COLUMNS($V$1006:AA1006),$V$1006:$AE$1006,0))&gt;=100000), " ",IF(INDEX($V$2:$AE$1001,MATCH(ROWS($O$2:O915),$O$2:$O$1001,0),MATCH(COLUMNS($V$1006:AA1006),$V$1006:$AE$1006,0)), HYPERLINK("#",""), HYPERLINK(CONCATENATE("#Metadata!", ADDRESS(INDEX($Q$2:$Q$1001,MATCH(ROWS($O$2:O915),$O$2:$O$1001,0),0), INDEX($V$1004:$AE$1004,1,MATCH(COLUMNS($V$1006:AA1006),$V$1006:$AE$1006,0)))),"Fix")))</f>
        <v>0</v>
      </c>
      <c r="H915" s="3">
        <f>IF(OR(INDEX($P$2:$P$1001,MATCH(ROWS($O$2:O915),$O$2:$O$1001,0),1)&gt;=100000,INDEX($V$1005:$AE$1005,1,MATCH(COLUMNS($V$1006:AB1006),$V$1006:$AE$1006,0))&gt;=100000), " ",IF(INDEX($V$2:$AE$1001,MATCH(ROWS($O$2:O915),$O$2:$O$1001,0),MATCH(COLUMNS($V$1006:AB1006),$V$1006:$AE$1006,0)), HYPERLINK("#",""), HYPERLINK(CONCATENATE("#Metadata!", ADDRESS(INDEX($Q$2:$Q$1001,MATCH(ROWS($O$2:O915),$O$2:$O$1001,0),0), INDEX($V$1004:$AE$1004,1,MATCH(COLUMNS($V$1006:AB1006),$V$1006:$AE$1006,0)))),"Fix")))</f>
        <v>0</v>
      </c>
      <c r="I915" s="3">
        <f>IF(OR(INDEX($P$2:$P$1001,MATCH(ROWS($O$2:O915),$O$2:$O$1001,0),1)&gt;=100000,INDEX($V$1005:$AE$1005,1,MATCH(COLUMNS($V$1006:AC1006),$V$1006:$AE$1006,0))&gt;=100000), " ",IF(INDEX($V$2:$AE$1001,MATCH(ROWS($O$2:O915),$O$2:$O$1001,0),MATCH(COLUMNS($V$1006:AC1006),$V$1006:$AE$1006,0)), HYPERLINK("#",""), HYPERLINK(CONCATENATE("#Metadata!", ADDRESS(INDEX($Q$2:$Q$1001,MATCH(ROWS($O$2:O915),$O$2:$O$1001,0),0), INDEX($V$1004:$AE$1004,1,MATCH(COLUMNS($V$1006:AC1006),$V$1006:$AE$1006,0)))),"Fix")))</f>
        <v>0</v>
      </c>
      <c r="J915" s="3">
        <f>IF(OR(INDEX($P$2:$P$1001,MATCH(ROWS($O$2:O915),$O$2:$O$1001,0),1)&gt;=100000,INDEX($V$1005:$AE$1005,1,MATCH(COLUMNS($V$1006:AD1006),$V$1006:$AE$1006,0))&gt;=100000), " ",IF(INDEX($V$2:$AE$1001,MATCH(ROWS($O$2:O915),$O$2:$O$1001,0),MATCH(COLUMNS($V$1006:AD1006),$V$1006:$AE$1006,0)), HYPERLINK("#",""), HYPERLINK(CONCATENATE("#Metadata!", ADDRESS(INDEX($Q$2:$Q$1001,MATCH(ROWS($O$2:O915),$O$2:$O$1001,0),0), INDEX($V$1004:$AE$1004,1,MATCH(COLUMNS($V$1006:AD1006),$V$1006:$AE$1006,0)))),"Fix")))</f>
        <v>0</v>
      </c>
      <c r="K915" s="3">
        <f>IF(OR(INDEX($P$2:$P$1001,MATCH(ROWS($O$2:O915),$O$2:$O$1001,0),1)&gt;=100000,INDEX($V$1005:$AE$1005,1,MATCH(COLUMNS($V$1006:AE1006),$V$1006:$AE$1006,0))&gt;=100000), " ",IF(INDEX($V$2:$AE$1001,MATCH(ROWS($O$2:O915),$O$2:$O$1001,0),MATCH(COLUMNS($V$1006:AE1006),$V$1006:$AE$1006,0)), HYPERLINK("#",""), HYPERLINK(CONCATENATE("#Metadata!", ADDRESS(INDEX($Q$2:$Q$1001,MATCH(ROWS($O$2:O915),$O$2:$O$1001,0),0), INDEX($V$1004:$AE$1004,1,MATCH(COLUMNS($V$1006:AE1006),$V$1006:$AE$1006,0)))),"Fix")))</f>
        <v>0</v>
      </c>
      <c r="O915">
        <v>0</v>
      </c>
      <c r="P915">
        <v>0</v>
      </c>
      <c r="Q915">
        <v>0</v>
      </c>
      <c r="R915">
        <f>IF(S915,TRUE,AND(V915:AE915))</f>
        <v>0</v>
      </c>
      <c r="S915">
        <f>COUNTBLANK(Metadata!B915:K915)=COLUMNS(Metadata!B915:K915)</f>
        <v>0</v>
      </c>
      <c r="T915">
        <v>0</v>
      </c>
      <c r="V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W915">
        <f>AND(IF(Metadata!C915="",FALSE,TRUE),exact(Metadata!C915,"animal secretion"))</f>
        <v>0</v>
      </c>
      <c r="X915">
        <f>AND(IF(Metadata!D915="",FALSE,TRUE),exact(Metadata!D915,"saliva"))</f>
        <v>0</v>
      </c>
      <c r="Y915">
        <f>AND(IF(Metadata!E915="",FALSE,TRUE),exact(Metadata!E915,"human-oral"))</f>
        <v>0</v>
      </c>
      <c r="Z915">
        <f>AND(IF(Metadata!F915="",FALSE,TRUE),exact(Metadata!F915,"UBERON:oral cavity"))</f>
        <v>0</v>
      </c>
      <c r="AA915">
        <f>AND(IF(Metadata!G915="",FALSE,TRUE),exact(Metadata!G915,"UBERON:saliva"))</f>
        <v>0</v>
      </c>
      <c r="AB915">
        <f>AND(IF(Metadata!H915="",FALSE,TRUE),exact(Metadata!H915,"UBERON:tongue"))</f>
        <v>0</v>
      </c>
      <c r="AC915">
        <f>AND(IF(Metadata!I915="",FALSE,TRUE),exact(Metadata!I915,"tongue"))</f>
        <v>0</v>
      </c>
      <c r="AD915">
        <f>AND(IF(Metadata!J915="",FALSE,TRUE),exact(Metadata!J915,"human oral metagenome"))</f>
        <v>0</v>
      </c>
      <c r="AE915">
        <f>AND(IF(Metadata!K915="",FALSE,TRUE),exact(Metadata!K915,"447426"))</f>
        <v>0</v>
      </c>
    </row>
    <row r="916" spans="1:31">
      <c r="A916" s="4">
        <f>IF(B916=" "," ",HYPERLINK(CONCATENATE("#metadata!",ADDRESS(INDEX($Q$2:$Q$1001,MATCH(ROWS($O$2:O916),$O$2:$O$1001,0),0),1)),INDEX($T$2:$T$1001,MATCH(ROWS($O$2:O916),$O$2:$O$1001,0),0)))</f>
        <v>0</v>
      </c>
      <c r="B916" s="3">
        <f>IF(OR(INDEX($P$2:$P$1001,MATCH(ROWS($O$2:O916),$O$2:$O$1001,0),1)&gt;=100000,INDEX($V$1005:$AE$1005,1,MATCH(COLUMNS($V$1006:V1006),$V$1006:$AE$1006,0))&gt;=100000), " ",IF(INDEX($V$2:$AE$1001,MATCH(ROWS($O$2:O916),$O$2:$O$1001,0),MATCH(COLUMNS($V$1006:V1006),$V$1006:$AE$1006,0)), HYPERLINK("#",""), HYPERLINK(CONCATENATE("#Metadata!", ADDRESS(INDEX($Q$2:$Q$1001,MATCH(ROWS($O$2:O916),$O$2:$O$1001,0),0), INDEX($V$1004:$AE$1004,1,MATCH(COLUMNS($V$1006:V1006),$V$1006:$AE$1006,0)))),"Fix")))</f>
        <v>0</v>
      </c>
      <c r="C916" s="3">
        <f>IF(OR(INDEX($P$2:$P$1001,MATCH(ROWS($O$2:O916),$O$2:$O$1001,0),1)&gt;=100000,INDEX($V$1005:$AE$1005,1,MATCH(COLUMNS($V$1006:W1006),$V$1006:$AE$1006,0))&gt;=100000), " ",IF(INDEX($V$2:$AE$1001,MATCH(ROWS($O$2:O916),$O$2:$O$1001,0),MATCH(COLUMNS($V$1006:W1006),$V$1006:$AE$1006,0)), HYPERLINK("#",""), HYPERLINK(CONCATENATE("#Metadata!", ADDRESS(INDEX($Q$2:$Q$1001,MATCH(ROWS($O$2:O916),$O$2:$O$1001,0),0), INDEX($V$1004:$AE$1004,1,MATCH(COLUMNS($V$1006:W1006),$V$1006:$AE$1006,0)))),"Fix")))</f>
        <v>0</v>
      </c>
      <c r="D916" s="3">
        <f>IF(OR(INDEX($P$2:$P$1001,MATCH(ROWS($O$2:O916),$O$2:$O$1001,0),1)&gt;=100000,INDEX($V$1005:$AE$1005,1,MATCH(COLUMNS($V$1006:X1006),$V$1006:$AE$1006,0))&gt;=100000), " ",IF(INDEX($V$2:$AE$1001,MATCH(ROWS($O$2:O916),$O$2:$O$1001,0),MATCH(COLUMNS($V$1006:X1006),$V$1006:$AE$1006,0)), HYPERLINK("#",""), HYPERLINK(CONCATENATE("#Metadata!", ADDRESS(INDEX($Q$2:$Q$1001,MATCH(ROWS($O$2:O916),$O$2:$O$1001,0),0), INDEX($V$1004:$AE$1004,1,MATCH(COLUMNS($V$1006:X1006),$V$1006:$AE$1006,0)))),"Fix")))</f>
        <v>0</v>
      </c>
      <c r="E916" s="3">
        <f>IF(OR(INDEX($P$2:$P$1001,MATCH(ROWS($O$2:O916),$O$2:$O$1001,0),1)&gt;=100000,INDEX($V$1005:$AE$1005,1,MATCH(COLUMNS($V$1006:Y1006),$V$1006:$AE$1006,0))&gt;=100000), " ",IF(INDEX($V$2:$AE$1001,MATCH(ROWS($O$2:O916),$O$2:$O$1001,0),MATCH(COLUMNS($V$1006:Y1006),$V$1006:$AE$1006,0)), HYPERLINK("#",""), HYPERLINK(CONCATENATE("#Metadata!", ADDRESS(INDEX($Q$2:$Q$1001,MATCH(ROWS($O$2:O916),$O$2:$O$1001,0),0), INDEX($V$1004:$AE$1004,1,MATCH(COLUMNS($V$1006:Y1006),$V$1006:$AE$1006,0)))),"Fix")))</f>
        <v>0</v>
      </c>
      <c r="F916" s="3">
        <f>IF(OR(INDEX($P$2:$P$1001,MATCH(ROWS($O$2:O916),$O$2:$O$1001,0),1)&gt;=100000,INDEX($V$1005:$AE$1005,1,MATCH(COLUMNS($V$1006:Z1006),$V$1006:$AE$1006,0))&gt;=100000), " ",IF(INDEX($V$2:$AE$1001,MATCH(ROWS($O$2:O916),$O$2:$O$1001,0),MATCH(COLUMNS($V$1006:Z1006),$V$1006:$AE$1006,0)), HYPERLINK("#",""), HYPERLINK(CONCATENATE("#Metadata!", ADDRESS(INDEX($Q$2:$Q$1001,MATCH(ROWS($O$2:O916),$O$2:$O$1001,0),0), INDEX($V$1004:$AE$1004,1,MATCH(COLUMNS($V$1006:Z1006),$V$1006:$AE$1006,0)))),"Fix")))</f>
        <v>0</v>
      </c>
      <c r="G916" s="3">
        <f>IF(OR(INDEX($P$2:$P$1001,MATCH(ROWS($O$2:O916),$O$2:$O$1001,0),1)&gt;=100000,INDEX($V$1005:$AE$1005,1,MATCH(COLUMNS($V$1006:AA1006),$V$1006:$AE$1006,0))&gt;=100000), " ",IF(INDEX($V$2:$AE$1001,MATCH(ROWS($O$2:O916),$O$2:$O$1001,0),MATCH(COLUMNS($V$1006:AA1006),$V$1006:$AE$1006,0)), HYPERLINK("#",""), HYPERLINK(CONCATENATE("#Metadata!", ADDRESS(INDEX($Q$2:$Q$1001,MATCH(ROWS($O$2:O916),$O$2:$O$1001,0),0), INDEX($V$1004:$AE$1004,1,MATCH(COLUMNS($V$1006:AA1006),$V$1006:$AE$1006,0)))),"Fix")))</f>
        <v>0</v>
      </c>
      <c r="H916" s="3">
        <f>IF(OR(INDEX($P$2:$P$1001,MATCH(ROWS($O$2:O916),$O$2:$O$1001,0),1)&gt;=100000,INDEX($V$1005:$AE$1005,1,MATCH(COLUMNS($V$1006:AB1006),$V$1006:$AE$1006,0))&gt;=100000), " ",IF(INDEX($V$2:$AE$1001,MATCH(ROWS($O$2:O916),$O$2:$O$1001,0),MATCH(COLUMNS($V$1006:AB1006),$V$1006:$AE$1006,0)), HYPERLINK("#",""), HYPERLINK(CONCATENATE("#Metadata!", ADDRESS(INDEX($Q$2:$Q$1001,MATCH(ROWS($O$2:O916),$O$2:$O$1001,0),0), INDEX($V$1004:$AE$1004,1,MATCH(COLUMNS($V$1006:AB1006),$V$1006:$AE$1006,0)))),"Fix")))</f>
        <v>0</v>
      </c>
      <c r="I916" s="3">
        <f>IF(OR(INDEX($P$2:$P$1001,MATCH(ROWS($O$2:O916),$O$2:$O$1001,0),1)&gt;=100000,INDEX($V$1005:$AE$1005,1,MATCH(COLUMNS($V$1006:AC1006),$V$1006:$AE$1006,0))&gt;=100000), " ",IF(INDEX($V$2:$AE$1001,MATCH(ROWS($O$2:O916),$O$2:$O$1001,0),MATCH(COLUMNS($V$1006:AC1006),$V$1006:$AE$1006,0)), HYPERLINK("#",""), HYPERLINK(CONCATENATE("#Metadata!", ADDRESS(INDEX($Q$2:$Q$1001,MATCH(ROWS($O$2:O916),$O$2:$O$1001,0),0), INDEX($V$1004:$AE$1004,1,MATCH(COLUMNS($V$1006:AC1006),$V$1006:$AE$1006,0)))),"Fix")))</f>
        <v>0</v>
      </c>
      <c r="J916" s="3">
        <f>IF(OR(INDEX($P$2:$P$1001,MATCH(ROWS($O$2:O916),$O$2:$O$1001,0),1)&gt;=100000,INDEX($V$1005:$AE$1005,1,MATCH(COLUMNS($V$1006:AD1006),$V$1006:$AE$1006,0))&gt;=100000), " ",IF(INDEX($V$2:$AE$1001,MATCH(ROWS($O$2:O916),$O$2:$O$1001,0),MATCH(COLUMNS($V$1006:AD1006),$V$1006:$AE$1006,0)), HYPERLINK("#",""), HYPERLINK(CONCATENATE("#Metadata!", ADDRESS(INDEX($Q$2:$Q$1001,MATCH(ROWS($O$2:O916),$O$2:$O$1001,0),0), INDEX($V$1004:$AE$1004,1,MATCH(COLUMNS($V$1006:AD1006),$V$1006:$AE$1006,0)))),"Fix")))</f>
        <v>0</v>
      </c>
      <c r="K916" s="3">
        <f>IF(OR(INDEX($P$2:$P$1001,MATCH(ROWS($O$2:O916),$O$2:$O$1001,0),1)&gt;=100000,INDEX($V$1005:$AE$1005,1,MATCH(COLUMNS($V$1006:AE1006),$V$1006:$AE$1006,0))&gt;=100000), " ",IF(INDEX($V$2:$AE$1001,MATCH(ROWS($O$2:O916),$O$2:$O$1001,0),MATCH(COLUMNS($V$1006:AE1006),$V$1006:$AE$1006,0)), HYPERLINK("#",""), HYPERLINK(CONCATENATE("#Metadata!", ADDRESS(INDEX($Q$2:$Q$1001,MATCH(ROWS($O$2:O916),$O$2:$O$1001,0),0), INDEX($V$1004:$AE$1004,1,MATCH(COLUMNS($V$1006:AE1006),$V$1006:$AE$1006,0)))),"Fix")))</f>
        <v>0</v>
      </c>
      <c r="O916">
        <v>0</v>
      </c>
      <c r="P916">
        <v>0</v>
      </c>
      <c r="Q916">
        <v>0</v>
      </c>
      <c r="R916">
        <f>IF(S916,TRUE,AND(V916:AE916))</f>
        <v>0</v>
      </c>
      <c r="S916">
        <f>COUNTBLANK(Metadata!B916:K916)=COLUMNS(Metadata!B916:K916)</f>
        <v>0</v>
      </c>
      <c r="T916">
        <v>0</v>
      </c>
      <c r="V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W916">
        <f>AND(IF(Metadata!C916="",FALSE,TRUE),exact(Metadata!C916,"animal secretion"))</f>
        <v>0</v>
      </c>
      <c r="X916">
        <f>AND(IF(Metadata!D916="",FALSE,TRUE),exact(Metadata!D916,"saliva"))</f>
        <v>0</v>
      </c>
      <c r="Y916">
        <f>AND(IF(Metadata!E916="",FALSE,TRUE),exact(Metadata!E916,"human-oral"))</f>
        <v>0</v>
      </c>
      <c r="Z916">
        <f>AND(IF(Metadata!F916="",FALSE,TRUE),exact(Metadata!F916,"UBERON:oral cavity"))</f>
        <v>0</v>
      </c>
      <c r="AA916">
        <f>AND(IF(Metadata!G916="",FALSE,TRUE),exact(Metadata!G916,"UBERON:saliva"))</f>
        <v>0</v>
      </c>
      <c r="AB916">
        <f>AND(IF(Metadata!H916="",FALSE,TRUE),exact(Metadata!H916,"UBERON:tongue"))</f>
        <v>0</v>
      </c>
      <c r="AC916">
        <f>AND(IF(Metadata!I916="",FALSE,TRUE),exact(Metadata!I916,"tongue"))</f>
        <v>0</v>
      </c>
      <c r="AD916">
        <f>AND(IF(Metadata!J916="",FALSE,TRUE),exact(Metadata!J916,"human oral metagenome"))</f>
        <v>0</v>
      </c>
      <c r="AE916">
        <f>AND(IF(Metadata!K916="",FALSE,TRUE),exact(Metadata!K916,"447426"))</f>
        <v>0</v>
      </c>
    </row>
    <row r="917" spans="1:31">
      <c r="A917" s="4">
        <f>IF(B917=" "," ",HYPERLINK(CONCATENATE("#metadata!",ADDRESS(INDEX($Q$2:$Q$1001,MATCH(ROWS($O$2:O917),$O$2:$O$1001,0),0),1)),INDEX($T$2:$T$1001,MATCH(ROWS($O$2:O917),$O$2:$O$1001,0),0)))</f>
        <v>0</v>
      </c>
      <c r="B917" s="3">
        <f>IF(OR(INDEX($P$2:$P$1001,MATCH(ROWS($O$2:O917),$O$2:$O$1001,0),1)&gt;=100000,INDEX($V$1005:$AE$1005,1,MATCH(COLUMNS($V$1006:V1006),$V$1006:$AE$1006,0))&gt;=100000), " ",IF(INDEX($V$2:$AE$1001,MATCH(ROWS($O$2:O917),$O$2:$O$1001,0),MATCH(COLUMNS($V$1006:V1006),$V$1006:$AE$1006,0)), HYPERLINK("#",""), HYPERLINK(CONCATENATE("#Metadata!", ADDRESS(INDEX($Q$2:$Q$1001,MATCH(ROWS($O$2:O917),$O$2:$O$1001,0),0), INDEX($V$1004:$AE$1004,1,MATCH(COLUMNS($V$1006:V1006),$V$1006:$AE$1006,0)))),"Fix")))</f>
        <v>0</v>
      </c>
      <c r="C917" s="3">
        <f>IF(OR(INDEX($P$2:$P$1001,MATCH(ROWS($O$2:O917),$O$2:$O$1001,0),1)&gt;=100000,INDEX($V$1005:$AE$1005,1,MATCH(COLUMNS($V$1006:W1006),$V$1006:$AE$1006,0))&gt;=100000), " ",IF(INDEX($V$2:$AE$1001,MATCH(ROWS($O$2:O917),$O$2:$O$1001,0),MATCH(COLUMNS($V$1006:W1006),$V$1006:$AE$1006,0)), HYPERLINK("#",""), HYPERLINK(CONCATENATE("#Metadata!", ADDRESS(INDEX($Q$2:$Q$1001,MATCH(ROWS($O$2:O917),$O$2:$O$1001,0),0), INDEX($V$1004:$AE$1004,1,MATCH(COLUMNS($V$1006:W1006),$V$1006:$AE$1006,0)))),"Fix")))</f>
        <v>0</v>
      </c>
      <c r="D917" s="3">
        <f>IF(OR(INDEX($P$2:$P$1001,MATCH(ROWS($O$2:O917),$O$2:$O$1001,0),1)&gt;=100000,INDEX($V$1005:$AE$1005,1,MATCH(COLUMNS($V$1006:X1006),$V$1006:$AE$1006,0))&gt;=100000), " ",IF(INDEX($V$2:$AE$1001,MATCH(ROWS($O$2:O917),$O$2:$O$1001,0),MATCH(COLUMNS($V$1006:X1006),$V$1006:$AE$1006,0)), HYPERLINK("#",""), HYPERLINK(CONCATENATE("#Metadata!", ADDRESS(INDEX($Q$2:$Q$1001,MATCH(ROWS($O$2:O917),$O$2:$O$1001,0),0), INDEX($V$1004:$AE$1004,1,MATCH(COLUMNS($V$1006:X1006),$V$1006:$AE$1006,0)))),"Fix")))</f>
        <v>0</v>
      </c>
      <c r="E917" s="3">
        <f>IF(OR(INDEX($P$2:$P$1001,MATCH(ROWS($O$2:O917),$O$2:$O$1001,0),1)&gt;=100000,INDEX($V$1005:$AE$1005,1,MATCH(COLUMNS($V$1006:Y1006),$V$1006:$AE$1006,0))&gt;=100000), " ",IF(INDEX($V$2:$AE$1001,MATCH(ROWS($O$2:O917),$O$2:$O$1001,0),MATCH(COLUMNS($V$1006:Y1006),$V$1006:$AE$1006,0)), HYPERLINK("#",""), HYPERLINK(CONCATENATE("#Metadata!", ADDRESS(INDEX($Q$2:$Q$1001,MATCH(ROWS($O$2:O917),$O$2:$O$1001,0),0), INDEX($V$1004:$AE$1004,1,MATCH(COLUMNS($V$1006:Y1006),$V$1006:$AE$1006,0)))),"Fix")))</f>
        <v>0</v>
      </c>
      <c r="F917" s="3">
        <f>IF(OR(INDEX($P$2:$P$1001,MATCH(ROWS($O$2:O917),$O$2:$O$1001,0),1)&gt;=100000,INDEX($V$1005:$AE$1005,1,MATCH(COLUMNS($V$1006:Z1006),$V$1006:$AE$1006,0))&gt;=100000), " ",IF(INDEX($V$2:$AE$1001,MATCH(ROWS($O$2:O917),$O$2:$O$1001,0),MATCH(COLUMNS($V$1006:Z1006),$V$1006:$AE$1006,0)), HYPERLINK("#",""), HYPERLINK(CONCATENATE("#Metadata!", ADDRESS(INDEX($Q$2:$Q$1001,MATCH(ROWS($O$2:O917),$O$2:$O$1001,0),0), INDEX($V$1004:$AE$1004,1,MATCH(COLUMNS($V$1006:Z1006),$V$1006:$AE$1006,0)))),"Fix")))</f>
        <v>0</v>
      </c>
      <c r="G917" s="3">
        <f>IF(OR(INDEX($P$2:$P$1001,MATCH(ROWS($O$2:O917),$O$2:$O$1001,0),1)&gt;=100000,INDEX($V$1005:$AE$1005,1,MATCH(COLUMNS($V$1006:AA1006),$V$1006:$AE$1006,0))&gt;=100000), " ",IF(INDEX($V$2:$AE$1001,MATCH(ROWS($O$2:O917),$O$2:$O$1001,0),MATCH(COLUMNS($V$1006:AA1006),$V$1006:$AE$1006,0)), HYPERLINK("#",""), HYPERLINK(CONCATENATE("#Metadata!", ADDRESS(INDEX($Q$2:$Q$1001,MATCH(ROWS($O$2:O917),$O$2:$O$1001,0),0), INDEX($V$1004:$AE$1004,1,MATCH(COLUMNS($V$1006:AA1006),$V$1006:$AE$1006,0)))),"Fix")))</f>
        <v>0</v>
      </c>
      <c r="H917" s="3">
        <f>IF(OR(INDEX($P$2:$P$1001,MATCH(ROWS($O$2:O917),$O$2:$O$1001,0),1)&gt;=100000,INDEX($V$1005:$AE$1005,1,MATCH(COLUMNS($V$1006:AB1006),$V$1006:$AE$1006,0))&gt;=100000), " ",IF(INDEX($V$2:$AE$1001,MATCH(ROWS($O$2:O917),$O$2:$O$1001,0),MATCH(COLUMNS($V$1006:AB1006),$V$1006:$AE$1006,0)), HYPERLINK("#",""), HYPERLINK(CONCATENATE("#Metadata!", ADDRESS(INDEX($Q$2:$Q$1001,MATCH(ROWS($O$2:O917),$O$2:$O$1001,0),0), INDEX($V$1004:$AE$1004,1,MATCH(COLUMNS($V$1006:AB1006),$V$1006:$AE$1006,0)))),"Fix")))</f>
        <v>0</v>
      </c>
      <c r="I917" s="3">
        <f>IF(OR(INDEX($P$2:$P$1001,MATCH(ROWS($O$2:O917),$O$2:$O$1001,0),1)&gt;=100000,INDEX($V$1005:$AE$1005,1,MATCH(COLUMNS($V$1006:AC1006),$V$1006:$AE$1006,0))&gt;=100000), " ",IF(INDEX($V$2:$AE$1001,MATCH(ROWS($O$2:O917),$O$2:$O$1001,0),MATCH(COLUMNS($V$1006:AC1006),$V$1006:$AE$1006,0)), HYPERLINK("#",""), HYPERLINK(CONCATENATE("#Metadata!", ADDRESS(INDEX($Q$2:$Q$1001,MATCH(ROWS($O$2:O917),$O$2:$O$1001,0),0), INDEX($V$1004:$AE$1004,1,MATCH(COLUMNS($V$1006:AC1006),$V$1006:$AE$1006,0)))),"Fix")))</f>
        <v>0</v>
      </c>
      <c r="J917" s="3">
        <f>IF(OR(INDEX($P$2:$P$1001,MATCH(ROWS($O$2:O917),$O$2:$O$1001,0),1)&gt;=100000,INDEX($V$1005:$AE$1005,1,MATCH(COLUMNS($V$1006:AD1006),$V$1006:$AE$1006,0))&gt;=100000), " ",IF(INDEX($V$2:$AE$1001,MATCH(ROWS($O$2:O917),$O$2:$O$1001,0),MATCH(COLUMNS($V$1006:AD1006),$V$1006:$AE$1006,0)), HYPERLINK("#",""), HYPERLINK(CONCATENATE("#Metadata!", ADDRESS(INDEX($Q$2:$Q$1001,MATCH(ROWS($O$2:O917),$O$2:$O$1001,0),0), INDEX($V$1004:$AE$1004,1,MATCH(COLUMNS($V$1006:AD1006),$V$1006:$AE$1006,0)))),"Fix")))</f>
        <v>0</v>
      </c>
      <c r="K917" s="3">
        <f>IF(OR(INDEX($P$2:$P$1001,MATCH(ROWS($O$2:O917),$O$2:$O$1001,0),1)&gt;=100000,INDEX($V$1005:$AE$1005,1,MATCH(COLUMNS($V$1006:AE1006),$V$1006:$AE$1006,0))&gt;=100000), " ",IF(INDEX($V$2:$AE$1001,MATCH(ROWS($O$2:O917),$O$2:$O$1001,0),MATCH(COLUMNS($V$1006:AE1006),$V$1006:$AE$1006,0)), HYPERLINK("#",""), HYPERLINK(CONCATENATE("#Metadata!", ADDRESS(INDEX($Q$2:$Q$1001,MATCH(ROWS($O$2:O917),$O$2:$O$1001,0),0), INDEX($V$1004:$AE$1004,1,MATCH(COLUMNS($V$1006:AE1006),$V$1006:$AE$1006,0)))),"Fix")))</f>
        <v>0</v>
      </c>
      <c r="O917">
        <v>0</v>
      </c>
      <c r="P917">
        <v>0</v>
      </c>
      <c r="Q917">
        <v>0</v>
      </c>
      <c r="R917">
        <f>IF(S917,TRUE,AND(V917:AE917))</f>
        <v>0</v>
      </c>
      <c r="S917">
        <f>COUNTBLANK(Metadata!B917:K917)=COLUMNS(Metadata!B917:K917)</f>
        <v>0</v>
      </c>
      <c r="T917">
        <v>0</v>
      </c>
      <c r="V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W917">
        <f>AND(IF(Metadata!C917="",FALSE,TRUE),exact(Metadata!C917,"animal secretion"))</f>
        <v>0</v>
      </c>
      <c r="X917">
        <f>AND(IF(Metadata!D917="",FALSE,TRUE),exact(Metadata!D917,"saliva"))</f>
        <v>0</v>
      </c>
      <c r="Y917">
        <f>AND(IF(Metadata!E917="",FALSE,TRUE),exact(Metadata!E917,"human-oral"))</f>
        <v>0</v>
      </c>
      <c r="Z917">
        <f>AND(IF(Metadata!F917="",FALSE,TRUE),exact(Metadata!F917,"UBERON:oral cavity"))</f>
        <v>0</v>
      </c>
      <c r="AA917">
        <f>AND(IF(Metadata!G917="",FALSE,TRUE),exact(Metadata!G917,"UBERON:saliva"))</f>
        <v>0</v>
      </c>
      <c r="AB917">
        <f>AND(IF(Metadata!H917="",FALSE,TRUE),exact(Metadata!H917,"UBERON:tongue"))</f>
        <v>0</v>
      </c>
      <c r="AC917">
        <f>AND(IF(Metadata!I917="",FALSE,TRUE),exact(Metadata!I917,"tongue"))</f>
        <v>0</v>
      </c>
      <c r="AD917">
        <f>AND(IF(Metadata!J917="",FALSE,TRUE),exact(Metadata!J917,"human oral metagenome"))</f>
        <v>0</v>
      </c>
      <c r="AE917">
        <f>AND(IF(Metadata!K917="",FALSE,TRUE),exact(Metadata!K917,"447426"))</f>
        <v>0</v>
      </c>
    </row>
    <row r="918" spans="1:31">
      <c r="A918" s="4">
        <f>IF(B918=" "," ",HYPERLINK(CONCATENATE("#metadata!",ADDRESS(INDEX($Q$2:$Q$1001,MATCH(ROWS($O$2:O918),$O$2:$O$1001,0),0),1)),INDEX($T$2:$T$1001,MATCH(ROWS($O$2:O918),$O$2:$O$1001,0),0)))</f>
        <v>0</v>
      </c>
      <c r="B918" s="3">
        <f>IF(OR(INDEX($P$2:$P$1001,MATCH(ROWS($O$2:O918),$O$2:$O$1001,0),1)&gt;=100000,INDEX($V$1005:$AE$1005,1,MATCH(COLUMNS($V$1006:V1006),$V$1006:$AE$1006,0))&gt;=100000), " ",IF(INDEX($V$2:$AE$1001,MATCH(ROWS($O$2:O918),$O$2:$O$1001,0),MATCH(COLUMNS($V$1006:V1006),$V$1006:$AE$1006,0)), HYPERLINK("#",""), HYPERLINK(CONCATENATE("#Metadata!", ADDRESS(INDEX($Q$2:$Q$1001,MATCH(ROWS($O$2:O918),$O$2:$O$1001,0),0), INDEX($V$1004:$AE$1004,1,MATCH(COLUMNS($V$1006:V1006),$V$1006:$AE$1006,0)))),"Fix")))</f>
        <v>0</v>
      </c>
      <c r="C918" s="3">
        <f>IF(OR(INDEX($P$2:$P$1001,MATCH(ROWS($O$2:O918),$O$2:$O$1001,0),1)&gt;=100000,INDEX($V$1005:$AE$1005,1,MATCH(COLUMNS($V$1006:W1006),$V$1006:$AE$1006,0))&gt;=100000), " ",IF(INDEX($V$2:$AE$1001,MATCH(ROWS($O$2:O918),$O$2:$O$1001,0),MATCH(COLUMNS($V$1006:W1006),$V$1006:$AE$1006,0)), HYPERLINK("#",""), HYPERLINK(CONCATENATE("#Metadata!", ADDRESS(INDEX($Q$2:$Q$1001,MATCH(ROWS($O$2:O918),$O$2:$O$1001,0),0), INDEX($V$1004:$AE$1004,1,MATCH(COLUMNS($V$1006:W1006),$V$1006:$AE$1006,0)))),"Fix")))</f>
        <v>0</v>
      </c>
      <c r="D918" s="3">
        <f>IF(OR(INDEX($P$2:$P$1001,MATCH(ROWS($O$2:O918),$O$2:$O$1001,0),1)&gt;=100000,INDEX($V$1005:$AE$1005,1,MATCH(COLUMNS($V$1006:X1006),$V$1006:$AE$1006,0))&gt;=100000), " ",IF(INDEX($V$2:$AE$1001,MATCH(ROWS($O$2:O918),$O$2:$O$1001,0),MATCH(COLUMNS($V$1006:X1006),$V$1006:$AE$1006,0)), HYPERLINK("#",""), HYPERLINK(CONCATENATE("#Metadata!", ADDRESS(INDEX($Q$2:$Q$1001,MATCH(ROWS($O$2:O918),$O$2:$O$1001,0),0), INDEX($V$1004:$AE$1004,1,MATCH(COLUMNS($V$1006:X1006),$V$1006:$AE$1006,0)))),"Fix")))</f>
        <v>0</v>
      </c>
      <c r="E918" s="3">
        <f>IF(OR(INDEX($P$2:$P$1001,MATCH(ROWS($O$2:O918),$O$2:$O$1001,0),1)&gt;=100000,INDEX($V$1005:$AE$1005,1,MATCH(COLUMNS($V$1006:Y1006),$V$1006:$AE$1006,0))&gt;=100000), " ",IF(INDEX($V$2:$AE$1001,MATCH(ROWS($O$2:O918),$O$2:$O$1001,0),MATCH(COLUMNS($V$1006:Y1006),$V$1006:$AE$1006,0)), HYPERLINK("#",""), HYPERLINK(CONCATENATE("#Metadata!", ADDRESS(INDEX($Q$2:$Q$1001,MATCH(ROWS($O$2:O918),$O$2:$O$1001,0),0), INDEX($V$1004:$AE$1004,1,MATCH(COLUMNS($V$1006:Y1006),$V$1006:$AE$1006,0)))),"Fix")))</f>
        <v>0</v>
      </c>
      <c r="F918" s="3">
        <f>IF(OR(INDEX($P$2:$P$1001,MATCH(ROWS($O$2:O918),$O$2:$O$1001,0),1)&gt;=100000,INDEX($V$1005:$AE$1005,1,MATCH(COLUMNS($V$1006:Z1006),$V$1006:$AE$1006,0))&gt;=100000), " ",IF(INDEX($V$2:$AE$1001,MATCH(ROWS($O$2:O918),$O$2:$O$1001,0),MATCH(COLUMNS($V$1006:Z1006),$V$1006:$AE$1006,0)), HYPERLINK("#",""), HYPERLINK(CONCATENATE("#Metadata!", ADDRESS(INDEX($Q$2:$Q$1001,MATCH(ROWS($O$2:O918),$O$2:$O$1001,0),0), INDEX($V$1004:$AE$1004,1,MATCH(COLUMNS($V$1006:Z1006),$V$1006:$AE$1006,0)))),"Fix")))</f>
        <v>0</v>
      </c>
      <c r="G918" s="3">
        <f>IF(OR(INDEX($P$2:$P$1001,MATCH(ROWS($O$2:O918),$O$2:$O$1001,0),1)&gt;=100000,INDEX($V$1005:$AE$1005,1,MATCH(COLUMNS($V$1006:AA1006),$V$1006:$AE$1006,0))&gt;=100000), " ",IF(INDEX($V$2:$AE$1001,MATCH(ROWS($O$2:O918),$O$2:$O$1001,0),MATCH(COLUMNS($V$1006:AA1006),$V$1006:$AE$1006,0)), HYPERLINK("#",""), HYPERLINK(CONCATENATE("#Metadata!", ADDRESS(INDEX($Q$2:$Q$1001,MATCH(ROWS($O$2:O918),$O$2:$O$1001,0),0), INDEX($V$1004:$AE$1004,1,MATCH(COLUMNS($V$1006:AA1006),$V$1006:$AE$1006,0)))),"Fix")))</f>
        <v>0</v>
      </c>
      <c r="H918" s="3">
        <f>IF(OR(INDEX($P$2:$P$1001,MATCH(ROWS($O$2:O918),$O$2:$O$1001,0),1)&gt;=100000,INDEX($V$1005:$AE$1005,1,MATCH(COLUMNS($V$1006:AB1006),$V$1006:$AE$1006,0))&gt;=100000), " ",IF(INDEX($V$2:$AE$1001,MATCH(ROWS($O$2:O918),$O$2:$O$1001,0),MATCH(COLUMNS($V$1006:AB1006),$V$1006:$AE$1006,0)), HYPERLINK("#",""), HYPERLINK(CONCATENATE("#Metadata!", ADDRESS(INDEX($Q$2:$Q$1001,MATCH(ROWS($O$2:O918),$O$2:$O$1001,0),0), INDEX($V$1004:$AE$1004,1,MATCH(COLUMNS($V$1006:AB1006),$V$1006:$AE$1006,0)))),"Fix")))</f>
        <v>0</v>
      </c>
      <c r="I918" s="3">
        <f>IF(OR(INDEX($P$2:$P$1001,MATCH(ROWS($O$2:O918),$O$2:$O$1001,0),1)&gt;=100000,INDEX($V$1005:$AE$1005,1,MATCH(COLUMNS($V$1006:AC1006),$V$1006:$AE$1006,0))&gt;=100000), " ",IF(INDEX($V$2:$AE$1001,MATCH(ROWS($O$2:O918),$O$2:$O$1001,0),MATCH(COLUMNS($V$1006:AC1006),$V$1006:$AE$1006,0)), HYPERLINK("#",""), HYPERLINK(CONCATENATE("#Metadata!", ADDRESS(INDEX($Q$2:$Q$1001,MATCH(ROWS($O$2:O918),$O$2:$O$1001,0),0), INDEX($V$1004:$AE$1004,1,MATCH(COLUMNS($V$1006:AC1006),$V$1006:$AE$1006,0)))),"Fix")))</f>
        <v>0</v>
      </c>
      <c r="J918" s="3">
        <f>IF(OR(INDEX($P$2:$P$1001,MATCH(ROWS($O$2:O918),$O$2:$O$1001,0),1)&gt;=100000,INDEX($V$1005:$AE$1005,1,MATCH(COLUMNS($V$1006:AD1006),$V$1006:$AE$1006,0))&gt;=100000), " ",IF(INDEX($V$2:$AE$1001,MATCH(ROWS($O$2:O918),$O$2:$O$1001,0),MATCH(COLUMNS($V$1006:AD1006),$V$1006:$AE$1006,0)), HYPERLINK("#",""), HYPERLINK(CONCATENATE("#Metadata!", ADDRESS(INDEX($Q$2:$Q$1001,MATCH(ROWS($O$2:O918),$O$2:$O$1001,0),0), INDEX($V$1004:$AE$1004,1,MATCH(COLUMNS($V$1006:AD1006),$V$1006:$AE$1006,0)))),"Fix")))</f>
        <v>0</v>
      </c>
      <c r="K918" s="3">
        <f>IF(OR(INDEX($P$2:$P$1001,MATCH(ROWS($O$2:O918),$O$2:$O$1001,0),1)&gt;=100000,INDEX($V$1005:$AE$1005,1,MATCH(COLUMNS($V$1006:AE1006),$V$1006:$AE$1006,0))&gt;=100000), " ",IF(INDEX($V$2:$AE$1001,MATCH(ROWS($O$2:O918),$O$2:$O$1001,0),MATCH(COLUMNS($V$1006:AE1006),$V$1006:$AE$1006,0)), HYPERLINK("#",""), HYPERLINK(CONCATENATE("#Metadata!", ADDRESS(INDEX($Q$2:$Q$1001,MATCH(ROWS($O$2:O918),$O$2:$O$1001,0),0), INDEX($V$1004:$AE$1004,1,MATCH(COLUMNS($V$1006:AE1006),$V$1006:$AE$1006,0)))),"Fix")))</f>
        <v>0</v>
      </c>
      <c r="O918">
        <v>0</v>
      </c>
      <c r="P918">
        <v>0</v>
      </c>
      <c r="Q918">
        <v>0</v>
      </c>
      <c r="R918">
        <f>IF(S918,TRUE,AND(V918:AE918))</f>
        <v>0</v>
      </c>
      <c r="S918">
        <f>COUNTBLANK(Metadata!B918:K918)=COLUMNS(Metadata!B918:K918)</f>
        <v>0</v>
      </c>
      <c r="T918">
        <v>0</v>
      </c>
      <c r="V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W918">
        <f>AND(IF(Metadata!C918="",FALSE,TRUE),exact(Metadata!C918,"animal secretion"))</f>
        <v>0</v>
      </c>
      <c r="X918">
        <f>AND(IF(Metadata!D918="",FALSE,TRUE),exact(Metadata!D918,"saliva"))</f>
        <v>0</v>
      </c>
      <c r="Y918">
        <f>AND(IF(Metadata!E918="",FALSE,TRUE),exact(Metadata!E918,"human-oral"))</f>
        <v>0</v>
      </c>
      <c r="Z918">
        <f>AND(IF(Metadata!F918="",FALSE,TRUE),exact(Metadata!F918,"UBERON:oral cavity"))</f>
        <v>0</v>
      </c>
      <c r="AA918">
        <f>AND(IF(Metadata!G918="",FALSE,TRUE),exact(Metadata!G918,"UBERON:saliva"))</f>
        <v>0</v>
      </c>
      <c r="AB918">
        <f>AND(IF(Metadata!H918="",FALSE,TRUE),exact(Metadata!H918,"UBERON:tongue"))</f>
        <v>0</v>
      </c>
      <c r="AC918">
        <f>AND(IF(Metadata!I918="",FALSE,TRUE),exact(Metadata!I918,"tongue"))</f>
        <v>0</v>
      </c>
      <c r="AD918">
        <f>AND(IF(Metadata!J918="",FALSE,TRUE),exact(Metadata!J918,"human oral metagenome"))</f>
        <v>0</v>
      </c>
      <c r="AE918">
        <f>AND(IF(Metadata!K918="",FALSE,TRUE),exact(Metadata!K918,"447426"))</f>
        <v>0</v>
      </c>
    </row>
    <row r="919" spans="1:31">
      <c r="A919" s="4">
        <f>IF(B919=" "," ",HYPERLINK(CONCATENATE("#metadata!",ADDRESS(INDEX($Q$2:$Q$1001,MATCH(ROWS($O$2:O919),$O$2:$O$1001,0),0),1)),INDEX($T$2:$T$1001,MATCH(ROWS($O$2:O919),$O$2:$O$1001,0),0)))</f>
        <v>0</v>
      </c>
      <c r="B919" s="3">
        <f>IF(OR(INDEX($P$2:$P$1001,MATCH(ROWS($O$2:O919),$O$2:$O$1001,0),1)&gt;=100000,INDEX($V$1005:$AE$1005,1,MATCH(COLUMNS($V$1006:V1006),$V$1006:$AE$1006,0))&gt;=100000), " ",IF(INDEX($V$2:$AE$1001,MATCH(ROWS($O$2:O919),$O$2:$O$1001,0),MATCH(COLUMNS($V$1006:V1006),$V$1006:$AE$1006,0)), HYPERLINK("#",""), HYPERLINK(CONCATENATE("#Metadata!", ADDRESS(INDEX($Q$2:$Q$1001,MATCH(ROWS($O$2:O919),$O$2:$O$1001,0),0), INDEX($V$1004:$AE$1004,1,MATCH(COLUMNS($V$1006:V1006),$V$1006:$AE$1006,0)))),"Fix")))</f>
        <v>0</v>
      </c>
      <c r="C919" s="3">
        <f>IF(OR(INDEX($P$2:$P$1001,MATCH(ROWS($O$2:O919),$O$2:$O$1001,0),1)&gt;=100000,INDEX($V$1005:$AE$1005,1,MATCH(COLUMNS($V$1006:W1006),$V$1006:$AE$1006,0))&gt;=100000), " ",IF(INDEX($V$2:$AE$1001,MATCH(ROWS($O$2:O919),$O$2:$O$1001,0),MATCH(COLUMNS($V$1006:W1006),$V$1006:$AE$1006,0)), HYPERLINK("#",""), HYPERLINK(CONCATENATE("#Metadata!", ADDRESS(INDEX($Q$2:$Q$1001,MATCH(ROWS($O$2:O919),$O$2:$O$1001,0),0), INDEX($V$1004:$AE$1004,1,MATCH(COLUMNS($V$1006:W1006),$V$1006:$AE$1006,0)))),"Fix")))</f>
        <v>0</v>
      </c>
      <c r="D919" s="3">
        <f>IF(OR(INDEX($P$2:$P$1001,MATCH(ROWS($O$2:O919),$O$2:$O$1001,0),1)&gt;=100000,INDEX($V$1005:$AE$1005,1,MATCH(COLUMNS($V$1006:X1006),$V$1006:$AE$1006,0))&gt;=100000), " ",IF(INDEX($V$2:$AE$1001,MATCH(ROWS($O$2:O919),$O$2:$O$1001,0),MATCH(COLUMNS($V$1006:X1006),$V$1006:$AE$1006,0)), HYPERLINK("#",""), HYPERLINK(CONCATENATE("#Metadata!", ADDRESS(INDEX($Q$2:$Q$1001,MATCH(ROWS($O$2:O919),$O$2:$O$1001,0),0), INDEX($V$1004:$AE$1004,1,MATCH(COLUMNS($V$1006:X1006),$V$1006:$AE$1006,0)))),"Fix")))</f>
        <v>0</v>
      </c>
      <c r="E919" s="3">
        <f>IF(OR(INDEX($P$2:$P$1001,MATCH(ROWS($O$2:O919),$O$2:$O$1001,0),1)&gt;=100000,INDEX($V$1005:$AE$1005,1,MATCH(COLUMNS($V$1006:Y1006),$V$1006:$AE$1006,0))&gt;=100000), " ",IF(INDEX($V$2:$AE$1001,MATCH(ROWS($O$2:O919),$O$2:$O$1001,0),MATCH(COLUMNS($V$1006:Y1006),$V$1006:$AE$1006,0)), HYPERLINK("#",""), HYPERLINK(CONCATENATE("#Metadata!", ADDRESS(INDEX($Q$2:$Q$1001,MATCH(ROWS($O$2:O919),$O$2:$O$1001,0),0), INDEX($V$1004:$AE$1004,1,MATCH(COLUMNS($V$1006:Y1006),$V$1006:$AE$1006,0)))),"Fix")))</f>
        <v>0</v>
      </c>
      <c r="F919" s="3">
        <f>IF(OR(INDEX($P$2:$P$1001,MATCH(ROWS($O$2:O919),$O$2:$O$1001,0),1)&gt;=100000,INDEX($V$1005:$AE$1005,1,MATCH(COLUMNS($V$1006:Z1006),$V$1006:$AE$1006,0))&gt;=100000), " ",IF(INDEX($V$2:$AE$1001,MATCH(ROWS($O$2:O919),$O$2:$O$1001,0),MATCH(COLUMNS($V$1006:Z1006),$V$1006:$AE$1006,0)), HYPERLINK("#",""), HYPERLINK(CONCATENATE("#Metadata!", ADDRESS(INDEX($Q$2:$Q$1001,MATCH(ROWS($O$2:O919),$O$2:$O$1001,0),0), INDEX($V$1004:$AE$1004,1,MATCH(COLUMNS($V$1006:Z1006),$V$1006:$AE$1006,0)))),"Fix")))</f>
        <v>0</v>
      </c>
      <c r="G919" s="3">
        <f>IF(OR(INDEX($P$2:$P$1001,MATCH(ROWS($O$2:O919),$O$2:$O$1001,0),1)&gt;=100000,INDEX($V$1005:$AE$1005,1,MATCH(COLUMNS($V$1006:AA1006),$V$1006:$AE$1006,0))&gt;=100000), " ",IF(INDEX($V$2:$AE$1001,MATCH(ROWS($O$2:O919),$O$2:$O$1001,0),MATCH(COLUMNS($V$1006:AA1006),$V$1006:$AE$1006,0)), HYPERLINK("#",""), HYPERLINK(CONCATENATE("#Metadata!", ADDRESS(INDEX($Q$2:$Q$1001,MATCH(ROWS($O$2:O919),$O$2:$O$1001,0),0), INDEX($V$1004:$AE$1004,1,MATCH(COLUMNS($V$1006:AA1006),$V$1006:$AE$1006,0)))),"Fix")))</f>
        <v>0</v>
      </c>
      <c r="H919" s="3">
        <f>IF(OR(INDEX($P$2:$P$1001,MATCH(ROWS($O$2:O919),$O$2:$O$1001,0),1)&gt;=100000,INDEX($V$1005:$AE$1005,1,MATCH(COLUMNS($V$1006:AB1006),$V$1006:$AE$1006,0))&gt;=100000), " ",IF(INDEX($V$2:$AE$1001,MATCH(ROWS($O$2:O919),$O$2:$O$1001,0),MATCH(COLUMNS($V$1006:AB1006),$V$1006:$AE$1006,0)), HYPERLINK("#",""), HYPERLINK(CONCATENATE("#Metadata!", ADDRESS(INDEX($Q$2:$Q$1001,MATCH(ROWS($O$2:O919),$O$2:$O$1001,0),0), INDEX($V$1004:$AE$1004,1,MATCH(COLUMNS($V$1006:AB1006),$V$1006:$AE$1006,0)))),"Fix")))</f>
        <v>0</v>
      </c>
      <c r="I919" s="3">
        <f>IF(OR(INDEX($P$2:$P$1001,MATCH(ROWS($O$2:O919),$O$2:$O$1001,0),1)&gt;=100000,INDEX($V$1005:$AE$1005,1,MATCH(COLUMNS($V$1006:AC1006),$V$1006:$AE$1006,0))&gt;=100000), " ",IF(INDEX($V$2:$AE$1001,MATCH(ROWS($O$2:O919),$O$2:$O$1001,0),MATCH(COLUMNS($V$1006:AC1006),$V$1006:$AE$1006,0)), HYPERLINK("#",""), HYPERLINK(CONCATENATE("#Metadata!", ADDRESS(INDEX($Q$2:$Q$1001,MATCH(ROWS($O$2:O919),$O$2:$O$1001,0),0), INDEX($V$1004:$AE$1004,1,MATCH(COLUMNS($V$1006:AC1006),$V$1006:$AE$1006,0)))),"Fix")))</f>
        <v>0</v>
      </c>
      <c r="J919" s="3">
        <f>IF(OR(INDEX($P$2:$P$1001,MATCH(ROWS($O$2:O919),$O$2:$O$1001,0),1)&gt;=100000,INDEX($V$1005:$AE$1005,1,MATCH(COLUMNS($V$1006:AD1006),$V$1006:$AE$1006,0))&gt;=100000), " ",IF(INDEX($V$2:$AE$1001,MATCH(ROWS($O$2:O919),$O$2:$O$1001,0),MATCH(COLUMNS($V$1006:AD1006),$V$1006:$AE$1006,0)), HYPERLINK("#",""), HYPERLINK(CONCATENATE("#Metadata!", ADDRESS(INDEX($Q$2:$Q$1001,MATCH(ROWS($O$2:O919),$O$2:$O$1001,0),0), INDEX($V$1004:$AE$1004,1,MATCH(COLUMNS($V$1006:AD1006),$V$1006:$AE$1006,0)))),"Fix")))</f>
        <v>0</v>
      </c>
      <c r="K919" s="3">
        <f>IF(OR(INDEX($P$2:$P$1001,MATCH(ROWS($O$2:O919),$O$2:$O$1001,0),1)&gt;=100000,INDEX($V$1005:$AE$1005,1,MATCH(COLUMNS($V$1006:AE1006),$V$1006:$AE$1006,0))&gt;=100000), " ",IF(INDEX($V$2:$AE$1001,MATCH(ROWS($O$2:O919),$O$2:$O$1001,0),MATCH(COLUMNS($V$1006:AE1006),$V$1006:$AE$1006,0)), HYPERLINK("#",""), HYPERLINK(CONCATENATE("#Metadata!", ADDRESS(INDEX($Q$2:$Q$1001,MATCH(ROWS($O$2:O919),$O$2:$O$1001,0),0), INDEX($V$1004:$AE$1004,1,MATCH(COLUMNS($V$1006:AE1006),$V$1006:$AE$1006,0)))),"Fix")))</f>
        <v>0</v>
      </c>
      <c r="O919">
        <v>0</v>
      </c>
      <c r="P919">
        <v>0</v>
      </c>
      <c r="Q919">
        <v>0</v>
      </c>
      <c r="R919">
        <f>IF(S919,TRUE,AND(V919:AE919))</f>
        <v>0</v>
      </c>
      <c r="S919">
        <f>COUNTBLANK(Metadata!B919:K919)=COLUMNS(Metadata!B919:K919)</f>
        <v>0</v>
      </c>
      <c r="T919">
        <v>0</v>
      </c>
      <c r="V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W919">
        <f>AND(IF(Metadata!C919="",FALSE,TRUE),exact(Metadata!C919,"animal secretion"))</f>
        <v>0</v>
      </c>
      <c r="X919">
        <f>AND(IF(Metadata!D919="",FALSE,TRUE),exact(Metadata!D919,"saliva"))</f>
        <v>0</v>
      </c>
      <c r="Y919">
        <f>AND(IF(Metadata!E919="",FALSE,TRUE),exact(Metadata!E919,"human-oral"))</f>
        <v>0</v>
      </c>
      <c r="Z919">
        <f>AND(IF(Metadata!F919="",FALSE,TRUE),exact(Metadata!F919,"UBERON:oral cavity"))</f>
        <v>0</v>
      </c>
      <c r="AA919">
        <f>AND(IF(Metadata!G919="",FALSE,TRUE),exact(Metadata!G919,"UBERON:saliva"))</f>
        <v>0</v>
      </c>
      <c r="AB919">
        <f>AND(IF(Metadata!H919="",FALSE,TRUE),exact(Metadata!H919,"UBERON:tongue"))</f>
        <v>0</v>
      </c>
      <c r="AC919">
        <f>AND(IF(Metadata!I919="",FALSE,TRUE),exact(Metadata!I919,"tongue"))</f>
        <v>0</v>
      </c>
      <c r="AD919">
        <f>AND(IF(Metadata!J919="",FALSE,TRUE),exact(Metadata!J919,"human oral metagenome"))</f>
        <v>0</v>
      </c>
      <c r="AE919">
        <f>AND(IF(Metadata!K919="",FALSE,TRUE),exact(Metadata!K919,"447426"))</f>
        <v>0</v>
      </c>
    </row>
    <row r="920" spans="1:31">
      <c r="A920" s="4">
        <f>IF(B920=" "," ",HYPERLINK(CONCATENATE("#metadata!",ADDRESS(INDEX($Q$2:$Q$1001,MATCH(ROWS($O$2:O920),$O$2:$O$1001,0),0),1)),INDEX($T$2:$T$1001,MATCH(ROWS($O$2:O920),$O$2:$O$1001,0),0)))</f>
        <v>0</v>
      </c>
      <c r="B920" s="3">
        <f>IF(OR(INDEX($P$2:$P$1001,MATCH(ROWS($O$2:O920),$O$2:$O$1001,0),1)&gt;=100000,INDEX($V$1005:$AE$1005,1,MATCH(COLUMNS($V$1006:V1006),$V$1006:$AE$1006,0))&gt;=100000), " ",IF(INDEX($V$2:$AE$1001,MATCH(ROWS($O$2:O920),$O$2:$O$1001,0),MATCH(COLUMNS($V$1006:V1006),$V$1006:$AE$1006,0)), HYPERLINK("#",""), HYPERLINK(CONCATENATE("#Metadata!", ADDRESS(INDEX($Q$2:$Q$1001,MATCH(ROWS($O$2:O920),$O$2:$O$1001,0),0), INDEX($V$1004:$AE$1004,1,MATCH(COLUMNS($V$1006:V1006),$V$1006:$AE$1006,0)))),"Fix")))</f>
        <v>0</v>
      </c>
      <c r="C920" s="3">
        <f>IF(OR(INDEX($P$2:$P$1001,MATCH(ROWS($O$2:O920),$O$2:$O$1001,0),1)&gt;=100000,INDEX($V$1005:$AE$1005,1,MATCH(COLUMNS($V$1006:W1006),$V$1006:$AE$1006,0))&gt;=100000), " ",IF(INDEX($V$2:$AE$1001,MATCH(ROWS($O$2:O920),$O$2:$O$1001,0),MATCH(COLUMNS($V$1006:W1006),$V$1006:$AE$1006,0)), HYPERLINK("#",""), HYPERLINK(CONCATENATE("#Metadata!", ADDRESS(INDEX($Q$2:$Q$1001,MATCH(ROWS($O$2:O920),$O$2:$O$1001,0),0), INDEX($V$1004:$AE$1004,1,MATCH(COLUMNS($V$1006:W1006),$V$1006:$AE$1006,0)))),"Fix")))</f>
        <v>0</v>
      </c>
      <c r="D920" s="3">
        <f>IF(OR(INDEX($P$2:$P$1001,MATCH(ROWS($O$2:O920),$O$2:$O$1001,0),1)&gt;=100000,INDEX($V$1005:$AE$1005,1,MATCH(COLUMNS($V$1006:X1006),$V$1006:$AE$1006,0))&gt;=100000), " ",IF(INDEX($V$2:$AE$1001,MATCH(ROWS($O$2:O920),$O$2:$O$1001,0),MATCH(COLUMNS($V$1006:X1006),$V$1006:$AE$1006,0)), HYPERLINK("#",""), HYPERLINK(CONCATENATE("#Metadata!", ADDRESS(INDEX($Q$2:$Q$1001,MATCH(ROWS($O$2:O920),$O$2:$O$1001,0),0), INDEX($V$1004:$AE$1004,1,MATCH(COLUMNS($V$1006:X1006),$V$1006:$AE$1006,0)))),"Fix")))</f>
        <v>0</v>
      </c>
      <c r="E920" s="3">
        <f>IF(OR(INDEX($P$2:$P$1001,MATCH(ROWS($O$2:O920),$O$2:$O$1001,0),1)&gt;=100000,INDEX($V$1005:$AE$1005,1,MATCH(COLUMNS($V$1006:Y1006),$V$1006:$AE$1006,0))&gt;=100000), " ",IF(INDEX($V$2:$AE$1001,MATCH(ROWS($O$2:O920),$O$2:$O$1001,0),MATCH(COLUMNS($V$1006:Y1006),$V$1006:$AE$1006,0)), HYPERLINK("#",""), HYPERLINK(CONCATENATE("#Metadata!", ADDRESS(INDEX($Q$2:$Q$1001,MATCH(ROWS($O$2:O920),$O$2:$O$1001,0),0), INDEX($V$1004:$AE$1004,1,MATCH(COLUMNS($V$1006:Y1006),$V$1006:$AE$1006,0)))),"Fix")))</f>
        <v>0</v>
      </c>
      <c r="F920" s="3">
        <f>IF(OR(INDEX($P$2:$P$1001,MATCH(ROWS($O$2:O920),$O$2:$O$1001,0),1)&gt;=100000,INDEX($V$1005:$AE$1005,1,MATCH(COLUMNS($V$1006:Z1006),$V$1006:$AE$1006,0))&gt;=100000), " ",IF(INDEX($V$2:$AE$1001,MATCH(ROWS($O$2:O920),$O$2:$O$1001,0),MATCH(COLUMNS($V$1006:Z1006),$V$1006:$AE$1006,0)), HYPERLINK("#",""), HYPERLINK(CONCATENATE("#Metadata!", ADDRESS(INDEX($Q$2:$Q$1001,MATCH(ROWS($O$2:O920),$O$2:$O$1001,0),0), INDEX($V$1004:$AE$1004,1,MATCH(COLUMNS($V$1006:Z1006),$V$1006:$AE$1006,0)))),"Fix")))</f>
        <v>0</v>
      </c>
      <c r="G920" s="3">
        <f>IF(OR(INDEX($P$2:$P$1001,MATCH(ROWS($O$2:O920),$O$2:$O$1001,0),1)&gt;=100000,INDEX($V$1005:$AE$1005,1,MATCH(COLUMNS($V$1006:AA1006),$V$1006:$AE$1006,0))&gt;=100000), " ",IF(INDEX($V$2:$AE$1001,MATCH(ROWS($O$2:O920),$O$2:$O$1001,0),MATCH(COLUMNS($V$1006:AA1006),$V$1006:$AE$1006,0)), HYPERLINK("#",""), HYPERLINK(CONCATENATE("#Metadata!", ADDRESS(INDEX($Q$2:$Q$1001,MATCH(ROWS($O$2:O920),$O$2:$O$1001,0),0), INDEX($V$1004:$AE$1004,1,MATCH(COLUMNS($V$1006:AA1006),$V$1006:$AE$1006,0)))),"Fix")))</f>
        <v>0</v>
      </c>
      <c r="H920" s="3">
        <f>IF(OR(INDEX($P$2:$P$1001,MATCH(ROWS($O$2:O920),$O$2:$O$1001,0),1)&gt;=100000,INDEX($V$1005:$AE$1005,1,MATCH(COLUMNS($V$1006:AB1006),$V$1006:$AE$1006,0))&gt;=100000), " ",IF(INDEX($V$2:$AE$1001,MATCH(ROWS($O$2:O920),$O$2:$O$1001,0),MATCH(COLUMNS($V$1006:AB1006),$V$1006:$AE$1006,0)), HYPERLINK("#",""), HYPERLINK(CONCATENATE("#Metadata!", ADDRESS(INDEX($Q$2:$Q$1001,MATCH(ROWS($O$2:O920),$O$2:$O$1001,0),0), INDEX($V$1004:$AE$1004,1,MATCH(COLUMNS($V$1006:AB1006),$V$1006:$AE$1006,0)))),"Fix")))</f>
        <v>0</v>
      </c>
      <c r="I920" s="3">
        <f>IF(OR(INDEX($P$2:$P$1001,MATCH(ROWS($O$2:O920),$O$2:$O$1001,0),1)&gt;=100000,INDEX($V$1005:$AE$1005,1,MATCH(COLUMNS($V$1006:AC1006),$V$1006:$AE$1006,0))&gt;=100000), " ",IF(INDEX($V$2:$AE$1001,MATCH(ROWS($O$2:O920),$O$2:$O$1001,0),MATCH(COLUMNS($V$1006:AC1006),$V$1006:$AE$1006,0)), HYPERLINK("#",""), HYPERLINK(CONCATENATE("#Metadata!", ADDRESS(INDEX($Q$2:$Q$1001,MATCH(ROWS($O$2:O920),$O$2:$O$1001,0),0), INDEX($V$1004:$AE$1004,1,MATCH(COLUMNS($V$1006:AC1006),$V$1006:$AE$1006,0)))),"Fix")))</f>
        <v>0</v>
      </c>
      <c r="J920" s="3">
        <f>IF(OR(INDEX($P$2:$P$1001,MATCH(ROWS($O$2:O920),$O$2:$O$1001,0),1)&gt;=100000,INDEX($V$1005:$AE$1005,1,MATCH(COLUMNS($V$1006:AD1006),$V$1006:$AE$1006,0))&gt;=100000), " ",IF(INDEX($V$2:$AE$1001,MATCH(ROWS($O$2:O920),$O$2:$O$1001,0),MATCH(COLUMNS($V$1006:AD1006),$V$1006:$AE$1006,0)), HYPERLINK("#",""), HYPERLINK(CONCATENATE("#Metadata!", ADDRESS(INDEX($Q$2:$Q$1001,MATCH(ROWS($O$2:O920),$O$2:$O$1001,0),0), INDEX($V$1004:$AE$1004,1,MATCH(COLUMNS($V$1006:AD1006),$V$1006:$AE$1006,0)))),"Fix")))</f>
        <v>0</v>
      </c>
      <c r="K920" s="3">
        <f>IF(OR(INDEX($P$2:$P$1001,MATCH(ROWS($O$2:O920),$O$2:$O$1001,0),1)&gt;=100000,INDEX($V$1005:$AE$1005,1,MATCH(COLUMNS($V$1006:AE1006),$V$1006:$AE$1006,0))&gt;=100000), " ",IF(INDEX($V$2:$AE$1001,MATCH(ROWS($O$2:O920),$O$2:$O$1001,0),MATCH(COLUMNS($V$1006:AE1006),$V$1006:$AE$1006,0)), HYPERLINK("#",""), HYPERLINK(CONCATENATE("#Metadata!", ADDRESS(INDEX($Q$2:$Q$1001,MATCH(ROWS($O$2:O920),$O$2:$O$1001,0),0), INDEX($V$1004:$AE$1004,1,MATCH(COLUMNS($V$1006:AE1006),$V$1006:$AE$1006,0)))),"Fix")))</f>
        <v>0</v>
      </c>
      <c r="O920">
        <v>0</v>
      </c>
      <c r="P920">
        <v>0</v>
      </c>
      <c r="Q920">
        <v>0</v>
      </c>
      <c r="R920">
        <f>IF(S920,TRUE,AND(V920:AE920))</f>
        <v>0</v>
      </c>
      <c r="S920">
        <f>COUNTBLANK(Metadata!B920:K920)=COLUMNS(Metadata!B920:K920)</f>
        <v>0</v>
      </c>
      <c r="T920">
        <v>0</v>
      </c>
      <c r="V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W920">
        <f>AND(IF(Metadata!C920="",FALSE,TRUE),exact(Metadata!C920,"animal secretion"))</f>
        <v>0</v>
      </c>
      <c r="X920">
        <f>AND(IF(Metadata!D920="",FALSE,TRUE),exact(Metadata!D920,"saliva"))</f>
        <v>0</v>
      </c>
      <c r="Y920">
        <f>AND(IF(Metadata!E920="",FALSE,TRUE),exact(Metadata!E920,"human-oral"))</f>
        <v>0</v>
      </c>
      <c r="Z920">
        <f>AND(IF(Metadata!F920="",FALSE,TRUE),exact(Metadata!F920,"UBERON:oral cavity"))</f>
        <v>0</v>
      </c>
      <c r="AA920">
        <f>AND(IF(Metadata!G920="",FALSE,TRUE),exact(Metadata!G920,"UBERON:saliva"))</f>
        <v>0</v>
      </c>
      <c r="AB920">
        <f>AND(IF(Metadata!H920="",FALSE,TRUE),exact(Metadata!H920,"UBERON:tongue"))</f>
        <v>0</v>
      </c>
      <c r="AC920">
        <f>AND(IF(Metadata!I920="",FALSE,TRUE),exact(Metadata!I920,"tongue"))</f>
        <v>0</v>
      </c>
      <c r="AD920">
        <f>AND(IF(Metadata!J920="",FALSE,TRUE),exact(Metadata!J920,"human oral metagenome"))</f>
        <v>0</v>
      </c>
      <c r="AE920">
        <f>AND(IF(Metadata!K920="",FALSE,TRUE),exact(Metadata!K920,"447426"))</f>
        <v>0</v>
      </c>
    </row>
    <row r="921" spans="1:31">
      <c r="A921" s="4">
        <f>IF(B921=" "," ",HYPERLINK(CONCATENATE("#metadata!",ADDRESS(INDEX($Q$2:$Q$1001,MATCH(ROWS($O$2:O921),$O$2:$O$1001,0),0),1)),INDEX($T$2:$T$1001,MATCH(ROWS($O$2:O921),$O$2:$O$1001,0),0)))</f>
        <v>0</v>
      </c>
      <c r="B921" s="3">
        <f>IF(OR(INDEX($P$2:$P$1001,MATCH(ROWS($O$2:O921),$O$2:$O$1001,0),1)&gt;=100000,INDEX($V$1005:$AE$1005,1,MATCH(COLUMNS($V$1006:V1006),$V$1006:$AE$1006,0))&gt;=100000), " ",IF(INDEX($V$2:$AE$1001,MATCH(ROWS($O$2:O921),$O$2:$O$1001,0),MATCH(COLUMNS($V$1006:V1006),$V$1006:$AE$1006,0)), HYPERLINK("#",""), HYPERLINK(CONCATENATE("#Metadata!", ADDRESS(INDEX($Q$2:$Q$1001,MATCH(ROWS($O$2:O921),$O$2:$O$1001,0),0), INDEX($V$1004:$AE$1004,1,MATCH(COLUMNS($V$1006:V1006),$V$1006:$AE$1006,0)))),"Fix")))</f>
        <v>0</v>
      </c>
      <c r="C921" s="3">
        <f>IF(OR(INDEX($P$2:$P$1001,MATCH(ROWS($O$2:O921),$O$2:$O$1001,0),1)&gt;=100000,INDEX($V$1005:$AE$1005,1,MATCH(COLUMNS($V$1006:W1006),$V$1006:$AE$1006,0))&gt;=100000), " ",IF(INDEX($V$2:$AE$1001,MATCH(ROWS($O$2:O921),$O$2:$O$1001,0),MATCH(COLUMNS($V$1006:W1006),$V$1006:$AE$1006,0)), HYPERLINK("#",""), HYPERLINK(CONCATENATE("#Metadata!", ADDRESS(INDEX($Q$2:$Q$1001,MATCH(ROWS($O$2:O921),$O$2:$O$1001,0),0), INDEX($V$1004:$AE$1004,1,MATCH(COLUMNS($V$1006:W1006),$V$1006:$AE$1006,0)))),"Fix")))</f>
        <v>0</v>
      </c>
      <c r="D921" s="3">
        <f>IF(OR(INDEX($P$2:$P$1001,MATCH(ROWS($O$2:O921),$O$2:$O$1001,0),1)&gt;=100000,INDEX($V$1005:$AE$1005,1,MATCH(COLUMNS($V$1006:X1006),$V$1006:$AE$1006,0))&gt;=100000), " ",IF(INDEX($V$2:$AE$1001,MATCH(ROWS($O$2:O921),$O$2:$O$1001,0),MATCH(COLUMNS($V$1006:X1006),$V$1006:$AE$1006,0)), HYPERLINK("#",""), HYPERLINK(CONCATENATE("#Metadata!", ADDRESS(INDEX($Q$2:$Q$1001,MATCH(ROWS($O$2:O921),$O$2:$O$1001,0),0), INDEX($V$1004:$AE$1004,1,MATCH(COLUMNS($V$1006:X1006),$V$1006:$AE$1006,0)))),"Fix")))</f>
        <v>0</v>
      </c>
      <c r="E921" s="3">
        <f>IF(OR(INDEX($P$2:$P$1001,MATCH(ROWS($O$2:O921),$O$2:$O$1001,0),1)&gt;=100000,INDEX($V$1005:$AE$1005,1,MATCH(COLUMNS($V$1006:Y1006),$V$1006:$AE$1006,0))&gt;=100000), " ",IF(INDEX($V$2:$AE$1001,MATCH(ROWS($O$2:O921),$O$2:$O$1001,0),MATCH(COLUMNS($V$1006:Y1006),$V$1006:$AE$1006,0)), HYPERLINK("#",""), HYPERLINK(CONCATENATE("#Metadata!", ADDRESS(INDEX($Q$2:$Q$1001,MATCH(ROWS($O$2:O921),$O$2:$O$1001,0),0), INDEX($V$1004:$AE$1004,1,MATCH(COLUMNS($V$1006:Y1006),$V$1006:$AE$1006,0)))),"Fix")))</f>
        <v>0</v>
      </c>
      <c r="F921" s="3">
        <f>IF(OR(INDEX($P$2:$P$1001,MATCH(ROWS($O$2:O921),$O$2:$O$1001,0),1)&gt;=100000,INDEX($V$1005:$AE$1005,1,MATCH(COLUMNS($V$1006:Z1006),$V$1006:$AE$1006,0))&gt;=100000), " ",IF(INDEX($V$2:$AE$1001,MATCH(ROWS($O$2:O921),$O$2:$O$1001,0),MATCH(COLUMNS($V$1006:Z1006),$V$1006:$AE$1006,0)), HYPERLINK("#",""), HYPERLINK(CONCATENATE("#Metadata!", ADDRESS(INDEX($Q$2:$Q$1001,MATCH(ROWS($O$2:O921),$O$2:$O$1001,0),0), INDEX($V$1004:$AE$1004,1,MATCH(COLUMNS($V$1006:Z1006),$V$1006:$AE$1006,0)))),"Fix")))</f>
        <v>0</v>
      </c>
      <c r="G921" s="3">
        <f>IF(OR(INDEX($P$2:$P$1001,MATCH(ROWS($O$2:O921),$O$2:$O$1001,0),1)&gt;=100000,INDEX($V$1005:$AE$1005,1,MATCH(COLUMNS($V$1006:AA1006),$V$1006:$AE$1006,0))&gt;=100000), " ",IF(INDEX($V$2:$AE$1001,MATCH(ROWS($O$2:O921),$O$2:$O$1001,0),MATCH(COLUMNS($V$1006:AA1006),$V$1006:$AE$1006,0)), HYPERLINK("#",""), HYPERLINK(CONCATENATE("#Metadata!", ADDRESS(INDEX($Q$2:$Q$1001,MATCH(ROWS($O$2:O921),$O$2:$O$1001,0),0), INDEX($V$1004:$AE$1004,1,MATCH(COLUMNS($V$1006:AA1006),$V$1006:$AE$1006,0)))),"Fix")))</f>
        <v>0</v>
      </c>
      <c r="H921" s="3">
        <f>IF(OR(INDEX($P$2:$P$1001,MATCH(ROWS($O$2:O921),$O$2:$O$1001,0),1)&gt;=100000,INDEX($V$1005:$AE$1005,1,MATCH(COLUMNS($V$1006:AB1006),$V$1006:$AE$1006,0))&gt;=100000), " ",IF(INDEX($V$2:$AE$1001,MATCH(ROWS($O$2:O921),$O$2:$O$1001,0),MATCH(COLUMNS($V$1006:AB1006),$V$1006:$AE$1006,0)), HYPERLINK("#",""), HYPERLINK(CONCATENATE("#Metadata!", ADDRESS(INDEX($Q$2:$Q$1001,MATCH(ROWS($O$2:O921),$O$2:$O$1001,0),0), INDEX($V$1004:$AE$1004,1,MATCH(COLUMNS($V$1006:AB1006),$V$1006:$AE$1006,0)))),"Fix")))</f>
        <v>0</v>
      </c>
      <c r="I921" s="3">
        <f>IF(OR(INDEX($P$2:$P$1001,MATCH(ROWS($O$2:O921),$O$2:$O$1001,0),1)&gt;=100000,INDEX($V$1005:$AE$1005,1,MATCH(COLUMNS($V$1006:AC1006),$V$1006:$AE$1006,0))&gt;=100000), " ",IF(INDEX($V$2:$AE$1001,MATCH(ROWS($O$2:O921),$O$2:$O$1001,0),MATCH(COLUMNS($V$1006:AC1006),$V$1006:$AE$1006,0)), HYPERLINK("#",""), HYPERLINK(CONCATENATE("#Metadata!", ADDRESS(INDEX($Q$2:$Q$1001,MATCH(ROWS($O$2:O921),$O$2:$O$1001,0),0), INDEX($V$1004:$AE$1004,1,MATCH(COLUMNS($V$1006:AC1006),$V$1006:$AE$1006,0)))),"Fix")))</f>
        <v>0</v>
      </c>
      <c r="J921" s="3">
        <f>IF(OR(INDEX($P$2:$P$1001,MATCH(ROWS($O$2:O921),$O$2:$O$1001,0),1)&gt;=100000,INDEX($V$1005:$AE$1005,1,MATCH(COLUMNS($V$1006:AD1006),$V$1006:$AE$1006,0))&gt;=100000), " ",IF(INDEX($V$2:$AE$1001,MATCH(ROWS($O$2:O921),$O$2:$O$1001,0),MATCH(COLUMNS($V$1006:AD1006),$V$1006:$AE$1006,0)), HYPERLINK("#",""), HYPERLINK(CONCATENATE("#Metadata!", ADDRESS(INDEX($Q$2:$Q$1001,MATCH(ROWS($O$2:O921),$O$2:$O$1001,0),0), INDEX($V$1004:$AE$1004,1,MATCH(COLUMNS($V$1006:AD1006),$V$1006:$AE$1006,0)))),"Fix")))</f>
        <v>0</v>
      </c>
      <c r="K921" s="3">
        <f>IF(OR(INDEX($P$2:$P$1001,MATCH(ROWS($O$2:O921),$O$2:$O$1001,0),1)&gt;=100000,INDEX($V$1005:$AE$1005,1,MATCH(COLUMNS($V$1006:AE1006),$V$1006:$AE$1006,0))&gt;=100000), " ",IF(INDEX($V$2:$AE$1001,MATCH(ROWS($O$2:O921),$O$2:$O$1001,0),MATCH(COLUMNS($V$1006:AE1006),$V$1006:$AE$1006,0)), HYPERLINK("#",""), HYPERLINK(CONCATENATE("#Metadata!", ADDRESS(INDEX($Q$2:$Q$1001,MATCH(ROWS($O$2:O921),$O$2:$O$1001,0),0), INDEX($V$1004:$AE$1004,1,MATCH(COLUMNS($V$1006:AE1006),$V$1006:$AE$1006,0)))),"Fix")))</f>
        <v>0</v>
      </c>
      <c r="O921">
        <v>0</v>
      </c>
      <c r="P921">
        <v>0</v>
      </c>
      <c r="Q921">
        <v>0</v>
      </c>
      <c r="R921">
        <f>IF(S921,TRUE,AND(V921:AE921))</f>
        <v>0</v>
      </c>
      <c r="S921">
        <f>COUNTBLANK(Metadata!B921:K921)=COLUMNS(Metadata!B921:K921)</f>
        <v>0</v>
      </c>
      <c r="T921">
        <v>0</v>
      </c>
      <c r="V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W921">
        <f>AND(IF(Metadata!C921="",FALSE,TRUE),exact(Metadata!C921,"animal secretion"))</f>
        <v>0</v>
      </c>
      <c r="X921">
        <f>AND(IF(Metadata!D921="",FALSE,TRUE),exact(Metadata!D921,"saliva"))</f>
        <v>0</v>
      </c>
      <c r="Y921">
        <f>AND(IF(Metadata!E921="",FALSE,TRUE),exact(Metadata!E921,"human-oral"))</f>
        <v>0</v>
      </c>
      <c r="Z921">
        <f>AND(IF(Metadata!F921="",FALSE,TRUE),exact(Metadata!F921,"UBERON:oral cavity"))</f>
        <v>0</v>
      </c>
      <c r="AA921">
        <f>AND(IF(Metadata!G921="",FALSE,TRUE),exact(Metadata!G921,"UBERON:saliva"))</f>
        <v>0</v>
      </c>
      <c r="AB921">
        <f>AND(IF(Metadata!H921="",FALSE,TRUE),exact(Metadata!H921,"UBERON:tongue"))</f>
        <v>0</v>
      </c>
      <c r="AC921">
        <f>AND(IF(Metadata!I921="",FALSE,TRUE),exact(Metadata!I921,"tongue"))</f>
        <v>0</v>
      </c>
      <c r="AD921">
        <f>AND(IF(Metadata!J921="",FALSE,TRUE),exact(Metadata!J921,"human oral metagenome"))</f>
        <v>0</v>
      </c>
      <c r="AE921">
        <f>AND(IF(Metadata!K921="",FALSE,TRUE),exact(Metadata!K921,"447426"))</f>
        <v>0</v>
      </c>
    </row>
    <row r="922" spans="1:31">
      <c r="A922" s="4">
        <f>IF(B922=" "," ",HYPERLINK(CONCATENATE("#metadata!",ADDRESS(INDEX($Q$2:$Q$1001,MATCH(ROWS($O$2:O922),$O$2:$O$1001,0),0),1)),INDEX($T$2:$T$1001,MATCH(ROWS($O$2:O922),$O$2:$O$1001,0),0)))</f>
        <v>0</v>
      </c>
      <c r="B922" s="3">
        <f>IF(OR(INDEX($P$2:$P$1001,MATCH(ROWS($O$2:O922),$O$2:$O$1001,0),1)&gt;=100000,INDEX($V$1005:$AE$1005,1,MATCH(COLUMNS($V$1006:V1006),$V$1006:$AE$1006,0))&gt;=100000), " ",IF(INDEX($V$2:$AE$1001,MATCH(ROWS($O$2:O922),$O$2:$O$1001,0),MATCH(COLUMNS($V$1006:V1006),$V$1006:$AE$1006,0)), HYPERLINK("#",""), HYPERLINK(CONCATENATE("#Metadata!", ADDRESS(INDEX($Q$2:$Q$1001,MATCH(ROWS($O$2:O922),$O$2:$O$1001,0),0), INDEX($V$1004:$AE$1004,1,MATCH(COLUMNS($V$1006:V1006),$V$1006:$AE$1006,0)))),"Fix")))</f>
        <v>0</v>
      </c>
      <c r="C922" s="3">
        <f>IF(OR(INDEX($P$2:$P$1001,MATCH(ROWS($O$2:O922),$O$2:$O$1001,0),1)&gt;=100000,INDEX($V$1005:$AE$1005,1,MATCH(COLUMNS($V$1006:W1006),$V$1006:$AE$1006,0))&gt;=100000), " ",IF(INDEX($V$2:$AE$1001,MATCH(ROWS($O$2:O922),$O$2:$O$1001,0),MATCH(COLUMNS($V$1006:W1006),$V$1006:$AE$1006,0)), HYPERLINK("#",""), HYPERLINK(CONCATENATE("#Metadata!", ADDRESS(INDEX($Q$2:$Q$1001,MATCH(ROWS($O$2:O922),$O$2:$O$1001,0),0), INDEX($V$1004:$AE$1004,1,MATCH(COLUMNS($V$1006:W1006),$V$1006:$AE$1006,0)))),"Fix")))</f>
        <v>0</v>
      </c>
      <c r="D922" s="3">
        <f>IF(OR(INDEX($P$2:$P$1001,MATCH(ROWS($O$2:O922),$O$2:$O$1001,0),1)&gt;=100000,INDEX($V$1005:$AE$1005,1,MATCH(COLUMNS($V$1006:X1006),$V$1006:$AE$1006,0))&gt;=100000), " ",IF(INDEX($V$2:$AE$1001,MATCH(ROWS($O$2:O922),$O$2:$O$1001,0),MATCH(COLUMNS($V$1006:X1006),$V$1006:$AE$1006,0)), HYPERLINK("#",""), HYPERLINK(CONCATENATE("#Metadata!", ADDRESS(INDEX($Q$2:$Q$1001,MATCH(ROWS($O$2:O922),$O$2:$O$1001,0),0), INDEX($V$1004:$AE$1004,1,MATCH(COLUMNS($V$1006:X1006),$V$1006:$AE$1006,0)))),"Fix")))</f>
        <v>0</v>
      </c>
      <c r="E922" s="3">
        <f>IF(OR(INDEX($P$2:$P$1001,MATCH(ROWS($O$2:O922),$O$2:$O$1001,0),1)&gt;=100000,INDEX($V$1005:$AE$1005,1,MATCH(COLUMNS($V$1006:Y1006),$V$1006:$AE$1006,0))&gt;=100000), " ",IF(INDEX($V$2:$AE$1001,MATCH(ROWS($O$2:O922),$O$2:$O$1001,0),MATCH(COLUMNS($V$1006:Y1006),$V$1006:$AE$1006,0)), HYPERLINK("#",""), HYPERLINK(CONCATENATE("#Metadata!", ADDRESS(INDEX($Q$2:$Q$1001,MATCH(ROWS($O$2:O922),$O$2:$O$1001,0),0), INDEX($V$1004:$AE$1004,1,MATCH(COLUMNS($V$1006:Y1006),$V$1006:$AE$1006,0)))),"Fix")))</f>
        <v>0</v>
      </c>
      <c r="F922" s="3">
        <f>IF(OR(INDEX($P$2:$P$1001,MATCH(ROWS($O$2:O922),$O$2:$O$1001,0),1)&gt;=100000,INDEX($V$1005:$AE$1005,1,MATCH(COLUMNS($V$1006:Z1006),$V$1006:$AE$1006,0))&gt;=100000), " ",IF(INDEX($V$2:$AE$1001,MATCH(ROWS($O$2:O922),$O$2:$O$1001,0),MATCH(COLUMNS($V$1006:Z1006),$V$1006:$AE$1006,0)), HYPERLINK("#",""), HYPERLINK(CONCATENATE("#Metadata!", ADDRESS(INDEX($Q$2:$Q$1001,MATCH(ROWS($O$2:O922),$O$2:$O$1001,0),0), INDEX($V$1004:$AE$1004,1,MATCH(COLUMNS($V$1006:Z1006),$V$1006:$AE$1006,0)))),"Fix")))</f>
        <v>0</v>
      </c>
      <c r="G922" s="3">
        <f>IF(OR(INDEX($P$2:$P$1001,MATCH(ROWS($O$2:O922),$O$2:$O$1001,0),1)&gt;=100000,INDEX($V$1005:$AE$1005,1,MATCH(COLUMNS($V$1006:AA1006),$V$1006:$AE$1006,0))&gt;=100000), " ",IF(INDEX($V$2:$AE$1001,MATCH(ROWS($O$2:O922),$O$2:$O$1001,0),MATCH(COLUMNS($V$1006:AA1006),$V$1006:$AE$1006,0)), HYPERLINK("#",""), HYPERLINK(CONCATENATE("#Metadata!", ADDRESS(INDEX($Q$2:$Q$1001,MATCH(ROWS($O$2:O922),$O$2:$O$1001,0),0), INDEX($V$1004:$AE$1004,1,MATCH(COLUMNS($V$1006:AA1006),$V$1006:$AE$1006,0)))),"Fix")))</f>
        <v>0</v>
      </c>
      <c r="H922" s="3">
        <f>IF(OR(INDEX($P$2:$P$1001,MATCH(ROWS($O$2:O922),$O$2:$O$1001,0),1)&gt;=100000,INDEX($V$1005:$AE$1005,1,MATCH(COLUMNS($V$1006:AB1006),$V$1006:$AE$1006,0))&gt;=100000), " ",IF(INDEX($V$2:$AE$1001,MATCH(ROWS($O$2:O922),$O$2:$O$1001,0),MATCH(COLUMNS($V$1006:AB1006),$V$1006:$AE$1006,0)), HYPERLINK("#",""), HYPERLINK(CONCATENATE("#Metadata!", ADDRESS(INDEX($Q$2:$Q$1001,MATCH(ROWS($O$2:O922),$O$2:$O$1001,0),0), INDEX($V$1004:$AE$1004,1,MATCH(COLUMNS($V$1006:AB1006),$V$1006:$AE$1006,0)))),"Fix")))</f>
        <v>0</v>
      </c>
      <c r="I922" s="3">
        <f>IF(OR(INDEX($P$2:$P$1001,MATCH(ROWS($O$2:O922),$O$2:$O$1001,0),1)&gt;=100000,INDEX($V$1005:$AE$1005,1,MATCH(COLUMNS($V$1006:AC1006),$V$1006:$AE$1006,0))&gt;=100000), " ",IF(INDEX($V$2:$AE$1001,MATCH(ROWS($O$2:O922),$O$2:$O$1001,0),MATCH(COLUMNS($V$1006:AC1006),$V$1006:$AE$1006,0)), HYPERLINK("#",""), HYPERLINK(CONCATENATE("#Metadata!", ADDRESS(INDEX($Q$2:$Q$1001,MATCH(ROWS($O$2:O922),$O$2:$O$1001,0),0), INDEX($V$1004:$AE$1004,1,MATCH(COLUMNS($V$1006:AC1006),$V$1006:$AE$1006,0)))),"Fix")))</f>
        <v>0</v>
      </c>
      <c r="J922" s="3">
        <f>IF(OR(INDEX($P$2:$P$1001,MATCH(ROWS($O$2:O922),$O$2:$O$1001,0),1)&gt;=100000,INDEX($V$1005:$AE$1005,1,MATCH(COLUMNS($V$1006:AD1006),$V$1006:$AE$1006,0))&gt;=100000), " ",IF(INDEX($V$2:$AE$1001,MATCH(ROWS($O$2:O922),$O$2:$O$1001,0),MATCH(COLUMNS($V$1006:AD1006),$V$1006:$AE$1006,0)), HYPERLINK("#",""), HYPERLINK(CONCATENATE("#Metadata!", ADDRESS(INDEX($Q$2:$Q$1001,MATCH(ROWS($O$2:O922),$O$2:$O$1001,0),0), INDEX($V$1004:$AE$1004,1,MATCH(COLUMNS($V$1006:AD1006),$V$1006:$AE$1006,0)))),"Fix")))</f>
        <v>0</v>
      </c>
      <c r="K922" s="3">
        <f>IF(OR(INDEX($P$2:$P$1001,MATCH(ROWS($O$2:O922),$O$2:$O$1001,0),1)&gt;=100000,INDEX($V$1005:$AE$1005,1,MATCH(COLUMNS($V$1006:AE1006),$V$1006:$AE$1006,0))&gt;=100000), " ",IF(INDEX($V$2:$AE$1001,MATCH(ROWS($O$2:O922),$O$2:$O$1001,0),MATCH(COLUMNS($V$1006:AE1006),$V$1006:$AE$1006,0)), HYPERLINK("#",""), HYPERLINK(CONCATENATE("#Metadata!", ADDRESS(INDEX($Q$2:$Q$1001,MATCH(ROWS($O$2:O922),$O$2:$O$1001,0),0), INDEX($V$1004:$AE$1004,1,MATCH(COLUMNS($V$1006:AE1006),$V$1006:$AE$1006,0)))),"Fix")))</f>
        <v>0</v>
      </c>
      <c r="O922">
        <v>0</v>
      </c>
      <c r="P922">
        <v>0</v>
      </c>
      <c r="Q922">
        <v>0</v>
      </c>
      <c r="R922">
        <f>IF(S922,TRUE,AND(V922:AE922))</f>
        <v>0</v>
      </c>
      <c r="S922">
        <f>COUNTBLANK(Metadata!B922:K922)=COLUMNS(Metadata!B922:K922)</f>
        <v>0</v>
      </c>
      <c r="T922">
        <v>0</v>
      </c>
      <c r="V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W922">
        <f>AND(IF(Metadata!C922="",FALSE,TRUE),exact(Metadata!C922,"animal secretion"))</f>
        <v>0</v>
      </c>
      <c r="X922">
        <f>AND(IF(Metadata!D922="",FALSE,TRUE),exact(Metadata!D922,"saliva"))</f>
        <v>0</v>
      </c>
      <c r="Y922">
        <f>AND(IF(Metadata!E922="",FALSE,TRUE),exact(Metadata!E922,"human-oral"))</f>
        <v>0</v>
      </c>
      <c r="Z922">
        <f>AND(IF(Metadata!F922="",FALSE,TRUE),exact(Metadata!F922,"UBERON:oral cavity"))</f>
        <v>0</v>
      </c>
      <c r="AA922">
        <f>AND(IF(Metadata!G922="",FALSE,TRUE),exact(Metadata!G922,"UBERON:saliva"))</f>
        <v>0</v>
      </c>
      <c r="AB922">
        <f>AND(IF(Metadata!H922="",FALSE,TRUE),exact(Metadata!H922,"UBERON:tongue"))</f>
        <v>0</v>
      </c>
      <c r="AC922">
        <f>AND(IF(Metadata!I922="",FALSE,TRUE),exact(Metadata!I922,"tongue"))</f>
        <v>0</v>
      </c>
      <c r="AD922">
        <f>AND(IF(Metadata!J922="",FALSE,TRUE),exact(Metadata!J922,"human oral metagenome"))</f>
        <v>0</v>
      </c>
      <c r="AE922">
        <f>AND(IF(Metadata!K922="",FALSE,TRUE),exact(Metadata!K922,"447426"))</f>
        <v>0</v>
      </c>
    </row>
    <row r="923" spans="1:31">
      <c r="A923" s="4">
        <f>IF(B923=" "," ",HYPERLINK(CONCATENATE("#metadata!",ADDRESS(INDEX($Q$2:$Q$1001,MATCH(ROWS($O$2:O923),$O$2:$O$1001,0),0),1)),INDEX($T$2:$T$1001,MATCH(ROWS($O$2:O923),$O$2:$O$1001,0),0)))</f>
        <v>0</v>
      </c>
      <c r="B923" s="3">
        <f>IF(OR(INDEX($P$2:$P$1001,MATCH(ROWS($O$2:O923),$O$2:$O$1001,0),1)&gt;=100000,INDEX($V$1005:$AE$1005,1,MATCH(COLUMNS($V$1006:V1006),$V$1006:$AE$1006,0))&gt;=100000), " ",IF(INDEX($V$2:$AE$1001,MATCH(ROWS($O$2:O923),$O$2:$O$1001,0),MATCH(COLUMNS($V$1006:V1006),$V$1006:$AE$1006,0)), HYPERLINK("#",""), HYPERLINK(CONCATENATE("#Metadata!", ADDRESS(INDEX($Q$2:$Q$1001,MATCH(ROWS($O$2:O923),$O$2:$O$1001,0),0), INDEX($V$1004:$AE$1004,1,MATCH(COLUMNS($V$1006:V1006),$V$1006:$AE$1006,0)))),"Fix")))</f>
        <v>0</v>
      </c>
      <c r="C923" s="3">
        <f>IF(OR(INDEX($P$2:$P$1001,MATCH(ROWS($O$2:O923),$O$2:$O$1001,0),1)&gt;=100000,INDEX($V$1005:$AE$1005,1,MATCH(COLUMNS($V$1006:W1006),$V$1006:$AE$1006,0))&gt;=100000), " ",IF(INDEX($V$2:$AE$1001,MATCH(ROWS($O$2:O923),$O$2:$O$1001,0),MATCH(COLUMNS($V$1006:W1006),$V$1006:$AE$1006,0)), HYPERLINK("#",""), HYPERLINK(CONCATENATE("#Metadata!", ADDRESS(INDEX($Q$2:$Q$1001,MATCH(ROWS($O$2:O923),$O$2:$O$1001,0),0), INDEX($V$1004:$AE$1004,1,MATCH(COLUMNS($V$1006:W1006),$V$1006:$AE$1006,0)))),"Fix")))</f>
        <v>0</v>
      </c>
      <c r="D923" s="3">
        <f>IF(OR(INDEX($P$2:$P$1001,MATCH(ROWS($O$2:O923),$O$2:$O$1001,0),1)&gt;=100000,INDEX($V$1005:$AE$1005,1,MATCH(COLUMNS($V$1006:X1006),$V$1006:$AE$1006,0))&gt;=100000), " ",IF(INDEX($V$2:$AE$1001,MATCH(ROWS($O$2:O923),$O$2:$O$1001,0),MATCH(COLUMNS($V$1006:X1006),$V$1006:$AE$1006,0)), HYPERLINK("#",""), HYPERLINK(CONCATENATE("#Metadata!", ADDRESS(INDEX($Q$2:$Q$1001,MATCH(ROWS($O$2:O923),$O$2:$O$1001,0),0), INDEX($V$1004:$AE$1004,1,MATCH(COLUMNS($V$1006:X1006),$V$1006:$AE$1006,0)))),"Fix")))</f>
        <v>0</v>
      </c>
      <c r="E923" s="3">
        <f>IF(OR(INDEX($P$2:$P$1001,MATCH(ROWS($O$2:O923),$O$2:$O$1001,0),1)&gt;=100000,INDEX($V$1005:$AE$1005,1,MATCH(COLUMNS($V$1006:Y1006),$V$1006:$AE$1006,0))&gt;=100000), " ",IF(INDEX($V$2:$AE$1001,MATCH(ROWS($O$2:O923),$O$2:$O$1001,0),MATCH(COLUMNS($V$1006:Y1006),$V$1006:$AE$1006,0)), HYPERLINK("#",""), HYPERLINK(CONCATENATE("#Metadata!", ADDRESS(INDEX($Q$2:$Q$1001,MATCH(ROWS($O$2:O923),$O$2:$O$1001,0),0), INDEX($V$1004:$AE$1004,1,MATCH(COLUMNS($V$1006:Y1006),$V$1006:$AE$1006,0)))),"Fix")))</f>
        <v>0</v>
      </c>
      <c r="F923" s="3">
        <f>IF(OR(INDEX($P$2:$P$1001,MATCH(ROWS($O$2:O923),$O$2:$O$1001,0),1)&gt;=100000,INDEX($V$1005:$AE$1005,1,MATCH(COLUMNS($V$1006:Z1006),$V$1006:$AE$1006,0))&gt;=100000), " ",IF(INDEX($V$2:$AE$1001,MATCH(ROWS($O$2:O923),$O$2:$O$1001,0),MATCH(COLUMNS($V$1006:Z1006),$V$1006:$AE$1006,0)), HYPERLINK("#",""), HYPERLINK(CONCATENATE("#Metadata!", ADDRESS(INDEX($Q$2:$Q$1001,MATCH(ROWS($O$2:O923),$O$2:$O$1001,0),0), INDEX($V$1004:$AE$1004,1,MATCH(COLUMNS($V$1006:Z1006),$V$1006:$AE$1006,0)))),"Fix")))</f>
        <v>0</v>
      </c>
      <c r="G923" s="3">
        <f>IF(OR(INDEX($P$2:$P$1001,MATCH(ROWS($O$2:O923),$O$2:$O$1001,0),1)&gt;=100000,INDEX($V$1005:$AE$1005,1,MATCH(COLUMNS($V$1006:AA1006),$V$1006:$AE$1006,0))&gt;=100000), " ",IF(INDEX($V$2:$AE$1001,MATCH(ROWS($O$2:O923),$O$2:$O$1001,0),MATCH(COLUMNS($V$1006:AA1006),$V$1006:$AE$1006,0)), HYPERLINK("#",""), HYPERLINK(CONCATENATE("#Metadata!", ADDRESS(INDEX($Q$2:$Q$1001,MATCH(ROWS($O$2:O923),$O$2:$O$1001,0),0), INDEX($V$1004:$AE$1004,1,MATCH(COLUMNS($V$1006:AA1006),$V$1006:$AE$1006,0)))),"Fix")))</f>
        <v>0</v>
      </c>
      <c r="H923" s="3">
        <f>IF(OR(INDEX($P$2:$P$1001,MATCH(ROWS($O$2:O923),$O$2:$O$1001,0),1)&gt;=100000,INDEX($V$1005:$AE$1005,1,MATCH(COLUMNS($V$1006:AB1006),$V$1006:$AE$1006,0))&gt;=100000), " ",IF(INDEX($V$2:$AE$1001,MATCH(ROWS($O$2:O923),$O$2:$O$1001,0),MATCH(COLUMNS($V$1006:AB1006),$V$1006:$AE$1006,0)), HYPERLINK("#",""), HYPERLINK(CONCATENATE("#Metadata!", ADDRESS(INDEX($Q$2:$Q$1001,MATCH(ROWS($O$2:O923),$O$2:$O$1001,0),0), INDEX($V$1004:$AE$1004,1,MATCH(COLUMNS($V$1006:AB1006),$V$1006:$AE$1006,0)))),"Fix")))</f>
        <v>0</v>
      </c>
      <c r="I923" s="3">
        <f>IF(OR(INDEX($P$2:$P$1001,MATCH(ROWS($O$2:O923),$O$2:$O$1001,0),1)&gt;=100000,INDEX($V$1005:$AE$1005,1,MATCH(COLUMNS($V$1006:AC1006),$V$1006:$AE$1006,0))&gt;=100000), " ",IF(INDEX($V$2:$AE$1001,MATCH(ROWS($O$2:O923),$O$2:$O$1001,0),MATCH(COLUMNS($V$1006:AC1006),$V$1006:$AE$1006,0)), HYPERLINK("#",""), HYPERLINK(CONCATENATE("#Metadata!", ADDRESS(INDEX($Q$2:$Q$1001,MATCH(ROWS($O$2:O923),$O$2:$O$1001,0),0), INDEX($V$1004:$AE$1004,1,MATCH(COLUMNS($V$1006:AC1006),$V$1006:$AE$1006,0)))),"Fix")))</f>
        <v>0</v>
      </c>
      <c r="J923" s="3">
        <f>IF(OR(INDEX($P$2:$P$1001,MATCH(ROWS($O$2:O923),$O$2:$O$1001,0),1)&gt;=100000,INDEX($V$1005:$AE$1005,1,MATCH(COLUMNS($V$1006:AD1006),$V$1006:$AE$1006,0))&gt;=100000), " ",IF(INDEX($V$2:$AE$1001,MATCH(ROWS($O$2:O923),$O$2:$O$1001,0),MATCH(COLUMNS($V$1006:AD1006),$V$1006:$AE$1006,0)), HYPERLINK("#",""), HYPERLINK(CONCATENATE("#Metadata!", ADDRESS(INDEX($Q$2:$Q$1001,MATCH(ROWS($O$2:O923),$O$2:$O$1001,0),0), INDEX($V$1004:$AE$1004,1,MATCH(COLUMNS($V$1006:AD1006),$V$1006:$AE$1006,0)))),"Fix")))</f>
        <v>0</v>
      </c>
      <c r="K923" s="3">
        <f>IF(OR(INDEX($P$2:$P$1001,MATCH(ROWS($O$2:O923),$O$2:$O$1001,0),1)&gt;=100000,INDEX($V$1005:$AE$1005,1,MATCH(COLUMNS($V$1006:AE1006),$V$1006:$AE$1006,0))&gt;=100000), " ",IF(INDEX($V$2:$AE$1001,MATCH(ROWS($O$2:O923),$O$2:$O$1001,0),MATCH(COLUMNS($V$1006:AE1006),$V$1006:$AE$1006,0)), HYPERLINK("#",""), HYPERLINK(CONCATENATE("#Metadata!", ADDRESS(INDEX($Q$2:$Q$1001,MATCH(ROWS($O$2:O923),$O$2:$O$1001,0),0), INDEX($V$1004:$AE$1004,1,MATCH(COLUMNS($V$1006:AE1006),$V$1006:$AE$1006,0)))),"Fix")))</f>
        <v>0</v>
      </c>
      <c r="O923">
        <v>0</v>
      </c>
      <c r="P923">
        <v>0</v>
      </c>
      <c r="Q923">
        <v>0</v>
      </c>
      <c r="R923">
        <f>IF(S923,TRUE,AND(V923:AE923))</f>
        <v>0</v>
      </c>
      <c r="S923">
        <f>COUNTBLANK(Metadata!B923:K923)=COLUMNS(Metadata!B923:K923)</f>
        <v>0</v>
      </c>
      <c r="T923">
        <v>0</v>
      </c>
      <c r="V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W923">
        <f>AND(IF(Metadata!C923="",FALSE,TRUE),exact(Metadata!C923,"animal secretion"))</f>
        <v>0</v>
      </c>
      <c r="X923">
        <f>AND(IF(Metadata!D923="",FALSE,TRUE),exact(Metadata!D923,"saliva"))</f>
        <v>0</v>
      </c>
      <c r="Y923">
        <f>AND(IF(Metadata!E923="",FALSE,TRUE),exact(Metadata!E923,"human-oral"))</f>
        <v>0</v>
      </c>
      <c r="Z923">
        <f>AND(IF(Metadata!F923="",FALSE,TRUE),exact(Metadata!F923,"UBERON:oral cavity"))</f>
        <v>0</v>
      </c>
      <c r="AA923">
        <f>AND(IF(Metadata!G923="",FALSE,TRUE),exact(Metadata!G923,"UBERON:saliva"))</f>
        <v>0</v>
      </c>
      <c r="AB923">
        <f>AND(IF(Metadata!H923="",FALSE,TRUE),exact(Metadata!H923,"UBERON:tongue"))</f>
        <v>0</v>
      </c>
      <c r="AC923">
        <f>AND(IF(Metadata!I923="",FALSE,TRUE),exact(Metadata!I923,"tongue"))</f>
        <v>0</v>
      </c>
      <c r="AD923">
        <f>AND(IF(Metadata!J923="",FALSE,TRUE),exact(Metadata!J923,"human oral metagenome"))</f>
        <v>0</v>
      </c>
      <c r="AE923">
        <f>AND(IF(Metadata!K923="",FALSE,TRUE),exact(Metadata!K923,"447426"))</f>
        <v>0</v>
      </c>
    </row>
    <row r="924" spans="1:31">
      <c r="A924" s="4">
        <f>IF(B924=" "," ",HYPERLINK(CONCATENATE("#metadata!",ADDRESS(INDEX($Q$2:$Q$1001,MATCH(ROWS($O$2:O924),$O$2:$O$1001,0),0),1)),INDEX($T$2:$T$1001,MATCH(ROWS($O$2:O924),$O$2:$O$1001,0),0)))</f>
        <v>0</v>
      </c>
      <c r="B924" s="3">
        <f>IF(OR(INDEX($P$2:$P$1001,MATCH(ROWS($O$2:O924),$O$2:$O$1001,0),1)&gt;=100000,INDEX($V$1005:$AE$1005,1,MATCH(COLUMNS($V$1006:V1006),$V$1006:$AE$1006,0))&gt;=100000), " ",IF(INDEX($V$2:$AE$1001,MATCH(ROWS($O$2:O924),$O$2:$O$1001,0),MATCH(COLUMNS($V$1006:V1006),$V$1006:$AE$1006,0)), HYPERLINK("#",""), HYPERLINK(CONCATENATE("#Metadata!", ADDRESS(INDEX($Q$2:$Q$1001,MATCH(ROWS($O$2:O924),$O$2:$O$1001,0),0), INDEX($V$1004:$AE$1004,1,MATCH(COLUMNS($V$1006:V1006),$V$1006:$AE$1006,0)))),"Fix")))</f>
        <v>0</v>
      </c>
      <c r="C924" s="3">
        <f>IF(OR(INDEX($P$2:$P$1001,MATCH(ROWS($O$2:O924),$O$2:$O$1001,0),1)&gt;=100000,INDEX($V$1005:$AE$1005,1,MATCH(COLUMNS($V$1006:W1006),$V$1006:$AE$1006,0))&gt;=100000), " ",IF(INDEX($V$2:$AE$1001,MATCH(ROWS($O$2:O924),$O$2:$O$1001,0),MATCH(COLUMNS($V$1006:W1006),$V$1006:$AE$1006,0)), HYPERLINK("#",""), HYPERLINK(CONCATENATE("#Metadata!", ADDRESS(INDEX($Q$2:$Q$1001,MATCH(ROWS($O$2:O924),$O$2:$O$1001,0),0), INDEX($V$1004:$AE$1004,1,MATCH(COLUMNS($V$1006:W1006),$V$1006:$AE$1006,0)))),"Fix")))</f>
        <v>0</v>
      </c>
      <c r="D924" s="3">
        <f>IF(OR(INDEX($P$2:$P$1001,MATCH(ROWS($O$2:O924),$O$2:$O$1001,0),1)&gt;=100000,INDEX($V$1005:$AE$1005,1,MATCH(COLUMNS($V$1006:X1006),$V$1006:$AE$1006,0))&gt;=100000), " ",IF(INDEX($V$2:$AE$1001,MATCH(ROWS($O$2:O924),$O$2:$O$1001,0),MATCH(COLUMNS($V$1006:X1006),$V$1006:$AE$1006,0)), HYPERLINK("#",""), HYPERLINK(CONCATENATE("#Metadata!", ADDRESS(INDEX($Q$2:$Q$1001,MATCH(ROWS($O$2:O924),$O$2:$O$1001,0),0), INDEX($V$1004:$AE$1004,1,MATCH(COLUMNS($V$1006:X1006),$V$1006:$AE$1006,0)))),"Fix")))</f>
        <v>0</v>
      </c>
      <c r="E924" s="3">
        <f>IF(OR(INDEX($P$2:$P$1001,MATCH(ROWS($O$2:O924),$O$2:$O$1001,0),1)&gt;=100000,INDEX($V$1005:$AE$1005,1,MATCH(COLUMNS($V$1006:Y1006),$V$1006:$AE$1006,0))&gt;=100000), " ",IF(INDEX($V$2:$AE$1001,MATCH(ROWS($O$2:O924),$O$2:$O$1001,0),MATCH(COLUMNS($V$1006:Y1006),$V$1006:$AE$1006,0)), HYPERLINK("#",""), HYPERLINK(CONCATENATE("#Metadata!", ADDRESS(INDEX($Q$2:$Q$1001,MATCH(ROWS($O$2:O924),$O$2:$O$1001,0),0), INDEX($V$1004:$AE$1004,1,MATCH(COLUMNS($V$1006:Y1006),$V$1006:$AE$1006,0)))),"Fix")))</f>
        <v>0</v>
      </c>
      <c r="F924" s="3">
        <f>IF(OR(INDEX($P$2:$P$1001,MATCH(ROWS($O$2:O924),$O$2:$O$1001,0),1)&gt;=100000,INDEX($V$1005:$AE$1005,1,MATCH(COLUMNS($V$1006:Z1006),$V$1006:$AE$1006,0))&gt;=100000), " ",IF(INDEX($V$2:$AE$1001,MATCH(ROWS($O$2:O924),$O$2:$O$1001,0),MATCH(COLUMNS($V$1006:Z1006),$V$1006:$AE$1006,0)), HYPERLINK("#",""), HYPERLINK(CONCATENATE("#Metadata!", ADDRESS(INDEX($Q$2:$Q$1001,MATCH(ROWS($O$2:O924),$O$2:$O$1001,0),0), INDEX($V$1004:$AE$1004,1,MATCH(COLUMNS($V$1006:Z1006),$V$1006:$AE$1006,0)))),"Fix")))</f>
        <v>0</v>
      </c>
      <c r="G924" s="3">
        <f>IF(OR(INDEX($P$2:$P$1001,MATCH(ROWS($O$2:O924),$O$2:$O$1001,0),1)&gt;=100000,INDEX($V$1005:$AE$1005,1,MATCH(COLUMNS($V$1006:AA1006),$V$1006:$AE$1006,0))&gt;=100000), " ",IF(INDEX($V$2:$AE$1001,MATCH(ROWS($O$2:O924),$O$2:$O$1001,0),MATCH(COLUMNS($V$1006:AA1006),$V$1006:$AE$1006,0)), HYPERLINK("#",""), HYPERLINK(CONCATENATE("#Metadata!", ADDRESS(INDEX($Q$2:$Q$1001,MATCH(ROWS($O$2:O924),$O$2:$O$1001,0),0), INDEX($V$1004:$AE$1004,1,MATCH(COLUMNS($V$1006:AA1006),$V$1006:$AE$1006,0)))),"Fix")))</f>
        <v>0</v>
      </c>
      <c r="H924" s="3">
        <f>IF(OR(INDEX($P$2:$P$1001,MATCH(ROWS($O$2:O924),$O$2:$O$1001,0),1)&gt;=100000,INDEX($V$1005:$AE$1005,1,MATCH(COLUMNS($V$1006:AB1006),$V$1006:$AE$1006,0))&gt;=100000), " ",IF(INDEX($V$2:$AE$1001,MATCH(ROWS($O$2:O924),$O$2:$O$1001,0),MATCH(COLUMNS($V$1006:AB1006),$V$1006:$AE$1006,0)), HYPERLINK("#",""), HYPERLINK(CONCATENATE("#Metadata!", ADDRESS(INDEX($Q$2:$Q$1001,MATCH(ROWS($O$2:O924),$O$2:$O$1001,0),0), INDEX($V$1004:$AE$1004,1,MATCH(COLUMNS($V$1006:AB1006),$V$1006:$AE$1006,0)))),"Fix")))</f>
        <v>0</v>
      </c>
      <c r="I924" s="3">
        <f>IF(OR(INDEX($P$2:$P$1001,MATCH(ROWS($O$2:O924),$O$2:$O$1001,0),1)&gt;=100000,INDEX($V$1005:$AE$1005,1,MATCH(COLUMNS($V$1006:AC1006),$V$1006:$AE$1006,0))&gt;=100000), " ",IF(INDEX($V$2:$AE$1001,MATCH(ROWS($O$2:O924),$O$2:$O$1001,0),MATCH(COLUMNS($V$1006:AC1006),$V$1006:$AE$1006,0)), HYPERLINK("#",""), HYPERLINK(CONCATENATE("#Metadata!", ADDRESS(INDEX($Q$2:$Q$1001,MATCH(ROWS($O$2:O924),$O$2:$O$1001,0),0), INDEX($V$1004:$AE$1004,1,MATCH(COLUMNS($V$1006:AC1006),$V$1006:$AE$1006,0)))),"Fix")))</f>
        <v>0</v>
      </c>
      <c r="J924" s="3">
        <f>IF(OR(INDEX($P$2:$P$1001,MATCH(ROWS($O$2:O924),$O$2:$O$1001,0),1)&gt;=100000,INDEX($V$1005:$AE$1005,1,MATCH(COLUMNS($V$1006:AD1006),$V$1006:$AE$1006,0))&gt;=100000), " ",IF(INDEX($V$2:$AE$1001,MATCH(ROWS($O$2:O924),$O$2:$O$1001,0),MATCH(COLUMNS($V$1006:AD1006),$V$1006:$AE$1006,0)), HYPERLINK("#",""), HYPERLINK(CONCATENATE("#Metadata!", ADDRESS(INDEX($Q$2:$Q$1001,MATCH(ROWS($O$2:O924),$O$2:$O$1001,0),0), INDEX($V$1004:$AE$1004,1,MATCH(COLUMNS($V$1006:AD1006),$V$1006:$AE$1006,0)))),"Fix")))</f>
        <v>0</v>
      </c>
      <c r="K924" s="3">
        <f>IF(OR(INDEX($P$2:$P$1001,MATCH(ROWS($O$2:O924),$O$2:$O$1001,0),1)&gt;=100000,INDEX($V$1005:$AE$1005,1,MATCH(COLUMNS($V$1006:AE1006),$V$1006:$AE$1006,0))&gt;=100000), " ",IF(INDEX($V$2:$AE$1001,MATCH(ROWS($O$2:O924),$O$2:$O$1001,0),MATCH(COLUMNS($V$1006:AE1006),$V$1006:$AE$1006,0)), HYPERLINK("#",""), HYPERLINK(CONCATENATE("#Metadata!", ADDRESS(INDEX($Q$2:$Q$1001,MATCH(ROWS($O$2:O924),$O$2:$O$1001,0),0), INDEX($V$1004:$AE$1004,1,MATCH(COLUMNS($V$1006:AE1006),$V$1006:$AE$1006,0)))),"Fix")))</f>
        <v>0</v>
      </c>
      <c r="O924">
        <v>0</v>
      </c>
      <c r="P924">
        <v>0</v>
      </c>
      <c r="Q924">
        <v>0</v>
      </c>
      <c r="R924">
        <f>IF(S924,TRUE,AND(V924:AE924))</f>
        <v>0</v>
      </c>
      <c r="S924">
        <f>COUNTBLANK(Metadata!B924:K924)=COLUMNS(Metadata!B924:K924)</f>
        <v>0</v>
      </c>
      <c r="T924">
        <v>0</v>
      </c>
      <c r="V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W924">
        <f>AND(IF(Metadata!C924="",FALSE,TRUE),exact(Metadata!C924,"animal secretion"))</f>
        <v>0</v>
      </c>
      <c r="X924">
        <f>AND(IF(Metadata!D924="",FALSE,TRUE),exact(Metadata!D924,"saliva"))</f>
        <v>0</v>
      </c>
      <c r="Y924">
        <f>AND(IF(Metadata!E924="",FALSE,TRUE),exact(Metadata!E924,"human-oral"))</f>
        <v>0</v>
      </c>
      <c r="Z924">
        <f>AND(IF(Metadata!F924="",FALSE,TRUE),exact(Metadata!F924,"UBERON:oral cavity"))</f>
        <v>0</v>
      </c>
      <c r="AA924">
        <f>AND(IF(Metadata!G924="",FALSE,TRUE),exact(Metadata!G924,"UBERON:saliva"))</f>
        <v>0</v>
      </c>
      <c r="AB924">
        <f>AND(IF(Metadata!H924="",FALSE,TRUE),exact(Metadata!H924,"UBERON:tongue"))</f>
        <v>0</v>
      </c>
      <c r="AC924">
        <f>AND(IF(Metadata!I924="",FALSE,TRUE),exact(Metadata!I924,"tongue"))</f>
        <v>0</v>
      </c>
      <c r="AD924">
        <f>AND(IF(Metadata!J924="",FALSE,TRUE),exact(Metadata!J924,"human oral metagenome"))</f>
        <v>0</v>
      </c>
      <c r="AE924">
        <f>AND(IF(Metadata!K924="",FALSE,TRUE),exact(Metadata!K924,"447426"))</f>
        <v>0</v>
      </c>
    </row>
    <row r="925" spans="1:31">
      <c r="A925" s="4">
        <f>IF(B925=" "," ",HYPERLINK(CONCATENATE("#metadata!",ADDRESS(INDEX($Q$2:$Q$1001,MATCH(ROWS($O$2:O925),$O$2:$O$1001,0),0),1)),INDEX($T$2:$T$1001,MATCH(ROWS($O$2:O925),$O$2:$O$1001,0),0)))</f>
        <v>0</v>
      </c>
      <c r="B925" s="3">
        <f>IF(OR(INDEX($P$2:$P$1001,MATCH(ROWS($O$2:O925),$O$2:$O$1001,0),1)&gt;=100000,INDEX($V$1005:$AE$1005,1,MATCH(COLUMNS($V$1006:V1006),$V$1006:$AE$1006,0))&gt;=100000), " ",IF(INDEX($V$2:$AE$1001,MATCH(ROWS($O$2:O925),$O$2:$O$1001,0),MATCH(COLUMNS($V$1006:V1006),$V$1006:$AE$1006,0)), HYPERLINK("#",""), HYPERLINK(CONCATENATE("#Metadata!", ADDRESS(INDEX($Q$2:$Q$1001,MATCH(ROWS($O$2:O925),$O$2:$O$1001,0),0), INDEX($V$1004:$AE$1004,1,MATCH(COLUMNS($V$1006:V1006),$V$1006:$AE$1006,0)))),"Fix")))</f>
        <v>0</v>
      </c>
      <c r="C925" s="3">
        <f>IF(OR(INDEX($P$2:$P$1001,MATCH(ROWS($O$2:O925),$O$2:$O$1001,0),1)&gt;=100000,INDEX($V$1005:$AE$1005,1,MATCH(COLUMNS($V$1006:W1006),$V$1006:$AE$1006,0))&gt;=100000), " ",IF(INDEX($V$2:$AE$1001,MATCH(ROWS($O$2:O925),$O$2:$O$1001,0),MATCH(COLUMNS($V$1006:W1006),$V$1006:$AE$1006,0)), HYPERLINK("#",""), HYPERLINK(CONCATENATE("#Metadata!", ADDRESS(INDEX($Q$2:$Q$1001,MATCH(ROWS($O$2:O925),$O$2:$O$1001,0),0), INDEX($V$1004:$AE$1004,1,MATCH(COLUMNS($V$1006:W1006),$V$1006:$AE$1006,0)))),"Fix")))</f>
        <v>0</v>
      </c>
      <c r="D925" s="3">
        <f>IF(OR(INDEX($P$2:$P$1001,MATCH(ROWS($O$2:O925),$O$2:$O$1001,0),1)&gt;=100000,INDEX($V$1005:$AE$1005,1,MATCH(COLUMNS($V$1006:X1006),$V$1006:$AE$1006,0))&gt;=100000), " ",IF(INDEX($V$2:$AE$1001,MATCH(ROWS($O$2:O925),$O$2:$O$1001,0),MATCH(COLUMNS($V$1006:X1006),$V$1006:$AE$1006,0)), HYPERLINK("#",""), HYPERLINK(CONCATENATE("#Metadata!", ADDRESS(INDEX($Q$2:$Q$1001,MATCH(ROWS($O$2:O925),$O$2:$O$1001,0),0), INDEX($V$1004:$AE$1004,1,MATCH(COLUMNS($V$1006:X1006),$V$1006:$AE$1006,0)))),"Fix")))</f>
        <v>0</v>
      </c>
      <c r="E925" s="3">
        <f>IF(OR(INDEX($P$2:$P$1001,MATCH(ROWS($O$2:O925),$O$2:$O$1001,0),1)&gt;=100000,INDEX($V$1005:$AE$1005,1,MATCH(COLUMNS($V$1006:Y1006),$V$1006:$AE$1006,0))&gt;=100000), " ",IF(INDEX($V$2:$AE$1001,MATCH(ROWS($O$2:O925),$O$2:$O$1001,0),MATCH(COLUMNS($V$1006:Y1006),$V$1006:$AE$1006,0)), HYPERLINK("#",""), HYPERLINK(CONCATENATE("#Metadata!", ADDRESS(INDEX($Q$2:$Q$1001,MATCH(ROWS($O$2:O925),$O$2:$O$1001,0),0), INDEX($V$1004:$AE$1004,1,MATCH(COLUMNS($V$1006:Y1006),$V$1006:$AE$1006,0)))),"Fix")))</f>
        <v>0</v>
      </c>
      <c r="F925" s="3">
        <f>IF(OR(INDEX($P$2:$P$1001,MATCH(ROWS($O$2:O925),$O$2:$O$1001,0),1)&gt;=100000,INDEX($V$1005:$AE$1005,1,MATCH(COLUMNS($V$1006:Z1006),$V$1006:$AE$1006,0))&gt;=100000), " ",IF(INDEX($V$2:$AE$1001,MATCH(ROWS($O$2:O925),$O$2:$O$1001,0),MATCH(COLUMNS($V$1006:Z1006),$V$1006:$AE$1006,0)), HYPERLINK("#",""), HYPERLINK(CONCATENATE("#Metadata!", ADDRESS(INDEX($Q$2:$Q$1001,MATCH(ROWS($O$2:O925),$O$2:$O$1001,0),0), INDEX($V$1004:$AE$1004,1,MATCH(COLUMNS($V$1006:Z1006),$V$1006:$AE$1006,0)))),"Fix")))</f>
        <v>0</v>
      </c>
      <c r="G925" s="3">
        <f>IF(OR(INDEX($P$2:$P$1001,MATCH(ROWS($O$2:O925),$O$2:$O$1001,0),1)&gt;=100000,INDEX($V$1005:$AE$1005,1,MATCH(COLUMNS($V$1006:AA1006),$V$1006:$AE$1006,0))&gt;=100000), " ",IF(INDEX($V$2:$AE$1001,MATCH(ROWS($O$2:O925),$O$2:$O$1001,0),MATCH(COLUMNS($V$1006:AA1006),$V$1006:$AE$1006,0)), HYPERLINK("#",""), HYPERLINK(CONCATENATE("#Metadata!", ADDRESS(INDEX($Q$2:$Q$1001,MATCH(ROWS($O$2:O925),$O$2:$O$1001,0),0), INDEX($V$1004:$AE$1004,1,MATCH(COLUMNS($V$1006:AA1006),$V$1006:$AE$1006,0)))),"Fix")))</f>
        <v>0</v>
      </c>
      <c r="H925" s="3">
        <f>IF(OR(INDEX($P$2:$P$1001,MATCH(ROWS($O$2:O925),$O$2:$O$1001,0),1)&gt;=100000,INDEX($V$1005:$AE$1005,1,MATCH(COLUMNS($V$1006:AB1006),$V$1006:$AE$1006,0))&gt;=100000), " ",IF(INDEX($V$2:$AE$1001,MATCH(ROWS($O$2:O925),$O$2:$O$1001,0),MATCH(COLUMNS($V$1006:AB1006),$V$1006:$AE$1006,0)), HYPERLINK("#",""), HYPERLINK(CONCATENATE("#Metadata!", ADDRESS(INDEX($Q$2:$Q$1001,MATCH(ROWS($O$2:O925),$O$2:$O$1001,0),0), INDEX($V$1004:$AE$1004,1,MATCH(COLUMNS($V$1006:AB1006),$V$1006:$AE$1006,0)))),"Fix")))</f>
        <v>0</v>
      </c>
      <c r="I925" s="3">
        <f>IF(OR(INDEX($P$2:$P$1001,MATCH(ROWS($O$2:O925),$O$2:$O$1001,0),1)&gt;=100000,INDEX($V$1005:$AE$1005,1,MATCH(COLUMNS($V$1006:AC1006),$V$1006:$AE$1006,0))&gt;=100000), " ",IF(INDEX($V$2:$AE$1001,MATCH(ROWS($O$2:O925),$O$2:$O$1001,0),MATCH(COLUMNS($V$1006:AC1006),$V$1006:$AE$1006,0)), HYPERLINK("#",""), HYPERLINK(CONCATENATE("#Metadata!", ADDRESS(INDEX($Q$2:$Q$1001,MATCH(ROWS($O$2:O925),$O$2:$O$1001,0),0), INDEX($V$1004:$AE$1004,1,MATCH(COLUMNS($V$1006:AC1006),$V$1006:$AE$1006,0)))),"Fix")))</f>
        <v>0</v>
      </c>
      <c r="J925" s="3">
        <f>IF(OR(INDEX($P$2:$P$1001,MATCH(ROWS($O$2:O925),$O$2:$O$1001,0),1)&gt;=100000,INDEX($V$1005:$AE$1005,1,MATCH(COLUMNS($V$1006:AD1006),$V$1006:$AE$1006,0))&gt;=100000), " ",IF(INDEX($V$2:$AE$1001,MATCH(ROWS($O$2:O925),$O$2:$O$1001,0),MATCH(COLUMNS($V$1006:AD1006),$V$1006:$AE$1006,0)), HYPERLINK("#",""), HYPERLINK(CONCATENATE("#Metadata!", ADDRESS(INDEX($Q$2:$Q$1001,MATCH(ROWS($O$2:O925),$O$2:$O$1001,0),0), INDEX($V$1004:$AE$1004,1,MATCH(COLUMNS($V$1006:AD1006),$V$1006:$AE$1006,0)))),"Fix")))</f>
        <v>0</v>
      </c>
      <c r="K925" s="3">
        <f>IF(OR(INDEX($P$2:$P$1001,MATCH(ROWS($O$2:O925),$O$2:$O$1001,0),1)&gt;=100000,INDEX($V$1005:$AE$1005,1,MATCH(COLUMNS($V$1006:AE1006),$V$1006:$AE$1006,0))&gt;=100000), " ",IF(INDEX($V$2:$AE$1001,MATCH(ROWS($O$2:O925),$O$2:$O$1001,0),MATCH(COLUMNS($V$1006:AE1006),$V$1006:$AE$1006,0)), HYPERLINK("#",""), HYPERLINK(CONCATENATE("#Metadata!", ADDRESS(INDEX($Q$2:$Q$1001,MATCH(ROWS($O$2:O925),$O$2:$O$1001,0),0), INDEX($V$1004:$AE$1004,1,MATCH(COLUMNS($V$1006:AE1006),$V$1006:$AE$1006,0)))),"Fix")))</f>
        <v>0</v>
      </c>
      <c r="O925">
        <v>0</v>
      </c>
      <c r="P925">
        <v>0</v>
      </c>
      <c r="Q925">
        <v>0</v>
      </c>
      <c r="R925">
        <f>IF(S925,TRUE,AND(V925:AE925))</f>
        <v>0</v>
      </c>
      <c r="S925">
        <f>COUNTBLANK(Metadata!B925:K925)=COLUMNS(Metadata!B925:K925)</f>
        <v>0</v>
      </c>
      <c r="T925">
        <v>0</v>
      </c>
      <c r="V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W925">
        <f>AND(IF(Metadata!C925="",FALSE,TRUE),exact(Metadata!C925,"animal secretion"))</f>
        <v>0</v>
      </c>
      <c r="X925">
        <f>AND(IF(Metadata!D925="",FALSE,TRUE),exact(Metadata!D925,"saliva"))</f>
        <v>0</v>
      </c>
      <c r="Y925">
        <f>AND(IF(Metadata!E925="",FALSE,TRUE),exact(Metadata!E925,"human-oral"))</f>
        <v>0</v>
      </c>
      <c r="Z925">
        <f>AND(IF(Metadata!F925="",FALSE,TRUE),exact(Metadata!F925,"UBERON:oral cavity"))</f>
        <v>0</v>
      </c>
      <c r="AA925">
        <f>AND(IF(Metadata!G925="",FALSE,TRUE),exact(Metadata!G925,"UBERON:saliva"))</f>
        <v>0</v>
      </c>
      <c r="AB925">
        <f>AND(IF(Metadata!H925="",FALSE,TRUE),exact(Metadata!H925,"UBERON:tongue"))</f>
        <v>0</v>
      </c>
      <c r="AC925">
        <f>AND(IF(Metadata!I925="",FALSE,TRUE),exact(Metadata!I925,"tongue"))</f>
        <v>0</v>
      </c>
      <c r="AD925">
        <f>AND(IF(Metadata!J925="",FALSE,TRUE),exact(Metadata!J925,"human oral metagenome"))</f>
        <v>0</v>
      </c>
      <c r="AE925">
        <f>AND(IF(Metadata!K925="",FALSE,TRUE),exact(Metadata!K925,"447426"))</f>
        <v>0</v>
      </c>
    </row>
    <row r="926" spans="1:31">
      <c r="A926" s="4">
        <f>IF(B926=" "," ",HYPERLINK(CONCATENATE("#metadata!",ADDRESS(INDEX($Q$2:$Q$1001,MATCH(ROWS($O$2:O926),$O$2:$O$1001,0),0),1)),INDEX($T$2:$T$1001,MATCH(ROWS($O$2:O926),$O$2:$O$1001,0),0)))</f>
        <v>0</v>
      </c>
      <c r="B926" s="3">
        <f>IF(OR(INDEX($P$2:$P$1001,MATCH(ROWS($O$2:O926),$O$2:$O$1001,0),1)&gt;=100000,INDEX($V$1005:$AE$1005,1,MATCH(COLUMNS($V$1006:V1006),$V$1006:$AE$1006,0))&gt;=100000), " ",IF(INDEX($V$2:$AE$1001,MATCH(ROWS($O$2:O926),$O$2:$O$1001,0),MATCH(COLUMNS($V$1006:V1006),$V$1006:$AE$1006,0)), HYPERLINK("#",""), HYPERLINK(CONCATENATE("#Metadata!", ADDRESS(INDEX($Q$2:$Q$1001,MATCH(ROWS($O$2:O926),$O$2:$O$1001,0),0), INDEX($V$1004:$AE$1004,1,MATCH(COLUMNS($V$1006:V1006),$V$1006:$AE$1006,0)))),"Fix")))</f>
        <v>0</v>
      </c>
      <c r="C926" s="3">
        <f>IF(OR(INDEX($P$2:$P$1001,MATCH(ROWS($O$2:O926),$O$2:$O$1001,0),1)&gt;=100000,INDEX($V$1005:$AE$1005,1,MATCH(COLUMNS($V$1006:W1006),$V$1006:$AE$1006,0))&gt;=100000), " ",IF(INDEX($V$2:$AE$1001,MATCH(ROWS($O$2:O926),$O$2:$O$1001,0),MATCH(COLUMNS($V$1006:W1006),$V$1006:$AE$1006,0)), HYPERLINK("#",""), HYPERLINK(CONCATENATE("#Metadata!", ADDRESS(INDEX($Q$2:$Q$1001,MATCH(ROWS($O$2:O926),$O$2:$O$1001,0),0), INDEX($V$1004:$AE$1004,1,MATCH(COLUMNS($V$1006:W1006),$V$1006:$AE$1006,0)))),"Fix")))</f>
        <v>0</v>
      </c>
      <c r="D926" s="3">
        <f>IF(OR(INDEX($P$2:$P$1001,MATCH(ROWS($O$2:O926),$O$2:$O$1001,0),1)&gt;=100000,INDEX($V$1005:$AE$1005,1,MATCH(COLUMNS($V$1006:X1006),$V$1006:$AE$1006,0))&gt;=100000), " ",IF(INDEX($V$2:$AE$1001,MATCH(ROWS($O$2:O926),$O$2:$O$1001,0),MATCH(COLUMNS($V$1006:X1006),$V$1006:$AE$1006,0)), HYPERLINK("#",""), HYPERLINK(CONCATENATE("#Metadata!", ADDRESS(INDEX($Q$2:$Q$1001,MATCH(ROWS($O$2:O926),$O$2:$O$1001,0),0), INDEX($V$1004:$AE$1004,1,MATCH(COLUMNS($V$1006:X1006),$V$1006:$AE$1006,0)))),"Fix")))</f>
        <v>0</v>
      </c>
      <c r="E926" s="3">
        <f>IF(OR(INDEX($P$2:$P$1001,MATCH(ROWS($O$2:O926),$O$2:$O$1001,0),1)&gt;=100000,INDEX($V$1005:$AE$1005,1,MATCH(COLUMNS($V$1006:Y1006),$V$1006:$AE$1006,0))&gt;=100000), " ",IF(INDEX($V$2:$AE$1001,MATCH(ROWS($O$2:O926),$O$2:$O$1001,0),MATCH(COLUMNS($V$1006:Y1006),$V$1006:$AE$1006,0)), HYPERLINK("#",""), HYPERLINK(CONCATENATE("#Metadata!", ADDRESS(INDEX($Q$2:$Q$1001,MATCH(ROWS($O$2:O926),$O$2:$O$1001,0),0), INDEX($V$1004:$AE$1004,1,MATCH(COLUMNS($V$1006:Y1006),$V$1006:$AE$1006,0)))),"Fix")))</f>
        <v>0</v>
      </c>
      <c r="F926" s="3">
        <f>IF(OR(INDEX($P$2:$P$1001,MATCH(ROWS($O$2:O926),$O$2:$O$1001,0),1)&gt;=100000,INDEX($V$1005:$AE$1005,1,MATCH(COLUMNS($V$1006:Z1006),$V$1006:$AE$1006,0))&gt;=100000), " ",IF(INDEX($V$2:$AE$1001,MATCH(ROWS($O$2:O926),$O$2:$O$1001,0),MATCH(COLUMNS($V$1006:Z1006),$V$1006:$AE$1006,0)), HYPERLINK("#",""), HYPERLINK(CONCATENATE("#Metadata!", ADDRESS(INDEX($Q$2:$Q$1001,MATCH(ROWS($O$2:O926),$O$2:$O$1001,0),0), INDEX($V$1004:$AE$1004,1,MATCH(COLUMNS($V$1006:Z1006),$V$1006:$AE$1006,0)))),"Fix")))</f>
        <v>0</v>
      </c>
      <c r="G926" s="3">
        <f>IF(OR(INDEX($P$2:$P$1001,MATCH(ROWS($O$2:O926),$O$2:$O$1001,0),1)&gt;=100000,INDEX($V$1005:$AE$1005,1,MATCH(COLUMNS($V$1006:AA1006),$V$1006:$AE$1006,0))&gt;=100000), " ",IF(INDEX($V$2:$AE$1001,MATCH(ROWS($O$2:O926),$O$2:$O$1001,0),MATCH(COLUMNS($V$1006:AA1006),$V$1006:$AE$1006,0)), HYPERLINK("#",""), HYPERLINK(CONCATENATE("#Metadata!", ADDRESS(INDEX($Q$2:$Q$1001,MATCH(ROWS($O$2:O926),$O$2:$O$1001,0),0), INDEX($V$1004:$AE$1004,1,MATCH(COLUMNS($V$1006:AA1006),$V$1006:$AE$1006,0)))),"Fix")))</f>
        <v>0</v>
      </c>
      <c r="H926" s="3">
        <f>IF(OR(INDEX($P$2:$P$1001,MATCH(ROWS($O$2:O926),$O$2:$O$1001,0),1)&gt;=100000,INDEX($V$1005:$AE$1005,1,MATCH(COLUMNS($V$1006:AB1006),$V$1006:$AE$1006,0))&gt;=100000), " ",IF(INDEX($V$2:$AE$1001,MATCH(ROWS($O$2:O926),$O$2:$O$1001,0),MATCH(COLUMNS($V$1006:AB1006),$V$1006:$AE$1006,0)), HYPERLINK("#",""), HYPERLINK(CONCATENATE("#Metadata!", ADDRESS(INDEX($Q$2:$Q$1001,MATCH(ROWS($O$2:O926),$O$2:$O$1001,0),0), INDEX($V$1004:$AE$1004,1,MATCH(COLUMNS($V$1006:AB1006),$V$1006:$AE$1006,0)))),"Fix")))</f>
        <v>0</v>
      </c>
      <c r="I926" s="3">
        <f>IF(OR(INDEX($P$2:$P$1001,MATCH(ROWS($O$2:O926),$O$2:$O$1001,0),1)&gt;=100000,INDEX($V$1005:$AE$1005,1,MATCH(COLUMNS($V$1006:AC1006),$V$1006:$AE$1006,0))&gt;=100000), " ",IF(INDEX($V$2:$AE$1001,MATCH(ROWS($O$2:O926),$O$2:$O$1001,0),MATCH(COLUMNS($V$1006:AC1006),$V$1006:$AE$1006,0)), HYPERLINK("#",""), HYPERLINK(CONCATENATE("#Metadata!", ADDRESS(INDEX($Q$2:$Q$1001,MATCH(ROWS($O$2:O926),$O$2:$O$1001,0),0), INDEX($V$1004:$AE$1004,1,MATCH(COLUMNS($V$1006:AC1006),$V$1006:$AE$1006,0)))),"Fix")))</f>
        <v>0</v>
      </c>
      <c r="J926" s="3">
        <f>IF(OR(INDEX($P$2:$P$1001,MATCH(ROWS($O$2:O926),$O$2:$O$1001,0),1)&gt;=100000,INDEX($V$1005:$AE$1005,1,MATCH(COLUMNS($V$1006:AD1006),$V$1006:$AE$1006,0))&gt;=100000), " ",IF(INDEX($V$2:$AE$1001,MATCH(ROWS($O$2:O926),$O$2:$O$1001,0),MATCH(COLUMNS($V$1006:AD1006),$V$1006:$AE$1006,0)), HYPERLINK("#",""), HYPERLINK(CONCATENATE("#Metadata!", ADDRESS(INDEX($Q$2:$Q$1001,MATCH(ROWS($O$2:O926),$O$2:$O$1001,0),0), INDEX($V$1004:$AE$1004,1,MATCH(COLUMNS($V$1006:AD1006),$V$1006:$AE$1006,0)))),"Fix")))</f>
        <v>0</v>
      </c>
      <c r="K926" s="3">
        <f>IF(OR(INDEX($P$2:$P$1001,MATCH(ROWS($O$2:O926),$O$2:$O$1001,0),1)&gt;=100000,INDEX($V$1005:$AE$1005,1,MATCH(COLUMNS($V$1006:AE1006),$V$1006:$AE$1006,0))&gt;=100000), " ",IF(INDEX($V$2:$AE$1001,MATCH(ROWS($O$2:O926),$O$2:$O$1001,0),MATCH(COLUMNS($V$1006:AE1006),$V$1006:$AE$1006,0)), HYPERLINK("#",""), HYPERLINK(CONCATENATE("#Metadata!", ADDRESS(INDEX($Q$2:$Q$1001,MATCH(ROWS($O$2:O926),$O$2:$O$1001,0),0), INDEX($V$1004:$AE$1004,1,MATCH(COLUMNS($V$1006:AE1006),$V$1006:$AE$1006,0)))),"Fix")))</f>
        <v>0</v>
      </c>
      <c r="O926">
        <v>0</v>
      </c>
      <c r="P926">
        <v>0</v>
      </c>
      <c r="Q926">
        <v>0</v>
      </c>
      <c r="R926">
        <f>IF(S926,TRUE,AND(V926:AE926))</f>
        <v>0</v>
      </c>
      <c r="S926">
        <f>COUNTBLANK(Metadata!B926:K926)=COLUMNS(Metadata!B926:K926)</f>
        <v>0</v>
      </c>
      <c r="T926">
        <v>0</v>
      </c>
      <c r="V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W926">
        <f>AND(IF(Metadata!C926="",FALSE,TRUE),exact(Metadata!C926,"animal secretion"))</f>
        <v>0</v>
      </c>
      <c r="X926">
        <f>AND(IF(Metadata!D926="",FALSE,TRUE),exact(Metadata!D926,"saliva"))</f>
        <v>0</v>
      </c>
      <c r="Y926">
        <f>AND(IF(Metadata!E926="",FALSE,TRUE),exact(Metadata!E926,"human-oral"))</f>
        <v>0</v>
      </c>
      <c r="Z926">
        <f>AND(IF(Metadata!F926="",FALSE,TRUE),exact(Metadata!F926,"UBERON:oral cavity"))</f>
        <v>0</v>
      </c>
      <c r="AA926">
        <f>AND(IF(Metadata!G926="",FALSE,TRUE),exact(Metadata!G926,"UBERON:saliva"))</f>
        <v>0</v>
      </c>
      <c r="AB926">
        <f>AND(IF(Metadata!H926="",FALSE,TRUE),exact(Metadata!H926,"UBERON:tongue"))</f>
        <v>0</v>
      </c>
      <c r="AC926">
        <f>AND(IF(Metadata!I926="",FALSE,TRUE),exact(Metadata!I926,"tongue"))</f>
        <v>0</v>
      </c>
      <c r="AD926">
        <f>AND(IF(Metadata!J926="",FALSE,TRUE),exact(Metadata!J926,"human oral metagenome"))</f>
        <v>0</v>
      </c>
      <c r="AE926">
        <f>AND(IF(Metadata!K926="",FALSE,TRUE),exact(Metadata!K926,"447426"))</f>
        <v>0</v>
      </c>
    </row>
    <row r="927" spans="1:31">
      <c r="A927" s="4">
        <f>IF(B927=" "," ",HYPERLINK(CONCATENATE("#metadata!",ADDRESS(INDEX($Q$2:$Q$1001,MATCH(ROWS($O$2:O927),$O$2:$O$1001,0),0),1)),INDEX($T$2:$T$1001,MATCH(ROWS($O$2:O927),$O$2:$O$1001,0),0)))</f>
        <v>0</v>
      </c>
      <c r="B927" s="3">
        <f>IF(OR(INDEX($P$2:$P$1001,MATCH(ROWS($O$2:O927),$O$2:$O$1001,0),1)&gt;=100000,INDEX($V$1005:$AE$1005,1,MATCH(COLUMNS($V$1006:V1006),$V$1006:$AE$1006,0))&gt;=100000), " ",IF(INDEX($V$2:$AE$1001,MATCH(ROWS($O$2:O927),$O$2:$O$1001,0),MATCH(COLUMNS($V$1006:V1006),$V$1006:$AE$1006,0)), HYPERLINK("#",""), HYPERLINK(CONCATENATE("#Metadata!", ADDRESS(INDEX($Q$2:$Q$1001,MATCH(ROWS($O$2:O927),$O$2:$O$1001,0),0), INDEX($V$1004:$AE$1004,1,MATCH(COLUMNS($V$1006:V1006),$V$1006:$AE$1006,0)))),"Fix")))</f>
        <v>0</v>
      </c>
      <c r="C927" s="3">
        <f>IF(OR(INDEX($P$2:$P$1001,MATCH(ROWS($O$2:O927),$O$2:$O$1001,0),1)&gt;=100000,INDEX($V$1005:$AE$1005,1,MATCH(COLUMNS($V$1006:W1006),$V$1006:$AE$1006,0))&gt;=100000), " ",IF(INDEX($V$2:$AE$1001,MATCH(ROWS($O$2:O927),$O$2:$O$1001,0),MATCH(COLUMNS($V$1006:W1006),$V$1006:$AE$1006,0)), HYPERLINK("#",""), HYPERLINK(CONCATENATE("#Metadata!", ADDRESS(INDEX($Q$2:$Q$1001,MATCH(ROWS($O$2:O927),$O$2:$O$1001,0),0), INDEX($V$1004:$AE$1004,1,MATCH(COLUMNS($V$1006:W1006),$V$1006:$AE$1006,0)))),"Fix")))</f>
        <v>0</v>
      </c>
      <c r="D927" s="3">
        <f>IF(OR(INDEX($P$2:$P$1001,MATCH(ROWS($O$2:O927),$O$2:$O$1001,0),1)&gt;=100000,INDEX($V$1005:$AE$1005,1,MATCH(COLUMNS($V$1006:X1006),$V$1006:$AE$1006,0))&gt;=100000), " ",IF(INDEX($V$2:$AE$1001,MATCH(ROWS($O$2:O927),$O$2:$O$1001,0),MATCH(COLUMNS($V$1006:X1006),$V$1006:$AE$1006,0)), HYPERLINK("#",""), HYPERLINK(CONCATENATE("#Metadata!", ADDRESS(INDEX($Q$2:$Q$1001,MATCH(ROWS($O$2:O927),$O$2:$O$1001,0),0), INDEX($V$1004:$AE$1004,1,MATCH(COLUMNS($V$1006:X1006),$V$1006:$AE$1006,0)))),"Fix")))</f>
        <v>0</v>
      </c>
      <c r="E927" s="3">
        <f>IF(OR(INDEX($P$2:$P$1001,MATCH(ROWS($O$2:O927),$O$2:$O$1001,0),1)&gt;=100000,INDEX($V$1005:$AE$1005,1,MATCH(COLUMNS($V$1006:Y1006),$V$1006:$AE$1006,0))&gt;=100000), " ",IF(INDEX($V$2:$AE$1001,MATCH(ROWS($O$2:O927),$O$2:$O$1001,0),MATCH(COLUMNS($V$1006:Y1006),$V$1006:$AE$1006,0)), HYPERLINK("#",""), HYPERLINK(CONCATENATE("#Metadata!", ADDRESS(INDEX($Q$2:$Q$1001,MATCH(ROWS($O$2:O927),$O$2:$O$1001,0),0), INDEX($V$1004:$AE$1004,1,MATCH(COLUMNS($V$1006:Y1006),$V$1006:$AE$1006,0)))),"Fix")))</f>
        <v>0</v>
      </c>
      <c r="F927" s="3">
        <f>IF(OR(INDEX($P$2:$P$1001,MATCH(ROWS($O$2:O927),$O$2:$O$1001,0),1)&gt;=100000,INDEX($V$1005:$AE$1005,1,MATCH(COLUMNS($V$1006:Z1006),$V$1006:$AE$1006,0))&gt;=100000), " ",IF(INDEX($V$2:$AE$1001,MATCH(ROWS($O$2:O927),$O$2:$O$1001,0),MATCH(COLUMNS($V$1006:Z1006),$V$1006:$AE$1006,0)), HYPERLINK("#",""), HYPERLINK(CONCATENATE("#Metadata!", ADDRESS(INDEX($Q$2:$Q$1001,MATCH(ROWS($O$2:O927),$O$2:$O$1001,0),0), INDEX($V$1004:$AE$1004,1,MATCH(COLUMNS($V$1006:Z1006),$V$1006:$AE$1006,0)))),"Fix")))</f>
        <v>0</v>
      </c>
      <c r="G927" s="3">
        <f>IF(OR(INDEX($P$2:$P$1001,MATCH(ROWS($O$2:O927),$O$2:$O$1001,0),1)&gt;=100000,INDEX($V$1005:$AE$1005,1,MATCH(COLUMNS($V$1006:AA1006),$V$1006:$AE$1006,0))&gt;=100000), " ",IF(INDEX($V$2:$AE$1001,MATCH(ROWS($O$2:O927),$O$2:$O$1001,0),MATCH(COLUMNS($V$1006:AA1006),$V$1006:$AE$1006,0)), HYPERLINK("#",""), HYPERLINK(CONCATENATE("#Metadata!", ADDRESS(INDEX($Q$2:$Q$1001,MATCH(ROWS($O$2:O927),$O$2:$O$1001,0),0), INDEX($V$1004:$AE$1004,1,MATCH(COLUMNS($V$1006:AA1006),$V$1006:$AE$1006,0)))),"Fix")))</f>
        <v>0</v>
      </c>
      <c r="H927" s="3">
        <f>IF(OR(INDEX($P$2:$P$1001,MATCH(ROWS($O$2:O927),$O$2:$O$1001,0),1)&gt;=100000,INDEX($V$1005:$AE$1005,1,MATCH(COLUMNS($V$1006:AB1006),$V$1006:$AE$1006,0))&gt;=100000), " ",IF(INDEX($V$2:$AE$1001,MATCH(ROWS($O$2:O927),$O$2:$O$1001,0),MATCH(COLUMNS($V$1006:AB1006),$V$1006:$AE$1006,0)), HYPERLINK("#",""), HYPERLINK(CONCATENATE("#Metadata!", ADDRESS(INDEX($Q$2:$Q$1001,MATCH(ROWS($O$2:O927),$O$2:$O$1001,0),0), INDEX($V$1004:$AE$1004,1,MATCH(COLUMNS($V$1006:AB1006),$V$1006:$AE$1006,0)))),"Fix")))</f>
        <v>0</v>
      </c>
      <c r="I927" s="3">
        <f>IF(OR(INDEX($P$2:$P$1001,MATCH(ROWS($O$2:O927),$O$2:$O$1001,0),1)&gt;=100000,INDEX($V$1005:$AE$1005,1,MATCH(COLUMNS($V$1006:AC1006),$V$1006:$AE$1006,0))&gt;=100000), " ",IF(INDEX($V$2:$AE$1001,MATCH(ROWS($O$2:O927),$O$2:$O$1001,0),MATCH(COLUMNS($V$1006:AC1006),$V$1006:$AE$1006,0)), HYPERLINK("#",""), HYPERLINK(CONCATENATE("#Metadata!", ADDRESS(INDEX($Q$2:$Q$1001,MATCH(ROWS($O$2:O927),$O$2:$O$1001,0),0), INDEX($V$1004:$AE$1004,1,MATCH(COLUMNS($V$1006:AC1006),$V$1006:$AE$1006,0)))),"Fix")))</f>
        <v>0</v>
      </c>
      <c r="J927" s="3">
        <f>IF(OR(INDEX($P$2:$P$1001,MATCH(ROWS($O$2:O927),$O$2:$O$1001,0),1)&gt;=100000,INDEX($V$1005:$AE$1005,1,MATCH(COLUMNS($V$1006:AD1006),$V$1006:$AE$1006,0))&gt;=100000), " ",IF(INDEX($V$2:$AE$1001,MATCH(ROWS($O$2:O927),$O$2:$O$1001,0),MATCH(COLUMNS($V$1006:AD1006),$V$1006:$AE$1006,0)), HYPERLINK("#",""), HYPERLINK(CONCATENATE("#Metadata!", ADDRESS(INDEX($Q$2:$Q$1001,MATCH(ROWS($O$2:O927),$O$2:$O$1001,0),0), INDEX($V$1004:$AE$1004,1,MATCH(COLUMNS($V$1006:AD1006),$V$1006:$AE$1006,0)))),"Fix")))</f>
        <v>0</v>
      </c>
      <c r="K927" s="3">
        <f>IF(OR(INDEX($P$2:$P$1001,MATCH(ROWS($O$2:O927),$O$2:$O$1001,0),1)&gt;=100000,INDEX($V$1005:$AE$1005,1,MATCH(COLUMNS($V$1006:AE1006),$V$1006:$AE$1006,0))&gt;=100000), " ",IF(INDEX($V$2:$AE$1001,MATCH(ROWS($O$2:O927),$O$2:$O$1001,0),MATCH(COLUMNS($V$1006:AE1006),$V$1006:$AE$1006,0)), HYPERLINK("#",""), HYPERLINK(CONCATENATE("#Metadata!", ADDRESS(INDEX($Q$2:$Q$1001,MATCH(ROWS($O$2:O927),$O$2:$O$1001,0),0), INDEX($V$1004:$AE$1004,1,MATCH(COLUMNS($V$1006:AE1006),$V$1006:$AE$1006,0)))),"Fix")))</f>
        <v>0</v>
      </c>
      <c r="O927">
        <v>0</v>
      </c>
      <c r="P927">
        <v>0</v>
      </c>
      <c r="Q927">
        <v>0</v>
      </c>
      <c r="R927">
        <f>IF(S927,TRUE,AND(V927:AE927))</f>
        <v>0</v>
      </c>
      <c r="S927">
        <f>COUNTBLANK(Metadata!B927:K927)=COLUMNS(Metadata!B927:K927)</f>
        <v>0</v>
      </c>
      <c r="T927">
        <v>0</v>
      </c>
      <c r="V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W927">
        <f>AND(IF(Metadata!C927="",FALSE,TRUE),exact(Metadata!C927,"animal secretion"))</f>
        <v>0</v>
      </c>
      <c r="X927">
        <f>AND(IF(Metadata!D927="",FALSE,TRUE),exact(Metadata!D927,"saliva"))</f>
        <v>0</v>
      </c>
      <c r="Y927">
        <f>AND(IF(Metadata!E927="",FALSE,TRUE),exact(Metadata!E927,"human-oral"))</f>
        <v>0</v>
      </c>
      <c r="Z927">
        <f>AND(IF(Metadata!F927="",FALSE,TRUE),exact(Metadata!F927,"UBERON:oral cavity"))</f>
        <v>0</v>
      </c>
      <c r="AA927">
        <f>AND(IF(Metadata!G927="",FALSE,TRUE),exact(Metadata!G927,"UBERON:saliva"))</f>
        <v>0</v>
      </c>
      <c r="AB927">
        <f>AND(IF(Metadata!H927="",FALSE,TRUE),exact(Metadata!H927,"UBERON:tongue"))</f>
        <v>0</v>
      </c>
      <c r="AC927">
        <f>AND(IF(Metadata!I927="",FALSE,TRUE),exact(Metadata!I927,"tongue"))</f>
        <v>0</v>
      </c>
      <c r="AD927">
        <f>AND(IF(Metadata!J927="",FALSE,TRUE),exact(Metadata!J927,"human oral metagenome"))</f>
        <v>0</v>
      </c>
      <c r="AE927">
        <f>AND(IF(Metadata!K927="",FALSE,TRUE),exact(Metadata!K927,"447426"))</f>
        <v>0</v>
      </c>
    </row>
    <row r="928" spans="1:31">
      <c r="A928" s="4">
        <f>IF(B928=" "," ",HYPERLINK(CONCATENATE("#metadata!",ADDRESS(INDEX($Q$2:$Q$1001,MATCH(ROWS($O$2:O928),$O$2:$O$1001,0),0),1)),INDEX($T$2:$T$1001,MATCH(ROWS($O$2:O928),$O$2:$O$1001,0),0)))</f>
        <v>0</v>
      </c>
      <c r="B928" s="3">
        <f>IF(OR(INDEX($P$2:$P$1001,MATCH(ROWS($O$2:O928),$O$2:$O$1001,0),1)&gt;=100000,INDEX($V$1005:$AE$1005,1,MATCH(COLUMNS($V$1006:V1006),$V$1006:$AE$1006,0))&gt;=100000), " ",IF(INDEX($V$2:$AE$1001,MATCH(ROWS($O$2:O928),$O$2:$O$1001,0),MATCH(COLUMNS($V$1006:V1006),$V$1006:$AE$1006,0)), HYPERLINK("#",""), HYPERLINK(CONCATENATE("#Metadata!", ADDRESS(INDEX($Q$2:$Q$1001,MATCH(ROWS($O$2:O928),$O$2:$O$1001,0),0), INDEX($V$1004:$AE$1004,1,MATCH(COLUMNS($V$1006:V1006),$V$1006:$AE$1006,0)))),"Fix")))</f>
        <v>0</v>
      </c>
      <c r="C928" s="3">
        <f>IF(OR(INDEX($P$2:$P$1001,MATCH(ROWS($O$2:O928),$O$2:$O$1001,0),1)&gt;=100000,INDEX($V$1005:$AE$1005,1,MATCH(COLUMNS($V$1006:W1006),$V$1006:$AE$1006,0))&gt;=100000), " ",IF(INDEX($V$2:$AE$1001,MATCH(ROWS($O$2:O928),$O$2:$O$1001,0),MATCH(COLUMNS($V$1006:W1006),$V$1006:$AE$1006,0)), HYPERLINK("#",""), HYPERLINK(CONCATENATE("#Metadata!", ADDRESS(INDEX($Q$2:$Q$1001,MATCH(ROWS($O$2:O928),$O$2:$O$1001,0),0), INDEX($V$1004:$AE$1004,1,MATCH(COLUMNS($V$1006:W1006),$V$1006:$AE$1006,0)))),"Fix")))</f>
        <v>0</v>
      </c>
      <c r="D928" s="3">
        <f>IF(OR(INDEX($P$2:$P$1001,MATCH(ROWS($O$2:O928),$O$2:$O$1001,0),1)&gt;=100000,INDEX($V$1005:$AE$1005,1,MATCH(COLUMNS($V$1006:X1006),$V$1006:$AE$1006,0))&gt;=100000), " ",IF(INDEX($V$2:$AE$1001,MATCH(ROWS($O$2:O928),$O$2:$O$1001,0),MATCH(COLUMNS($V$1006:X1006),$V$1006:$AE$1006,0)), HYPERLINK("#",""), HYPERLINK(CONCATENATE("#Metadata!", ADDRESS(INDEX($Q$2:$Q$1001,MATCH(ROWS($O$2:O928),$O$2:$O$1001,0),0), INDEX($V$1004:$AE$1004,1,MATCH(COLUMNS($V$1006:X1006),$V$1006:$AE$1006,0)))),"Fix")))</f>
        <v>0</v>
      </c>
      <c r="E928" s="3">
        <f>IF(OR(INDEX($P$2:$P$1001,MATCH(ROWS($O$2:O928),$O$2:$O$1001,0),1)&gt;=100000,INDEX($V$1005:$AE$1005,1,MATCH(COLUMNS($V$1006:Y1006),$V$1006:$AE$1006,0))&gt;=100000), " ",IF(INDEX($V$2:$AE$1001,MATCH(ROWS($O$2:O928),$O$2:$O$1001,0),MATCH(COLUMNS($V$1006:Y1006),$V$1006:$AE$1006,0)), HYPERLINK("#",""), HYPERLINK(CONCATENATE("#Metadata!", ADDRESS(INDEX($Q$2:$Q$1001,MATCH(ROWS($O$2:O928),$O$2:$O$1001,0),0), INDEX($V$1004:$AE$1004,1,MATCH(COLUMNS($V$1006:Y1006),$V$1006:$AE$1006,0)))),"Fix")))</f>
        <v>0</v>
      </c>
      <c r="F928" s="3">
        <f>IF(OR(INDEX($P$2:$P$1001,MATCH(ROWS($O$2:O928),$O$2:$O$1001,0),1)&gt;=100000,INDEX($V$1005:$AE$1005,1,MATCH(COLUMNS($V$1006:Z1006),$V$1006:$AE$1006,0))&gt;=100000), " ",IF(INDEX($V$2:$AE$1001,MATCH(ROWS($O$2:O928),$O$2:$O$1001,0),MATCH(COLUMNS($V$1006:Z1006),$V$1006:$AE$1006,0)), HYPERLINK("#",""), HYPERLINK(CONCATENATE("#Metadata!", ADDRESS(INDEX($Q$2:$Q$1001,MATCH(ROWS($O$2:O928),$O$2:$O$1001,0),0), INDEX($V$1004:$AE$1004,1,MATCH(COLUMNS($V$1006:Z1006),$V$1006:$AE$1006,0)))),"Fix")))</f>
        <v>0</v>
      </c>
      <c r="G928" s="3">
        <f>IF(OR(INDEX($P$2:$P$1001,MATCH(ROWS($O$2:O928),$O$2:$O$1001,0),1)&gt;=100000,INDEX($V$1005:$AE$1005,1,MATCH(COLUMNS($V$1006:AA1006),$V$1006:$AE$1006,0))&gt;=100000), " ",IF(INDEX($V$2:$AE$1001,MATCH(ROWS($O$2:O928),$O$2:$O$1001,0),MATCH(COLUMNS($V$1006:AA1006),$V$1006:$AE$1006,0)), HYPERLINK("#",""), HYPERLINK(CONCATENATE("#Metadata!", ADDRESS(INDEX($Q$2:$Q$1001,MATCH(ROWS($O$2:O928),$O$2:$O$1001,0),0), INDEX($V$1004:$AE$1004,1,MATCH(COLUMNS($V$1006:AA1006),$V$1006:$AE$1006,0)))),"Fix")))</f>
        <v>0</v>
      </c>
      <c r="H928" s="3">
        <f>IF(OR(INDEX($P$2:$P$1001,MATCH(ROWS($O$2:O928),$O$2:$O$1001,0),1)&gt;=100000,INDEX($V$1005:$AE$1005,1,MATCH(COLUMNS($V$1006:AB1006),$V$1006:$AE$1006,0))&gt;=100000), " ",IF(INDEX($V$2:$AE$1001,MATCH(ROWS($O$2:O928),$O$2:$O$1001,0),MATCH(COLUMNS($V$1006:AB1006),$V$1006:$AE$1006,0)), HYPERLINK("#",""), HYPERLINK(CONCATENATE("#Metadata!", ADDRESS(INDEX($Q$2:$Q$1001,MATCH(ROWS($O$2:O928),$O$2:$O$1001,0),0), INDEX($V$1004:$AE$1004,1,MATCH(COLUMNS($V$1006:AB1006),$V$1006:$AE$1006,0)))),"Fix")))</f>
        <v>0</v>
      </c>
      <c r="I928" s="3">
        <f>IF(OR(INDEX($P$2:$P$1001,MATCH(ROWS($O$2:O928),$O$2:$O$1001,0),1)&gt;=100000,INDEX($V$1005:$AE$1005,1,MATCH(COLUMNS($V$1006:AC1006),$V$1006:$AE$1006,0))&gt;=100000), " ",IF(INDEX($V$2:$AE$1001,MATCH(ROWS($O$2:O928),$O$2:$O$1001,0),MATCH(COLUMNS($V$1006:AC1006),$V$1006:$AE$1006,0)), HYPERLINK("#",""), HYPERLINK(CONCATENATE("#Metadata!", ADDRESS(INDEX($Q$2:$Q$1001,MATCH(ROWS($O$2:O928),$O$2:$O$1001,0),0), INDEX($V$1004:$AE$1004,1,MATCH(COLUMNS($V$1006:AC1006),$V$1006:$AE$1006,0)))),"Fix")))</f>
        <v>0</v>
      </c>
      <c r="J928" s="3">
        <f>IF(OR(INDEX($P$2:$P$1001,MATCH(ROWS($O$2:O928),$O$2:$O$1001,0),1)&gt;=100000,INDEX($V$1005:$AE$1005,1,MATCH(COLUMNS($V$1006:AD1006),$V$1006:$AE$1006,0))&gt;=100000), " ",IF(INDEX($V$2:$AE$1001,MATCH(ROWS($O$2:O928),$O$2:$O$1001,0),MATCH(COLUMNS($V$1006:AD1006),$V$1006:$AE$1006,0)), HYPERLINK("#",""), HYPERLINK(CONCATENATE("#Metadata!", ADDRESS(INDEX($Q$2:$Q$1001,MATCH(ROWS($O$2:O928),$O$2:$O$1001,0),0), INDEX($V$1004:$AE$1004,1,MATCH(COLUMNS($V$1006:AD1006),$V$1006:$AE$1006,0)))),"Fix")))</f>
        <v>0</v>
      </c>
      <c r="K928" s="3">
        <f>IF(OR(INDEX($P$2:$P$1001,MATCH(ROWS($O$2:O928),$O$2:$O$1001,0),1)&gt;=100000,INDEX($V$1005:$AE$1005,1,MATCH(COLUMNS($V$1006:AE1006),$V$1006:$AE$1006,0))&gt;=100000), " ",IF(INDEX($V$2:$AE$1001,MATCH(ROWS($O$2:O928),$O$2:$O$1001,0),MATCH(COLUMNS($V$1006:AE1006),$V$1006:$AE$1006,0)), HYPERLINK("#",""), HYPERLINK(CONCATENATE("#Metadata!", ADDRESS(INDEX($Q$2:$Q$1001,MATCH(ROWS($O$2:O928),$O$2:$O$1001,0),0), INDEX($V$1004:$AE$1004,1,MATCH(COLUMNS($V$1006:AE1006),$V$1006:$AE$1006,0)))),"Fix")))</f>
        <v>0</v>
      </c>
      <c r="O928">
        <v>0</v>
      </c>
      <c r="P928">
        <v>0</v>
      </c>
      <c r="Q928">
        <v>0</v>
      </c>
      <c r="R928">
        <f>IF(S928,TRUE,AND(V928:AE928))</f>
        <v>0</v>
      </c>
      <c r="S928">
        <f>COUNTBLANK(Metadata!B928:K928)=COLUMNS(Metadata!B928:K928)</f>
        <v>0</v>
      </c>
      <c r="T928">
        <v>0</v>
      </c>
      <c r="V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W928">
        <f>AND(IF(Metadata!C928="",FALSE,TRUE),exact(Metadata!C928,"animal secretion"))</f>
        <v>0</v>
      </c>
      <c r="X928">
        <f>AND(IF(Metadata!D928="",FALSE,TRUE),exact(Metadata!D928,"saliva"))</f>
        <v>0</v>
      </c>
      <c r="Y928">
        <f>AND(IF(Metadata!E928="",FALSE,TRUE),exact(Metadata!E928,"human-oral"))</f>
        <v>0</v>
      </c>
      <c r="Z928">
        <f>AND(IF(Metadata!F928="",FALSE,TRUE),exact(Metadata!F928,"UBERON:oral cavity"))</f>
        <v>0</v>
      </c>
      <c r="AA928">
        <f>AND(IF(Metadata!G928="",FALSE,TRUE),exact(Metadata!G928,"UBERON:saliva"))</f>
        <v>0</v>
      </c>
      <c r="AB928">
        <f>AND(IF(Metadata!H928="",FALSE,TRUE),exact(Metadata!H928,"UBERON:tongue"))</f>
        <v>0</v>
      </c>
      <c r="AC928">
        <f>AND(IF(Metadata!I928="",FALSE,TRUE),exact(Metadata!I928,"tongue"))</f>
        <v>0</v>
      </c>
      <c r="AD928">
        <f>AND(IF(Metadata!J928="",FALSE,TRUE),exact(Metadata!J928,"human oral metagenome"))</f>
        <v>0</v>
      </c>
      <c r="AE928">
        <f>AND(IF(Metadata!K928="",FALSE,TRUE),exact(Metadata!K928,"447426"))</f>
        <v>0</v>
      </c>
    </row>
    <row r="929" spans="1:31">
      <c r="A929" s="4">
        <f>IF(B929=" "," ",HYPERLINK(CONCATENATE("#metadata!",ADDRESS(INDEX($Q$2:$Q$1001,MATCH(ROWS($O$2:O929),$O$2:$O$1001,0),0),1)),INDEX($T$2:$T$1001,MATCH(ROWS($O$2:O929),$O$2:$O$1001,0),0)))</f>
        <v>0</v>
      </c>
      <c r="B929" s="3">
        <f>IF(OR(INDEX($P$2:$P$1001,MATCH(ROWS($O$2:O929),$O$2:$O$1001,0),1)&gt;=100000,INDEX($V$1005:$AE$1005,1,MATCH(COLUMNS($V$1006:V1006),$V$1006:$AE$1006,0))&gt;=100000), " ",IF(INDEX($V$2:$AE$1001,MATCH(ROWS($O$2:O929),$O$2:$O$1001,0),MATCH(COLUMNS($V$1006:V1006),$V$1006:$AE$1006,0)), HYPERLINK("#",""), HYPERLINK(CONCATENATE("#Metadata!", ADDRESS(INDEX($Q$2:$Q$1001,MATCH(ROWS($O$2:O929),$O$2:$O$1001,0),0), INDEX($V$1004:$AE$1004,1,MATCH(COLUMNS($V$1006:V1006),$V$1006:$AE$1006,0)))),"Fix")))</f>
        <v>0</v>
      </c>
      <c r="C929" s="3">
        <f>IF(OR(INDEX($P$2:$P$1001,MATCH(ROWS($O$2:O929),$O$2:$O$1001,0),1)&gt;=100000,INDEX($V$1005:$AE$1005,1,MATCH(COLUMNS($V$1006:W1006),$V$1006:$AE$1006,0))&gt;=100000), " ",IF(INDEX($V$2:$AE$1001,MATCH(ROWS($O$2:O929),$O$2:$O$1001,0),MATCH(COLUMNS($V$1006:W1006),$V$1006:$AE$1006,0)), HYPERLINK("#",""), HYPERLINK(CONCATENATE("#Metadata!", ADDRESS(INDEX($Q$2:$Q$1001,MATCH(ROWS($O$2:O929),$O$2:$O$1001,0),0), INDEX($V$1004:$AE$1004,1,MATCH(COLUMNS($V$1006:W1006),$V$1006:$AE$1006,0)))),"Fix")))</f>
        <v>0</v>
      </c>
      <c r="D929" s="3">
        <f>IF(OR(INDEX($P$2:$P$1001,MATCH(ROWS($O$2:O929),$O$2:$O$1001,0),1)&gt;=100000,INDEX($V$1005:$AE$1005,1,MATCH(COLUMNS($V$1006:X1006),$V$1006:$AE$1006,0))&gt;=100000), " ",IF(INDEX($V$2:$AE$1001,MATCH(ROWS($O$2:O929),$O$2:$O$1001,0),MATCH(COLUMNS($V$1006:X1006),$V$1006:$AE$1006,0)), HYPERLINK("#",""), HYPERLINK(CONCATENATE("#Metadata!", ADDRESS(INDEX($Q$2:$Q$1001,MATCH(ROWS($O$2:O929),$O$2:$O$1001,0),0), INDEX($V$1004:$AE$1004,1,MATCH(COLUMNS($V$1006:X1006),$V$1006:$AE$1006,0)))),"Fix")))</f>
        <v>0</v>
      </c>
      <c r="E929" s="3">
        <f>IF(OR(INDEX($P$2:$P$1001,MATCH(ROWS($O$2:O929),$O$2:$O$1001,0),1)&gt;=100000,INDEX($V$1005:$AE$1005,1,MATCH(COLUMNS($V$1006:Y1006),$V$1006:$AE$1006,0))&gt;=100000), " ",IF(INDEX($V$2:$AE$1001,MATCH(ROWS($O$2:O929),$O$2:$O$1001,0),MATCH(COLUMNS($V$1006:Y1006),$V$1006:$AE$1006,0)), HYPERLINK("#",""), HYPERLINK(CONCATENATE("#Metadata!", ADDRESS(INDEX($Q$2:$Q$1001,MATCH(ROWS($O$2:O929),$O$2:$O$1001,0),0), INDEX($V$1004:$AE$1004,1,MATCH(COLUMNS($V$1006:Y1006),$V$1006:$AE$1006,0)))),"Fix")))</f>
        <v>0</v>
      </c>
      <c r="F929" s="3">
        <f>IF(OR(INDEX($P$2:$P$1001,MATCH(ROWS($O$2:O929),$O$2:$O$1001,0),1)&gt;=100000,INDEX($V$1005:$AE$1005,1,MATCH(COLUMNS($V$1006:Z1006),$V$1006:$AE$1006,0))&gt;=100000), " ",IF(INDEX($V$2:$AE$1001,MATCH(ROWS($O$2:O929),$O$2:$O$1001,0),MATCH(COLUMNS($V$1006:Z1006),$V$1006:$AE$1006,0)), HYPERLINK("#",""), HYPERLINK(CONCATENATE("#Metadata!", ADDRESS(INDEX($Q$2:$Q$1001,MATCH(ROWS($O$2:O929),$O$2:$O$1001,0),0), INDEX($V$1004:$AE$1004,1,MATCH(COLUMNS($V$1006:Z1006),$V$1006:$AE$1006,0)))),"Fix")))</f>
        <v>0</v>
      </c>
      <c r="G929" s="3">
        <f>IF(OR(INDEX($P$2:$P$1001,MATCH(ROWS($O$2:O929),$O$2:$O$1001,0),1)&gt;=100000,INDEX($V$1005:$AE$1005,1,MATCH(COLUMNS($V$1006:AA1006),$V$1006:$AE$1006,0))&gt;=100000), " ",IF(INDEX($V$2:$AE$1001,MATCH(ROWS($O$2:O929),$O$2:$O$1001,0),MATCH(COLUMNS($V$1006:AA1006),$V$1006:$AE$1006,0)), HYPERLINK("#",""), HYPERLINK(CONCATENATE("#Metadata!", ADDRESS(INDEX($Q$2:$Q$1001,MATCH(ROWS($O$2:O929),$O$2:$O$1001,0),0), INDEX($V$1004:$AE$1004,1,MATCH(COLUMNS($V$1006:AA1006),$V$1006:$AE$1006,0)))),"Fix")))</f>
        <v>0</v>
      </c>
      <c r="H929" s="3">
        <f>IF(OR(INDEX($P$2:$P$1001,MATCH(ROWS($O$2:O929),$O$2:$O$1001,0),1)&gt;=100000,INDEX($V$1005:$AE$1005,1,MATCH(COLUMNS($V$1006:AB1006),$V$1006:$AE$1006,0))&gt;=100000), " ",IF(INDEX($V$2:$AE$1001,MATCH(ROWS($O$2:O929),$O$2:$O$1001,0),MATCH(COLUMNS($V$1006:AB1006),$V$1006:$AE$1006,0)), HYPERLINK("#",""), HYPERLINK(CONCATENATE("#Metadata!", ADDRESS(INDEX($Q$2:$Q$1001,MATCH(ROWS($O$2:O929),$O$2:$O$1001,0),0), INDEX($V$1004:$AE$1004,1,MATCH(COLUMNS($V$1006:AB1006),$V$1006:$AE$1006,0)))),"Fix")))</f>
        <v>0</v>
      </c>
      <c r="I929" s="3">
        <f>IF(OR(INDEX($P$2:$P$1001,MATCH(ROWS($O$2:O929),$O$2:$O$1001,0),1)&gt;=100000,INDEX($V$1005:$AE$1005,1,MATCH(COLUMNS($V$1006:AC1006),$V$1006:$AE$1006,0))&gt;=100000), " ",IF(INDEX($V$2:$AE$1001,MATCH(ROWS($O$2:O929),$O$2:$O$1001,0),MATCH(COLUMNS($V$1006:AC1006),$V$1006:$AE$1006,0)), HYPERLINK("#",""), HYPERLINK(CONCATENATE("#Metadata!", ADDRESS(INDEX($Q$2:$Q$1001,MATCH(ROWS($O$2:O929),$O$2:$O$1001,0),0), INDEX($V$1004:$AE$1004,1,MATCH(COLUMNS($V$1006:AC1006),$V$1006:$AE$1006,0)))),"Fix")))</f>
        <v>0</v>
      </c>
      <c r="J929" s="3">
        <f>IF(OR(INDEX($P$2:$P$1001,MATCH(ROWS($O$2:O929),$O$2:$O$1001,0),1)&gt;=100000,INDEX($V$1005:$AE$1005,1,MATCH(COLUMNS($V$1006:AD1006),$V$1006:$AE$1006,0))&gt;=100000), " ",IF(INDEX($V$2:$AE$1001,MATCH(ROWS($O$2:O929),$O$2:$O$1001,0),MATCH(COLUMNS($V$1006:AD1006),$V$1006:$AE$1006,0)), HYPERLINK("#",""), HYPERLINK(CONCATENATE("#Metadata!", ADDRESS(INDEX($Q$2:$Q$1001,MATCH(ROWS($O$2:O929),$O$2:$O$1001,0),0), INDEX($V$1004:$AE$1004,1,MATCH(COLUMNS($V$1006:AD1006),$V$1006:$AE$1006,0)))),"Fix")))</f>
        <v>0</v>
      </c>
      <c r="K929" s="3">
        <f>IF(OR(INDEX($P$2:$P$1001,MATCH(ROWS($O$2:O929),$O$2:$O$1001,0),1)&gt;=100000,INDEX($V$1005:$AE$1005,1,MATCH(COLUMNS($V$1006:AE1006),$V$1006:$AE$1006,0))&gt;=100000), " ",IF(INDEX($V$2:$AE$1001,MATCH(ROWS($O$2:O929),$O$2:$O$1001,0),MATCH(COLUMNS($V$1006:AE1006),$V$1006:$AE$1006,0)), HYPERLINK("#",""), HYPERLINK(CONCATENATE("#Metadata!", ADDRESS(INDEX($Q$2:$Q$1001,MATCH(ROWS($O$2:O929),$O$2:$O$1001,0),0), INDEX($V$1004:$AE$1004,1,MATCH(COLUMNS($V$1006:AE1006),$V$1006:$AE$1006,0)))),"Fix")))</f>
        <v>0</v>
      </c>
      <c r="O929">
        <v>0</v>
      </c>
      <c r="P929">
        <v>0</v>
      </c>
      <c r="Q929">
        <v>0</v>
      </c>
      <c r="R929">
        <f>IF(S929,TRUE,AND(V929:AE929))</f>
        <v>0</v>
      </c>
      <c r="S929">
        <f>COUNTBLANK(Metadata!B929:K929)=COLUMNS(Metadata!B929:K929)</f>
        <v>0</v>
      </c>
      <c r="T929">
        <v>0</v>
      </c>
      <c r="V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W929">
        <f>AND(IF(Metadata!C929="",FALSE,TRUE),exact(Metadata!C929,"animal secretion"))</f>
        <v>0</v>
      </c>
      <c r="X929">
        <f>AND(IF(Metadata!D929="",FALSE,TRUE),exact(Metadata!D929,"saliva"))</f>
        <v>0</v>
      </c>
      <c r="Y929">
        <f>AND(IF(Metadata!E929="",FALSE,TRUE),exact(Metadata!E929,"human-oral"))</f>
        <v>0</v>
      </c>
      <c r="Z929">
        <f>AND(IF(Metadata!F929="",FALSE,TRUE),exact(Metadata!F929,"UBERON:oral cavity"))</f>
        <v>0</v>
      </c>
      <c r="AA929">
        <f>AND(IF(Metadata!G929="",FALSE,TRUE),exact(Metadata!G929,"UBERON:saliva"))</f>
        <v>0</v>
      </c>
      <c r="AB929">
        <f>AND(IF(Metadata!H929="",FALSE,TRUE),exact(Metadata!H929,"UBERON:tongue"))</f>
        <v>0</v>
      </c>
      <c r="AC929">
        <f>AND(IF(Metadata!I929="",FALSE,TRUE),exact(Metadata!I929,"tongue"))</f>
        <v>0</v>
      </c>
      <c r="AD929">
        <f>AND(IF(Metadata!J929="",FALSE,TRUE),exact(Metadata!J929,"human oral metagenome"))</f>
        <v>0</v>
      </c>
      <c r="AE929">
        <f>AND(IF(Metadata!K929="",FALSE,TRUE),exact(Metadata!K929,"447426"))</f>
        <v>0</v>
      </c>
    </row>
    <row r="930" spans="1:31">
      <c r="A930" s="4">
        <f>IF(B930=" "," ",HYPERLINK(CONCATENATE("#metadata!",ADDRESS(INDEX($Q$2:$Q$1001,MATCH(ROWS($O$2:O930),$O$2:$O$1001,0),0),1)),INDEX($T$2:$T$1001,MATCH(ROWS($O$2:O930),$O$2:$O$1001,0),0)))</f>
        <v>0</v>
      </c>
      <c r="B930" s="3">
        <f>IF(OR(INDEX($P$2:$P$1001,MATCH(ROWS($O$2:O930),$O$2:$O$1001,0),1)&gt;=100000,INDEX($V$1005:$AE$1005,1,MATCH(COLUMNS($V$1006:V1006),$V$1006:$AE$1006,0))&gt;=100000), " ",IF(INDEX($V$2:$AE$1001,MATCH(ROWS($O$2:O930),$O$2:$O$1001,0),MATCH(COLUMNS($V$1006:V1006),$V$1006:$AE$1006,0)), HYPERLINK("#",""), HYPERLINK(CONCATENATE("#Metadata!", ADDRESS(INDEX($Q$2:$Q$1001,MATCH(ROWS($O$2:O930),$O$2:$O$1001,0),0), INDEX($V$1004:$AE$1004,1,MATCH(COLUMNS($V$1006:V1006),$V$1006:$AE$1006,0)))),"Fix")))</f>
        <v>0</v>
      </c>
      <c r="C930" s="3">
        <f>IF(OR(INDEX($P$2:$P$1001,MATCH(ROWS($O$2:O930),$O$2:$O$1001,0),1)&gt;=100000,INDEX($V$1005:$AE$1005,1,MATCH(COLUMNS($V$1006:W1006),$V$1006:$AE$1006,0))&gt;=100000), " ",IF(INDEX($V$2:$AE$1001,MATCH(ROWS($O$2:O930),$O$2:$O$1001,0),MATCH(COLUMNS($V$1006:W1006),$V$1006:$AE$1006,0)), HYPERLINK("#",""), HYPERLINK(CONCATENATE("#Metadata!", ADDRESS(INDEX($Q$2:$Q$1001,MATCH(ROWS($O$2:O930),$O$2:$O$1001,0),0), INDEX($V$1004:$AE$1004,1,MATCH(COLUMNS($V$1006:W1006),$V$1006:$AE$1006,0)))),"Fix")))</f>
        <v>0</v>
      </c>
      <c r="D930" s="3">
        <f>IF(OR(INDEX($P$2:$P$1001,MATCH(ROWS($O$2:O930),$O$2:$O$1001,0),1)&gt;=100000,INDEX($V$1005:$AE$1005,1,MATCH(COLUMNS($V$1006:X1006),$V$1006:$AE$1006,0))&gt;=100000), " ",IF(INDEX($V$2:$AE$1001,MATCH(ROWS($O$2:O930),$O$2:$O$1001,0),MATCH(COLUMNS($V$1006:X1006),$V$1006:$AE$1006,0)), HYPERLINK("#",""), HYPERLINK(CONCATENATE("#Metadata!", ADDRESS(INDEX($Q$2:$Q$1001,MATCH(ROWS($O$2:O930),$O$2:$O$1001,0),0), INDEX($V$1004:$AE$1004,1,MATCH(COLUMNS($V$1006:X1006),$V$1006:$AE$1006,0)))),"Fix")))</f>
        <v>0</v>
      </c>
      <c r="E930" s="3">
        <f>IF(OR(INDEX($P$2:$P$1001,MATCH(ROWS($O$2:O930),$O$2:$O$1001,0),1)&gt;=100000,INDEX($V$1005:$AE$1005,1,MATCH(COLUMNS($V$1006:Y1006),$V$1006:$AE$1006,0))&gt;=100000), " ",IF(INDEX($V$2:$AE$1001,MATCH(ROWS($O$2:O930),$O$2:$O$1001,0),MATCH(COLUMNS($V$1006:Y1006),$V$1006:$AE$1006,0)), HYPERLINK("#",""), HYPERLINK(CONCATENATE("#Metadata!", ADDRESS(INDEX($Q$2:$Q$1001,MATCH(ROWS($O$2:O930),$O$2:$O$1001,0),0), INDEX($V$1004:$AE$1004,1,MATCH(COLUMNS($V$1006:Y1006),$V$1006:$AE$1006,0)))),"Fix")))</f>
        <v>0</v>
      </c>
      <c r="F930" s="3">
        <f>IF(OR(INDEX($P$2:$P$1001,MATCH(ROWS($O$2:O930),$O$2:$O$1001,0),1)&gt;=100000,INDEX($V$1005:$AE$1005,1,MATCH(COLUMNS($V$1006:Z1006),$V$1006:$AE$1006,0))&gt;=100000), " ",IF(INDEX($V$2:$AE$1001,MATCH(ROWS($O$2:O930),$O$2:$O$1001,0),MATCH(COLUMNS($V$1006:Z1006),$V$1006:$AE$1006,0)), HYPERLINK("#",""), HYPERLINK(CONCATENATE("#Metadata!", ADDRESS(INDEX($Q$2:$Q$1001,MATCH(ROWS($O$2:O930),$O$2:$O$1001,0),0), INDEX($V$1004:$AE$1004,1,MATCH(COLUMNS($V$1006:Z1006),$V$1006:$AE$1006,0)))),"Fix")))</f>
        <v>0</v>
      </c>
      <c r="G930" s="3">
        <f>IF(OR(INDEX($P$2:$P$1001,MATCH(ROWS($O$2:O930),$O$2:$O$1001,0),1)&gt;=100000,INDEX($V$1005:$AE$1005,1,MATCH(COLUMNS($V$1006:AA1006),$V$1006:$AE$1006,0))&gt;=100000), " ",IF(INDEX($V$2:$AE$1001,MATCH(ROWS($O$2:O930),$O$2:$O$1001,0),MATCH(COLUMNS($V$1006:AA1006),$V$1006:$AE$1006,0)), HYPERLINK("#",""), HYPERLINK(CONCATENATE("#Metadata!", ADDRESS(INDEX($Q$2:$Q$1001,MATCH(ROWS($O$2:O930),$O$2:$O$1001,0),0), INDEX($V$1004:$AE$1004,1,MATCH(COLUMNS($V$1006:AA1006),$V$1006:$AE$1006,0)))),"Fix")))</f>
        <v>0</v>
      </c>
      <c r="H930" s="3">
        <f>IF(OR(INDEX($P$2:$P$1001,MATCH(ROWS($O$2:O930),$O$2:$O$1001,0),1)&gt;=100000,INDEX($V$1005:$AE$1005,1,MATCH(COLUMNS($V$1006:AB1006),$V$1006:$AE$1006,0))&gt;=100000), " ",IF(INDEX($V$2:$AE$1001,MATCH(ROWS($O$2:O930),$O$2:$O$1001,0),MATCH(COLUMNS($V$1006:AB1006),$V$1006:$AE$1006,0)), HYPERLINK("#",""), HYPERLINK(CONCATENATE("#Metadata!", ADDRESS(INDEX($Q$2:$Q$1001,MATCH(ROWS($O$2:O930),$O$2:$O$1001,0),0), INDEX($V$1004:$AE$1004,1,MATCH(COLUMNS($V$1006:AB1006),$V$1006:$AE$1006,0)))),"Fix")))</f>
        <v>0</v>
      </c>
      <c r="I930" s="3">
        <f>IF(OR(INDEX($P$2:$P$1001,MATCH(ROWS($O$2:O930),$O$2:$O$1001,0),1)&gt;=100000,INDEX($V$1005:$AE$1005,1,MATCH(COLUMNS($V$1006:AC1006),$V$1006:$AE$1006,0))&gt;=100000), " ",IF(INDEX($V$2:$AE$1001,MATCH(ROWS($O$2:O930),$O$2:$O$1001,0),MATCH(COLUMNS($V$1006:AC1006),$V$1006:$AE$1006,0)), HYPERLINK("#",""), HYPERLINK(CONCATENATE("#Metadata!", ADDRESS(INDEX($Q$2:$Q$1001,MATCH(ROWS($O$2:O930),$O$2:$O$1001,0),0), INDEX($V$1004:$AE$1004,1,MATCH(COLUMNS($V$1006:AC1006),$V$1006:$AE$1006,0)))),"Fix")))</f>
        <v>0</v>
      </c>
      <c r="J930" s="3">
        <f>IF(OR(INDEX($P$2:$P$1001,MATCH(ROWS($O$2:O930),$O$2:$O$1001,0),1)&gt;=100000,INDEX($V$1005:$AE$1005,1,MATCH(COLUMNS($V$1006:AD1006),$V$1006:$AE$1006,0))&gt;=100000), " ",IF(INDEX($V$2:$AE$1001,MATCH(ROWS($O$2:O930),$O$2:$O$1001,0),MATCH(COLUMNS($V$1006:AD1006),$V$1006:$AE$1006,0)), HYPERLINK("#",""), HYPERLINK(CONCATENATE("#Metadata!", ADDRESS(INDEX($Q$2:$Q$1001,MATCH(ROWS($O$2:O930),$O$2:$O$1001,0),0), INDEX($V$1004:$AE$1004,1,MATCH(COLUMNS($V$1006:AD1006),$V$1006:$AE$1006,0)))),"Fix")))</f>
        <v>0</v>
      </c>
      <c r="K930" s="3">
        <f>IF(OR(INDEX($P$2:$P$1001,MATCH(ROWS($O$2:O930),$O$2:$O$1001,0),1)&gt;=100000,INDEX($V$1005:$AE$1005,1,MATCH(COLUMNS($V$1006:AE1006),$V$1006:$AE$1006,0))&gt;=100000), " ",IF(INDEX($V$2:$AE$1001,MATCH(ROWS($O$2:O930),$O$2:$O$1001,0),MATCH(COLUMNS($V$1006:AE1006),$V$1006:$AE$1006,0)), HYPERLINK("#",""), HYPERLINK(CONCATENATE("#Metadata!", ADDRESS(INDEX($Q$2:$Q$1001,MATCH(ROWS($O$2:O930),$O$2:$O$1001,0),0), INDEX($V$1004:$AE$1004,1,MATCH(COLUMNS($V$1006:AE1006),$V$1006:$AE$1006,0)))),"Fix")))</f>
        <v>0</v>
      </c>
      <c r="O930">
        <v>0</v>
      </c>
      <c r="P930">
        <v>0</v>
      </c>
      <c r="Q930">
        <v>0</v>
      </c>
      <c r="R930">
        <f>IF(S930,TRUE,AND(V930:AE930))</f>
        <v>0</v>
      </c>
      <c r="S930">
        <f>COUNTBLANK(Metadata!B930:K930)=COLUMNS(Metadata!B930:K930)</f>
        <v>0</v>
      </c>
      <c r="T930">
        <v>0</v>
      </c>
      <c r="V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W930">
        <f>AND(IF(Metadata!C930="",FALSE,TRUE),exact(Metadata!C930,"animal secretion"))</f>
        <v>0</v>
      </c>
      <c r="X930">
        <f>AND(IF(Metadata!D930="",FALSE,TRUE),exact(Metadata!D930,"saliva"))</f>
        <v>0</v>
      </c>
      <c r="Y930">
        <f>AND(IF(Metadata!E930="",FALSE,TRUE),exact(Metadata!E930,"human-oral"))</f>
        <v>0</v>
      </c>
      <c r="Z930">
        <f>AND(IF(Metadata!F930="",FALSE,TRUE),exact(Metadata!F930,"UBERON:oral cavity"))</f>
        <v>0</v>
      </c>
      <c r="AA930">
        <f>AND(IF(Metadata!G930="",FALSE,TRUE),exact(Metadata!G930,"UBERON:saliva"))</f>
        <v>0</v>
      </c>
      <c r="AB930">
        <f>AND(IF(Metadata!H930="",FALSE,TRUE),exact(Metadata!H930,"UBERON:tongue"))</f>
        <v>0</v>
      </c>
      <c r="AC930">
        <f>AND(IF(Metadata!I930="",FALSE,TRUE),exact(Metadata!I930,"tongue"))</f>
        <v>0</v>
      </c>
      <c r="AD930">
        <f>AND(IF(Metadata!J930="",FALSE,TRUE),exact(Metadata!J930,"human oral metagenome"))</f>
        <v>0</v>
      </c>
      <c r="AE930">
        <f>AND(IF(Metadata!K930="",FALSE,TRUE),exact(Metadata!K930,"447426"))</f>
        <v>0</v>
      </c>
    </row>
    <row r="931" spans="1:31">
      <c r="A931" s="4">
        <f>IF(B931=" "," ",HYPERLINK(CONCATENATE("#metadata!",ADDRESS(INDEX($Q$2:$Q$1001,MATCH(ROWS($O$2:O931),$O$2:$O$1001,0),0),1)),INDEX($T$2:$T$1001,MATCH(ROWS($O$2:O931),$O$2:$O$1001,0),0)))</f>
        <v>0</v>
      </c>
      <c r="B931" s="3">
        <f>IF(OR(INDEX($P$2:$P$1001,MATCH(ROWS($O$2:O931),$O$2:$O$1001,0),1)&gt;=100000,INDEX($V$1005:$AE$1005,1,MATCH(COLUMNS($V$1006:V1006),$V$1006:$AE$1006,0))&gt;=100000), " ",IF(INDEX($V$2:$AE$1001,MATCH(ROWS($O$2:O931),$O$2:$O$1001,0),MATCH(COLUMNS($V$1006:V1006),$V$1006:$AE$1006,0)), HYPERLINK("#",""), HYPERLINK(CONCATENATE("#Metadata!", ADDRESS(INDEX($Q$2:$Q$1001,MATCH(ROWS($O$2:O931),$O$2:$O$1001,0),0), INDEX($V$1004:$AE$1004,1,MATCH(COLUMNS($V$1006:V1006),$V$1006:$AE$1006,0)))),"Fix")))</f>
        <v>0</v>
      </c>
      <c r="C931" s="3">
        <f>IF(OR(INDEX($P$2:$P$1001,MATCH(ROWS($O$2:O931),$O$2:$O$1001,0),1)&gt;=100000,INDEX($V$1005:$AE$1005,1,MATCH(COLUMNS($V$1006:W1006),$V$1006:$AE$1006,0))&gt;=100000), " ",IF(INDEX($V$2:$AE$1001,MATCH(ROWS($O$2:O931),$O$2:$O$1001,0),MATCH(COLUMNS($V$1006:W1006),$V$1006:$AE$1006,0)), HYPERLINK("#",""), HYPERLINK(CONCATENATE("#Metadata!", ADDRESS(INDEX($Q$2:$Q$1001,MATCH(ROWS($O$2:O931),$O$2:$O$1001,0),0), INDEX($V$1004:$AE$1004,1,MATCH(COLUMNS($V$1006:W1006),$V$1006:$AE$1006,0)))),"Fix")))</f>
        <v>0</v>
      </c>
      <c r="D931" s="3">
        <f>IF(OR(INDEX($P$2:$P$1001,MATCH(ROWS($O$2:O931),$O$2:$O$1001,0),1)&gt;=100000,INDEX($V$1005:$AE$1005,1,MATCH(COLUMNS($V$1006:X1006),$V$1006:$AE$1006,0))&gt;=100000), " ",IF(INDEX($V$2:$AE$1001,MATCH(ROWS($O$2:O931),$O$2:$O$1001,0),MATCH(COLUMNS($V$1006:X1006),$V$1006:$AE$1006,0)), HYPERLINK("#",""), HYPERLINK(CONCATENATE("#Metadata!", ADDRESS(INDEX($Q$2:$Q$1001,MATCH(ROWS($O$2:O931),$O$2:$O$1001,0),0), INDEX($V$1004:$AE$1004,1,MATCH(COLUMNS($V$1006:X1006),$V$1006:$AE$1006,0)))),"Fix")))</f>
        <v>0</v>
      </c>
      <c r="E931" s="3">
        <f>IF(OR(INDEX($P$2:$P$1001,MATCH(ROWS($O$2:O931),$O$2:$O$1001,0),1)&gt;=100000,INDEX($V$1005:$AE$1005,1,MATCH(COLUMNS($V$1006:Y1006),$V$1006:$AE$1006,0))&gt;=100000), " ",IF(INDEX($V$2:$AE$1001,MATCH(ROWS($O$2:O931),$O$2:$O$1001,0),MATCH(COLUMNS($V$1006:Y1006),$V$1006:$AE$1006,0)), HYPERLINK("#",""), HYPERLINK(CONCATENATE("#Metadata!", ADDRESS(INDEX($Q$2:$Q$1001,MATCH(ROWS($O$2:O931),$O$2:$O$1001,0),0), INDEX($V$1004:$AE$1004,1,MATCH(COLUMNS($V$1006:Y1006),$V$1006:$AE$1006,0)))),"Fix")))</f>
        <v>0</v>
      </c>
      <c r="F931" s="3">
        <f>IF(OR(INDEX($P$2:$P$1001,MATCH(ROWS($O$2:O931),$O$2:$O$1001,0),1)&gt;=100000,INDEX($V$1005:$AE$1005,1,MATCH(COLUMNS($V$1006:Z1006),$V$1006:$AE$1006,0))&gt;=100000), " ",IF(INDEX($V$2:$AE$1001,MATCH(ROWS($O$2:O931),$O$2:$O$1001,0),MATCH(COLUMNS($V$1006:Z1006),$V$1006:$AE$1006,0)), HYPERLINK("#",""), HYPERLINK(CONCATENATE("#Metadata!", ADDRESS(INDEX($Q$2:$Q$1001,MATCH(ROWS($O$2:O931),$O$2:$O$1001,0),0), INDEX($V$1004:$AE$1004,1,MATCH(COLUMNS($V$1006:Z1006),$V$1006:$AE$1006,0)))),"Fix")))</f>
        <v>0</v>
      </c>
      <c r="G931" s="3">
        <f>IF(OR(INDEX($P$2:$P$1001,MATCH(ROWS($O$2:O931),$O$2:$O$1001,0),1)&gt;=100000,INDEX($V$1005:$AE$1005,1,MATCH(COLUMNS($V$1006:AA1006),$V$1006:$AE$1006,0))&gt;=100000), " ",IF(INDEX($V$2:$AE$1001,MATCH(ROWS($O$2:O931),$O$2:$O$1001,0),MATCH(COLUMNS($V$1006:AA1006),$V$1006:$AE$1006,0)), HYPERLINK("#",""), HYPERLINK(CONCATENATE("#Metadata!", ADDRESS(INDEX($Q$2:$Q$1001,MATCH(ROWS($O$2:O931),$O$2:$O$1001,0),0), INDEX($V$1004:$AE$1004,1,MATCH(COLUMNS($V$1006:AA1006),$V$1006:$AE$1006,0)))),"Fix")))</f>
        <v>0</v>
      </c>
      <c r="H931" s="3">
        <f>IF(OR(INDEX($P$2:$P$1001,MATCH(ROWS($O$2:O931),$O$2:$O$1001,0),1)&gt;=100000,INDEX($V$1005:$AE$1005,1,MATCH(COLUMNS($V$1006:AB1006),$V$1006:$AE$1006,0))&gt;=100000), " ",IF(INDEX($V$2:$AE$1001,MATCH(ROWS($O$2:O931),$O$2:$O$1001,0),MATCH(COLUMNS($V$1006:AB1006),$V$1006:$AE$1006,0)), HYPERLINK("#",""), HYPERLINK(CONCATENATE("#Metadata!", ADDRESS(INDEX($Q$2:$Q$1001,MATCH(ROWS($O$2:O931),$O$2:$O$1001,0),0), INDEX($V$1004:$AE$1004,1,MATCH(COLUMNS($V$1006:AB1006),$V$1006:$AE$1006,0)))),"Fix")))</f>
        <v>0</v>
      </c>
      <c r="I931" s="3">
        <f>IF(OR(INDEX($P$2:$P$1001,MATCH(ROWS($O$2:O931),$O$2:$O$1001,0),1)&gt;=100000,INDEX($V$1005:$AE$1005,1,MATCH(COLUMNS($V$1006:AC1006),$V$1006:$AE$1006,0))&gt;=100000), " ",IF(INDEX($V$2:$AE$1001,MATCH(ROWS($O$2:O931),$O$2:$O$1001,0),MATCH(COLUMNS($V$1006:AC1006),$V$1006:$AE$1006,0)), HYPERLINK("#",""), HYPERLINK(CONCATENATE("#Metadata!", ADDRESS(INDEX($Q$2:$Q$1001,MATCH(ROWS($O$2:O931),$O$2:$O$1001,0),0), INDEX($V$1004:$AE$1004,1,MATCH(COLUMNS($V$1006:AC1006),$V$1006:$AE$1006,0)))),"Fix")))</f>
        <v>0</v>
      </c>
      <c r="J931" s="3">
        <f>IF(OR(INDEX($P$2:$P$1001,MATCH(ROWS($O$2:O931),$O$2:$O$1001,0),1)&gt;=100000,INDEX($V$1005:$AE$1005,1,MATCH(COLUMNS($V$1006:AD1006),$V$1006:$AE$1006,0))&gt;=100000), " ",IF(INDEX($V$2:$AE$1001,MATCH(ROWS($O$2:O931),$O$2:$O$1001,0),MATCH(COLUMNS($V$1006:AD1006),$V$1006:$AE$1006,0)), HYPERLINK("#",""), HYPERLINK(CONCATENATE("#Metadata!", ADDRESS(INDEX($Q$2:$Q$1001,MATCH(ROWS($O$2:O931),$O$2:$O$1001,0),0), INDEX($V$1004:$AE$1004,1,MATCH(COLUMNS($V$1006:AD1006),$V$1006:$AE$1006,0)))),"Fix")))</f>
        <v>0</v>
      </c>
      <c r="K931" s="3">
        <f>IF(OR(INDEX($P$2:$P$1001,MATCH(ROWS($O$2:O931),$O$2:$O$1001,0),1)&gt;=100000,INDEX($V$1005:$AE$1005,1,MATCH(COLUMNS($V$1006:AE1006),$V$1006:$AE$1006,0))&gt;=100000), " ",IF(INDEX($V$2:$AE$1001,MATCH(ROWS($O$2:O931),$O$2:$O$1001,0),MATCH(COLUMNS($V$1006:AE1006),$V$1006:$AE$1006,0)), HYPERLINK("#",""), HYPERLINK(CONCATENATE("#Metadata!", ADDRESS(INDEX($Q$2:$Q$1001,MATCH(ROWS($O$2:O931),$O$2:$O$1001,0),0), INDEX($V$1004:$AE$1004,1,MATCH(COLUMNS($V$1006:AE1006),$V$1006:$AE$1006,0)))),"Fix")))</f>
        <v>0</v>
      </c>
      <c r="O931">
        <v>0</v>
      </c>
      <c r="P931">
        <v>0</v>
      </c>
      <c r="Q931">
        <v>0</v>
      </c>
      <c r="R931">
        <f>IF(S931,TRUE,AND(V931:AE931))</f>
        <v>0</v>
      </c>
      <c r="S931">
        <f>COUNTBLANK(Metadata!B931:K931)=COLUMNS(Metadata!B931:K931)</f>
        <v>0</v>
      </c>
      <c r="T931">
        <v>0</v>
      </c>
      <c r="V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W931">
        <f>AND(IF(Metadata!C931="",FALSE,TRUE),exact(Metadata!C931,"animal secretion"))</f>
        <v>0</v>
      </c>
      <c r="X931">
        <f>AND(IF(Metadata!D931="",FALSE,TRUE),exact(Metadata!D931,"saliva"))</f>
        <v>0</v>
      </c>
      <c r="Y931">
        <f>AND(IF(Metadata!E931="",FALSE,TRUE),exact(Metadata!E931,"human-oral"))</f>
        <v>0</v>
      </c>
      <c r="Z931">
        <f>AND(IF(Metadata!F931="",FALSE,TRUE),exact(Metadata!F931,"UBERON:oral cavity"))</f>
        <v>0</v>
      </c>
      <c r="AA931">
        <f>AND(IF(Metadata!G931="",FALSE,TRUE),exact(Metadata!G931,"UBERON:saliva"))</f>
        <v>0</v>
      </c>
      <c r="AB931">
        <f>AND(IF(Metadata!H931="",FALSE,TRUE),exact(Metadata!H931,"UBERON:tongue"))</f>
        <v>0</v>
      </c>
      <c r="AC931">
        <f>AND(IF(Metadata!I931="",FALSE,TRUE),exact(Metadata!I931,"tongue"))</f>
        <v>0</v>
      </c>
      <c r="AD931">
        <f>AND(IF(Metadata!J931="",FALSE,TRUE),exact(Metadata!J931,"human oral metagenome"))</f>
        <v>0</v>
      </c>
      <c r="AE931">
        <f>AND(IF(Metadata!K931="",FALSE,TRUE),exact(Metadata!K931,"447426"))</f>
        <v>0</v>
      </c>
    </row>
    <row r="932" spans="1:31">
      <c r="A932" s="4">
        <f>IF(B932=" "," ",HYPERLINK(CONCATENATE("#metadata!",ADDRESS(INDEX($Q$2:$Q$1001,MATCH(ROWS($O$2:O932),$O$2:$O$1001,0),0),1)),INDEX($T$2:$T$1001,MATCH(ROWS($O$2:O932),$O$2:$O$1001,0),0)))</f>
        <v>0</v>
      </c>
      <c r="B932" s="3">
        <f>IF(OR(INDEX($P$2:$P$1001,MATCH(ROWS($O$2:O932),$O$2:$O$1001,0),1)&gt;=100000,INDEX($V$1005:$AE$1005,1,MATCH(COLUMNS($V$1006:V1006),$V$1006:$AE$1006,0))&gt;=100000), " ",IF(INDEX($V$2:$AE$1001,MATCH(ROWS($O$2:O932),$O$2:$O$1001,0),MATCH(COLUMNS($V$1006:V1006),$V$1006:$AE$1006,0)), HYPERLINK("#",""), HYPERLINK(CONCATENATE("#Metadata!", ADDRESS(INDEX($Q$2:$Q$1001,MATCH(ROWS($O$2:O932),$O$2:$O$1001,0),0), INDEX($V$1004:$AE$1004,1,MATCH(COLUMNS($V$1006:V1006),$V$1006:$AE$1006,0)))),"Fix")))</f>
        <v>0</v>
      </c>
      <c r="C932" s="3">
        <f>IF(OR(INDEX($P$2:$P$1001,MATCH(ROWS($O$2:O932),$O$2:$O$1001,0),1)&gt;=100000,INDEX($V$1005:$AE$1005,1,MATCH(COLUMNS($V$1006:W1006),$V$1006:$AE$1006,0))&gt;=100000), " ",IF(INDEX($V$2:$AE$1001,MATCH(ROWS($O$2:O932),$O$2:$O$1001,0),MATCH(COLUMNS($V$1006:W1006),$V$1006:$AE$1006,0)), HYPERLINK("#",""), HYPERLINK(CONCATENATE("#Metadata!", ADDRESS(INDEX($Q$2:$Q$1001,MATCH(ROWS($O$2:O932),$O$2:$O$1001,0),0), INDEX($V$1004:$AE$1004,1,MATCH(COLUMNS($V$1006:W1006),$V$1006:$AE$1006,0)))),"Fix")))</f>
        <v>0</v>
      </c>
      <c r="D932" s="3">
        <f>IF(OR(INDEX($P$2:$P$1001,MATCH(ROWS($O$2:O932),$O$2:$O$1001,0),1)&gt;=100000,INDEX($V$1005:$AE$1005,1,MATCH(COLUMNS($V$1006:X1006),$V$1006:$AE$1006,0))&gt;=100000), " ",IF(INDEX($V$2:$AE$1001,MATCH(ROWS($O$2:O932),$O$2:$O$1001,0),MATCH(COLUMNS($V$1006:X1006),$V$1006:$AE$1006,0)), HYPERLINK("#",""), HYPERLINK(CONCATENATE("#Metadata!", ADDRESS(INDEX($Q$2:$Q$1001,MATCH(ROWS($O$2:O932),$O$2:$O$1001,0),0), INDEX($V$1004:$AE$1004,1,MATCH(COLUMNS($V$1006:X1006),$V$1006:$AE$1006,0)))),"Fix")))</f>
        <v>0</v>
      </c>
      <c r="E932" s="3">
        <f>IF(OR(INDEX($P$2:$P$1001,MATCH(ROWS($O$2:O932),$O$2:$O$1001,0),1)&gt;=100000,INDEX($V$1005:$AE$1005,1,MATCH(COLUMNS($V$1006:Y1006),$V$1006:$AE$1006,0))&gt;=100000), " ",IF(INDEX($V$2:$AE$1001,MATCH(ROWS($O$2:O932),$O$2:$O$1001,0),MATCH(COLUMNS($V$1006:Y1006),$V$1006:$AE$1006,0)), HYPERLINK("#",""), HYPERLINK(CONCATENATE("#Metadata!", ADDRESS(INDEX($Q$2:$Q$1001,MATCH(ROWS($O$2:O932),$O$2:$O$1001,0),0), INDEX($V$1004:$AE$1004,1,MATCH(COLUMNS($V$1006:Y1006),$V$1006:$AE$1006,0)))),"Fix")))</f>
        <v>0</v>
      </c>
      <c r="F932" s="3">
        <f>IF(OR(INDEX($P$2:$P$1001,MATCH(ROWS($O$2:O932),$O$2:$O$1001,0),1)&gt;=100000,INDEX($V$1005:$AE$1005,1,MATCH(COLUMNS($V$1006:Z1006),$V$1006:$AE$1006,0))&gt;=100000), " ",IF(INDEX($V$2:$AE$1001,MATCH(ROWS($O$2:O932),$O$2:$O$1001,0),MATCH(COLUMNS($V$1006:Z1006),$V$1006:$AE$1006,0)), HYPERLINK("#",""), HYPERLINK(CONCATENATE("#Metadata!", ADDRESS(INDEX($Q$2:$Q$1001,MATCH(ROWS($O$2:O932),$O$2:$O$1001,0),0), INDEX($V$1004:$AE$1004,1,MATCH(COLUMNS($V$1006:Z1006),$V$1006:$AE$1006,0)))),"Fix")))</f>
        <v>0</v>
      </c>
      <c r="G932" s="3">
        <f>IF(OR(INDEX($P$2:$P$1001,MATCH(ROWS($O$2:O932),$O$2:$O$1001,0),1)&gt;=100000,INDEX($V$1005:$AE$1005,1,MATCH(COLUMNS($V$1006:AA1006),$V$1006:$AE$1006,0))&gt;=100000), " ",IF(INDEX($V$2:$AE$1001,MATCH(ROWS($O$2:O932),$O$2:$O$1001,0),MATCH(COLUMNS($V$1006:AA1006),$V$1006:$AE$1006,0)), HYPERLINK("#",""), HYPERLINK(CONCATENATE("#Metadata!", ADDRESS(INDEX($Q$2:$Q$1001,MATCH(ROWS($O$2:O932),$O$2:$O$1001,0),0), INDEX($V$1004:$AE$1004,1,MATCH(COLUMNS($V$1006:AA1006),$V$1006:$AE$1006,0)))),"Fix")))</f>
        <v>0</v>
      </c>
      <c r="H932" s="3">
        <f>IF(OR(INDEX($P$2:$P$1001,MATCH(ROWS($O$2:O932),$O$2:$O$1001,0),1)&gt;=100000,INDEX($V$1005:$AE$1005,1,MATCH(COLUMNS($V$1006:AB1006),$V$1006:$AE$1006,0))&gt;=100000), " ",IF(INDEX($V$2:$AE$1001,MATCH(ROWS($O$2:O932),$O$2:$O$1001,0),MATCH(COLUMNS($V$1006:AB1006),$V$1006:$AE$1006,0)), HYPERLINK("#",""), HYPERLINK(CONCATENATE("#Metadata!", ADDRESS(INDEX($Q$2:$Q$1001,MATCH(ROWS($O$2:O932),$O$2:$O$1001,0),0), INDEX($V$1004:$AE$1004,1,MATCH(COLUMNS($V$1006:AB1006),$V$1006:$AE$1006,0)))),"Fix")))</f>
        <v>0</v>
      </c>
      <c r="I932" s="3">
        <f>IF(OR(INDEX($P$2:$P$1001,MATCH(ROWS($O$2:O932),$O$2:$O$1001,0),1)&gt;=100000,INDEX($V$1005:$AE$1005,1,MATCH(COLUMNS($V$1006:AC1006),$V$1006:$AE$1006,0))&gt;=100000), " ",IF(INDEX($V$2:$AE$1001,MATCH(ROWS($O$2:O932),$O$2:$O$1001,0),MATCH(COLUMNS($V$1006:AC1006),$V$1006:$AE$1006,0)), HYPERLINK("#",""), HYPERLINK(CONCATENATE("#Metadata!", ADDRESS(INDEX($Q$2:$Q$1001,MATCH(ROWS($O$2:O932),$O$2:$O$1001,0),0), INDEX($V$1004:$AE$1004,1,MATCH(COLUMNS($V$1006:AC1006),$V$1006:$AE$1006,0)))),"Fix")))</f>
        <v>0</v>
      </c>
      <c r="J932" s="3">
        <f>IF(OR(INDEX($P$2:$P$1001,MATCH(ROWS($O$2:O932),$O$2:$O$1001,0),1)&gt;=100000,INDEX($V$1005:$AE$1005,1,MATCH(COLUMNS($V$1006:AD1006),$V$1006:$AE$1006,0))&gt;=100000), " ",IF(INDEX($V$2:$AE$1001,MATCH(ROWS($O$2:O932),$O$2:$O$1001,0),MATCH(COLUMNS($V$1006:AD1006),$V$1006:$AE$1006,0)), HYPERLINK("#",""), HYPERLINK(CONCATENATE("#Metadata!", ADDRESS(INDEX($Q$2:$Q$1001,MATCH(ROWS($O$2:O932),$O$2:$O$1001,0),0), INDEX($V$1004:$AE$1004,1,MATCH(COLUMNS($V$1006:AD1006),$V$1006:$AE$1006,0)))),"Fix")))</f>
        <v>0</v>
      </c>
      <c r="K932" s="3">
        <f>IF(OR(INDEX($P$2:$P$1001,MATCH(ROWS($O$2:O932),$O$2:$O$1001,0),1)&gt;=100000,INDEX($V$1005:$AE$1005,1,MATCH(COLUMNS($V$1006:AE1006),$V$1006:$AE$1006,0))&gt;=100000), " ",IF(INDEX($V$2:$AE$1001,MATCH(ROWS($O$2:O932),$O$2:$O$1001,0),MATCH(COLUMNS($V$1006:AE1006),$V$1006:$AE$1006,0)), HYPERLINK("#",""), HYPERLINK(CONCATENATE("#Metadata!", ADDRESS(INDEX($Q$2:$Q$1001,MATCH(ROWS($O$2:O932),$O$2:$O$1001,0),0), INDEX($V$1004:$AE$1004,1,MATCH(COLUMNS($V$1006:AE1006),$V$1006:$AE$1006,0)))),"Fix")))</f>
        <v>0</v>
      </c>
      <c r="O932">
        <v>0</v>
      </c>
      <c r="P932">
        <v>0</v>
      </c>
      <c r="Q932">
        <v>0</v>
      </c>
      <c r="R932">
        <f>IF(S932,TRUE,AND(V932:AE932))</f>
        <v>0</v>
      </c>
      <c r="S932">
        <f>COUNTBLANK(Metadata!B932:K932)=COLUMNS(Metadata!B932:K932)</f>
        <v>0</v>
      </c>
      <c r="T932">
        <v>0</v>
      </c>
      <c r="V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W932">
        <f>AND(IF(Metadata!C932="",FALSE,TRUE),exact(Metadata!C932,"animal secretion"))</f>
        <v>0</v>
      </c>
      <c r="X932">
        <f>AND(IF(Metadata!D932="",FALSE,TRUE),exact(Metadata!D932,"saliva"))</f>
        <v>0</v>
      </c>
      <c r="Y932">
        <f>AND(IF(Metadata!E932="",FALSE,TRUE),exact(Metadata!E932,"human-oral"))</f>
        <v>0</v>
      </c>
      <c r="Z932">
        <f>AND(IF(Metadata!F932="",FALSE,TRUE),exact(Metadata!F932,"UBERON:oral cavity"))</f>
        <v>0</v>
      </c>
      <c r="AA932">
        <f>AND(IF(Metadata!G932="",FALSE,TRUE),exact(Metadata!G932,"UBERON:saliva"))</f>
        <v>0</v>
      </c>
      <c r="AB932">
        <f>AND(IF(Metadata!H932="",FALSE,TRUE),exact(Metadata!H932,"UBERON:tongue"))</f>
        <v>0</v>
      </c>
      <c r="AC932">
        <f>AND(IF(Metadata!I932="",FALSE,TRUE),exact(Metadata!I932,"tongue"))</f>
        <v>0</v>
      </c>
      <c r="AD932">
        <f>AND(IF(Metadata!J932="",FALSE,TRUE),exact(Metadata!J932,"human oral metagenome"))</f>
        <v>0</v>
      </c>
      <c r="AE932">
        <f>AND(IF(Metadata!K932="",FALSE,TRUE),exact(Metadata!K932,"447426"))</f>
        <v>0</v>
      </c>
    </row>
    <row r="933" spans="1:31">
      <c r="A933" s="4">
        <f>IF(B933=" "," ",HYPERLINK(CONCATENATE("#metadata!",ADDRESS(INDEX($Q$2:$Q$1001,MATCH(ROWS($O$2:O933),$O$2:$O$1001,0),0),1)),INDEX($T$2:$T$1001,MATCH(ROWS($O$2:O933),$O$2:$O$1001,0),0)))</f>
        <v>0</v>
      </c>
      <c r="B933" s="3">
        <f>IF(OR(INDEX($P$2:$P$1001,MATCH(ROWS($O$2:O933),$O$2:$O$1001,0),1)&gt;=100000,INDEX($V$1005:$AE$1005,1,MATCH(COLUMNS($V$1006:V1006),$V$1006:$AE$1006,0))&gt;=100000), " ",IF(INDEX($V$2:$AE$1001,MATCH(ROWS($O$2:O933),$O$2:$O$1001,0),MATCH(COLUMNS($V$1006:V1006),$V$1006:$AE$1006,0)), HYPERLINK("#",""), HYPERLINK(CONCATENATE("#Metadata!", ADDRESS(INDEX($Q$2:$Q$1001,MATCH(ROWS($O$2:O933),$O$2:$O$1001,0),0), INDEX($V$1004:$AE$1004,1,MATCH(COLUMNS($V$1006:V1006),$V$1006:$AE$1006,0)))),"Fix")))</f>
        <v>0</v>
      </c>
      <c r="C933" s="3">
        <f>IF(OR(INDEX($P$2:$P$1001,MATCH(ROWS($O$2:O933),$O$2:$O$1001,0),1)&gt;=100000,INDEX($V$1005:$AE$1005,1,MATCH(COLUMNS($V$1006:W1006),$V$1006:$AE$1006,0))&gt;=100000), " ",IF(INDEX($V$2:$AE$1001,MATCH(ROWS($O$2:O933),$O$2:$O$1001,0),MATCH(COLUMNS($V$1006:W1006),$V$1006:$AE$1006,0)), HYPERLINK("#",""), HYPERLINK(CONCATENATE("#Metadata!", ADDRESS(INDEX($Q$2:$Q$1001,MATCH(ROWS($O$2:O933),$O$2:$O$1001,0),0), INDEX($V$1004:$AE$1004,1,MATCH(COLUMNS($V$1006:W1006),$V$1006:$AE$1006,0)))),"Fix")))</f>
        <v>0</v>
      </c>
      <c r="D933" s="3">
        <f>IF(OR(INDEX($P$2:$P$1001,MATCH(ROWS($O$2:O933),$O$2:$O$1001,0),1)&gt;=100000,INDEX($V$1005:$AE$1005,1,MATCH(COLUMNS($V$1006:X1006),$V$1006:$AE$1006,0))&gt;=100000), " ",IF(INDEX($V$2:$AE$1001,MATCH(ROWS($O$2:O933),$O$2:$O$1001,0),MATCH(COLUMNS($V$1006:X1006),$V$1006:$AE$1006,0)), HYPERLINK("#",""), HYPERLINK(CONCATENATE("#Metadata!", ADDRESS(INDEX($Q$2:$Q$1001,MATCH(ROWS($O$2:O933),$O$2:$O$1001,0),0), INDEX($V$1004:$AE$1004,1,MATCH(COLUMNS($V$1006:X1006),$V$1006:$AE$1006,0)))),"Fix")))</f>
        <v>0</v>
      </c>
      <c r="E933" s="3">
        <f>IF(OR(INDEX($P$2:$P$1001,MATCH(ROWS($O$2:O933),$O$2:$O$1001,0),1)&gt;=100000,INDEX($V$1005:$AE$1005,1,MATCH(COLUMNS($V$1006:Y1006),$V$1006:$AE$1006,0))&gt;=100000), " ",IF(INDEX($V$2:$AE$1001,MATCH(ROWS($O$2:O933),$O$2:$O$1001,0),MATCH(COLUMNS($V$1006:Y1006),$V$1006:$AE$1006,0)), HYPERLINK("#",""), HYPERLINK(CONCATENATE("#Metadata!", ADDRESS(INDEX($Q$2:$Q$1001,MATCH(ROWS($O$2:O933),$O$2:$O$1001,0),0), INDEX($V$1004:$AE$1004,1,MATCH(COLUMNS($V$1006:Y1006),$V$1006:$AE$1006,0)))),"Fix")))</f>
        <v>0</v>
      </c>
      <c r="F933" s="3">
        <f>IF(OR(INDEX($P$2:$P$1001,MATCH(ROWS($O$2:O933),$O$2:$O$1001,0),1)&gt;=100000,INDEX($V$1005:$AE$1005,1,MATCH(COLUMNS($V$1006:Z1006),$V$1006:$AE$1006,0))&gt;=100000), " ",IF(INDEX($V$2:$AE$1001,MATCH(ROWS($O$2:O933),$O$2:$O$1001,0),MATCH(COLUMNS($V$1006:Z1006),$V$1006:$AE$1006,0)), HYPERLINK("#",""), HYPERLINK(CONCATENATE("#Metadata!", ADDRESS(INDEX($Q$2:$Q$1001,MATCH(ROWS($O$2:O933),$O$2:$O$1001,0),0), INDEX($V$1004:$AE$1004,1,MATCH(COLUMNS($V$1006:Z1006),$V$1006:$AE$1006,0)))),"Fix")))</f>
        <v>0</v>
      </c>
      <c r="G933" s="3">
        <f>IF(OR(INDEX($P$2:$P$1001,MATCH(ROWS($O$2:O933),$O$2:$O$1001,0),1)&gt;=100000,INDEX($V$1005:$AE$1005,1,MATCH(COLUMNS($V$1006:AA1006),$V$1006:$AE$1006,0))&gt;=100000), " ",IF(INDEX($V$2:$AE$1001,MATCH(ROWS($O$2:O933),$O$2:$O$1001,0),MATCH(COLUMNS($V$1006:AA1006),$V$1006:$AE$1006,0)), HYPERLINK("#",""), HYPERLINK(CONCATENATE("#Metadata!", ADDRESS(INDEX($Q$2:$Q$1001,MATCH(ROWS($O$2:O933),$O$2:$O$1001,0),0), INDEX($V$1004:$AE$1004,1,MATCH(COLUMNS($V$1006:AA1006),$V$1006:$AE$1006,0)))),"Fix")))</f>
        <v>0</v>
      </c>
      <c r="H933" s="3">
        <f>IF(OR(INDEX($P$2:$P$1001,MATCH(ROWS($O$2:O933),$O$2:$O$1001,0),1)&gt;=100000,INDEX($V$1005:$AE$1005,1,MATCH(COLUMNS($V$1006:AB1006),$V$1006:$AE$1006,0))&gt;=100000), " ",IF(INDEX($V$2:$AE$1001,MATCH(ROWS($O$2:O933),$O$2:$O$1001,0),MATCH(COLUMNS($V$1006:AB1006),$V$1006:$AE$1006,0)), HYPERLINK("#",""), HYPERLINK(CONCATENATE("#Metadata!", ADDRESS(INDEX($Q$2:$Q$1001,MATCH(ROWS($O$2:O933),$O$2:$O$1001,0),0), INDEX($V$1004:$AE$1004,1,MATCH(COLUMNS($V$1006:AB1006),$V$1006:$AE$1006,0)))),"Fix")))</f>
        <v>0</v>
      </c>
      <c r="I933" s="3">
        <f>IF(OR(INDEX($P$2:$P$1001,MATCH(ROWS($O$2:O933),$O$2:$O$1001,0),1)&gt;=100000,INDEX($V$1005:$AE$1005,1,MATCH(COLUMNS($V$1006:AC1006),$V$1006:$AE$1006,0))&gt;=100000), " ",IF(INDEX($V$2:$AE$1001,MATCH(ROWS($O$2:O933),$O$2:$O$1001,0),MATCH(COLUMNS($V$1006:AC1006),$V$1006:$AE$1006,0)), HYPERLINK("#",""), HYPERLINK(CONCATENATE("#Metadata!", ADDRESS(INDEX($Q$2:$Q$1001,MATCH(ROWS($O$2:O933),$O$2:$O$1001,0),0), INDEX($V$1004:$AE$1004,1,MATCH(COLUMNS($V$1006:AC1006),$V$1006:$AE$1006,0)))),"Fix")))</f>
        <v>0</v>
      </c>
      <c r="J933" s="3">
        <f>IF(OR(INDEX($P$2:$P$1001,MATCH(ROWS($O$2:O933),$O$2:$O$1001,0),1)&gt;=100000,INDEX($V$1005:$AE$1005,1,MATCH(COLUMNS($V$1006:AD1006),$V$1006:$AE$1006,0))&gt;=100000), " ",IF(INDEX($V$2:$AE$1001,MATCH(ROWS($O$2:O933),$O$2:$O$1001,0),MATCH(COLUMNS($V$1006:AD1006),$V$1006:$AE$1006,0)), HYPERLINK("#",""), HYPERLINK(CONCATENATE("#Metadata!", ADDRESS(INDEX($Q$2:$Q$1001,MATCH(ROWS($O$2:O933),$O$2:$O$1001,0),0), INDEX($V$1004:$AE$1004,1,MATCH(COLUMNS($V$1006:AD1006),$V$1006:$AE$1006,0)))),"Fix")))</f>
        <v>0</v>
      </c>
      <c r="K933" s="3">
        <f>IF(OR(INDEX($P$2:$P$1001,MATCH(ROWS($O$2:O933),$O$2:$O$1001,0),1)&gt;=100000,INDEX($V$1005:$AE$1005,1,MATCH(COLUMNS($V$1006:AE1006),$V$1006:$AE$1006,0))&gt;=100000), " ",IF(INDEX($V$2:$AE$1001,MATCH(ROWS($O$2:O933),$O$2:$O$1001,0),MATCH(COLUMNS($V$1006:AE1006),$V$1006:$AE$1006,0)), HYPERLINK("#",""), HYPERLINK(CONCATENATE("#Metadata!", ADDRESS(INDEX($Q$2:$Q$1001,MATCH(ROWS($O$2:O933),$O$2:$O$1001,0),0), INDEX($V$1004:$AE$1004,1,MATCH(COLUMNS($V$1006:AE1006),$V$1006:$AE$1006,0)))),"Fix")))</f>
        <v>0</v>
      </c>
      <c r="O933">
        <v>0</v>
      </c>
      <c r="P933">
        <v>0</v>
      </c>
      <c r="Q933">
        <v>0</v>
      </c>
      <c r="R933">
        <f>IF(S933,TRUE,AND(V933:AE933))</f>
        <v>0</v>
      </c>
      <c r="S933">
        <f>COUNTBLANK(Metadata!B933:K933)=COLUMNS(Metadata!B933:K933)</f>
        <v>0</v>
      </c>
      <c r="T933">
        <v>0</v>
      </c>
      <c r="V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W933">
        <f>AND(IF(Metadata!C933="",FALSE,TRUE),exact(Metadata!C933,"animal secretion"))</f>
        <v>0</v>
      </c>
      <c r="X933">
        <f>AND(IF(Metadata!D933="",FALSE,TRUE),exact(Metadata!D933,"saliva"))</f>
        <v>0</v>
      </c>
      <c r="Y933">
        <f>AND(IF(Metadata!E933="",FALSE,TRUE),exact(Metadata!E933,"human-oral"))</f>
        <v>0</v>
      </c>
      <c r="Z933">
        <f>AND(IF(Metadata!F933="",FALSE,TRUE),exact(Metadata!F933,"UBERON:oral cavity"))</f>
        <v>0</v>
      </c>
      <c r="AA933">
        <f>AND(IF(Metadata!G933="",FALSE,TRUE),exact(Metadata!G933,"UBERON:saliva"))</f>
        <v>0</v>
      </c>
      <c r="AB933">
        <f>AND(IF(Metadata!H933="",FALSE,TRUE),exact(Metadata!H933,"UBERON:tongue"))</f>
        <v>0</v>
      </c>
      <c r="AC933">
        <f>AND(IF(Metadata!I933="",FALSE,TRUE),exact(Metadata!I933,"tongue"))</f>
        <v>0</v>
      </c>
      <c r="AD933">
        <f>AND(IF(Metadata!J933="",FALSE,TRUE),exact(Metadata!J933,"human oral metagenome"))</f>
        <v>0</v>
      </c>
      <c r="AE933">
        <f>AND(IF(Metadata!K933="",FALSE,TRUE),exact(Metadata!K933,"447426"))</f>
        <v>0</v>
      </c>
    </row>
    <row r="934" spans="1:31">
      <c r="A934" s="4">
        <f>IF(B934=" "," ",HYPERLINK(CONCATENATE("#metadata!",ADDRESS(INDEX($Q$2:$Q$1001,MATCH(ROWS($O$2:O934),$O$2:$O$1001,0),0),1)),INDEX($T$2:$T$1001,MATCH(ROWS($O$2:O934),$O$2:$O$1001,0),0)))</f>
        <v>0</v>
      </c>
      <c r="B934" s="3">
        <f>IF(OR(INDEX($P$2:$P$1001,MATCH(ROWS($O$2:O934),$O$2:$O$1001,0),1)&gt;=100000,INDEX($V$1005:$AE$1005,1,MATCH(COLUMNS($V$1006:V1006),$V$1006:$AE$1006,0))&gt;=100000), " ",IF(INDEX($V$2:$AE$1001,MATCH(ROWS($O$2:O934),$O$2:$O$1001,0),MATCH(COLUMNS($V$1006:V1006),$V$1006:$AE$1006,0)), HYPERLINK("#",""), HYPERLINK(CONCATENATE("#Metadata!", ADDRESS(INDEX($Q$2:$Q$1001,MATCH(ROWS($O$2:O934),$O$2:$O$1001,0),0), INDEX($V$1004:$AE$1004,1,MATCH(COLUMNS($V$1006:V1006),$V$1006:$AE$1006,0)))),"Fix")))</f>
        <v>0</v>
      </c>
      <c r="C934" s="3">
        <f>IF(OR(INDEX($P$2:$P$1001,MATCH(ROWS($O$2:O934),$O$2:$O$1001,0),1)&gt;=100000,INDEX($V$1005:$AE$1005,1,MATCH(COLUMNS($V$1006:W1006),$V$1006:$AE$1006,0))&gt;=100000), " ",IF(INDEX($V$2:$AE$1001,MATCH(ROWS($O$2:O934),$O$2:$O$1001,0),MATCH(COLUMNS($V$1006:W1006),$V$1006:$AE$1006,0)), HYPERLINK("#",""), HYPERLINK(CONCATENATE("#Metadata!", ADDRESS(INDEX($Q$2:$Q$1001,MATCH(ROWS($O$2:O934),$O$2:$O$1001,0),0), INDEX($V$1004:$AE$1004,1,MATCH(COLUMNS($V$1006:W1006),$V$1006:$AE$1006,0)))),"Fix")))</f>
        <v>0</v>
      </c>
      <c r="D934" s="3">
        <f>IF(OR(INDEX($P$2:$P$1001,MATCH(ROWS($O$2:O934),$O$2:$O$1001,0),1)&gt;=100000,INDEX($V$1005:$AE$1005,1,MATCH(COLUMNS($V$1006:X1006),$V$1006:$AE$1006,0))&gt;=100000), " ",IF(INDEX($V$2:$AE$1001,MATCH(ROWS($O$2:O934),$O$2:$O$1001,0),MATCH(COLUMNS($V$1006:X1006),$V$1006:$AE$1006,0)), HYPERLINK("#",""), HYPERLINK(CONCATENATE("#Metadata!", ADDRESS(INDEX($Q$2:$Q$1001,MATCH(ROWS($O$2:O934),$O$2:$O$1001,0),0), INDEX($V$1004:$AE$1004,1,MATCH(COLUMNS($V$1006:X1006),$V$1006:$AE$1006,0)))),"Fix")))</f>
        <v>0</v>
      </c>
      <c r="E934" s="3">
        <f>IF(OR(INDEX($P$2:$P$1001,MATCH(ROWS($O$2:O934),$O$2:$O$1001,0),1)&gt;=100000,INDEX($V$1005:$AE$1005,1,MATCH(COLUMNS($V$1006:Y1006),$V$1006:$AE$1006,0))&gt;=100000), " ",IF(INDEX($V$2:$AE$1001,MATCH(ROWS($O$2:O934),$O$2:$O$1001,0),MATCH(COLUMNS($V$1006:Y1006),$V$1006:$AE$1006,0)), HYPERLINK("#",""), HYPERLINK(CONCATENATE("#Metadata!", ADDRESS(INDEX($Q$2:$Q$1001,MATCH(ROWS($O$2:O934),$O$2:$O$1001,0),0), INDEX($V$1004:$AE$1004,1,MATCH(COLUMNS($V$1006:Y1006),$V$1006:$AE$1006,0)))),"Fix")))</f>
        <v>0</v>
      </c>
      <c r="F934" s="3">
        <f>IF(OR(INDEX($P$2:$P$1001,MATCH(ROWS($O$2:O934),$O$2:$O$1001,0),1)&gt;=100000,INDEX($V$1005:$AE$1005,1,MATCH(COLUMNS($V$1006:Z1006),$V$1006:$AE$1006,0))&gt;=100000), " ",IF(INDEX($V$2:$AE$1001,MATCH(ROWS($O$2:O934),$O$2:$O$1001,0),MATCH(COLUMNS($V$1006:Z1006),$V$1006:$AE$1006,0)), HYPERLINK("#",""), HYPERLINK(CONCATENATE("#Metadata!", ADDRESS(INDEX($Q$2:$Q$1001,MATCH(ROWS($O$2:O934),$O$2:$O$1001,0),0), INDEX($V$1004:$AE$1004,1,MATCH(COLUMNS($V$1006:Z1006),$V$1006:$AE$1006,0)))),"Fix")))</f>
        <v>0</v>
      </c>
      <c r="G934" s="3">
        <f>IF(OR(INDEX($P$2:$P$1001,MATCH(ROWS($O$2:O934),$O$2:$O$1001,0),1)&gt;=100000,INDEX($V$1005:$AE$1005,1,MATCH(COLUMNS($V$1006:AA1006),$V$1006:$AE$1006,0))&gt;=100000), " ",IF(INDEX($V$2:$AE$1001,MATCH(ROWS($O$2:O934),$O$2:$O$1001,0),MATCH(COLUMNS($V$1006:AA1006),$V$1006:$AE$1006,0)), HYPERLINK("#",""), HYPERLINK(CONCATENATE("#Metadata!", ADDRESS(INDEX($Q$2:$Q$1001,MATCH(ROWS($O$2:O934),$O$2:$O$1001,0),0), INDEX($V$1004:$AE$1004,1,MATCH(COLUMNS($V$1006:AA1006),$V$1006:$AE$1006,0)))),"Fix")))</f>
        <v>0</v>
      </c>
      <c r="H934" s="3">
        <f>IF(OR(INDEX($P$2:$P$1001,MATCH(ROWS($O$2:O934),$O$2:$O$1001,0),1)&gt;=100000,INDEX($V$1005:$AE$1005,1,MATCH(COLUMNS($V$1006:AB1006),$V$1006:$AE$1006,0))&gt;=100000), " ",IF(INDEX($V$2:$AE$1001,MATCH(ROWS($O$2:O934),$O$2:$O$1001,0),MATCH(COLUMNS($V$1006:AB1006),$V$1006:$AE$1006,0)), HYPERLINK("#",""), HYPERLINK(CONCATENATE("#Metadata!", ADDRESS(INDEX($Q$2:$Q$1001,MATCH(ROWS($O$2:O934),$O$2:$O$1001,0),0), INDEX($V$1004:$AE$1004,1,MATCH(COLUMNS($V$1006:AB1006),$V$1006:$AE$1006,0)))),"Fix")))</f>
        <v>0</v>
      </c>
      <c r="I934" s="3">
        <f>IF(OR(INDEX($P$2:$P$1001,MATCH(ROWS($O$2:O934),$O$2:$O$1001,0),1)&gt;=100000,INDEX($V$1005:$AE$1005,1,MATCH(COLUMNS($V$1006:AC1006),$V$1006:$AE$1006,0))&gt;=100000), " ",IF(INDEX($V$2:$AE$1001,MATCH(ROWS($O$2:O934),$O$2:$O$1001,0),MATCH(COLUMNS($V$1006:AC1006),$V$1006:$AE$1006,0)), HYPERLINK("#",""), HYPERLINK(CONCATENATE("#Metadata!", ADDRESS(INDEX($Q$2:$Q$1001,MATCH(ROWS($O$2:O934),$O$2:$O$1001,0),0), INDEX($V$1004:$AE$1004,1,MATCH(COLUMNS($V$1006:AC1006),$V$1006:$AE$1006,0)))),"Fix")))</f>
        <v>0</v>
      </c>
      <c r="J934" s="3">
        <f>IF(OR(INDEX($P$2:$P$1001,MATCH(ROWS($O$2:O934),$O$2:$O$1001,0),1)&gt;=100000,INDEX($V$1005:$AE$1005,1,MATCH(COLUMNS($V$1006:AD1006),$V$1006:$AE$1006,0))&gt;=100000), " ",IF(INDEX($V$2:$AE$1001,MATCH(ROWS($O$2:O934),$O$2:$O$1001,0),MATCH(COLUMNS($V$1006:AD1006),$V$1006:$AE$1006,0)), HYPERLINK("#",""), HYPERLINK(CONCATENATE("#Metadata!", ADDRESS(INDEX($Q$2:$Q$1001,MATCH(ROWS($O$2:O934),$O$2:$O$1001,0),0), INDEX($V$1004:$AE$1004,1,MATCH(COLUMNS($V$1006:AD1006),$V$1006:$AE$1006,0)))),"Fix")))</f>
        <v>0</v>
      </c>
      <c r="K934" s="3">
        <f>IF(OR(INDEX($P$2:$P$1001,MATCH(ROWS($O$2:O934),$O$2:$O$1001,0),1)&gt;=100000,INDEX($V$1005:$AE$1005,1,MATCH(COLUMNS($V$1006:AE1006),$V$1006:$AE$1006,0))&gt;=100000), " ",IF(INDEX($V$2:$AE$1001,MATCH(ROWS($O$2:O934),$O$2:$O$1001,0),MATCH(COLUMNS($V$1006:AE1006),$V$1006:$AE$1006,0)), HYPERLINK("#",""), HYPERLINK(CONCATENATE("#Metadata!", ADDRESS(INDEX($Q$2:$Q$1001,MATCH(ROWS($O$2:O934),$O$2:$O$1001,0),0), INDEX($V$1004:$AE$1004,1,MATCH(COLUMNS($V$1006:AE1006),$V$1006:$AE$1006,0)))),"Fix")))</f>
        <v>0</v>
      </c>
      <c r="O934">
        <v>0</v>
      </c>
      <c r="P934">
        <v>0</v>
      </c>
      <c r="Q934">
        <v>0</v>
      </c>
      <c r="R934">
        <f>IF(S934,TRUE,AND(V934:AE934))</f>
        <v>0</v>
      </c>
      <c r="S934">
        <f>COUNTBLANK(Metadata!B934:K934)=COLUMNS(Metadata!B934:K934)</f>
        <v>0</v>
      </c>
      <c r="T934">
        <v>0</v>
      </c>
      <c r="V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W934">
        <f>AND(IF(Metadata!C934="",FALSE,TRUE),exact(Metadata!C934,"animal secretion"))</f>
        <v>0</v>
      </c>
      <c r="X934">
        <f>AND(IF(Metadata!D934="",FALSE,TRUE),exact(Metadata!D934,"saliva"))</f>
        <v>0</v>
      </c>
      <c r="Y934">
        <f>AND(IF(Metadata!E934="",FALSE,TRUE),exact(Metadata!E934,"human-oral"))</f>
        <v>0</v>
      </c>
      <c r="Z934">
        <f>AND(IF(Metadata!F934="",FALSE,TRUE),exact(Metadata!F934,"UBERON:oral cavity"))</f>
        <v>0</v>
      </c>
      <c r="AA934">
        <f>AND(IF(Metadata!G934="",FALSE,TRUE),exact(Metadata!G934,"UBERON:saliva"))</f>
        <v>0</v>
      </c>
      <c r="AB934">
        <f>AND(IF(Metadata!H934="",FALSE,TRUE),exact(Metadata!H934,"UBERON:tongue"))</f>
        <v>0</v>
      </c>
      <c r="AC934">
        <f>AND(IF(Metadata!I934="",FALSE,TRUE),exact(Metadata!I934,"tongue"))</f>
        <v>0</v>
      </c>
      <c r="AD934">
        <f>AND(IF(Metadata!J934="",FALSE,TRUE),exact(Metadata!J934,"human oral metagenome"))</f>
        <v>0</v>
      </c>
      <c r="AE934">
        <f>AND(IF(Metadata!K934="",FALSE,TRUE),exact(Metadata!K934,"447426"))</f>
        <v>0</v>
      </c>
    </row>
    <row r="935" spans="1:31">
      <c r="A935" s="4">
        <f>IF(B935=" "," ",HYPERLINK(CONCATENATE("#metadata!",ADDRESS(INDEX($Q$2:$Q$1001,MATCH(ROWS($O$2:O935),$O$2:$O$1001,0),0),1)),INDEX($T$2:$T$1001,MATCH(ROWS($O$2:O935),$O$2:$O$1001,0),0)))</f>
        <v>0</v>
      </c>
      <c r="B935" s="3">
        <f>IF(OR(INDEX($P$2:$P$1001,MATCH(ROWS($O$2:O935),$O$2:$O$1001,0),1)&gt;=100000,INDEX($V$1005:$AE$1005,1,MATCH(COLUMNS($V$1006:V1006),$V$1006:$AE$1006,0))&gt;=100000), " ",IF(INDEX($V$2:$AE$1001,MATCH(ROWS($O$2:O935),$O$2:$O$1001,0),MATCH(COLUMNS($V$1006:V1006),$V$1006:$AE$1006,0)), HYPERLINK("#",""), HYPERLINK(CONCATENATE("#Metadata!", ADDRESS(INDEX($Q$2:$Q$1001,MATCH(ROWS($O$2:O935),$O$2:$O$1001,0),0), INDEX($V$1004:$AE$1004,1,MATCH(COLUMNS($V$1006:V1006),$V$1006:$AE$1006,0)))),"Fix")))</f>
        <v>0</v>
      </c>
      <c r="C935" s="3">
        <f>IF(OR(INDEX($P$2:$P$1001,MATCH(ROWS($O$2:O935),$O$2:$O$1001,0),1)&gt;=100000,INDEX($V$1005:$AE$1005,1,MATCH(COLUMNS($V$1006:W1006),$V$1006:$AE$1006,0))&gt;=100000), " ",IF(INDEX($V$2:$AE$1001,MATCH(ROWS($O$2:O935),$O$2:$O$1001,0),MATCH(COLUMNS($V$1006:W1006),$V$1006:$AE$1006,0)), HYPERLINK("#",""), HYPERLINK(CONCATENATE("#Metadata!", ADDRESS(INDEX($Q$2:$Q$1001,MATCH(ROWS($O$2:O935),$O$2:$O$1001,0),0), INDEX($V$1004:$AE$1004,1,MATCH(COLUMNS($V$1006:W1006),$V$1006:$AE$1006,0)))),"Fix")))</f>
        <v>0</v>
      </c>
      <c r="D935" s="3">
        <f>IF(OR(INDEX($P$2:$P$1001,MATCH(ROWS($O$2:O935),$O$2:$O$1001,0),1)&gt;=100000,INDEX($V$1005:$AE$1005,1,MATCH(COLUMNS($V$1006:X1006),$V$1006:$AE$1006,0))&gt;=100000), " ",IF(INDEX($V$2:$AE$1001,MATCH(ROWS($O$2:O935),$O$2:$O$1001,0),MATCH(COLUMNS($V$1006:X1006),$V$1006:$AE$1006,0)), HYPERLINK("#",""), HYPERLINK(CONCATENATE("#Metadata!", ADDRESS(INDEX($Q$2:$Q$1001,MATCH(ROWS($O$2:O935),$O$2:$O$1001,0),0), INDEX($V$1004:$AE$1004,1,MATCH(COLUMNS($V$1006:X1006),$V$1006:$AE$1006,0)))),"Fix")))</f>
        <v>0</v>
      </c>
      <c r="E935" s="3">
        <f>IF(OR(INDEX($P$2:$P$1001,MATCH(ROWS($O$2:O935),$O$2:$O$1001,0),1)&gt;=100000,INDEX($V$1005:$AE$1005,1,MATCH(COLUMNS($V$1006:Y1006),$V$1006:$AE$1006,0))&gt;=100000), " ",IF(INDEX($V$2:$AE$1001,MATCH(ROWS($O$2:O935),$O$2:$O$1001,0),MATCH(COLUMNS($V$1006:Y1006),$V$1006:$AE$1006,0)), HYPERLINK("#",""), HYPERLINK(CONCATENATE("#Metadata!", ADDRESS(INDEX($Q$2:$Q$1001,MATCH(ROWS($O$2:O935),$O$2:$O$1001,0),0), INDEX($V$1004:$AE$1004,1,MATCH(COLUMNS($V$1006:Y1006),$V$1006:$AE$1006,0)))),"Fix")))</f>
        <v>0</v>
      </c>
      <c r="F935" s="3">
        <f>IF(OR(INDEX($P$2:$P$1001,MATCH(ROWS($O$2:O935),$O$2:$O$1001,0),1)&gt;=100000,INDEX($V$1005:$AE$1005,1,MATCH(COLUMNS($V$1006:Z1006),$V$1006:$AE$1006,0))&gt;=100000), " ",IF(INDEX($V$2:$AE$1001,MATCH(ROWS($O$2:O935),$O$2:$O$1001,0),MATCH(COLUMNS($V$1006:Z1006),$V$1006:$AE$1006,0)), HYPERLINK("#",""), HYPERLINK(CONCATENATE("#Metadata!", ADDRESS(INDEX($Q$2:$Q$1001,MATCH(ROWS($O$2:O935),$O$2:$O$1001,0),0), INDEX($V$1004:$AE$1004,1,MATCH(COLUMNS($V$1006:Z1006),$V$1006:$AE$1006,0)))),"Fix")))</f>
        <v>0</v>
      </c>
      <c r="G935" s="3">
        <f>IF(OR(INDEX($P$2:$P$1001,MATCH(ROWS($O$2:O935),$O$2:$O$1001,0),1)&gt;=100000,INDEX($V$1005:$AE$1005,1,MATCH(COLUMNS($V$1006:AA1006),$V$1006:$AE$1006,0))&gt;=100000), " ",IF(INDEX($V$2:$AE$1001,MATCH(ROWS($O$2:O935),$O$2:$O$1001,0),MATCH(COLUMNS($V$1006:AA1006),$V$1006:$AE$1006,0)), HYPERLINK("#",""), HYPERLINK(CONCATENATE("#Metadata!", ADDRESS(INDEX($Q$2:$Q$1001,MATCH(ROWS($O$2:O935),$O$2:$O$1001,0),0), INDEX($V$1004:$AE$1004,1,MATCH(COLUMNS($V$1006:AA1006),$V$1006:$AE$1006,0)))),"Fix")))</f>
        <v>0</v>
      </c>
      <c r="H935" s="3">
        <f>IF(OR(INDEX($P$2:$P$1001,MATCH(ROWS($O$2:O935),$O$2:$O$1001,0),1)&gt;=100000,INDEX($V$1005:$AE$1005,1,MATCH(COLUMNS($V$1006:AB1006),$V$1006:$AE$1006,0))&gt;=100000), " ",IF(INDEX($V$2:$AE$1001,MATCH(ROWS($O$2:O935),$O$2:$O$1001,0),MATCH(COLUMNS($V$1006:AB1006),$V$1006:$AE$1006,0)), HYPERLINK("#",""), HYPERLINK(CONCATENATE("#Metadata!", ADDRESS(INDEX($Q$2:$Q$1001,MATCH(ROWS($O$2:O935),$O$2:$O$1001,0),0), INDEX($V$1004:$AE$1004,1,MATCH(COLUMNS($V$1006:AB1006),$V$1006:$AE$1006,0)))),"Fix")))</f>
        <v>0</v>
      </c>
      <c r="I935" s="3">
        <f>IF(OR(INDEX($P$2:$P$1001,MATCH(ROWS($O$2:O935),$O$2:$O$1001,0),1)&gt;=100000,INDEX($V$1005:$AE$1005,1,MATCH(COLUMNS($V$1006:AC1006),$V$1006:$AE$1006,0))&gt;=100000), " ",IF(INDEX($V$2:$AE$1001,MATCH(ROWS($O$2:O935),$O$2:$O$1001,0),MATCH(COLUMNS($V$1006:AC1006),$V$1006:$AE$1006,0)), HYPERLINK("#",""), HYPERLINK(CONCATENATE("#Metadata!", ADDRESS(INDEX($Q$2:$Q$1001,MATCH(ROWS($O$2:O935),$O$2:$O$1001,0),0), INDEX($V$1004:$AE$1004,1,MATCH(COLUMNS($V$1006:AC1006),$V$1006:$AE$1006,0)))),"Fix")))</f>
        <v>0</v>
      </c>
      <c r="J935" s="3">
        <f>IF(OR(INDEX($P$2:$P$1001,MATCH(ROWS($O$2:O935),$O$2:$O$1001,0),1)&gt;=100000,INDEX($V$1005:$AE$1005,1,MATCH(COLUMNS($V$1006:AD1006),$V$1006:$AE$1006,0))&gt;=100000), " ",IF(INDEX($V$2:$AE$1001,MATCH(ROWS($O$2:O935),$O$2:$O$1001,0),MATCH(COLUMNS($V$1006:AD1006),$V$1006:$AE$1006,0)), HYPERLINK("#",""), HYPERLINK(CONCATENATE("#Metadata!", ADDRESS(INDEX($Q$2:$Q$1001,MATCH(ROWS($O$2:O935),$O$2:$O$1001,0),0), INDEX($V$1004:$AE$1004,1,MATCH(COLUMNS($V$1006:AD1006),$V$1006:$AE$1006,0)))),"Fix")))</f>
        <v>0</v>
      </c>
      <c r="K935" s="3">
        <f>IF(OR(INDEX($P$2:$P$1001,MATCH(ROWS($O$2:O935),$O$2:$O$1001,0),1)&gt;=100000,INDEX($V$1005:$AE$1005,1,MATCH(COLUMNS($V$1006:AE1006),$V$1006:$AE$1006,0))&gt;=100000), " ",IF(INDEX($V$2:$AE$1001,MATCH(ROWS($O$2:O935),$O$2:$O$1001,0),MATCH(COLUMNS($V$1006:AE1006),$V$1006:$AE$1006,0)), HYPERLINK("#",""), HYPERLINK(CONCATENATE("#Metadata!", ADDRESS(INDEX($Q$2:$Q$1001,MATCH(ROWS($O$2:O935),$O$2:$O$1001,0),0), INDEX($V$1004:$AE$1004,1,MATCH(COLUMNS($V$1006:AE1006),$V$1006:$AE$1006,0)))),"Fix")))</f>
        <v>0</v>
      </c>
      <c r="O935">
        <v>0</v>
      </c>
      <c r="P935">
        <v>0</v>
      </c>
      <c r="Q935">
        <v>0</v>
      </c>
      <c r="R935">
        <f>IF(S935,TRUE,AND(V935:AE935))</f>
        <v>0</v>
      </c>
      <c r="S935">
        <f>COUNTBLANK(Metadata!B935:K935)=COLUMNS(Metadata!B935:K935)</f>
        <v>0</v>
      </c>
      <c r="T935">
        <v>0</v>
      </c>
      <c r="V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W935">
        <f>AND(IF(Metadata!C935="",FALSE,TRUE),exact(Metadata!C935,"animal secretion"))</f>
        <v>0</v>
      </c>
      <c r="X935">
        <f>AND(IF(Metadata!D935="",FALSE,TRUE),exact(Metadata!D935,"saliva"))</f>
        <v>0</v>
      </c>
      <c r="Y935">
        <f>AND(IF(Metadata!E935="",FALSE,TRUE),exact(Metadata!E935,"human-oral"))</f>
        <v>0</v>
      </c>
      <c r="Z935">
        <f>AND(IF(Metadata!F935="",FALSE,TRUE),exact(Metadata!F935,"UBERON:oral cavity"))</f>
        <v>0</v>
      </c>
      <c r="AA935">
        <f>AND(IF(Metadata!G935="",FALSE,TRUE),exact(Metadata!G935,"UBERON:saliva"))</f>
        <v>0</v>
      </c>
      <c r="AB935">
        <f>AND(IF(Metadata!H935="",FALSE,TRUE),exact(Metadata!H935,"UBERON:tongue"))</f>
        <v>0</v>
      </c>
      <c r="AC935">
        <f>AND(IF(Metadata!I935="",FALSE,TRUE),exact(Metadata!I935,"tongue"))</f>
        <v>0</v>
      </c>
      <c r="AD935">
        <f>AND(IF(Metadata!J935="",FALSE,TRUE),exact(Metadata!J935,"human oral metagenome"))</f>
        <v>0</v>
      </c>
      <c r="AE935">
        <f>AND(IF(Metadata!K935="",FALSE,TRUE),exact(Metadata!K935,"447426"))</f>
        <v>0</v>
      </c>
    </row>
    <row r="936" spans="1:31">
      <c r="A936" s="4">
        <f>IF(B936=" "," ",HYPERLINK(CONCATENATE("#metadata!",ADDRESS(INDEX($Q$2:$Q$1001,MATCH(ROWS($O$2:O936),$O$2:$O$1001,0),0),1)),INDEX($T$2:$T$1001,MATCH(ROWS($O$2:O936),$O$2:$O$1001,0),0)))</f>
        <v>0</v>
      </c>
      <c r="B936" s="3">
        <f>IF(OR(INDEX($P$2:$P$1001,MATCH(ROWS($O$2:O936),$O$2:$O$1001,0),1)&gt;=100000,INDEX($V$1005:$AE$1005,1,MATCH(COLUMNS($V$1006:V1006),$V$1006:$AE$1006,0))&gt;=100000), " ",IF(INDEX($V$2:$AE$1001,MATCH(ROWS($O$2:O936),$O$2:$O$1001,0),MATCH(COLUMNS($V$1006:V1006),$V$1006:$AE$1006,0)), HYPERLINK("#",""), HYPERLINK(CONCATENATE("#Metadata!", ADDRESS(INDEX($Q$2:$Q$1001,MATCH(ROWS($O$2:O936),$O$2:$O$1001,0),0), INDEX($V$1004:$AE$1004,1,MATCH(COLUMNS($V$1006:V1006),$V$1006:$AE$1006,0)))),"Fix")))</f>
        <v>0</v>
      </c>
      <c r="C936" s="3">
        <f>IF(OR(INDEX($P$2:$P$1001,MATCH(ROWS($O$2:O936),$O$2:$O$1001,0),1)&gt;=100000,INDEX($V$1005:$AE$1005,1,MATCH(COLUMNS($V$1006:W1006),$V$1006:$AE$1006,0))&gt;=100000), " ",IF(INDEX($V$2:$AE$1001,MATCH(ROWS($O$2:O936),$O$2:$O$1001,0),MATCH(COLUMNS($V$1006:W1006),$V$1006:$AE$1006,0)), HYPERLINK("#",""), HYPERLINK(CONCATENATE("#Metadata!", ADDRESS(INDEX($Q$2:$Q$1001,MATCH(ROWS($O$2:O936),$O$2:$O$1001,0),0), INDEX($V$1004:$AE$1004,1,MATCH(COLUMNS($V$1006:W1006),$V$1006:$AE$1006,0)))),"Fix")))</f>
        <v>0</v>
      </c>
      <c r="D936" s="3">
        <f>IF(OR(INDEX($P$2:$P$1001,MATCH(ROWS($O$2:O936),$O$2:$O$1001,0),1)&gt;=100000,INDEX($V$1005:$AE$1005,1,MATCH(COLUMNS($V$1006:X1006),$V$1006:$AE$1006,0))&gt;=100000), " ",IF(INDEX($V$2:$AE$1001,MATCH(ROWS($O$2:O936),$O$2:$O$1001,0),MATCH(COLUMNS($V$1006:X1006),$V$1006:$AE$1006,0)), HYPERLINK("#",""), HYPERLINK(CONCATENATE("#Metadata!", ADDRESS(INDEX($Q$2:$Q$1001,MATCH(ROWS($O$2:O936),$O$2:$O$1001,0),0), INDEX($V$1004:$AE$1004,1,MATCH(COLUMNS($V$1006:X1006),$V$1006:$AE$1006,0)))),"Fix")))</f>
        <v>0</v>
      </c>
      <c r="E936" s="3">
        <f>IF(OR(INDEX($P$2:$P$1001,MATCH(ROWS($O$2:O936),$O$2:$O$1001,0),1)&gt;=100000,INDEX($V$1005:$AE$1005,1,MATCH(COLUMNS($V$1006:Y1006),$V$1006:$AE$1006,0))&gt;=100000), " ",IF(INDEX($V$2:$AE$1001,MATCH(ROWS($O$2:O936),$O$2:$O$1001,0),MATCH(COLUMNS($V$1006:Y1006),$V$1006:$AE$1006,0)), HYPERLINK("#",""), HYPERLINK(CONCATENATE("#Metadata!", ADDRESS(INDEX($Q$2:$Q$1001,MATCH(ROWS($O$2:O936),$O$2:$O$1001,0),0), INDEX($V$1004:$AE$1004,1,MATCH(COLUMNS($V$1006:Y1006),$V$1006:$AE$1006,0)))),"Fix")))</f>
        <v>0</v>
      </c>
      <c r="F936" s="3">
        <f>IF(OR(INDEX($P$2:$P$1001,MATCH(ROWS($O$2:O936),$O$2:$O$1001,0),1)&gt;=100000,INDEX($V$1005:$AE$1005,1,MATCH(COLUMNS($V$1006:Z1006),$V$1006:$AE$1006,0))&gt;=100000), " ",IF(INDEX($V$2:$AE$1001,MATCH(ROWS($O$2:O936),$O$2:$O$1001,0),MATCH(COLUMNS($V$1006:Z1006),$V$1006:$AE$1006,0)), HYPERLINK("#",""), HYPERLINK(CONCATENATE("#Metadata!", ADDRESS(INDEX($Q$2:$Q$1001,MATCH(ROWS($O$2:O936),$O$2:$O$1001,0),0), INDEX($V$1004:$AE$1004,1,MATCH(COLUMNS($V$1006:Z1006),$V$1006:$AE$1006,0)))),"Fix")))</f>
        <v>0</v>
      </c>
      <c r="G936" s="3">
        <f>IF(OR(INDEX($P$2:$P$1001,MATCH(ROWS($O$2:O936),$O$2:$O$1001,0),1)&gt;=100000,INDEX($V$1005:$AE$1005,1,MATCH(COLUMNS($V$1006:AA1006),$V$1006:$AE$1006,0))&gt;=100000), " ",IF(INDEX($V$2:$AE$1001,MATCH(ROWS($O$2:O936),$O$2:$O$1001,0),MATCH(COLUMNS($V$1006:AA1006),$V$1006:$AE$1006,0)), HYPERLINK("#",""), HYPERLINK(CONCATENATE("#Metadata!", ADDRESS(INDEX($Q$2:$Q$1001,MATCH(ROWS($O$2:O936),$O$2:$O$1001,0),0), INDEX($V$1004:$AE$1004,1,MATCH(COLUMNS($V$1006:AA1006),$V$1006:$AE$1006,0)))),"Fix")))</f>
        <v>0</v>
      </c>
      <c r="H936" s="3">
        <f>IF(OR(INDEX($P$2:$P$1001,MATCH(ROWS($O$2:O936),$O$2:$O$1001,0),1)&gt;=100000,INDEX($V$1005:$AE$1005,1,MATCH(COLUMNS($V$1006:AB1006),$V$1006:$AE$1006,0))&gt;=100000), " ",IF(INDEX($V$2:$AE$1001,MATCH(ROWS($O$2:O936),$O$2:$O$1001,0),MATCH(COLUMNS($V$1006:AB1006),$V$1006:$AE$1006,0)), HYPERLINK("#",""), HYPERLINK(CONCATENATE("#Metadata!", ADDRESS(INDEX($Q$2:$Q$1001,MATCH(ROWS($O$2:O936),$O$2:$O$1001,0),0), INDEX($V$1004:$AE$1004,1,MATCH(COLUMNS($V$1006:AB1006),$V$1006:$AE$1006,0)))),"Fix")))</f>
        <v>0</v>
      </c>
      <c r="I936" s="3">
        <f>IF(OR(INDEX($P$2:$P$1001,MATCH(ROWS($O$2:O936),$O$2:$O$1001,0),1)&gt;=100000,INDEX($V$1005:$AE$1005,1,MATCH(COLUMNS($V$1006:AC1006),$V$1006:$AE$1006,0))&gt;=100000), " ",IF(INDEX($V$2:$AE$1001,MATCH(ROWS($O$2:O936),$O$2:$O$1001,0),MATCH(COLUMNS($V$1006:AC1006),$V$1006:$AE$1006,0)), HYPERLINK("#",""), HYPERLINK(CONCATENATE("#Metadata!", ADDRESS(INDEX($Q$2:$Q$1001,MATCH(ROWS($O$2:O936),$O$2:$O$1001,0),0), INDEX($V$1004:$AE$1004,1,MATCH(COLUMNS($V$1006:AC1006),$V$1006:$AE$1006,0)))),"Fix")))</f>
        <v>0</v>
      </c>
      <c r="J936" s="3">
        <f>IF(OR(INDEX($P$2:$P$1001,MATCH(ROWS($O$2:O936),$O$2:$O$1001,0),1)&gt;=100000,INDEX($V$1005:$AE$1005,1,MATCH(COLUMNS($V$1006:AD1006),$V$1006:$AE$1006,0))&gt;=100000), " ",IF(INDEX($V$2:$AE$1001,MATCH(ROWS($O$2:O936),$O$2:$O$1001,0),MATCH(COLUMNS($V$1006:AD1006),$V$1006:$AE$1006,0)), HYPERLINK("#",""), HYPERLINK(CONCATENATE("#Metadata!", ADDRESS(INDEX($Q$2:$Q$1001,MATCH(ROWS($O$2:O936),$O$2:$O$1001,0),0), INDEX($V$1004:$AE$1004,1,MATCH(COLUMNS($V$1006:AD1006),$V$1006:$AE$1006,0)))),"Fix")))</f>
        <v>0</v>
      </c>
      <c r="K936" s="3">
        <f>IF(OR(INDEX($P$2:$P$1001,MATCH(ROWS($O$2:O936),$O$2:$O$1001,0),1)&gt;=100000,INDEX($V$1005:$AE$1005,1,MATCH(COLUMNS($V$1006:AE1006),$V$1006:$AE$1006,0))&gt;=100000), " ",IF(INDEX($V$2:$AE$1001,MATCH(ROWS($O$2:O936),$O$2:$O$1001,0),MATCH(COLUMNS($V$1006:AE1006),$V$1006:$AE$1006,0)), HYPERLINK("#",""), HYPERLINK(CONCATENATE("#Metadata!", ADDRESS(INDEX($Q$2:$Q$1001,MATCH(ROWS($O$2:O936),$O$2:$O$1001,0),0), INDEX($V$1004:$AE$1004,1,MATCH(COLUMNS($V$1006:AE1006),$V$1006:$AE$1006,0)))),"Fix")))</f>
        <v>0</v>
      </c>
      <c r="O936">
        <v>0</v>
      </c>
      <c r="P936">
        <v>0</v>
      </c>
      <c r="Q936">
        <v>0</v>
      </c>
      <c r="R936">
        <f>IF(S936,TRUE,AND(V936:AE936))</f>
        <v>0</v>
      </c>
      <c r="S936">
        <f>COUNTBLANK(Metadata!B936:K936)=COLUMNS(Metadata!B936:K936)</f>
        <v>0</v>
      </c>
      <c r="T936">
        <v>0</v>
      </c>
      <c r="V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W936">
        <f>AND(IF(Metadata!C936="",FALSE,TRUE),exact(Metadata!C936,"animal secretion"))</f>
        <v>0</v>
      </c>
      <c r="X936">
        <f>AND(IF(Metadata!D936="",FALSE,TRUE),exact(Metadata!D936,"saliva"))</f>
        <v>0</v>
      </c>
      <c r="Y936">
        <f>AND(IF(Metadata!E936="",FALSE,TRUE),exact(Metadata!E936,"human-oral"))</f>
        <v>0</v>
      </c>
      <c r="Z936">
        <f>AND(IF(Metadata!F936="",FALSE,TRUE),exact(Metadata!F936,"UBERON:oral cavity"))</f>
        <v>0</v>
      </c>
      <c r="AA936">
        <f>AND(IF(Metadata!G936="",FALSE,TRUE),exact(Metadata!G936,"UBERON:saliva"))</f>
        <v>0</v>
      </c>
      <c r="AB936">
        <f>AND(IF(Metadata!H936="",FALSE,TRUE),exact(Metadata!H936,"UBERON:tongue"))</f>
        <v>0</v>
      </c>
      <c r="AC936">
        <f>AND(IF(Metadata!I936="",FALSE,TRUE),exact(Metadata!I936,"tongue"))</f>
        <v>0</v>
      </c>
      <c r="AD936">
        <f>AND(IF(Metadata!J936="",FALSE,TRUE),exact(Metadata!J936,"human oral metagenome"))</f>
        <v>0</v>
      </c>
      <c r="AE936">
        <f>AND(IF(Metadata!K936="",FALSE,TRUE),exact(Metadata!K936,"447426"))</f>
        <v>0</v>
      </c>
    </row>
    <row r="937" spans="1:31">
      <c r="A937" s="4">
        <f>IF(B937=" "," ",HYPERLINK(CONCATENATE("#metadata!",ADDRESS(INDEX($Q$2:$Q$1001,MATCH(ROWS($O$2:O937),$O$2:$O$1001,0),0),1)),INDEX($T$2:$T$1001,MATCH(ROWS($O$2:O937),$O$2:$O$1001,0),0)))</f>
        <v>0</v>
      </c>
      <c r="B937" s="3">
        <f>IF(OR(INDEX($P$2:$P$1001,MATCH(ROWS($O$2:O937),$O$2:$O$1001,0),1)&gt;=100000,INDEX($V$1005:$AE$1005,1,MATCH(COLUMNS($V$1006:V1006),$V$1006:$AE$1006,0))&gt;=100000), " ",IF(INDEX($V$2:$AE$1001,MATCH(ROWS($O$2:O937),$O$2:$O$1001,0),MATCH(COLUMNS($V$1006:V1006),$V$1006:$AE$1006,0)), HYPERLINK("#",""), HYPERLINK(CONCATENATE("#Metadata!", ADDRESS(INDEX($Q$2:$Q$1001,MATCH(ROWS($O$2:O937),$O$2:$O$1001,0),0), INDEX($V$1004:$AE$1004,1,MATCH(COLUMNS($V$1006:V1006),$V$1006:$AE$1006,0)))),"Fix")))</f>
        <v>0</v>
      </c>
      <c r="C937" s="3">
        <f>IF(OR(INDEX($P$2:$P$1001,MATCH(ROWS($O$2:O937),$O$2:$O$1001,0),1)&gt;=100000,INDEX($V$1005:$AE$1005,1,MATCH(COLUMNS($V$1006:W1006),$V$1006:$AE$1006,0))&gt;=100000), " ",IF(INDEX($V$2:$AE$1001,MATCH(ROWS($O$2:O937),$O$2:$O$1001,0),MATCH(COLUMNS($V$1006:W1006),$V$1006:$AE$1006,0)), HYPERLINK("#",""), HYPERLINK(CONCATENATE("#Metadata!", ADDRESS(INDEX($Q$2:$Q$1001,MATCH(ROWS($O$2:O937),$O$2:$O$1001,0),0), INDEX($V$1004:$AE$1004,1,MATCH(COLUMNS($V$1006:W1006),$V$1006:$AE$1006,0)))),"Fix")))</f>
        <v>0</v>
      </c>
      <c r="D937" s="3">
        <f>IF(OR(INDEX($P$2:$P$1001,MATCH(ROWS($O$2:O937),$O$2:$O$1001,0),1)&gt;=100000,INDEX($V$1005:$AE$1005,1,MATCH(COLUMNS($V$1006:X1006),$V$1006:$AE$1006,0))&gt;=100000), " ",IF(INDEX($V$2:$AE$1001,MATCH(ROWS($O$2:O937),$O$2:$O$1001,0),MATCH(COLUMNS($V$1006:X1006),$V$1006:$AE$1006,0)), HYPERLINK("#",""), HYPERLINK(CONCATENATE("#Metadata!", ADDRESS(INDEX($Q$2:$Q$1001,MATCH(ROWS($O$2:O937),$O$2:$O$1001,0),0), INDEX($V$1004:$AE$1004,1,MATCH(COLUMNS($V$1006:X1006),$V$1006:$AE$1006,0)))),"Fix")))</f>
        <v>0</v>
      </c>
      <c r="E937" s="3">
        <f>IF(OR(INDEX($P$2:$P$1001,MATCH(ROWS($O$2:O937),$O$2:$O$1001,0),1)&gt;=100000,INDEX($V$1005:$AE$1005,1,MATCH(COLUMNS($V$1006:Y1006),$V$1006:$AE$1006,0))&gt;=100000), " ",IF(INDEX($V$2:$AE$1001,MATCH(ROWS($O$2:O937),$O$2:$O$1001,0),MATCH(COLUMNS($V$1006:Y1006),$V$1006:$AE$1006,0)), HYPERLINK("#",""), HYPERLINK(CONCATENATE("#Metadata!", ADDRESS(INDEX($Q$2:$Q$1001,MATCH(ROWS($O$2:O937),$O$2:$O$1001,0),0), INDEX($V$1004:$AE$1004,1,MATCH(COLUMNS($V$1006:Y1006),$V$1006:$AE$1006,0)))),"Fix")))</f>
        <v>0</v>
      </c>
      <c r="F937" s="3">
        <f>IF(OR(INDEX($P$2:$P$1001,MATCH(ROWS($O$2:O937),$O$2:$O$1001,0),1)&gt;=100000,INDEX($V$1005:$AE$1005,1,MATCH(COLUMNS($V$1006:Z1006),$V$1006:$AE$1006,0))&gt;=100000), " ",IF(INDEX($V$2:$AE$1001,MATCH(ROWS($O$2:O937),$O$2:$O$1001,0),MATCH(COLUMNS($V$1006:Z1006),$V$1006:$AE$1006,0)), HYPERLINK("#",""), HYPERLINK(CONCATENATE("#Metadata!", ADDRESS(INDEX($Q$2:$Q$1001,MATCH(ROWS($O$2:O937),$O$2:$O$1001,0),0), INDEX($V$1004:$AE$1004,1,MATCH(COLUMNS($V$1006:Z1006),$V$1006:$AE$1006,0)))),"Fix")))</f>
        <v>0</v>
      </c>
      <c r="G937" s="3">
        <f>IF(OR(INDEX($P$2:$P$1001,MATCH(ROWS($O$2:O937),$O$2:$O$1001,0),1)&gt;=100000,INDEX($V$1005:$AE$1005,1,MATCH(COLUMNS($V$1006:AA1006),$V$1006:$AE$1006,0))&gt;=100000), " ",IF(INDEX($V$2:$AE$1001,MATCH(ROWS($O$2:O937),$O$2:$O$1001,0),MATCH(COLUMNS($V$1006:AA1006),$V$1006:$AE$1006,0)), HYPERLINK("#",""), HYPERLINK(CONCATENATE("#Metadata!", ADDRESS(INDEX($Q$2:$Q$1001,MATCH(ROWS($O$2:O937),$O$2:$O$1001,0),0), INDEX($V$1004:$AE$1004,1,MATCH(COLUMNS($V$1006:AA1006),$V$1006:$AE$1006,0)))),"Fix")))</f>
        <v>0</v>
      </c>
      <c r="H937" s="3">
        <f>IF(OR(INDEX($P$2:$P$1001,MATCH(ROWS($O$2:O937),$O$2:$O$1001,0),1)&gt;=100000,INDEX($V$1005:$AE$1005,1,MATCH(COLUMNS($V$1006:AB1006),$V$1006:$AE$1006,0))&gt;=100000), " ",IF(INDEX($V$2:$AE$1001,MATCH(ROWS($O$2:O937),$O$2:$O$1001,0),MATCH(COLUMNS($V$1006:AB1006),$V$1006:$AE$1006,0)), HYPERLINK("#",""), HYPERLINK(CONCATENATE("#Metadata!", ADDRESS(INDEX($Q$2:$Q$1001,MATCH(ROWS($O$2:O937),$O$2:$O$1001,0),0), INDEX($V$1004:$AE$1004,1,MATCH(COLUMNS($V$1006:AB1006),$V$1006:$AE$1006,0)))),"Fix")))</f>
        <v>0</v>
      </c>
      <c r="I937" s="3">
        <f>IF(OR(INDEX($P$2:$P$1001,MATCH(ROWS($O$2:O937),$O$2:$O$1001,0),1)&gt;=100000,INDEX($V$1005:$AE$1005,1,MATCH(COLUMNS($V$1006:AC1006),$V$1006:$AE$1006,0))&gt;=100000), " ",IF(INDEX($V$2:$AE$1001,MATCH(ROWS($O$2:O937),$O$2:$O$1001,0),MATCH(COLUMNS($V$1006:AC1006),$V$1006:$AE$1006,0)), HYPERLINK("#",""), HYPERLINK(CONCATENATE("#Metadata!", ADDRESS(INDEX($Q$2:$Q$1001,MATCH(ROWS($O$2:O937),$O$2:$O$1001,0),0), INDEX($V$1004:$AE$1004,1,MATCH(COLUMNS($V$1006:AC1006),$V$1006:$AE$1006,0)))),"Fix")))</f>
        <v>0</v>
      </c>
      <c r="J937" s="3">
        <f>IF(OR(INDEX($P$2:$P$1001,MATCH(ROWS($O$2:O937),$O$2:$O$1001,0),1)&gt;=100000,INDEX($V$1005:$AE$1005,1,MATCH(COLUMNS($V$1006:AD1006),$V$1006:$AE$1006,0))&gt;=100000), " ",IF(INDEX($V$2:$AE$1001,MATCH(ROWS($O$2:O937),$O$2:$O$1001,0),MATCH(COLUMNS($V$1006:AD1006),$V$1006:$AE$1006,0)), HYPERLINK("#",""), HYPERLINK(CONCATENATE("#Metadata!", ADDRESS(INDEX($Q$2:$Q$1001,MATCH(ROWS($O$2:O937),$O$2:$O$1001,0),0), INDEX($V$1004:$AE$1004,1,MATCH(COLUMNS($V$1006:AD1006),$V$1006:$AE$1006,0)))),"Fix")))</f>
        <v>0</v>
      </c>
      <c r="K937" s="3">
        <f>IF(OR(INDEX($P$2:$P$1001,MATCH(ROWS($O$2:O937),$O$2:$O$1001,0),1)&gt;=100000,INDEX($V$1005:$AE$1005,1,MATCH(COLUMNS($V$1006:AE1006),$V$1006:$AE$1006,0))&gt;=100000), " ",IF(INDEX($V$2:$AE$1001,MATCH(ROWS($O$2:O937),$O$2:$O$1001,0),MATCH(COLUMNS($V$1006:AE1006),$V$1006:$AE$1006,0)), HYPERLINK("#",""), HYPERLINK(CONCATENATE("#Metadata!", ADDRESS(INDEX($Q$2:$Q$1001,MATCH(ROWS($O$2:O937),$O$2:$O$1001,0),0), INDEX($V$1004:$AE$1004,1,MATCH(COLUMNS($V$1006:AE1006),$V$1006:$AE$1006,0)))),"Fix")))</f>
        <v>0</v>
      </c>
      <c r="O937">
        <v>0</v>
      </c>
      <c r="P937">
        <v>0</v>
      </c>
      <c r="Q937">
        <v>0</v>
      </c>
      <c r="R937">
        <f>IF(S937,TRUE,AND(V937:AE937))</f>
        <v>0</v>
      </c>
      <c r="S937">
        <f>COUNTBLANK(Metadata!B937:K937)=COLUMNS(Metadata!B937:K937)</f>
        <v>0</v>
      </c>
      <c r="T937">
        <v>0</v>
      </c>
      <c r="V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W937">
        <f>AND(IF(Metadata!C937="",FALSE,TRUE),exact(Metadata!C937,"animal secretion"))</f>
        <v>0</v>
      </c>
      <c r="X937">
        <f>AND(IF(Metadata!D937="",FALSE,TRUE),exact(Metadata!D937,"saliva"))</f>
        <v>0</v>
      </c>
      <c r="Y937">
        <f>AND(IF(Metadata!E937="",FALSE,TRUE),exact(Metadata!E937,"human-oral"))</f>
        <v>0</v>
      </c>
      <c r="Z937">
        <f>AND(IF(Metadata!F937="",FALSE,TRUE),exact(Metadata!F937,"UBERON:oral cavity"))</f>
        <v>0</v>
      </c>
      <c r="AA937">
        <f>AND(IF(Metadata!G937="",FALSE,TRUE),exact(Metadata!G937,"UBERON:saliva"))</f>
        <v>0</v>
      </c>
      <c r="AB937">
        <f>AND(IF(Metadata!H937="",FALSE,TRUE),exact(Metadata!H937,"UBERON:tongue"))</f>
        <v>0</v>
      </c>
      <c r="AC937">
        <f>AND(IF(Metadata!I937="",FALSE,TRUE),exact(Metadata!I937,"tongue"))</f>
        <v>0</v>
      </c>
      <c r="AD937">
        <f>AND(IF(Metadata!J937="",FALSE,TRUE),exact(Metadata!J937,"human oral metagenome"))</f>
        <v>0</v>
      </c>
      <c r="AE937">
        <f>AND(IF(Metadata!K937="",FALSE,TRUE),exact(Metadata!K937,"447426"))</f>
        <v>0</v>
      </c>
    </row>
    <row r="938" spans="1:31">
      <c r="A938" s="4">
        <f>IF(B938=" "," ",HYPERLINK(CONCATENATE("#metadata!",ADDRESS(INDEX($Q$2:$Q$1001,MATCH(ROWS($O$2:O938),$O$2:$O$1001,0),0),1)),INDEX($T$2:$T$1001,MATCH(ROWS($O$2:O938),$O$2:$O$1001,0),0)))</f>
        <v>0</v>
      </c>
      <c r="B938" s="3">
        <f>IF(OR(INDEX($P$2:$P$1001,MATCH(ROWS($O$2:O938),$O$2:$O$1001,0),1)&gt;=100000,INDEX($V$1005:$AE$1005,1,MATCH(COLUMNS($V$1006:V1006),$V$1006:$AE$1006,0))&gt;=100000), " ",IF(INDEX($V$2:$AE$1001,MATCH(ROWS($O$2:O938),$O$2:$O$1001,0),MATCH(COLUMNS($V$1006:V1006),$V$1006:$AE$1006,0)), HYPERLINK("#",""), HYPERLINK(CONCATENATE("#Metadata!", ADDRESS(INDEX($Q$2:$Q$1001,MATCH(ROWS($O$2:O938),$O$2:$O$1001,0),0), INDEX($V$1004:$AE$1004,1,MATCH(COLUMNS($V$1006:V1006),$V$1006:$AE$1006,0)))),"Fix")))</f>
        <v>0</v>
      </c>
      <c r="C938" s="3">
        <f>IF(OR(INDEX($P$2:$P$1001,MATCH(ROWS($O$2:O938),$O$2:$O$1001,0),1)&gt;=100000,INDEX($V$1005:$AE$1005,1,MATCH(COLUMNS($V$1006:W1006),$V$1006:$AE$1006,0))&gt;=100000), " ",IF(INDEX($V$2:$AE$1001,MATCH(ROWS($O$2:O938),$O$2:$O$1001,0),MATCH(COLUMNS($V$1006:W1006),$V$1006:$AE$1006,0)), HYPERLINK("#",""), HYPERLINK(CONCATENATE("#Metadata!", ADDRESS(INDEX($Q$2:$Q$1001,MATCH(ROWS($O$2:O938),$O$2:$O$1001,0),0), INDEX($V$1004:$AE$1004,1,MATCH(COLUMNS($V$1006:W1006),$V$1006:$AE$1006,0)))),"Fix")))</f>
        <v>0</v>
      </c>
      <c r="D938" s="3">
        <f>IF(OR(INDEX($P$2:$P$1001,MATCH(ROWS($O$2:O938),$O$2:$O$1001,0),1)&gt;=100000,INDEX($V$1005:$AE$1005,1,MATCH(COLUMNS($V$1006:X1006),$V$1006:$AE$1006,0))&gt;=100000), " ",IF(INDEX($V$2:$AE$1001,MATCH(ROWS($O$2:O938),$O$2:$O$1001,0),MATCH(COLUMNS($V$1006:X1006),$V$1006:$AE$1006,0)), HYPERLINK("#",""), HYPERLINK(CONCATENATE("#Metadata!", ADDRESS(INDEX($Q$2:$Q$1001,MATCH(ROWS($O$2:O938),$O$2:$O$1001,0),0), INDEX($V$1004:$AE$1004,1,MATCH(COLUMNS($V$1006:X1006),$V$1006:$AE$1006,0)))),"Fix")))</f>
        <v>0</v>
      </c>
      <c r="E938" s="3">
        <f>IF(OR(INDEX($P$2:$P$1001,MATCH(ROWS($O$2:O938),$O$2:$O$1001,0),1)&gt;=100000,INDEX($V$1005:$AE$1005,1,MATCH(COLUMNS($V$1006:Y1006),$V$1006:$AE$1006,0))&gt;=100000), " ",IF(INDEX($V$2:$AE$1001,MATCH(ROWS($O$2:O938),$O$2:$O$1001,0),MATCH(COLUMNS($V$1006:Y1006),$V$1006:$AE$1006,0)), HYPERLINK("#",""), HYPERLINK(CONCATENATE("#Metadata!", ADDRESS(INDEX($Q$2:$Q$1001,MATCH(ROWS($O$2:O938),$O$2:$O$1001,0),0), INDEX($V$1004:$AE$1004,1,MATCH(COLUMNS($V$1006:Y1006),$V$1006:$AE$1006,0)))),"Fix")))</f>
        <v>0</v>
      </c>
      <c r="F938" s="3">
        <f>IF(OR(INDEX($P$2:$P$1001,MATCH(ROWS($O$2:O938),$O$2:$O$1001,0),1)&gt;=100000,INDEX($V$1005:$AE$1005,1,MATCH(COLUMNS($V$1006:Z1006),$V$1006:$AE$1006,0))&gt;=100000), " ",IF(INDEX($V$2:$AE$1001,MATCH(ROWS($O$2:O938),$O$2:$O$1001,0),MATCH(COLUMNS($V$1006:Z1006),$V$1006:$AE$1006,0)), HYPERLINK("#",""), HYPERLINK(CONCATENATE("#Metadata!", ADDRESS(INDEX($Q$2:$Q$1001,MATCH(ROWS($O$2:O938),$O$2:$O$1001,0),0), INDEX($V$1004:$AE$1004,1,MATCH(COLUMNS($V$1006:Z1006),$V$1006:$AE$1006,0)))),"Fix")))</f>
        <v>0</v>
      </c>
      <c r="G938" s="3">
        <f>IF(OR(INDEX($P$2:$P$1001,MATCH(ROWS($O$2:O938),$O$2:$O$1001,0),1)&gt;=100000,INDEX($V$1005:$AE$1005,1,MATCH(COLUMNS($V$1006:AA1006),$V$1006:$AE$1006,0))&gt;=100000), " ",IF(INDEX($V$2:$AE$1001,MATCH(ROWS($O$2:O938),$O$2:$O$1001,0),MATCH(COLUMNS($V$1006:AA1006),$V$1006:$AE$1006,0)), HYPERLINK("#",""), HYPERLINK(CONCATENATE("#Metadata!", ADDRESS(INDEX($Q$2:$Q$1001,MATCH(ROWS($O$2:O938),$O$2:$O$1001,0),0), INDEX($V$1004:$AE$1004,1,MATCH(COLUMNS($V$1006:AA1006),$V$1006:$AE$1006,0)))),"Fix")))</f>
        <v>0</v>
      </c>
      <c r="H938" s="3">
        <f>IF(OR(INDEX($P$2:$P$1001,MATCH(ROWS($O$2:O938),$O$2:$O$1001,0),1)&gt;=100000,INDEX($V$1005:$AE$1005,1,MATCH(COLUMNS($V$1006:AB1006),$V$1006:$AE$1006,0))&gt;=100000), " ",IF(INDEX($V$2:$AE$1001,MATCH(ROWS($O$2:O938),$O$2:$O$1001,0),MATCH(COLUMNS($V$1006:AB1006),$V$1006:$AE$1006,0)), HYPERLINK("#",""), HYPERLINK(CONCATENATE("#Metadata!", ADDRESS(INDEX($Q$2:$Q$1001,MATCH(ROWS($O$2:O938),$O$2:$O$1001,0),0), INDEX($V$1004:$AE$1004,1,MATCH(COLUMNS($V$1006:AB1006),$V$1006:$AE$1006,0)))),"Fix")))</f>
        <v>0</v>
      </c>
      <c r="I938" s="3">
        <f>IF(OR(INDEX($P$2:$P$1001,MATCH(ROWS($O$2:O938),$O$2:$O$1001,0),1)&gt;=100000,INDEX($V$1005:$AE$1005,1,MATCH(COLUMNS($V$1006:AC1006),$V$1006:$AE$1006,0))&gt;=100000), " ",IF(INDEX($V$2:$AE$1001,MATCH(ROWS($O$2:O938),$O$2:$O$1001,0),MATCH(COLUMNS($V$1006:AC1006),$V$1006:$AE$1006,0)), HYPERLINK("#",""), HYPERLINK(CONCATENATE("#Metadata!", ADDRESS(INDEX($Q$2:$Q$1001,MATCH(ROWS($O$2:O938),$O$2:$O$1001,0),0), INDEX($V$1004:$AE$1004,1,MATCH(COLUMNS($V$1006:AC1006),$V$1006:$AE$1006,0)))),"Fix")))</f>
        <v>0</v>
      </c>
      <c r="J938" s="3">
        <f>IF(OR(INDEX($P$2:$P$1001,MATCH(ROWS($O$2:O938),$O$2:$O$1001,0),1)&gt;=100000,INDEX($V$1005:$AE$1005,1,MATCH(COLUMNS($V$1006:AD1006),$V$1006:$AE$1006,0))&gt;=100000), " ",IF(INDEX($V$2:$AE$1001,MATCH(ROWS($O$2:O938),$O$2:$O$1001,0),MATCH(COLUMNS($V$1006:AD1006),$V$1006:$AE$1006,0)), HYPERLINK("#",""), HYPERLINK(CONCATENATE("#Metadata!", ADDRESS(INDEX($Q$2:$Q$1001,MATCH(ROWS($O$2:O938),$O$2:$O$1001,0),0), INDEX($V$1004:$AE$1004,1,MATCH(COLUMNS($V$1006:AD1006),$V$1006:$AE$1006,0)))),"Fix")))</f>
        <v>0</v>
      </c>
      <c r="K938" s="3">
        <f>IF(OR(INDEX($P$2:$P$1001,MATCH(ROWS($O$2:O938),$O$2:$O$1001,0),1)&gt;=100000,INDEX($V$1005:$AE$1005,1,MATCH(COLUMNS($V$1006:AE1006),$V$1006:$AE$1006,0))&gt;=100000), " ",IF(INDEX($V$2:$AE$1001,MATCH(ROWS($O$2:O938),$O$2:$O$1001,0),MATCH(COLUMNS($V$1006:AE1006),$V$1006:$AE$1006,0)), HYPERLINK("#",""), HYPERLINK(CONCATENATE("#Metadata!", ADDRESS(INDEX($Q$2:$Q$1001,MATCH(ROWS($O$2:O938),$O$2:$O$1001,0),0), INDEX($V$1004:$AE$1004,1,MATCH(COLUMNS($V$1006:AE1006),$V$1006:$AE$1006,0)))),"Fix")))</f>
        <v>0</v>
      </c>
      <c r="O938">
        <v>0</v>
      </c>
      <c r="P938">
        <v>0</v>
      </c>
      <c r="Q938">
        <v>0</v>
      </c>
      <c r="R938">
        <f>IF(S938,TRUE,AND(V938:AE938))</f>
        <v>0</v>
      </c>
      <c r="S938">
        <f>COUNTBLANK(Metadata!B938:K938)=COLUMNS(Metadata!B938:K938)</f>
        <v>0</v>
      </c>
      <c r="T938">
        <v>0</v>
      </c>
      <c r="V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W938">
        <f>AND(IF(Metadata!C938="",FALSE,TRUE),exact(Metadata!C938,"animal secretion"))</f>
        <v>0</v>
      </c>
      <c r="X938">
        <f>AND(IF(Metadata!D938="",FALSE,TRUE),exact(Metadata!D938,"saliva"))</f>
        <v>0</v>
      </c>
      <c r="Y938">
        <f>AND(IF(Metadata!E938="",FALSE,TRUE),exact(Metadata!E938,"human-oral"))</f>
        <v>0</v>
      </c>
      <c r="Z938">
        <f>AND(IF(Metadata!F938="",FALSE,TRUE),exact(Metadata!F938,"UBERON:oral cavity"))</f>
        <v>0</v>
      </c>
      <c r="AA938">
        <f>AND(IF(Metadata!G938="",FALSE,TRUE),exact(Metadata!G938,"UBERON:saliva"))</f>
        <v>0</v>
      </c>
      <c r="AB938">
        <f>AND(IF(Metadata!H938="",FALSE,TRUE),exact(Metadata!H938,"UBERON:tongue"))</f>
        <v>0</v>
      </c>
      <c r="AC938">
        <f>AND(IF(Metadata!I938="",FALSE,TRUE),exact(Metadata!I938,"tongue"))</f>
        <v>0</v>
      </c>
      <c r="AD938">
        <f>AND(IF(Metadata!J938="",FALSE,TRUE),exact(Metadata!J938,"human oral metagenome"))</f>
        <v>0</v>
      </c>
      <c r="AE938">
        <f>AND(IF(Metadata!K938="",FALSE,TRUE),exact(Metadata!K938,"447426"))</f>
        <v>0</v>
      </c>
    </row>
    <row r="939" spans="1:31">
      <c r="A939" s="4">
        <f>IF(B939=" "," ",HYPERLINK(CONCATENATE("#metadata!",ADDRESS(INDEX($Q$2:$Q$1001,MATCH(ROWS($O$2:O939),$O$2:$O$1001,0),0),1)),INDEX($T$2:$T$1001,MATCH(ROWS($O$2:O939),$O$2:$O$1001,0),0)))</f>
        <v>0</v>
      </c>
      <c r="B939" s="3">
        <f>IF(OR(INDEX($P$2:$P$1001,MATCH(ROWS($O$2:O939),$O$2:$O$1001,0),1)&gt;=100000,INDEX($V$1005:$AE$1005,1,MATCH(COLUMNS($V$1006:V1006),$V$1006:$AE$1006,0))&gt;=100000), " ",IF(INDEX($V$2:$AE$1001,MATCH(ROWS($O$2:O939),$O$2:$O$1001,0),MATCH(COLUMNS($V$1006:V1006),$V$1006:$AE$1006,0)), HYPERLINK("#",""), HYPERLINK(CONCATENATE("#Metadata!", ADDRESS(INDEX($Q$2:$Q$1001,MATCH(ROWS($O$2:O939),$O$2:$O$1001,0),0), INDEX($V$1004:$AE$1004,1,MATCH(COLUMNS($V$1006:V1006),$V$1006:$AE$1006,0)))),"Fix")))</f>
        <v>0</v>
      </c>
      <c r="C939" s="3">
        <f>IF(OR(INDEX($P$2:$P$1001,MATCH(ROWS($O$2:O939),$O$2:$O$1001,0),1)&gt;=100000,INDEX($V$1005:$AE$1005,1,MATCH(COLUMNS($V$1006:W1006),$V$1006:$AE$1006,0))&gt;=100000), " ",IF(INDEX($V$2:$AE$1001,MATCH(ROWS($O$2:O939),$O$2:$O$1001,0),MATCH(COLUMNS($V$1006:W1006),$V$1006:$AE$1006,0)), HYPERLINK("#",""), HYPERLINK(CONCATENATE("#Metadata!", ADDRESS(INDEX($Q$2:$Q$1001,MATCH(ROWS($O$2:O939),$O$2:$O$1001,0),0), INDEX($V$1004:$AE$1004,1,MATCH(COLUMNS($V$1006:W1006),$V$1006:$AE$1006,0)))),"Fix")))</f>
        <v>0</v>
      </c>
      <c r="D939" s="3">
        <f>IF(OR(INDEX($P$2:$P$1001,MATCH(ROWS($O$2:O939),$O$2:$O$1001,0),1)&gt;=100000,INDEX($V$1005:$AE$1005,1,MATCH(COLUMNS($V$1006:X1006),$V$1006:$AE$1006,0))&gt;=100000), " ",IF(INDEX($V$2:$AE$1001,MATCH(ROWS($O$2:O939),$O$2:$O$1001,0),MATCH(COLUMNS($V$1006:X1006),$V$1006:$AE$1006,0)), HYPERLINK("#",""), HYPERLINK(CONCATENATE("#Metadata!", ADDRESS(INDEX($Q$2:$Q$1001,MATCH(ROWS($O$2:O939),$O$2:$O$1001,0),0), INDEX($V$1004:$AE$1004,1,MATCH(COLUMNS($V$1006:X1006),$V$1006:$AE$1006,0)))),"Fix")))</f>
        <v>0</v>
      </c>
      <c r="E939" s="3">
        <f>IF(OR(INDEX($P$2:$P$1001,MATCH(ROWS($O$2:O939),$O$2:$O$1001,0),1)&gt;=100000,INDEX($V$1005:$AE$1005,1,MATCH(COLUMNS($V$1006:Y1006),$V$1006:$AE$1006,0))&gt;=100000), " ",IF(INDEX($V$2:$AE$1001,MATCH(ROWS($O$2:O939),$O$2:$O$1001,0),MATCH(COLUMNS($V$1006:Y1006),$V$1006:$AE$1006,0)), HYPERLINK("#",""), HYPERLINK(CONCATENATE("#Metadata!", ADDRESS(INDEX($Q$2:$Q$1001,MATCH(ROWS($O$2:O939),$O$2:$O$1001,0),0), INDEX($V$1004:$AE$1004,1,MATCH(COLUMNS($V$1006:Y1006),$V$1006:$AE$1006,0)))),"Fix")))</f>
        <v>0</v>
      </c>
      <c r="F939" s="3">
        <f>IF(OR(INDEX($P$2:$P$1001,MATCH(ROWS($O$2:O939),$O$2:$O$1001,0),1)&gt;=100000,INDEX($V$1005:$AE$1005,1,MATCH(COLUMNS($V$1006:Z1006),$V$1006:$AE$1006,0))&gt;=100000), " ",IF(INDEX($V$2:$AE$1001,MATCH(ROWS($O$2:O939),$O$2:$O$1001,0),MATCH(COLUMNS($V$1006:Z1006),$V$1006:$AE$1006,0)), HYPERLINK("#",""), HYPERLINK(CONCATENATE("#Metadata!", ADDRESS(INDEX($Q$2:$Q$1001,MATCH(ROWS($O$2:O939),$O$2:$O$1001,0),0), INDEX($V$1004:$AE$1004,1,MATCH(COLUMNS($V$1006:Z1006),$V$1006:$AE$1006,0)))),"Fix")))</f>
        <v>0</v>
      </c>
      <c r="G939" s="3">
        <f>IF(OR(INDEX($P$2:$P$1001,MATCH(ROWS($O$2:O939),$O$2:$O$1001,0),1)&gt;=100000,INDEX($V$1005:$AE$1005,1,MATCH(COLUMNS($V$1006:AA1006),$V$1006:$AE$1006,0))&gt;=100000), " ",IF(INDEX($V$2:$AE$1001,MATCH(ROWS($O$2:O939),$O$2:$O$1001,0),MATCH(COLUMNS($V$1006:AA1006),$V$1006:$AE$1006,0)), HYPERLINK("#",""), HYPERLINK(CONCATENATE("#Metadata!", ADDRESS(INDEX($Q$2:$Q$1001,MATCH(ROWS($O$2:O939),$O$2:$O$1001,0),0), INDEX($V$1004:$AE$1004,1,MATCH(COLUMNS($V$1006:AA1006),$V$1006:$AE$1006,0)))),"Fix")))</f>
        <v>0</v>
      </c>
      <c r="H939" s="3">
        <f>IF(OR(INDEX($P$2:$P$1001,MATCH(ROWS($O$2:O939),$O$2:$O$1001,0),1)&gt;=100000,INDEX($V$1005:$AE$1005,1,MATCH(COLUMNS($V$1006:AB1006),$V$1006:$AE$1006,0))&gt;=100000), " ",IF(INDEX($V$2:$AE$1001,MATCH(ROWS($O$2:O939),$O$2:$O$1001,0),MATCH(COLUMNS($V$1006:AB1006),$V$1006:$AE$1006,0)), HYPERLINK("#",""), HYPERLINK(CONCATENATE("#Metadata!", ADDRESS(INDEX($Q$2:$Q$1001,MATCH(ROWS($O$2:O939),$O$2:$O$1001,0),0), INDEX($V$1004:$AE$1004,1,MATCH(COLUMNS($V$1006:AB1006),$V$1006:$AE$1006,0)))),"Fix")))</f>
        <v>0</v>
      </c>
      <c r="I939" s="3">
        <f>IF(OR(INDEX($P$2:$P$1001,MATCH(ROWS($O$2:O939),$O$2:$O$1001,0),1)&gt;=100000,INDEX($V$1005:$AE$1005,1,MATCH(COLUMNS($V$1006:AC1006),$V$1006:$AE$1006,0))&gt;=100000), " ",IF(INDEX($V$2:$AE$1001,MATCH(ROWS($O$2:O939),$O$2:$O$1001,0),MATCH(COLUMNS($V$1006:AC1006),$V$1006:$AE$1006,0)), HYPERLINK("#",""), HYPERLINK(CONCATENATE("#Metadata!", ADDRESS(INDEX($Q$2:$Q$1001,MATCH(ROWS($O$2:O939),$O$2:$O$1001,0),0), INDEX($V$1004:$AE$1004,1,MATCH(COLUMNS($V$1006:AC1006),$V$1006:$AE$1006,0)))),"Fix")))</f>
        <v>0</v>
      </c>
      <c r="J939" s="3">
        <f>IF(OR(INDEX($P$2:$P$1001,MATCH(ROWS($O$2:O939),$O$2:$O$1001,0),1)&gt;=100000,INDEX($V$1005:$AE$1005,1,MATCH(COLUMNS($V$1006:AD1006),$V$1006:$AE$1006,0))&gt;=100000), " ",IF(INDEX($V$2:$AE$1001,MATCH(ROWS($O$2:O939),$O$2:$O$1001,0),MATCH(COLUMNS($V$1006:AD1006),$V$1006:$AE$1006,0)), HYPERLINK("#",""), HYPERLINK(CONCATENATE("#Metadata!", ADDRESS(INDEX($Q$2:$Q$1001,MATCH(ROWS($O$2:O939),$O$2:$O$1001,0),0), INDEX($V$1004:$AE$1004,1,MATCH(COLUMNS($V$1006:AD1006),$V$1006:$AE$1006,0)))),"Fix")))</f>
        <v>0</v>
      </c>
      <c r="K939" s="3">
        <f>IF(OR(INDEX($P$2:$P$1001,MATCH(ROWS($O$2:O939),$O$2:$O$1001,0),1)&gt;=100000,INDEX($V$1005:$AE$1005,1,MATCH(COLUMNS($V$1006:AE1006),$V$1006:$AE$1006,0))&gt;=100000), " ",IF(INDEX($V$2:$AE$1001,MATCH(ROWS($O$2:O939),$O$2:$O$1001,0),MATCH(COLUMNS($V$1006:AE1006),$V$1006:$AE$1006,0)), HYPERLINK("#",""), HYPERLINK(CONCATENATE("#Metadata!", ADDRESS(INDEX($Q$2:$Q$1001,MATCH(ROWS($O$2:O939),$O$2:$O$1001,0),0), INDEX($V$1004:$AE$1004,1,MATCH(COLUMNS($V$1006:AE1006),$V$1006:$AE$1006,0)))),"Fix")))</f>
        <v>0</v>
      </c>
      <c r="O939">
        <v>0</v>
      </c>
      <c r="P939">
        <v>0</v>
      </c>
      <c r="Q939">
        <v>0</v>
      </c>
      <c r="R939">
        <f>IF(S939,TRUE,AND(V939:AE939))</f>
        <v>0</v>
      </c>
      <c r="S939">
        <f>COUNTBLANK(Metadata!B939:K939)=COLUMNS(Metadata!B939:K939)</f>
        <v>0</v>
      </c>
      <c r="T939">
        <v>0</v>
      </c>
      <c r="V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W939">
        <f>AND(IF(Metadata!C939="",FALSE,TRUE),exact(Metadata!C939,"animal secretion"))</f>
        <v>0</v>
      </c>
      <c r="X939">
        <f>AND(IF(Metadata!D939="",FALSE,TRUE),exact(Metadata!D939,"saliva"))</f>
        <v>0</v>
      </c>
      <c r="Y939">
        <f>AND(IF(Metadata!E939="",FALSE,TRUE),exact(Metadata!E939,"human-oral"))</f>
        <v>0</v>
      </c>
      <c r="Z939">
        <f>AND(IF(Metadata!F939="",FALSE,TRUE),exact(Metadata!F939,"UBERON:oral cavity"))</f>
        <v>0</v>
      </c>
      <c r="AA939">
        <f>AND(IF(Metadata!G939="",FALSE,TRUE),exact(Metadata!G939,"UBERON:saliva"))</f>
        <v>0</v>
      </c>
      <c r="AB939">
        <f>AND(IF(Metadata!H939="",FALSE,TRUE),exact(Metadata!H939,"UBERON:tongue"))</f>
        <v>0</v>
      </c>
      <c r="AC939">
        <f>AND(IF(Metadata!I939="",FALSE,TRUE),exact(Metadata!I939,"tongue"))</f>
        <v>0</v>
      </c>
      <c r="AD939">
        <f>AND(IF(Metadata!J939="",FALSE,TRUE),exact(Metadata!J939,"human oral metagenome"))</f>
        <v>0</v>
      </c>
      <c r="AE939">
        <f>AND(IF(Metadata!K939="",FALSE,TRUE),exact(Metadata!K939,"447426"))</f>
        <v>0</v>
      </c>
    </row>
    <row r="940" spans="1:31">
      <c r="A940" s="4">
        <f>IF(B940=" "," ",HYPERLINK(CONCATENATE("#metadata!",ADDRESS(INDEX($Q$2:$Q$1001,MATCH(ROWS($O$2:O940),$O$2:$O$1001,0),0),1)),INDEX($T$2:$T$1001,MATCH(ROWS($O$2:O940),$O$2:$O$1001,0),0)))</f>
        <v>0</v>
      </c>
      <c r="B940" s="3">
        <f>IF(OR(INDEX($P$2:$P$1001,MATCH(ROWS($O$2:O940),$O$2:$O$1001,0),1)&gt;=100000,INDEX($V$1005:$AE$1005,1,MATCH(COLUMNS($V$1006:V1006),$V$1006:$AE$1006,0))&gt;=100000), " ",IF(INDEX($V$2:$AE$1001,MATCH(ROWS($O$2:O940),$O$2:$O$1001,0),MATCH(COLUMNS($V$1006:V1006),$V$1006:$AE$1006,0)), HYPERLINK("#",""), HYPERLINK(CONCATENATE("#Metadata!", ADDRESS(INDEX($Q$2:$Q$1001,MATCH(ROWS($O$2:O940),$O$2:$O$1001,0),0), INDEX($V$1004:$AE$1004,1,MATCH(COLUMNS($V$1006:V1006),$V$1006:$AE$1006,0)))),"Fix")))</f>
        <v>0</v>
      </c>
      <c r="C940" s="3">
        <f>IF(OR(INDEX($P$2:$P$1001,MATCH(ROWS($O$2:O940),$O$2:$O$1001,0),1)&gt;=100000,INDEX($V$1005:$AE$1005,1,MATCH(COLUMNS($V$1006:W1006),$V$1006:$AE$1006,0))&gt;=100000), " ",IF(INDEX($V$2:$AE$1001,MATCH(ROWS($O$2:O940),$O$2:$O$1001,0),MATCH(COLUMNS($V$1006:W1006),$V$1006:$AE$1006,0)), HYPERLINK("#",""), HYPERLINK(CONCATENATE("#Metadata!", ADDRESS(INDEX($Q$2:$Q$1001,MATCH(ROWS($O$2:O940),$O$2:$O$1001,0),0), INDEX($V$1004:$AE$1004,1,MATCH(COLUMNS($V$1006:W1006),$V$1006:$AE$1006,0)))),"Fix")))</f>
        <v>0</v>
      </c>
      <c r="D940" s="3">
        <f>IF(OR(INDEX($P$2:$P$1001,MATCH(ROWS($O$2:O940),$O$2:$O$1001,0),1)&gt;=100000,INDEX($V$1005:$AE$1005,1,MATCH(COLUMNS($V$1006:X1006),$V$1006:$AE$1006,0))&gt;=100000), " ",IF(INDEX($V$2:$AE$1001,MATCH(ROWS($O$2:O940),$O$2:$O$1001,0),MATCH(COLUMNS($V$1006:X1006),$V$1006:$AE$1006,0)), HYPERLINK("#",""), HYPERLINK(CONCATENATE("#Metadata!", ADDRESS(INDEX($Q$2:$Q$1001,MATCH(ROWS($O$2:O940),$O$2:$O$1001,0),0), INDEX($V$1004:$AE$1004,1,MATCH(COLUMNS($V$1006:X1006),$V$1006:$AE$1006,0)))),"Fix")))</f>
        <v>0</v>
      </c>
      <c r="E940" s="3">
        <f>IF(OR(INDEX($P$2:$P$1001,MATCH(ROWS($O$2:O940),$O$2:$O$1001,0),1)&gt;=100000,INDEX($V$1005:$AE$1005,1,MATCH(COLUMNS($V$1006:Y1006),$V$1006:$AE$1006,0))&gt;=100000), " ",IF(INDEX($V$2:$AE$1001,MATCH(ROWS($O$2:O940),$O$2:$O$1001,0),MATCH(COLUMNS($V$1006:Y1006),$V$1006:$AE$1006,0)), HYPERLINK("#",""), HYPERLINK(CONCATENATE("#Metadata!", ADDRESS(INDEX($Q$2:$Q$1001,MATCH(ROWS($O$2:O940),$O$2:$O$1001,0),0), INDEX($V$1004:$AE$1004,1,MATCH(COLUMNS($V$1006:Y1006),$V$1006:$AE$1006,0)))),"Fix")))</f>
        <v>0</v>
      </c>
      <c r="F940" s="3">
        <f>IF(OR(INDEX($P$2:$P$1001,MATCH(ROWS($O$2:O940),$O$2:$O$1001,0),1)&gt;=100000,INDEX($V$1005:$AE$1005,1,MATCH(COLUMNS($V$1006:Z1006),$V$1006:$AE$1006,0))&gt;=100000), " ",IF(INDEX($V$2:$AE$1001,MATCH(ROWS($O$2:O940),$O$2:$O$1001,0),MATCH(COLUMNS($V$1006:Z1006),$V$1006:$AE$1006,0)), HYPERLINK("#",""), HYPERLINK(CONCATENATE("#Metadata!", ADDRESS(INDEX($Q$2:$Q$1001,MATCH(ROWS($O$2:O940),$O$2:$O$1001,0),0), INDEX($V$1004:$AE$1004,1,MATCH(COLUMNS($V$1006:Z1006),$V$1006:$AE$1006,0)))),"Fix")))</f>
        <v>0</v>
      </c>
      <c r="G940" s="3">
        <f>IF(OR(INDEX($P$2:$P$1001,MATCH(ROWS($O$2:O940),$O$2:$O$1001,0),1)&gt;=100000,INDEX($V$1005:$AE$1005,1,MATCH(COLUMNS($V$1006:AA1006),$V$1006:$AE$1006,0))&gt;=100000), " ",IF(INDEX($V$2:$AE$1001,MATCH(ROWS($O$2:O940),$O$2:$O$1001,0),MATCH(COLUMNS($V$1006:AA1006),$V$1006:$AE$1006,0)), HYPERLINK("#",""), HYPERLINK(CONCATENATE("#Metadata!", ADDRESS(INDEX($Q$2:$Q$1001,MATCH(ROWS($O$2:O940),$O$2:$O$1001,0),0), INDEX($V$1004:$AE$1004,1,MATCH(COLUMNS($V$1006:AA1006),$V$1006:$AE$1006,0)))),"Fix")))</f>
        <v>0</v>
      </c>
      <c r="H940" s="3">
        <f>IF(OR(INDEX($P$2:$P$1001,MATCH(ROWS($O$2:O940),$O$2:$O$1001,0),1)&gt;=100000,INDEX($V$1005:$AE$1005,1,MATCH(COLUMNS($V$1006:AB1006),$V$1006:$AE$1006,0))&gt;=100000), " ",IF(INDEX($V$2:$AE$1001,MATCH(ROWS($O$2:O940),$O$2:$O$1001,0),MATCH(COLUMNS($V$1006:AB1006),$V$1006:$AE$1006,0)), HYPERLINK("#",""), HYPERLINK(CONCATENATE("#Metadata!", ADDRESS(INDEX($Q$2:$Q$1001,MATCH(ROWS($O$2:O940),$O$2:$O$1001,0),0), INDEX($V$1004:$AE$1004,1,MATCH(COLUMNS($V$1006:AB1006),$V$1006:$AE$1006,0)))),"Fix")))</f>
        <v>0</v>
      </c>
      <c r="I940" s="3">
        <f>IF(OR(INDEX($P$2:$P$1001,MATCH(ROWS($O$2:O940),$O$2:$O$1001,0),1)&gt;=100000,INDEX($V$1005:$AE$1005,1,MATCH(COLUMNS($V$1006:AC1006),$V$1006:$AE$1006,0))&gt;=100000), " ",IF(INDEX($V$2:$AE$1001,MATCH(ROWS($O$2:O940),$O$2:$O$1001,0),MATCH(COLUMNS($V$1006:AC1006),$V$1006:$AE$1006,0)), HYPERLINK("#",""), HYPERLINK(CONCATENATE("#Metadata!", ADDRESS(INDEX($Q$2:$Q$1001,MATCH(ROWS($O$2:O940),$O$2:$O$1001,0),0), INDEX($V$1004:$AE$1004,1,MATCH(COLUMNS($V$1006:AC1006),$V$1006:$AE$1006,0)))),"Fix")))</f>
        <v>0</v>
      </c>
      <c r="J940" s="3">
        <f>IF(OR(INDEX($P$2:$P$1001,MATCH(ROWS($O$2:O940),$O$2:$O$1001,0),1)&gt;=100000,INDEX($V$1005:$AE$1005,1,MATCH(COLUMNS($V$1006:AD1006),$V$1006:$AE$1006,0))&gt;=100000), " ",IF(INDEX($V$2:$AE$1001,MATCH(ROWS($O$2:O940),$O$2:$O$1001,0),MATCH(COLUMNS($V$1006:AD1006),$V$1006:$AE$1006,0)), HYPERLINK("#",""), HYPERLINK(CONCATENATE("#Metadata!", ADDRESS(INDEX($Q$2:$Q$1001,MATCH(ROWS($O$2:O940),$O$2:$O$1001,0),0), INDEX($V$1004:$AE$1004,1,MATCH(COLUMNS($V$1006:AD1006),$V$1006:$AE$1006,0)))),"Fix")))</f>
        <v>0</v>
      </c>
      <c r="K940" s="3">
        <f>IF(OR(INDEX($P$2:$P$1001,MATCH(ROWS($O$2:O940),$O$2:$O$1001,0),1)&gt;=100000,INDEX($V$1005:$AE$1005,1,MATCH(COLUMNS($V$1006:AE1006),$V$1006:$AE$1006,0))&gt;=100000), " ",IF(INDEX($V$2:$AE$1001,MATCH(ROWS($O$2:O940),$O$2:$O$1001,0),MATCH(COLUMNS($V$1006:AE1006),$V$1006:$AE$1006,0)), HYPERLINK("#",""), HYPERLINK(CONCATENATE("#Metadata!", ADDRESS(INDEX($Q$2:$Q$1001,MATCH(ROWS($O$2:O940),$O$2:$O$1001,0),0), INDEX($V$1004:$AE$1004,1,MATCH(COLUMNS($V$1006:AE1006),$V$1006:$AE$1006,0)))),"Fix")))</f>
        <v>0</v>
      </c>
      <c r="O940">
        <v>0</v>
      </c>
      <c r="P940">
        <v>0</v>
      </c>
      <c r="Q940">
        <v>0</v>
      </c>
      <c r="R940">
        <f>IF(S940,TRUE,AND(V940:AE940))</f>
        <v>0</v>
      </c>
      <c r="S940">
        <f>COUNTBLANK(Metadata!B940:K940)=COLUMNS(Metadata!B940:K940)</f>
        <v>0</v>
      </c>
      <c r="T940">
        <v>0</v>
      </c>
      <c r="V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W940">
        <f>AND(IF(Metadata!C940="",FALSE,TRUE),exact(Metadata!C940,"animal secretion"))</f>
        <v>0</v>
      </c>
      <c r="X940">
        <f>AND(IF(Metadata!D940="",FALSE,TRUE),exact(Metadata!D940,"saliva"))</f>
        <v>0</v>
      </c>
      <c r="Y940">
        <f>AND(IF(Metadata!E940="",FALSE,TRUE),exact(Metadata!E940,"human-oral"))</f>
        <v>0</v>
      </c>
      <c r="Z940">
        <f>AND(IF(Metadata!F940="",FALSE,TRUE),exact(Metadata!F940,"UBERON:oral cavity"))</f>
        <v>0</v>
      </c>
      <c r="AA940">
        <f>AND(IF(Metadata!G940="",FALSE,TRUE),exact(Metadata!G940,"UBERON:saliva"))</f>
        <v>0</v>
      </c>
      <c r="AB940">
        <f>AND(IF(Metadata!H940="",FALSE,TRUE),exact(Metadata!H940,"UBERON:tongue"))</f>
        <v>0</v>
      </c>
      <c r="AC940">
        <f>AND(IF(Metadata!I940="",FALSE,TRUE),exact(Metadata!I940,"tongue"))</f>
        <v>0</v>
      </c>
      <c r="AD940">
        <f>AND(IF(Metadata!J940="",FALSE,TRUE),exact(Metadata!J940,"human oral metagenome"))</f>
        <v>0</v>
      </c>
      <c r="AE940">
        <f>AND(IF(Metadata!K940="",FALSE,TRUE),exact(Metadata!K940,"447426"))</f>
        <v>0</v>
      </c>
    </row>
    <row r="941" spans="1:31">
      <c r="A941" s="4">
        <f>IF(B941=" "," ",HYPERLINK(CONCATENATE("#metadata!",ADDRESS(INDEX($Q$2:$Q$1001,MATCH(ROWS($O$2:O941),$O$2:$O$1001,0),0),1)),INDEX($T$2:$T$1001,MATCH(ROWS($O$2:O941),$O$2:$O$1001,0),0)))</f>
        <v>0</v>
      </c>
      <c r="B941" s="3">
        <f>IF(OR(INDEX($P$2:$P$1001,MATCH(ROWS($O$2:O941),$O$2:$O$1001,0),1)&gt;=100000,INDEX($V$1005:$AE$1005,1,MATCH(COLUMNS($V$1006:V1006),$V$1006:$AE$1006,0))&gt;=100000), " ",IF(INDEX($V$2:$AE$1001,MATCH(ROWS($O$2:O941),$O$2:$O$1001,0),MATCH(COLUMNS($V$1006:V1006),$V$1006:$AE$1006,0)), HYPERLINK("#",""), HYPERLINK(CONCATENATE("#Metadata!", ADDRESS(INDEX($Q$2:$Q$1001,MATCH(ROWS($O$2:O941),$O$2:$O$1001,0),0), INDEX($V$1004:$AE$1004,1,MATCH(COLUMNS($V$1006:V1006),$V$1006:$AE$1006,0)))),"Fix")))</f>
        <v>0</v>
      </c>
      <c r="C941" s="3">
        <f>IF(OR(INDEX($P$2:$P$1001,MATCH(ROWS($O$2:O941),$O$2:$O$1001,0),1)&gt;=100000,INDEX($V$1005:$AE$1005,1,MATCH(COLUMNS($V$1006:W1006),$V$1006:$AE$1006,0))&gt;=100000), " ",IF(INDEX($V$2:$AE$1001,MATCH(ROWS($O$2:O941),$O$2:$O$1001,0),MATCH(COLUMNS($V$1006:W1006),$V$1006:$AE$1006,0)), HYPERLINK("#",""), HYPERLINK(CONCATENATE("#Metadata!", ADDRESS(INDEX($Q$2:$Q$1001,MATCH(ROWS($O$2:O941),$O$2:$O$1001,0),0), INDEX($V$1004:$AE$1004,1,MATCH(COLUMNS($V$1006:W1006),$V$1006:$AE$1006,0)))),"Fix")))</f>
        <v>0</v>
      </c>
      <c r="D941" s="3">
        <f>IF(OR(INDEX($P$2:$P$1001,MATCH(ROWS($O$2:O941),$O$2:$O$1001,0),1)&gt;=100000,INDEX($V$1005:$AE$1005,1,MATCH(COLUMNS($V$1006:X1006),$V$1006:$AE$1006,0))&gt;=100000), " ",IF(INDEX($V$2:$AE$1001,MATCH(ROWS($O$2:O941),$O$2:$O$1001,0),MATCH(COLUMNS($V$1006:X1006),$V$1006:$AE$1006,0)), HYPERLINK("#",""), HYPERLINK(CONCATENATE("#Metadata!", ADDRESS(INDEX($Q$2:$Q$1001,MATCH(ROWS($O$2:O941),$O$2:$O$1001,0),0), INDEX($V$1004:$AE$1004,1,MATCH(COLUMNS($V$1006:X1006),$V$1006:$AE$1006,0)))),"Fix")))</f>
        <v>0</v>
      </c>
      <c r="E941" s="3">
        <f>IF(OR(INDEX($P$2:$P$1001,MATCH(ROWS($O$2:O941),$O$2:$O$1001,0),1)&gt;=100000,INDEX($V$1005:$AE$1005,1,MATCH(COLUMNS($V$1006:Y1006),$V$1006:$AE$1006,0))&gt;=100000), " ",IF(INDEX($V$2:$AE$1001,MATCH(ROWS($O$2:O941),$O$2:$O$1001,0),MATCH(COLUMNS($V$1006:Y1006),$V$1006:$AE$1006,0)), HYPERLINK("#",""), HYPERLINK(CONCATENATE("#Metadata!", ADDRESS(INDEX($Q$2:$Q$1001,MATCH(ROWS($O$2:O941),$O$2:$O$1001,0),0), INDEX($V$1004:$AE$1004,1,MATCH(COLUMNS($V$1006:Y1006),$V$1006:$AE$1006,0)))),"Fix")))</f>
        <v>0</v>
      </c>
      <c r="F941" s="3">
        <f>IF(OR(INDEX($P$2:$P$1001,MATCH(ROWS($O$2:O941),$O$2:$O$1001,0),1)&gt;=100000,INDEX($V$1005:$AE$1005,1,MATCH(COLUMNS($V$1006:Z1006),$V$1006:$AE$1006,0))&gt;=100000), " ",IF(INDEX($V$2:$AE$1001,MATCH(ROWS($O$2:O941),$O$2:$O$1001,0),MATCH(COLUMNS($V$1006:Z1006),$V$1006:$AE$1006,0)), HYPERLINK("#",""), HYPERLINK(CONCATENATE("#Metadata!", ADDRESS(INDEX($Q$2:$Q$1001,MATCH(ROWS($O$2:O941),$O$2:$O$1001,0),0), INDEX($V$1004:$AE$1004,1,MATCH(COLUMNS($V$1006:Z1006),$V$1006:$AE$1006,0)))),"Fix")))</f>
        <v>0</v>
      </c>
      <c r="G941" s="3">
        <f>IF(OR(INDEX($P$2:$P$1001,MATCH(ROWS($O$2:O941),$O$2:$O$1001,0),1)&gt;=100000,INDEX($V$1005:$AE$1005,1,MATCH(COLUMNS($V$1006:AA1006),$V$1006:$AE$1006,0))&gt;=100000), " ",IF(INDEX($V$2:$AE$1001,MATCH(ROWS($O$2:O941),$O$2:$O$1001,0),MATCH(COLUMNS($V$1006:AA1006),$V$1006:$AE$1006,0)), HYPERLINK("#",""), HYPERLINK(CONCATENATE("#Metadata!", ADDRESS(INDEX($Q$2:$Q$1001,MATCH(ROWS($O$2:O941),$O$2:$O$1001,0),0), INDEX($V$1004:$AE$1004,1,MATCH(COLUMNS($V$1006:AA1006),$V$1006:$AE$1006,0)))),"Fix")))</f>
        <v>0</v>
      </c>
      <c r="H941" s="3">
        <f>IF(OR(INDEX($P$2:$P$1001,MATCH(ROWS($O$2:O941),$O$2:$O$1001,0),1)&gt;=100000,INDEX($V$1005:$AE$1005,1,MATCH(COLUMNS($V$1006:AB1006),$V$1006:$AE$1006,0))&gt;=100000), " ",IF(INDEX($V$2:$AE$1001,MATCH(ROWS($O$2:O941),$O$2:$O$1001,0),MATCH(COLUMNS($V$1006:AB1006),$V$1006:$AE$1006,0)), HYPERLINK("#",""), HYPERLINK(CONCATENATE("#Metadata!", ADDRESS(INDEX($Q$2:$Q$1001,MATCH(ROWS($O$2:O941),$O$2:$O$1001,0),0), INDEX($V$1004:$AE$1004,1,MATCH(COLUMNS($V$1006:AB1006),$V$1006:$AE$1006,0)))),"Fix")))</f>
        <v>0</v>
      </c>
      <c r="I941" s="3">
        <f>IF(OR(INDEX($P$2:$P$1001,MATCH(ROWS($O$2:O941),$O$2:$O$1001,0),1)&gt;=100000,INDEX($V$1005:$AE$1005,1,MATCH(COLUMNS($V$1006:AC1006),$V$1006:$AE$1006,0))&gt;=100000), " ",IF(INDEX($V$2:$AE$1001,MATCH(ROWS($O$2:O941),$O$2:$O$1001,0),MATCH(COLUMNS($V$1006:AC1006),$V$1006:$AE$1006,0)), HYPERLINK("#",""), HYPERLINK(CONCATENATE("#Metadata!", ADDRESS(INDEX($Q$2:$Q$1001,MATCH(ROWS($O$2:O941),$O$2:$O$1001,0),0), INDEX($V$1004:$AE$1004,1,MATCH(COLUMNS($V$1006:AC1006),$V$1006:$AE$1006,0)))),"Fix")))</f>
        <v>0</v>
      </c>
      <c r="J941" s="3">
        <f>IF(OR(INDEX($P$2:$P$1001,MATCH(ROWS($O$2:O941),$O$2:$O$1001,0),1)&gt;=100000,INDEX($V$1005:$AE$1005,1,MATCH(COLUMNS($V$1006:AD1006),$V$1006:$AE$1006,0))&gt;=100000), " ",IF(INDEX($V$2:$AE$1001,MATCH(ROWS($O$2:O941),$O$2:$O$1001,0),MATCH(COLUMNS($V$1006:AD1006),$V$1006:$AE$1006,0)), HYPERLINK("#",""), HYPERLINK(CONCATENATE("#Metadata!", ADDRESS(INDEX($Q$2:$Q$1001,MATCH(ROWS($O$2:O941),$O$2:$O$1001,0),0), INDEX($V$1004:$AE$1004,1,MATCH(COLUMNS($V$1006:AD1006),$V$1006:$AE$1006,0)))),"Fix")))</f>
        <v>0</v>
      </c>
      <c r="K941" s="3">
        <f>IF(OR(INDEX($P$2:$P$1001,MATCH(ROWS($O$2:O941),$O$2:$O$1001,0),1)&gt;=100000,INDEX($V$1005:$AE$1005,1,MATCH(COLUMNS($V$1006:AE1006),$V$1006:$AE$1006,0))&gt;=100000), " ",IF(INDEX($V$2:$AE$1001,MATCH(ROWS($O$2:O941),$O$2:$O$1001,0),MATCH(COLUMNS($V$1006:AE1006),$V$1006:$AE$1006,0)), HYPERLINK("#",""), HYPERLINK(CONCATENATE("#Metadata!", ADDRESS(INDEX($Q$2:$Q$1001,MATCH(ROWS($O$2:O941),$O$2:$O$1001,0),0), INDEX($V$1004:$AE$1004,1,MATCH(COLUMNS($V$1006:AE1006),$V$1006:$AE$1006,0)))),"Fix")))</f>
        <v>0</v>
      </c>
      <c r="O941">
        <v>0</v>
      </c>
      <c r="P941">
        <v>0</v>
      </c>
      <c r="Q941">
        <v>0</v>
      </c>
      <c r="R941">
        <f>IF(S941,TRUE,AND(V941:AE941))</f>
        <v>0</v>
      </c>
      <c r="S941">
        <f>COUNTBLANK(Metadata!B941:K941)=COLUMNS(Metadata!B941:K941)</f>
        <v>0</v>
      </c>
      <c r="T941">
        <v>0</v>
      </c>
      <c r="V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W941">
        <f>AND(IF(Metadata!C941="",FALSE,TRUE),exact(Metadata!C941,"animal secretion"))</f>
        <v>0</v>
      </c>
      <c r="X941">
        <f>AND(IF(Metadata!D941="",FALSE,TRUE),exact(Metadata!D941,"saliva"))</f>
        <v>0</v>
      </c>
      <c r="Y941">
        <f>AND(IF(Metadata!E941="",FALSE,TRUE),exact(Metadata!E941,"human-oral"))</f>
        <v>0</v>
      </c>
      <c r="Z941">
        <f>AND(IF(Metadata!F941="",FALSE,TRUE),exact(Metadata!F941,"UBERON:oral cavity"))</f>
        <v>0</v>
      </c>
      <c r="AA941">
        <f>AND(IF(Metadata!G941="",FALSE,TRUE),exact(Metadata!G941,"UBERON:saliva"))</f>
        <v>0</v>
      </c>
      <c r="AB941">
        <f>AND(IF(Metadata!H941="",FALSE,TRUE),exact(Metadata!H941,"UBERON:tongue"))</f>
        <v>0</v>
      </c>
      <c r="AC941">
        <f>AND(IF(Metadata!I941="",FALSE,TRUE),exact(Metadata!I941,"tongue"))</f>
        <v>0</v>
      </c>
      <c r="AD941">
        <f>AND(IF(Metadata!J941="",FALSE,TRUE),exact(Metadata!J941,"human oral metagenome"))</f>
        <v>0</v>
      </c>
      <c r="AE941">
        <f>AND(IF(Metadata!K941="",FALSE,TRUE),exact(Metadata!K941,"447426"))</f>
        <v>0</v>
      </c>
    </row>
    <row r="942" spans="1:31">
      <c r="A942" s="4">
        <f>IF(B942=" "," ",HYPERLINK(CONCATENATE("#metadata!",ADDRESS(INDEX($Q$2:$Q$1001,MATCH(ROWS($O$2:O942),$O$2:$O$1001,0),0),1)),INDEX($T$2:$T$1001,MATCH(ROWS($O$2:O942),$O$2:$O$1001,0),0)))</f>
        <v>0</v>
      </c>
      <c r="B942" s="3">
        <f>IF(OR(INDEX($P$2:$P$1001,MATCH(ROWS($O$2:O942),$O$2:$O$1001,0),1)&gt;=100000,INDEX($V$1005:$AE$1005,1,MATCH(COLUMNS($V$1006:V1006),$V$1006:$AE$1006,0))&gt;=100000), " ",IF(INDEX($V$2:$AE$1001,MATCH(ROWS($O$2:O942),$O$2:$O$1001,0),MATCH(COLUMNS($V$1006:V1006),$V$1006:$AE$1006,0)), HYPERLINK("#",""), HYPERLINK(CONCATENATE("#Metadata!", ADDRESS(INDEX($Q$2:$Q$1001,MATCH(ROWS($O$2:O942),$O$2:$O$1001,0),0), INDEX($V$1004:$AE$1004,1,MATCH(COLUMNS($V$1006:V1006),$V$1006:$AE$1006,0)))),"Fix")))</f>
        <v>0</v>
      </c>
      <c r="C942" s="3">
        <f>IF(OR(INDEX($P$2:$P$1001,MATCH(ROWS($O$2:O942),$O$2:$O$1001,0),1)&gt;=100000,INDEX($V$1005:$AE$1005,1,MATCH(COLUMNS($V$1006:W1006),$V$1006:$AE$1006,0))&gt;=100000), " ",IF(INDEX($V$2:$AE$1001,MATCH(ROWS($O$2:O942),$O$2:$O$1001,0),MATCH(COLUMNS($V$1006:W1006),$V$1006:$AE$1006,0)), HYPERLINK("#",""), HYPERLINK(CONCATENATE("#Metadata!", ADDRESS(INDEX($Q$2:$Q$1001,MATCH(ROWS($O$2:O942),$O$2:$O$1001,0),0), INDEX($V$1004:$AE$1004,1,MATCH(COLUMNS($V$1006:W1006),$V$1006:$AE$1006,0)))),"Fix")))</f>
        <v>0</v>
      </c>
      <c r="D942" s="3">
        <f>IF(OR(INDEX($P$2:$P$1001,MATCH(ROWS($O$2:O942),$O$2:$O$1001,0),1)&gt;=100000,INDEX($V$1005:$AE$1005,1,MATCH(COLUMNS($V$1006:X1006),$V$1006:$AE$1006,0))&gt;=100000), " ",IF(INDEX($V$2:$AE$1001,MATCH(ROWS($O$2:O942),$O$2:$O$1001,0),MATCH(COLUMNS($V$1006:X1006),$V$1006:$AE$1006,0)), HYPERLINK("#",""), HYPERLINK(CONCATENATE("#Metadata!", ADDRESS(INDEX($Q$2:$Q$1001,MATCH(ROWS($O$2:O942),$O$2:$O$1001,0),0), INDEX($V$1004:$AE$1004,1,MATCH(COLUMNS($V$1006:X1006),$V$1006:$AE$1006,0)))),"Fix")))</f>
        <v>0</v>
      </c>
      <c r="E942" s="3">
        <f>IF(OR(INDEX($P$2:$P$1001,MATCH(ROWS($O$2:O942),$O$2:$O$1001,0),1)&gt;=100000,INDEX($V$1005:$AE$1005,1,MATCH(COLUMNS($V$1006:Y1006),$V$1006:$AE$1006,0))&gt;=100000), " ",IF(INDEX($V$2:$AE$1001,MATCH(ROWS($O$2:O942),$O$2:$O$1001,0),MATCH(COLUMNS($V$1006:Y1006),$V$1006:$AE$1006,0)), HYPERLINK("#",""), HYPERLINK(CONCATENATE("#Metadata!", ADDRESS(INDEX($Q$2:$Q$1001,MATCH(ROWS($O$2:O942),$O$2:$O$1001,0),0), INDEX($V$1004:$AE$1004,1,MATCH(COLUMNS($V$1006:Y1006),$V$1006:$AE$1006,0)))),"Fix")))</f>
        <v>0</v>
      </c>
      <c r="F942" s="3">
        <f>IF(OR(INDEX($P$2:$P$1001,MATCH(ROWS($O$2:O942),$O$2:$O$1001,0),1)&gt;=100000,INDEX($V$1005:$AE$1005,1,MATCH(COLUMNS($V$1006:Z1006),$V$1006:$AE$1006,0))&gt;=100000), " ",IF(INDEX($V$2:$AE$1001,MATCH(ROWS($O$2:O942),$O$2:$O$1001,0),MATCH(COLUMNS($V$1006:Z1006),$V$1006:$AE$1006,0)), HYPERLINK("#",""), HYPERLINK(CONCATENATE("#Metadata!", ADDRESS(INDEX($Q$2:$Q$1001,MATCH(ROWS($O$2:O942),$O$2:$O$1001,0),0), INDEX($V$1004:$AE$1004,1,MATCH(COLUMNS($V$1006:Z1006),$V$1006:$AE$1006,0)))),"Fix")))</f>
        <v>0</v>
      </c>
      <c r="G942" s="3">
        <f>IF(OR(INDEX($P$2:$P$1001,MATCH(ROWS($O$2:O942),$O$2:$O$1001,0),1)&gt;=100000,INDEX($V$1005:$AE$1005,1,MATCH(COLUMNS($V$1006:AA1006),$V$1006:$AE$1006,0))&gt;=100000), " ",IF(INDEX($V$2:$AE$1001,MATCH(ROWS($O$2:O942),$O$2:$O$1001,0),MATCH(COLUMNS($V$1006:AA1006),$V$1006:$AE$1006,0)), HYPERLINK("#",""), HYPERLINK(CONCATENATE("#Metadata!", ADDRESS(INDEX($Q$2:$Q$1001,MATCH(ROWS($O$2:O942),$O$2:$O$1001,0),0), INDEX($V$1004:$AE$1004,1,MATCH(COLUMNS($V$1006:AA1006),$V$1006:$AE$1006,0)))),"Fix")))</f>
        <v>0</v>
      </c>
      <c r="H942" s="3">
        <f>IF(OR(INDEX($P$2:$P$1001,MATCH(ROWS($O$2:O942),$O$2:$O$1001,0),1)&gt;=100000,INDEX($V$1005:$AE$1005,1,MATCH(COLUMNS($V$1006:AB1006),$V$1006:$AE$1006,0))&gt;=100000), " ",IF(INDEX($V$2:$AE$1001,MATCH(ROWS($O$2:O942),$O$2:$O$1001,0),MATCH(COLUMNS($V$1006:AB1006),$V$1006:$AE$1006,0)), HYPERLINK("#",""), HYPERLINK(CONCATENATE("#Metadata!", ADDRESS(INDEX($Q$2:$Q$1001,MATCH(ROWS($O$2:O942),$O$2:$O$1001,0),0), INDEX($V$1004:$AE$1004,1,MATCH(COLUMNS($V$1006:AB1006),$V$1006:$AE$1006,0)))),"Fix")))</f>
        <v>0</v>
      </c>
      <c r="I942" s="3">
        <f>IF(OR(INDEX($P$2:$P$1001,MATCH(ROWS($O$2:O942),$O$2:$O$1001,0),1)&gt;=100000,INDEX($V$1005:$AE$1005,1,MATCH(COLUMNS($V$1006:AC1006),$V$1006:$AE$1006,0))&gt;=100000), " ",IF(INDEX($V$2:$AE$1001,MATCH(ROWS($O$2:O942),$O$2:$O$1001,0),MATCH(COLUMNS($V$1006:AC1006),$V$1006:$AE$1006,0)), HYPERLINK("#",""), HYPERLINK(CONCATENATE("#Metadata!", ADDRESS(INDEX($Q$2:$Q$1001,MATCH(ROWS($O$2:O942),$O$2:$O$1001,0),0), INDEX($V$1004:$AE$1004,1,MATCH(COLUMNS($V$1006:AC1006),$V$1006:$AE$1006,0)))),"Fix")))</f>
        <v>0</v>
      </c>
      <c r="J942" s="3">
        <f>IF(OR(INDEX($P$2:$P$1001,MATCH(ROWS($O$2:O942),$O$2:$O$1001,0),1)&gt;=100000,INDEX($V$1005:$AE$1005,1,MATCH(COLUMNS($V$1006:AD1006),$V$1006:$AE$1006,0))&gt;=100000), " ",IF(INDEX($V$2:$AE$1001,MATCH(ROWS($O$2:O942),$O$2:$O$1001,0),MATCH(COLUMNS($V$1006:AD1006),$V$1006:$AE$1006,0)), HYPERLINK("#",""), HYPERLINK(CONCATENATE("#Metadata!", ADDRESS(INDEX($Q$2:$Q$1001,MATCH(ROWS($O$2:O942),$O$2:$O$1001,0),0), INDEX($V$1004:$AE$1004,1,MATCH(COLUMNS($V$1006:AD1006),$V$1006:$AE$1006,0)))),"Fix")))</f>
        <v>0</v>
      </c>
      <c r="K942" s="3">
        <f>IF(OR(INDEX($P$2:$P$1001,MATCH(ROWS($O$2:O942),$O$2:$O$1001,0),1)&gt;=100000,INDEX($V$1005:$AE$1005,1,MATCH(COLUMNS($V$1006:AE1006),$V$1006:$AE$1006,0))&gt;=100000), " ",IF(INDEX($V$2:$AE$1001,MATCH(ROWS($O$2:O942),$O$2:$O$1001,0),MATCH(COLUMNS($V$1006:AE1006),$V$1006:$AE$1006,0)), HYPERLINK("#",""), HYPERLINK(CONCATENATE("#Metadata!", ADDRESS(INDEX($Q$2:$Q$1001,MATCH(ROWS($O$2:O942),$O$2:$O$1001,0),0), INDEX($V$1004:$AE$1004,1,MATCH(COLUMNS($V$1006:AE1006),$V$1006:$AE$1006,0)))),"Fix")))</f>
        <v>0</v>
      </c>
      <c r="O942">
        <v>0</v>
      </c>
      <c r="P942">
        <v>0</v>
      </c>
      <c r="Q942">
        <v>0</v>
      </c>
      <c r="R942">
        <f>IF(S942,TRUE,AND(V942:AE942))</f>
        <v>0</v>
      </c>
      <c r="S942">
        <f>COUNTBLANK(Metadata!B942:K942)=COLUMNS(Metadata!B942:K942)</f>
        <v>0</v>
      </c>
      <c r="T942">
        <v>0</v>
      </c>
      <c r="V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W942">
        <f>AND(IF(Metadata!C942="",FALSE,TRUE),exact(Metadata!C942,"animal secretion"))</f>
        <v>0</v>
      </c>
      <c r="X942">
        <f>AND(IF(Metadata!D942="",FALSE,TRUE),exact(Metadata!D942,"saliva"))</f>
        <v>0</v>
      </c>
      <c r="Y942">
        <f>AND(IF(Metadata!E942="",FALSE,TRUE),exact(Metadata!E942,"human-oral"))</f>
        <v>0</v>
      </c>
      <c r="Z942">
        <f>AND(IF(Metadata!F942="",FALSE,TRUE),exact(Metadata!F942,"UBERON:oral cavity"))</f>
        <v>0</v>
      </c>
      <c r="AA942">
        <f>AND(IF(Metadata!G942="",FALSE,TRUE),exact(Metadata!G942,"UBERON:saliva"))</f>
        <v>0</v>
      </c>
      <c r="AB942">
        <f>AND(IF(Metadata!H942="",FALSE,TRUE),exact(Metadata!H942,"UBERON:tongue"))</f>
        <v>0</v>
      </c>
      <c r="AC942">
        <f>AND(IF(Metadata!I942="",FALSE,TRUE),exact(Metadata!I942,"tongue"))</f>
        <v>0</v>
      </c>
      <c r="AD942">
        <f>AND(IF(Metadata!J942="",FALSE,TRUE),exact(Metadata!J942,"human oral metagenome"))</f>
        <v>0</v>
      </c>
      <c r="AE942">
        <f>AND(IF(Metadata!K942="",FALSE,TRUE),exact(Metadata!K942,"447426"))</f>
        <v>0</v>
      </c>
    </row>
    <row r="943" spans="1:31">
      <c r="A943" s="4">
        <f>IF(B943=" "," ",HYPERLINK(CONCATENATE("#metadata!",ADDRESS(INDEX($Q$2:$Q$1001,MATCH(ROWS($O$2:O943),$O$2:$O$1001,0),0),1)),INDEX($T$2:$T$1001,MATCH(ROWS($O$2:O943),$O$2:$O$1001,0),0)))</f>
        <v>0</v>
      </c>
      <c r="B943" s="3">
        <f>IF(OR(INDEX($P$2:$P$1001,MATCH(ROWS($O$2:O943),$O$2:$O$1001,0),1)&gt;=100000,INDEX($V$1005:$AE$1005,1,MATCH(COLUMNS($V$1006:V1006),$V$1006:$AE$1006,0))&gt;=100000), " ",IF(INDEX($V$2:$AE$1001,MATCH(ROWS($O$2:O943),$O$2:$O$1001,0),MATCH(COLUMNS($V$1006:V1006),$V$1006:$AE$1006,0)), HYPERLINK("#",""), HYPERLINK(CONCATENATE("#Metadata!", ADDRESS(INDEX($Q$2:$Q$1001,MATCH(ROWS($O$2:O943),$O$2:$O$1001,0),0), INDEX($V$1004:$AE$1004,1,MATCH(COLUMNS($V$1006:V1006),$V$1006:$AE$1006,0)))),"Fix")))</f>
        <v>0</v>
      </c>
      <c r="C943" s="3">
        <f>IF(OR(INDEX($P$2:$P$1001,MATCH(ROWS($O$2:O943),$O$2:$O$1001,0),1)&gt;=100000,INDEX($V$1005:$AE$1005,1,MATCH(COLUMNS($V$1006:W1006),$V$1006:$AE$1006,0))&gt;=100000), " ",IF(INDEX($V$2:$AE$1001,MATCH(ROWS($O$2:O943),$O$2:$O$1001,0),MATCH(COLUMNS($V$1006:W1006),$V$1006:$AE$1006,0)), HYPERLINK("#",""), HYPERLINK(CONCATENATE("#Metadata!", ADDRESS(INDEX($Q$2:$Q$1001,MATCH(ROWS($O$2:O943),$O$2:$O$1001,0),0), INDEX($V$1004:$AE$1004,1,MATCH(COLUMNS($V$1006:W1006),$V$1006:$AE$1006,0)))),"Fix")))</f>
        <v>0</v>
      </c>
      <c r="D943" s="3">
        <f>IF(OR(INDEX($P$2:$P$1001,MATCH(ROWS($O$2:O943),$O$2:$O$1001,0),1)&gt;=100000,INDEX($V$1005:$AE$1005,1,MATCH(COLUMNS($V$1006:X1006),$V$1006:$AE$1006,0))&gt;=100000), " ",IF(INDEX($V$2:$AE$1001,MATCH(ROWS($O$2:O943),$O$2:$O$1001,0),MATCH(COLUMNS($V$1006:X1006),$V$1006:$AE$1006,0)), HYPERLINK("#",""), HYPERLINK(CONCATENATE("#Metadata!", ADDRESS(INDEX($Q$2:$Q$1001,MATCH(ROWS($O$2:O943),$O$2:$O$1001,0),0), INDEX($V$1004:$AE$1004,1,MATCH(COLUMNS($V$1006:X1006),$V$1006:$AE$1006,0)))),"Fix")))</f>
        <v>0</v>
      </c>
      <c r="E943" s="3">
        <f>IF(OR(INDEX($P$2:$P$1001,MATCH(ROWS($O$2:O943),$O$2:$O$1001,0),1)&gt;=100000,INDEX($V$1005:$AE$1005,1,MATCH(COLUMNS($V$1006:Y1006),$V$1006:$AE$1006,0))&gt;=100000), " ",IF(INDEX($V$2:$AE$1001,MATCH(ROWS($O$2:O943),$O$2:$O$1001,0),MATCH(COLUMNS($V$1006:Y1006),$V$1006:$AE$1006,0)), HYPERLINK("#",""), HYPERLINK(CONCATENATE("#Metadata!", ADDRESS(INDEX($Q$2:$Q$1001,MATCH(ROWS($O$2:O943),$O$2:$O$1001,0),0), INDEX($V$1004:$AE$1004,1,MATCH(COLUMNS($V$1006:Y1006),$V$1006:$AE$1006,0)))),"Fix")))</f>
        <v>0</v>
      </c>
      <c r="F943" s="3">
        <f>IF(OR(INDEX($P$2:$P$1001,MATCH(ROWS($O$2:O943),$O$2:$O$1001,0),1)&gt;=100000,INDEX($V$1005:$AE$1005,1,MATCH(COLUMNS($V$1006:Z1006),$V$1006:$AE$1006,0))&gt;=100000), " ",IF(INDEX($V$2:$AE$1001,MATCH(ROWS($O$2:O943),$O$2:$O$1001,0),MATCH(COLUMNS($V$1006:Z1006),$V$1006:$AE$1006,0)), HYPERLINK("#",""), HYPERLINK(CONCATENATE("#Metadata!", ADDRESS(INDEX($Q$2:$Q$1001,MATCH(ROWS($O$2:O943),$O$2:$O$1001,0),0), INDEX($V$1004:$AE$1004,1,MATCH(COLUMNS($V$1006:Z1006),$V$1006:$AE$1006,0)))),"Fix")))</f>
        <v>0</v>
      </c>
      <c r="G943" s="3">
        <f>IF(OR(INDEX($P$2:$P$1001,MATCH(ROWS($O$2:O943),$O$2:$O$1001,0),1)&gt;=100000,INDEX($V$1005:$AE$1005,1,MATCH(COLUMNS($V$1006:AA1006),$V$1006:$AE$1006,0))&gt;=100000), " ",IF(INDEX($V$2:$AE$1001,MATCH(ROWS($O$2:O943),$O$2:$O$1001,0),MATCH(COLUMNS($V$1006:AA1006),$V$1006:$AE$1006,0)), HYPERLINK("#",""), HYPERLINK(CONCATENATE("#Metadata!", ADDRESS(INDEX($Q$2:$Q$1001,MATCH(ROWS($O$2:O943),$O$2:$O$1001,0),0), INDEX($V$1004:$AE$1004,1,MATCH(COLUMNS($V$1006:AA1006),$V$1006:$AE$1006,0)))),"Fix")))</f>
        <v>0</v>
      </c>
      <c r="H943" s="3">
        <f>IF(OR(INDEX($P$2:$P$1001,MATCH(ROWS($O$2:O943),$O$2:$O$1001,0),1)&gt;=100000,INDEX($V$1005:$AE$1005,1,MATCH(COLUMNS($V$1006:AB1006),$V$1006:$AE$1006,0))&gt;=100000), " ",IF(INDEX($V$2:$AE$1001,MATCH(ROWS($O$2:O943),$O$2:$O$1001,0),MATCH(COLUMNS($V$1006:AB1006),$V$1006:$AE$1006,0)), HYPERLINK("#",""), HYPERLINK(CONCATENATE("#Metadata!", ADDRESS(INDEX($Q$2:$Q$1001,MATCH(ROWS($O$2:O943),$O$2:$O$1001,0),0), INDEX($V$1004:$AE$1004,1,MATCH(COLUMNS($V$1006:AB1006),$V$1006:$AE$1006,0)))),"Fix")))</f>
        <v>0</v>
      </c>
      <c r="I943" s="3">
        <f>IF(OR(INDEX($P$2:$P$1001,MATCH(ROWS($O$2:O943),$O$2:$O$1001,0),1)&gt;=100000,INDEX($V$1005:$AE$1005,1,MATCH(COLUMNS($V$1006:AC1006),$V$1006:$AE$1006,0))&gt;=100000), " ",IF(INDEX($V$2:$AE$1001,MATCH(ROWS($O$2:O943),$O$2:$O$1001,0),MATCH(COLUMNS($V$1006:AC1006),$V$1006:$AE$1006,0)), HYPERLINK("#",""), HYPERLINK(CONCATENATE("#Metadata!", ADDRESS(INDEX($Q$2:$Q$1001,MATCH(ROWS($O$2:O943),$O$2:$O$1001,0),0), INDEX($V$1004:$AE$1004,1,MATCH(COLUMNS($V$1006:AC1006),$V$1006:$AE$1006,0)))),"Fix")))</f>
        <v>0</v>
      </c>
      <c r="J943" s="3">
        <f>IF(OR(INDEX($P$2:$P$1001,MATCH(ROWS($O$2:O943),$O$2:$O$1001,0),1)&gt;=100000,INDEX($V$1005:$AE$1005,1,MATCH(COLUMNS($V$1006:AD1006),$V$1006:$AE$1006,0))&gt;=100000), " ",IF(INDEX($V$2:$AE$1001,MATCH(ROWS($O$2:O943),$O$2:$O$1001,0),MATCH(COLUMNS($V$1006:AD1006),$V$1006:$AE$1006,0)), HYPERLINK("#",""), HYPERLINK(CONCATENATE("#Metadata!", ADDRESS(INDEX($Q$2:$Q$1001,MATCH(ROWS($O$2:O943),$O$2:$O$1001,0),0), INDEX($V$1004:$AE$1004,1,MATCH(COLUMNS($V$1006:AD1006),$V$1006:$AE$1006,0)))),"Fix")))</f>
        <v>0</v>
      </c>
      <c r="K943" s="3">
        <f>IF(OR(INDEX($P$2:$P$1001,MATCH(ROWS($O$2:O943),$O$2:$O$1001,0),1)&gt;=100000,INDEX($V$1005:$AE$1005,1,MATCH(COLUMNS($V$1006:AE1006),$V$1006:$AE$1006,0))&gt;=100000), " ",IF(INDEX($V$2:$AE$1001,MATCH(ROWS($O$2:O943),$O$2:$O$1001,0),MATCH(COLUMNS($V$1006:AE1006),$V$1006:$AE$1006,0)), HYPERLINK("#",""), HYPERLINK(CONCATENATE("#Metadata!", ADDRESS(INDEX($Q$2:$Q$1001,MATCH(ROWS($O$2:O943),$O$2:$O$1001,0),0), INDEX($V$1004:$AE$1004,1,MATCH(COLUMNS($V$1006:AE1006),$V$1006:$AE$1006,0)))),"Fix")))</f>
        <v>0</v>
      </c>
      <c r="O943">
        <v>0</v>
      </c>
      <c r="P943">
        <v>0</v>
      </c>
      <c r="Q943">
        <v>0</v>
      </c>
      <c r="R943">
        <f>IF(S943,TRUE,AND(V943:AE943))</f>
        <v>0</v>
      </c>
      <c r="S943">
        <f>COUNTBLANK(Metadata!B943:K943)=COLUMNS(Metadata!B943:K943)</f>
        <v>0</v>
      </c>
      <c r="T943">
        <v>0</v>
      </c>
      <c r="V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W943">
        <f>AND(IF(Metadata!C943="",FALSE,TRUE),exact(Metadata!C943,"animal secretion"))</f>
        <v>0</v>
      </c>
      <c r="X943">
        <f>AND(IF(Metadata!D943="",FALSE,TRUE),exact(Metadata!D943,"saliva"))</f>
        <v>0</v>
      </c>
      <c r="Y943">
        <f>AND(IF(Metadata!E943="",FALSE,TRUE),exact(Metadata!E943,"human-oral"))</f>
        <v>0</v>
      </c>
      <c r="Z943">
        <f>AND(IF(Metadata!F943="",FALSE,TRUE),exact(Metadata!F943,"UBERON:oral cavity"))</f>
        <v>0</v>
      </c>
      <c r="AA943">
        <f>AND(IF(Metadata!G943="",FALSE,TRUE),exact(Metadata!G943,"UBERON:saliva"))</f>
        <v>0</v>
      </c>
      <c r="AB943">
        <f>AND(IF(Metadata!H943="",FALSE,TRUE),exact(Metadata!H943,"UBERON:tongue"))</f>
        <v>0</v>
      </c>
      <c r="AC943">
        <f>AND(IF(Metadata!I943="",FALSE,TRUE),exact(Metadata!I943,"tongue"))</f>
        <v>0</v>
      </c>
      <c r="AD943">
        <f>AND(IF(Metadata!J943="",FALSE,TRUE),exact(Metadata!J943,"human oral metagenome"))</f>
        <v>0</v>
      </c>
      <c r="AE943">
        <f>AND(IF(Metadata!K943="",FALSE,TRUE),exact(Metadata!K943,"447426"))</f>
        <v>0</v>
      </c>
    </row>
    <row r="944" spans="1:31">
      <c r="A944" s="4">
        <f>IF(B944=" "," ",HYPERLINK(CONCATENATE("#metadata!",ADDRESS(INDEX($Q$2:$Q$1001,MATCH(ROWS($O$2:O944),$O$2:$O$1001,0),0),1)),INDEX($T$2:$T$1001,MATCH(ROWS($O$2:O944),$O$2:$O$1001,0),0)))</f>
        <v>0</v>
      </c>
      <c r="B944" s="3">
        <f>IF(OR(INDEX($P$2:$P$1001,MATCH(ROWS($O$2:O944),$O$2:$O$1001,0),1)&gt;=100000,INDEX($V$1005:$AE$1005,1,MATCH(COLUMNS($V$1006:V1006),$V$1006:$AE$1006,0))&gt;=100000), " ",IF(INDEX($V$2:$AE$1001,MATCH(ROWS($O$2:O944),$O$2:$O$1001,0),MATCH(COLUMNS($V$1006:V1006),$V$1006:$AE$1006,0)), HYPERLINK("#",""), HYPERLINK(CONCATENATE("#Metadata!", ADDRESS(INDEX($Q$2:$Q$1001,MATCH(ROWS($O$2:O944),$O$2:$O$1001,0),0), INDEX($V$1004:$AE$1004,1,MATCH(COLUMNS($V$1006:V1006),$V$1006:$AE$1006,0)))),"Fix")))</f>
        <v>0</v>
      </c>
      <c r="C944" s="3">
        <f>IF(OR(INDEX($P$2:$P$1001,MATCH(ROWS($O$2:O944),$O$2:$O$1001,0),1)&gt;=100000,INDEX($V$1005:$AE$1005,1,MATCH(COLUMNS($V$1006:W1006),$V$1006:$AE$1006,0))&gt;=100000), " ",IF(INDEX($V$2:$AE$1001,MATCH(ROWS($O$2:O944),$O$2:$O$1001,0),MATCH(COLUMNS($V$1006:W1006),$V$1006:$AE$1006,0)), HYPERLINK("#",""), HYPERLINK(CONCATENATE("#Metadata!", ADDRESS(INDEX($Q$2:$Q$1001,MATCH(ROWS($O$2:O944),$O$2:$O$1001,0),0), INDEX($V$1004:$AE$1004,1,MATCH(COLUMNS($V$1006:W1006),$V$1006:$AE$1006,0)))),"Fix")))</f>
        <v>0</v>
      </c>
      <c r="D944" s="3">
        <f>IF(OR(INDEX($P$2:$P$1001,MATCH(ROWS($O$2:O944),$O$2:$O$1001,0),1)&gt;=100000,INDEX($V$1005:$AE$1005,1,MATCH(COLUMNS($V$1006:X1006),$V$1006:$AE$1006,0))&gt;=100000), " ",IF(INDEX($V$2:$AE$1001,MATCH(ROWS($O$2:O944),$O$2:$O$1001,0),MATCH(COLUMNS($V$1006:X1006),$V$1006:$AE$1006,0)), HYPERLINK("#",""), HYPERLINK(CONCATENATE("#Metadata!", ADDRESS(INDEX($Q$2:$Q$1001,MATCH(ROWS($O$2:O944),$O$2:$O$1001,0),0), INDEX($V$1004:$AE$1004,1,MATCH(COLUMNS($V$1006:X1006),$V$1006:$AE$1006,0)))),"Fix")))</f>
        <v>0</v>
      </c>
      <c r="E944" s="3">
        <f>IF(OR(INDEX($P$2:$P$1001,MATCH(ROWS($O$2:O944),$O$2:$O$1001,0),1)&gt;=100000,INDEX($V$1005:$AE$1005,1,MATCH(COLUMNS($V$1006:Y1006),$V$1006:$AE$1006,0))&gt;=100000), " ",IF(INDEX($V$2:$AE$1001,MATCH(ROWS($O$2:O944),$O$2:$O$1001,0),MATCH(COLUMNS($V$1006:Y1006),$V$1006:$AE$1006,0)), HYPERLINK("#",""), HYPERLINK(CONCATENATE("#Metadata!", ADDRESS(INDEX($Q$2:$Q$1001,MATCH(ROWS($O$2:O944),$O$2:$O$1001,0),0), INDEX($V$1004:$AE$1004,1,MATCH(COLUMNS($V$1006:Y1006),$V$1006:$AE$1006,0)))),"Fix")))</f>
        <v>0</v>
      </c>
      <c r="F944" s="3">
        <f>IF(OR(INDEX($P$2:$P$1001,MATCH(ROWS($O$2:O944),$O$2:$O$1001,0),1)&gt;=100000,INDEX($V$1005:$AE$1005,1,MATCH(COLUMNS($V$1006:Z1006),$V$1006:$AE$1006,0))&gt;=100000), " ",IF(INDEX($V$2:$AE$1001,MATCH(ROWS($O$2:O944),$O$2:$O$1001,0),MATCH(COLUMNS($V$1006:Z1006),$V$1006:$AE$1006,0)), HYPERLINK("#",""), HYPERLINK(CONCATENATE("#Metadata!", ADDRESS(INDEX($Q$2:$Q$1001,MATCH(ROWS($O$2:O944),$O$2:$O$1001,0),0), INDEX($V$1004:$AE$1004,1,MATCH(COLUMNS($V$1006:Z1006),$V$1006:$AE$1006,0)))),"Fix")))</f>
        <v>0</v>
      </c>
      <c r="G944" s="3">
        <f>IF(OR(INDEX($P$2:$P$1001,MATCH(ROWS($O$2:O944),$O$2:$O$1001,0),1)&gt;=100000,INDEX($V$1005:$AE$1005,1,MATCH(COLUMNS($V$1006:AA1006),$V$1006:$AE$1006,0))&gt;=100000), " ",IF(INDEX($V$2:$AE$1001,MATCH(ROWS($O$2:O944),$O$2:$O$1001,0),MATCH(COLUMNS($V$1006:AA1006),$V$1006:$AE$1006,0)), HYPERLINK("#",""), HYPERLINK(CONCATENATE("#Metadata!", ADDRESS(INDEX($Q$2:$Q$1001,MATCH(ROWS($O$2:O944),$O$2:$O$1001,0),0), INDEX($V$1004:$AE$1004,1,MATCH(COLUMNS($V$1006:AA1006),$V$1006:$AE$1006,0)))),"Fix")))</f>
        <v>0</v>
      </c>
      <c r="H944" s="3">
        <f>IF(OR(INDEX($P$2:$P$1001,MATCH(ROWS($O$2:O944),$O$2:$O$1001,0),1)&gt;=100000,INDEX($V$1005:$AE$1005,1,MATCH(COLUMNS($V$1006:AB1006),$V$1006:$AE$1006,0))&gt;=100000), " ",IF(INDEX($V$2:$AE$1001,MATCH(ROWS($O$2:O944),$O$2:$O$1001,0),MATCH(COLUMNS($V$1006:AB1006),$V$1006:$AE$1006,0)), HYPERLINK("#",""), HYPERLINK(CONCATENATE("#Metadata!", ADDRESS(INDEX($Q$2:$Q$1001,MATCH(ROWS($O$2:O944),$O$2:$O$1001,0),0), INDEX($V$1004:$AE$1004,1,MATCH(COLUMNS($V$1006:AB1006),$V$1006:$AE$1006,0)))),"Fix")))</f>
        <v>0</v>
      </c>
      <c r="I944" s="3">
        <f>IF(OR(INDEX($P$2:$P$1001,MATCH(ROWS($O$2:O944),$O$2:$O$1001,0),1)&gt;=100000,INDEX($V$1005:$AE$1005,1,MATCH(COLUMNS($V$1006:AC1006),$V$1006:$AE$1006,0))&gt;=100000), " ",IF(INDEX($V$2:$AE$1001,MATCH(ROWS($O$2:O944),$O$2:$O$1001,0),MATCH(COLUMNS($V$1006:AC1006),$V$1006:$AE$1006,0)), HYPERLINK("#",""), HYPERLINK(CONCATENATE("#Metadata!", ADDRESS(INDEX($Q$2:$Q$1001,MATCH(ROWS($O$2:O944),$O$2:$O$1001,0),0), INDEX($V$1004:$AE$1004,1,MATCH(COLUMNS($V$1006:AC1006),$V$1006:$AE$1006,0)))),"Fix")))</f>
        <v>0</v>
      </c>
      <c r="J944" s="3">
        <f>IF(OR(INDEX($P$2:$P$1001,MATCH(ROWS($O$2:O944),$O$2:$O$1001,0),1)&gt;=100000,INDEX($V$1005:$AE$1005,1,MATCH(COLUMNS($V$1006:AD1006),$V$1006:$AE$1006,0))&gt;=100000), " ",IF(INDEX($V$2:$AE$1001,MATCH(ROWS($O$2:O944),$O$2:$O$1001,0),MATCH(COLUMNS($V$1006:AD1006),$V$1006:$AE$1006,0)), HYPERLINK("#",""), HYPERLINK(CONCATENATE("#Metadata!", ADDRESS(INDEX($Q$2:$Q$1001,MATCH(ROWS($O$2:O944),$O$2:$O$1001,0),0), INDEX($V$1004:$AE$1004,1,MATCH(COLUMNS($V$1006:AD1006),$V$1006:$AE$1006,0)))),"Fix")))</f>
        <v>0</v>
      </c>
      <c r="K944" s="3">
        <f>IF(OR(INDEX($P$2:$P$1001,MATCH(ROWS($O$2:O944),$O$2:$O$1001,0),1)&gt;=100000,INDEX($V$1005:$AE$1005,1,MATCH(COLUMNS($V$1006:AE1006),$V$1006:$AE$1006,0))&gt;=100000), " ",IF(INDEX($V$2:$AE$1001,MATCH(ROWS($O$2:O944),$O$2:$O$1001,0),MATCH(COLUMNS($V$1006:AE1006),$V$1006:$AE$1006,0)), HYPERLINK("#",""), HYPERLINK(CONCATENATE("#Metadata!", ADDRESS(INDEX($Q$2:$Q$1001,MATCH(ROWS($O$2:O944),$O$2:$O$1001,0),0), INDEX($V$1004:$AE$1004,1,MATCH(COLUMNS($V$1006:AE1006),$V$1006:$AE$1006,0)))),"Fix")))</f>
        <v>0</v>
      </c>
      <c r="O944">
        <v>0</v>
      </c>
      <c r="P944">
        <v>0</v>
      </c>
      <c r="Q944">
        <v>0</v>
      </c>
      <c r="R944">
        <f>IF(S944,TRUE,AND(V944:AE944))</f>
        <v>0</v>
      </c>
      <c r="S944">
        <f>COUNTBLANK(Metadata!B944:K944)=COLUMNS(Metadata!B944:K944)</f>
        <v>0</v>
      </c>
      <c r="T944">
        <v>0</v>
      </c>
      <c r="V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W944">
        <f>AND(IF(Metadata!C944="",FALSE,TRUE),exact(Metadata!C944,"animal secretion"))</f>
        <v>0</v>
      </c>
      <c r="X944">
        <f>AND(IF(Metadata!D944="",FALSE,TRUE),exact(Metadata!D944,"saliva"))</f>
        <v>0</v>
      </c>
      <c r="Y944">
        <f>AND(IF(Metadata!E944="",FALSE,TRUE),exact(Metadata!E944,"human-oral"))</f>
        <v>0</v>
      </c>
      <c r="Z944">
        <f>AND(IF(Metadata!F944="",FALSE,TRUE),exact(Metadata!F944,"UBERON:oral cavity"))</f>
        <v>0</v>
      </c>
      <c r="AA944">
        <f>AND(IF(Metadata!G944="",FALSE,TRUE),exact(Metadata!G944,"UBERON:saliva"))</f>
        <v>0</v>
      </c>
      <c r="AB944">
        <f>AND(IF(Metadata!H944="",FALSE,TRUE),exact(Metadata!H944,"UBERON:tongue"))</f>
        <v>0</v>
      </c>
      <c r="AC944">
        <f>AND(IF(Metadata!I944="",FALSE,TRUE),exact(Metadata!I944,"tongue"))</f>
        <v>0</v>
      </c>
      <c r="AD944">
        <f>AND(IF(Metadata!J944="",FALSE,TRUE),exact(Metadata!J944,"human oral metagenome"))</f>
        <v>0</v>
      </c>
      <c r="AE944">
        <f>AND(IF(Metadata!K944="",FALSE,TRUE),exact(Metadata!K944,"447426"))</f>
        <v>0</v>
      </c>
    </row>
    <row r="945" spans="1:31">
      <c r="A945" s="4">
        <f>IF(B945=" "," ",HYPERLINK(CONCATENATE("#metadata!",ADDRESS(INDEX($Q$2:$Q$1001,MATCH(ROWS($O$2:O945),$O$2:$O$1001,0),0),1)),INDEX($T$2:$T$1001,MATCH(ROWS($O$2:O945),$O$2:$O$1001,0),0)))</f>
        <v>0</v>
      </c>
      <c r="B945" s="3">
        <f>IF(OR(INDEX($P$2:$P$1001,MATCH(ROWS($O$2:O945),$O$2:$O$1001,0),1)&gt;=100000,INDEX($V$1005:$AE$1005,1,MATCH(COLUMNS($V$1006:V1006),$V$1006:$AE$1006,0))&gt;=100000), " ",IF(INDEX($V$2:$AE$1001,MATCH(ROWS($O$2:O945),$O$2:$O$1001,0),MATCH(COLUMNS($V$1006:V1006),$V$1006:$AE$1006,0)), HYPERLINK("#",""), HYPERLINK(CONCATENATE("#Metadata!", ADDRESS(INDEX($Q$2:$Q$1001,MATCH(ROWS($O$2:O945),$O$2:$O$1001,0),0), INDEX($V$1004:$AE$1004,1,MATCH(COLUMNS($V$1006:V1006),$V$1006:$AE$1006,0)))),"Fix")))</f>
        <v>0</v>
      </c>
      <c r="C945" s="3">
        <f>IF(OR(INDEX($P$2:$P$1001,MATCH(ROWS($O$2:O945),$O$2:$O$1001,0),1)&gt;=100000,INDEX($V$1005:$AE$1005,1,MATCH(COLUMNS($V$1006:W1006),$V$1006:$AE$1006,0))&gt;=100000), " ",IF(INDEX($V$2:$AE$1001,MATCH(ROWS($O$2:O945),$O$2:$O$1001,0),MATCH(COLUMNS($V$1006:W1006),$V$1006:$AE$1006,0)), HYPERLINK("#",""), HYPERLINK(CONCATENATE("#Metadata!", ADDRESS(INDEX($Q$2:$Q$1001,MATCH(ROWS($O$2:O945),$O$2:$O$1001,0),0), INDEX($V$1004:$AE$1004,1,MATCH(COLUMNS($V$1006:W1006),$V$1006:$AE$1006,0)))),"Fix")))</f>
        <v>0</v>
      </c>
      <c r="D945" s="3">
        <f>IF(OR(INDEX($P$2:$P$1001,MATCH(ROWS($O$2:O945),$O$2:$O$1001,0),1)&gt;=100000,INDEX($V$1005:$AE$1005,1,MATCH(COLUMNS($V$1006:X1006),$V$1006:$AE$1006,0))&gt;=100000), " ",IF(INDEX($V$2:$AE$1001,MATCH(ROWS($O$2:O945),$O$2:$O$1001,0),MATCH(COLUMNS($V$1006:X1006),$V$1006:$AE$1006,0)), HYPERLINK("#",""), HYPERLINK(CONCATENATE("#Metadata!", ADDRESS(INDEX($Q$2:$Q$1001,MATCH(ROWS($O$2:O945),$O$2:$O$1001,0),0), INDEX($V$1004:$AE$1004,1,MATCH(COLUMNS($V$1006:X1006),$V$1006:$AE$1006,0)))),"Fix")))</f>
        <v>0</v>
      </c>
      <c r="E945" s="3">
        <f>IF(OR(INDEX($P$2:$P$1001,MATCH(ROWS($O$2:O945),$O$2:$O$1001,0),1)&gt;=100000,INDEX($V$1005:$AE$1005,1,MATCH(COLUMNS($V$1006:Y1006),$V$1006:$AE$1006,0))&gt;=100000), " ",IF(INDEX($V$2:$AE$1001,MATCH(ROWS($O$2:O945),$O$2:$O$1001,0),MATCH(COLUMNS($V$1006:Y1006),$V$1006:$AE$1006,0)), HYPERLINK("#",""), HYPERLINK(CONCATENATE("#Metadata!", ADDRESS(INDEX($Q$2:$Q$1001,MATCH(ROWS($O$2:O945),$O$2:$O$1001,0),0), INDEX($V$1004:$AE$1004,1,MATCH(COLUMNS($V$1006:Y1006),$V$1006:$AE$1006,0)))),"Fix")))</f>
        <v>0</v>
      </c>
      <c r="F945" s="3">
        <f>IF(OR(INDEX($P$2:$P$1001,MATCH(ROWS($O$2:O945),$O$2:$O$1001,0),1)&gt;=100000,INDEX($V$1005:$AE$1005,1,MATCH(COLUMNS($V$1006:Z1006),$V$1006:$AE$1006,0))&gt;=100000), " ",IF(INDEX($V$2:$AE$1001,MATCH(ROWS($O$2:O945),$O$2:$O$1001,0),MATCH(COLUMNS($V$1006:Z1006),$V$1006:$AE$1006,0)), HYPERLINK("#",""), HYPERLINK(CONCATENATE("#Metadata!", ADDRESS(INDEX($Q$2:$Q$1001,MATCH(ROWS($O$2:O945),$O$2:$O$1001,0),0), INDEX($V$1004:$AE$1004,1,MATCH(COLUMNS($V$1006:Z1006),$V$1006:$AE$1006,0)))),"Fix")))</f>
        <v>0</v>
      </c>
      <c r="G945" s="3">
        <f>IF(OR(INDEX($P$2:$P$1001,MATCH(ROWS($O$2:O945),$O$2:$O$1001,0),1)&gt;=100000,INDEX($V$1005:$AE$1005,1,MATCH(COLUMNS($V$1006:AA1006),$V$1006:$AE$1006,0))&gt;=100000), " ",IF(INDEX($V$2:$AE$1001,MATCH(ROWS($O$2:O945),$O$2:$O$1001,0),MATCH(COLUMNS($V$1006:AA1006),$V$1006:$AE$1006,0)), HYPERLINK("#",""), HYPERLINK(CONCATENATE("#Metadata!", ADDRESS(INDEX($Q$2:$Q$1001,MATCH(ROWS($O$2:O945),$O$2:$O$1001,0),0), INDEX($V$1004:$AE$1004,1,MATCH(COLUMNS($V$1006:AA1006),$V$1006:$AE$1006,0)))),"Fix")))</f>
        <v>0</v>
      </c>
      <c r="H945" s="3">
        <f>IF(OR(INDEX($P$2:$P$1001,MATCH(ROWS($O$2:O945),$O$2:$O$1001,0),1)&gt;=100000,INDEX($V$1005:$AE$1005,1,MATCH(COLUMNS($V$1006:AB1006),$V$1006:$AE$1006,0))&gt;=100000), " ",IF(INDEX($V$2:$AE$1001,MATCH(ROWS($O$2:O945),$O$2:$O$1001,0),MATCH(COLUMNS($V$1006:AB1006),$V$1006:$AE$1006,0)), HYPERLINK("#",""), HYPERLINK(CONCATENATE("#Metadata!", ADDRESS(INDEX($Q$2:$Q$1001,MATCH(ROWS($O$2:O945),$O$2:$O$1001,0),0), INDEX($V$1004:$AE$1004,1,MATCH(COLUMNS($V$1006:AB1006),$V$1006:$AE$1006,0)))),"Fix")))</f>
        <v>0</v>
      </c>
      <c r="I945" s="3">
        <f>IF(OR(INDEX($P$2:$P$1001,MATCH(ROWS($O$2:O945),$O$2:$O$1001,0),1)&gt;=100000,INDEX($V$1005:$AE$1005,1,MATCH(COLUMNS($V$1006:AC1006),$V$1006:$AE$1006,0))&gt;=100000), " ",IF(INDEX($V$2:$AE$1001,MATCH(ROWS($O$2:O945),$O$2:$O$1001,0),MATCH(COLUMNS($V$1006:AC1006),$V$1006:$AE$1006,0)), HYPERLINK("#",""), HYPERLINK(CONCATENATE("#Metadata!", ADDRESS(INDEX($Q$2:$Q$1001,MATCH(ROWS($O$2:O945),$O$2:$O$1001,0),0), INDEX($V$1004:$AE$1004,1,MATCH(COLUMNS($V$1006:AC1006),$V$1006:$AE$1006,0)))),"Fix")))</f>
        <v>0</v>
      </c>
      <c r="J945" s="3">
        <f>IF(OR(INDEX($P$2:$P$1001,MATCH(ROWS($O$2:O945),$O$2:$O$1001,0),1)&gt;=100000,INDEX($V$1005:$AE$1005,1,MATCH(COLUMNS($V$1006:AD1006),$V$1006:$AE$1006,0))&gt;=100000), " ",IF(INDEX($V$2:$AE$1001,MATCH(ROWS($O$2:O945),$O$2:$O$1001,0),MATCH(COLUMNS($V$1006:AD1006),$V$1006:$AE$1006,0)), HYPERLINK("#",""), HYPERLINK(CONCATENATE("#Metadata!", ADDRESS(INDEX($Q$2:$Q$1001,MATCH(ROWS($O$2:O945),$O$2:$O$1001,0),0), INDEX($V$1004:$AE$1004,1,MATCH(COLUMNS($V$1006:AD1006),$V$1006:$AE$1006,0)))),"Fix")))</f>
        <v>0</v>
      </c>
      <c r="K945" s="3">
        <f>IF(OR(INDEX($P$2:$P$1001,MATCH(ROWS($O$2:O945),$O$2:$O$1001,0),1)&gt;=100000,INDEX($V$1005:$AE$1005,1,MATCH(COLUMNS($V$1006:AE1006),$V$1006:$AE$1006,0))&gt;=100000), " ",IF(INDEX($V$2:$AE$1001,MATCH(ROWS($O$2:O945),$O$2:$O$1001,0),MATCH(COLUMNS($V$1006:AE1006),$V$1006:$AE$1006,0)), HYPERLINK("#",""), HYPERLINK(CONCATENATE("#Metadata!", ADDRESS(INDEX($Q$2:$Q$1001,MATCH(ROWS($O$2:O945),$O$2:$O$1001,0),0), INDEX($V$1004:$AE$1004,1,MATCH(COLUMNS($V$1006:AE1006),$V$1006:$AE$1006,0)))),"Fix")))</f>
        <v>0</v>
      </c>
      <c r="O945">
        <v>0</v>
      </c>
      <c r="P945">
        <v>0</v>
      </c>
      <c r="Q945">
        <v>0</v>
      </c>
      <c r="R945">
        <f>IF(S945,TRUE,AND(V945:AE945))</f>
        <v>0</v>
      </c>
      <c r="S945">
        <f>COUNTBLANK(Metadata!B945:K945)=COLUMNS(Metadata!B945:K945)</f>
        <v>0</v>
      </c>
      <c r="T945">
        <v>0</v>
      </c>
      <c r="V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W945">
        <f>AND(IF(Metadata!C945="",FALSE,TRUE),exact(Metadata!C945,"animal secretion"))</f>
        <v>0</v>
      </c>
      <c r="X945">
        <f>AND(IF(Metadata!D945="",FALSE,TRUE),exact(Metadata!D945,"saliva"))</f>
        <v>0</v>
      </c>
      <c r="Y945">
        <f>AND(IF(Metadata!E945="",FALSE,TRUE),exact(Metadata!E945,"human-oral"))</f>
        <v>0</v>
      </c>
      <c r="Z945">
        <f>AND(IF(Metadata!F945="",FALSE,TRUE),exact(Metadata!F945,"UBERON:oral cavity"))</f>
        <v>0</v>
      </c>
      <c r="AA945">
        <f>AND(IF(Metadata!G945="",FALSE,TRUE),exact(Metadata!G945,"UBERON:saliva"))</f>
        <v>0</v>
      </c>
      <c r="AB945">
        <f>AND(IF(Metadata!H945="",FALSE,TRUE),exact(Metadata!H945,"UBERON:tongue"))</f>
        <v>0</v>
      </c>
      <c r="AC945">
        <f>AND(IF(Metadata!I945="",FALSE,TRUE),exact(Metadata!I945,"tongue"))</f>
        <v>0</v>
      </c>
      <c r="AD945">
        <f>AND(IF(Metadata!J945="",FALSE,TRUE),exact(Metadata!J945,"human oral metagenome"))</f>
        <v>0</v>
      </c>
      <c r="AE945">
        <f>AND(IF(Metadata!K945="",FALSE,TRUE),exact(Metadata!K945,"447426"))</f>
        <v>0</v>
      </c>
    </row>
    <row r="946" spans="1:31">
      <c r="A946" s="4">
        <f>IF(B946=" "," ",HYPERLINK(CONCATENATE("#metadata!",ADDRESS(INDEX($Q$2:$Q$1001,MATCH(ROWS($O$2:O946),$O$2:$O$1001,0),0),1)),INDEX($T$2:$T$1001,MATCH(ROWS($O$2:O946),$O$2:$O$1001,0),0)))</f>
        <v>0</v>
      </c>
      <c r="B946" s="3">
        <f>IF(OR(INDEX($P$2:$P$1001,MATCH(ROWS($O$2:O946),$O$2:$O$1001,0),1)&gt;=100000,INDEX($V$1005:$AE$1005,1,MATCH(COLUMNS($V$1006:V1006),$V$1006:$AE$1006,0))&gt;=100000), " ",IF(INDEX($V$2:$AE$1001,MATCH(ROWS($O$2:O946),$O$2:$O$1001,0),MATCH(COLUMNS($V$1006:V1006),$V$1006:$AE$1006,0)), HYPERLINK("#",""), HYPERLINK(CONCATENATE("#Metadata!", ADDRESS(INDEX($Q$2:$Q$1001,MATCH(ROWS($O$2:O946),$O$2:$O$1001,0),0), INDEX($V$1004:$AE$1004,1,MATCH(COLUMNS($V$1006:V1006),$V$1006:$AE$1006,0)))),"Fix")))</f>
        <v>0</v>
      </c>
      <c r="C946" s="3">
        <f>IF(OR(INDEX($P$2:$P$1001,MATCH(ROWS($O$2:O946),$O$2:$O$1001,0),1)&gt;=100000,INDEX($V$1005:$AE$1005,1,MATCH(COLUMNS($V$1006:W1006),$V$1006:$AE$1006,0))&gt;=100000), " ",IF(INDEX($V$2:$AE$1001,MATCH(ROWS($O$2:O946),$O$2:$O$1001,0),MATCH(COLUMNS($V$1006:W1006),$V$1006:$AE$1006,0)), HYPERLINK("#",""), HYPERLINK(CONCATENATE("#Metadata!", ADDRESS(INDEX($Q$2:$Q$1001,MATCH(ROWS($O$2:O946),$O$2:$O$1001,0),0), INDEX($V$1004:$AE$1004,1,MATCH(COLUMNS($V$1006:W1006),$V$1006:$AE$1006,0)))),"Fix")))</f>
        <v>0</v>
      </c>
      <c r="D946" s="3">
        <f>IF(OR(INDEX($P$2:$P$1001,MATCH(ROWS($O$2:O946),$O$2:$O$1001,0),1)&gt;=100000,INDEX($V$1005:$AE$1005,1,MATCH(COLUMNS($V$1006:X1006),$V$1006:$AE$1006,0))&gt;=100000), " ",IF(INDEX($V$2:$AE$1001,MATCH(ROWS($O$2:O946),$O$2:$O$1001,0),MATCH(COLUMNS($V$1006:X1006),$V$1006:$AE$1006,0)), HYPERLINK("#",""), HYPERLINK(CONCATENATE("#Metadata!", ADDRESS(INDEX($Q$2:$Q$1001,MATCH(ROWS($O$2:O946),$O$2:$O$1001,0),0), INDEX($V$1004:$AE$1004,1,MATCH(COLUMNS($V$1006:X1006),$V$1006:$AE$1006,0)))),"Fix")))</f>
        <v>0</v>
      </c>
      <c r="E946" s="3">
        <f>IF(OR(INDEX($P$2:$P$1001,MATCH(ROWS($O$2:O946),$O$2:$O$1001,0),1)&gt;=100000,INDEX($V$1005:$AE$1005,1,MATCH(COLUMNS($V$1006:Y1006),$V$1006:$AE$1006,0))&gt;=100000), " ",IF(INDEX($V$2:$AE$1001,MATCH(ROWS($O$2:O946),$O$2:$O$1001,0),MATCH(COLUMNS($V$1006:Y1006),$V$1006:$AE$1006,0)), HYPERLINK("#",""), HYPERLINK(CONCATENATE("#Metadata!", ADDRESS(INDEX($Q$2:$Q$1001,MATCH(ROWS($O$2:O946),$O$2:$O$1001,0),0), INDEX($V$1004:$AE$1004,1,MATCH(COLUMNS($V$1006:Y1006),$V$1006:$AE$1006,0)))),"Fix")))</f>
        <v>0</v>
      </c>
      <c r="F946" s="3">
        <f>IF(OR(INDEX($P$2:$P$1001,MATCH(ROWS($O$2:O946),$O$2:$O$1001,0),1)&gt;=100000,INDEX($V$1005:$AE$1005,1,MATCH(COLUMNS($V$1006:Z1006),$V$1006:$AE$1006,0))&gt;=100000), " ",IF(INDEX($V$2:$AE$1001,MATCH(ROWS($O$2:O946),$O$2:$O$1001,0),MATCH(COLUMNS($V$1006:Z1006),$V$1006:$AE$1006,0)), HYPERLINK("#",""), HYPERLINK(CONCATENATE("#Metadata!", ADDRESS(INDEX($Q$2:$Q$1001,MATCH(ROWS($O$2:O946),$O$2:$O$1001,0),0), INDEX($V$1004:$AE$1004,1,MATCH(COLUMNS($V$1006:Z1006),$V$1006:$AE$1006,0)))),"Fix")))</f>
        <v>0</v>
      </c>
      <c r="G946" s="3">
        <f>IF(OR(INDEX($P$2:$P$1001,MATCH(ROWS($O$2:O946),$O$2:$O$1001,0),1)&gt;=100000,INDEX($V$1005:$AE$1005,1,MATCH(COLUMNS($V$1006:AA1006),$V$1006:$AE$1006,0))&gt;=100000), " ",IF(INDEX($V$2:$AE$1001,MATCH(ROWS($O$2:O946),$O$2:$O$1001,0),MATCH(COLUMNS($V$1006:AA1006),$V$1006:$AE$1006,0)), HYPERLINK("#",""), HYPERLINK(CONCATENATE("#Metadata!", ADDRESS(INDEX($Q$2:$Q$1001,MATCH(ROWS($O$2:O946),$O$2:$O$1001,0),0), INDEX($V$1004:$AE$1004,1,MATCH(COLUMNS($V$1006:AA1006),$V$1006:$AE$1006,0)))),"Fix")))</f>
        <v>0</v>
      </c>
      <c r="H946" s="3">
        <f>IF(OR(INDEX($P$2:$P$1001,MATCH(ROWS($O$2:O946),$O$2:$O$1001,0),1)&gt;=100000,INDEX($V$1005:$AE$1005,1,MATCH(COLUMNS($V$1006:AB1006),$V$1006:$AE$1006,0))&gt;=100000), " ",IF(INDEX($V$2:$AE$1001,MATCH(ROWS($O$2:O946),$O$2:$O$1001,0),MATCH(COLUMNS($V$1006:AB1006),$V$1006:$AE$1006,0)), HYPERLINK("#",""), HYPERLINK(CONCATENATE("#Metadata!", ADDRESS(INDEX($Q$2:$Q$1001,MATCH(ROWS($O$2:O946),$O$2:$O$1001,0),0), INDEX($V$1004:$AE$1004,1,MATCH(COLUMNS($V$1006:AB1006),$V$1006:$AE$1006,0)))),"Fix")))</f>
        <v>0</v>
      </c>
      <c r="I946" s="3">
        <f>IF(OR(INDEX($P$2:$P$1001,MATCH(ROWS($O$2:O946),$O$2:$O$1001,0),1)&gt;=100000,INDEX($V$1005:$AE$1005,1,MATCH(COLUMNS($V$1006:AC1006),$V$1006:$AE$1006,0))&gt;=100000), " ",IF(INDEX($V$2:$AE$1001,MATCH(ROWS($O$2:O946),$O$2:$O$1001,0),MATCH(COLUMNS($V$1006:AC1006),$V$1006:$AE$1006,0)), HYPERLINK("#",""), HYPERLINK(CONCATENATE("#Metadata!", ADDRESS(INDEX($Q$2:$Q$1001,MATCH(ROWS($O$2:O946),$O$2:$O$1001,0),0), INDEX($V$1004:$AE$1004,1,MATCH(COLUMNS($V$1006:AC1006),$V$1006:$AE$1006,0)))),"Fix")))</f>
        <v>0</v>
      </c>
      <c r="J946" s="3">
        <f>IF(OR(INDEX($P$2:$P$1001,MATCH(ROWS($O$2:O946),$O$2:$O$1001,0),1)&gt;=100000,INDEX($V$1005:$AE$1005,1,MATCH(COLUMNS($V$1006:AD1006),$V$1006:$AE$1006,0))&gt;=100000), " ",IF(INDEX($V$2:$AE$1001,MATCH(ROWS($O$2:O946),$O$2:$O$1001,0),MATCH(COLUMNS($V$1006:AD1006),$V$1006:$AE$1006,0)), HYPERLINK("#",""), HYPERLINK(CONCATENATE("#Metadata!", ADDRESS(INDEX($Q$2:$Q$1001,MATCH(ROWS($O$2:O946),$O$2:$O$1001,0),0), INDEX($V$1004:$AE$1004,1,MATCH(COLUMNS($V$1006:AD1006),$V$1006:$AE$1006,0)))),"Fix")))</f>
        <v>0</v>
      </c>
      <c r="K946" s="3">
        <f>IF(OR(INDEX($P$2:$P$1001,MATCH(ROWS($O$2:O946),$O$2:$O$1001,0),1)&gt;=100000,INDEX($V$1005:$AE$1005,1,MATCH(COLUMNS($V$1006:AE1006),$V$1006:$AE$1006,0))&gt;=100000), " ",IF(INDEX($V$2:$AE$1001,MATCH(ROWS($O$2:O946),$O$2:$O$1001,0),MATCH(COLUMNS($V$1006:AE1006),$V$1006:$AE$1006,0)), HYPERLINK("#",""), HYPERLINK(CONCATENATE("#Metadata!", ADDRESS(INDEX($Q$2:$Q$1001,MATCH(ROWS($O$2:O946),$O$2:$O$1001,0),0), INDEX($V$1004:$AE$1004,1,MATCH(COLUMNS($V$1006:AE1006),$V$1006:$AE$1006,0)))),"Fix")))</f>
        <v>0</v>
      </c>
      <c r="O946">
        <v>0</v>
      </c>
      <c r="P946">
        <v>0</v>
      </c>
      <c r="Q946">
        <v>0</v>
      </c>
      <c r="R946">
        <f>IF(S946,TRUE,AND(V946:AE946))</f>
        <v>0</v>
      </c>
      <c r="S946">
        <f>COUNTBLANK(Metadata!B946:K946)=COLUMNS(Metadata!B946:K946)</f>
        <v>0</v>
      </c>
      <c r="T946">
        <v>0</v>
      </c>
      <c r="V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W946">
        <f>AND(IF(Metadata!C946="",FALSE,TRUE),exact(Metadata!C946,"animal secretion"))</f>
        <v>0</v>
      </c>
      <c r="X946">
        <f>AND(IF(Metadata!D946="",FALSE,TRUE),exact(Metadata!D946,"saliva"))</f>
        <v>0</v>
      </c>
      <c r="Y946">
        <f>AND(IF(Metadata!E946="",FALSE,TRUE),exact(Metadata!E946,"human-oral"))</f>
        <v>0</v>
      </c>
      <c r="Z946">
        <f>AND(IF(Metadata!F946="",FALSE,TRUE),exact(Metadata!F946,"UBERON:oral cavity"))</f>
        <v>0</v>
      </c>
      <c r="AA946">
        <f>AND(IF(Metadata!G946="",FALSE,TRUE),exact(Metadata!G946,"UBERON:saliva"))</f>
        <v>0</v>
      </c>
      <c r="AB946">
        <f>AND(IF(Metadata!H946="",FALSE,TRUE),exact(Metadata!H946,"UBERON:tongue"))</f>
        <v>0</v>
      </c>
      <c r="AC946">
        <f>AND(IF(Metadata!I946="",FALSE,TRUE),exact(Metadata!I946,"tongue"))</f>
        <v>0</v>
      </c>
      <c r="AD946">
        <f>AND(IF(Metadata!J946="",FALSE,TRUE),exact(Metadata!J946,"human oral metagenome"))</f>
        <v>0</v>
      </c>
      <c r="AE946">
        <f>AND(IF(Metadata!K946="",FALSE,TRUE),exact(Metadata!K946,"447426"))</f>
        <v>0</v>
      </c>
    </row>
    <row r="947" spans="1:31">
      <c r="A947" s="4">
        <f>IF(B947=" "," ",HYPERLINK(CONCATENATE("#metadata!",ADDRESS(INDEX($Q$2:$Q$1001,MATCH(ROWS($O$2:O947),$O$2:$O$1001,0),0),1)),INDEX($T$2:$T$1001,MATCH(ROWS($O$2:O947),$O$2:$O$1001,0),0)))</f>
        <v>0</v>
      </c>
      <c r="B947" s="3">
        <f>IF(OR(INDEX($P$2:$P$1001,MATCH(ROWS($O$2:O947),$O$2:$O$1001,0),1)&gt;=100000,INDEX($V$1005:$AE$1005,1,MATCH(COLUMNS($V$1006:V1006),$V$1006:$AE$1006,0))&gt;=100000), " ",IF(INDEX($V$2:$AE$1001,MATCH(ROWS($O$2:O947),$O$2:$O$1001,0),MATCH(COLUMNS($V$1006:V1006),$V$1006:$AE$1006,0)), HYPERLINK("#",""), HYPERLINK(CONCATENATE("#Metadata!", ADDRESS(INDEX($Q$2:$Q$1001,MATCH(ROWS($O$2:O947),$O$2:$O$1001,0),0), INDEX($V$1004:$AE$1004,1,MATCH(COLUMNS($V$1006:V1006),$V$1006:$AE$1006,0)))),"Fix")))</f>
        <v>0</v>
      </c>
      <c r="C947" s="3">
        <f>IF(OR(INDEX($P$2:$P$1001,MATCH(ROWS($O$2:O947),$O$2:$O$1001,0),1)&gt;=100000,INDEX($V$1005:$AE$1005,1,MATCH(COLUMNS($V$1006:W1006),$V$1006:$AE$1006,0))&gt;=100000), " ",IF(INDEX($V$2:$AE$1001,MATCH(ROWS($O$2:O947),$O$2:$O$1001,0),MATCH(COLUMNS($V$1006:W1006),$V$1006:$AE$1006,0)), HYPERLINK("#",""), HYPERLINK(CONCATENATE("#Metadata!", ADDRESS(INDEX($Q$2:$Q$1001,MATCH(ROWS($O$2:O947),$O$2:$O$1001,0),0), INDEX($V$1004:$AE$1004,1,MATCH(COLUMNS($V$1006:W1006),$V$1006:$AE$1006,0)))),"Fix")))</f>
        <v>0</v>
      </c>
      <c r="D947" s="3">
        <f>IF(OR(INDEX($P$2:$P$1001,MATCH(ROWS($O$2:O947),$O$2:$O$1001,0),1)&gt;=100000,INDEX($V$1005:$AE$1005,1,MATCH(COLUMNS($V$1006:X1006),$V$1006:$AE$1006,0))&gt;=100000), " ",IF(INDEX($V$2:$AE$1001,MATCH(ROWS($O$2:O947),$O$2:$O$1001,0),MATCH(COLUMNS($V$1006:X1006),$V$1006:$AE$1006,0)), HYPERLINK("#",""), HYPERLINK(CONCATENATE("#Metadata!", ADDRESS(INDEX($Q$2:$Q$1001,MATCH(ROWS($O$2:O947),$O$2:$O$1001,0),0), INDEX($V$1004:$AE$1004,1,MATCH(COLUMNS($V$1006:X1006),$V$1006:$AE$1006,0)))),"Fix")))</f>
        <v>0</v>
      </c>
      <c r="E947" s="3">
        <f>IF(OR(INDEX($P$2:$P$1001,MATCH(ROWS($O$2:O947),$O$2:$O$1001,0),1)&gt;=100000,INDEX($V$1005:$AE$1005,1,MATCH(COLUMNS($V$1006:Y1006),$V$1006:$AE$1006,0))&gt;=100000), " ",IF(INDEX($V$2:$AE$1001,MATCH(ROWS($O$2:O947),$O$2:$O$1001,0),MATCH(COLUMNS($V$1006:Y1006),$V$1006:$AE$1006,0)), HYPERLINK("#",""), HYPERLINK(CONCATENATE("#Metadata!", ADDRESS(INDEX($Q$2:$Q$1001,MATCH(ROWS($O$2:O947),$O$2:$O$1001,0),0), INDEX($V$1004:$AE$1004,1,MATCH(COLUMNS($V$1006:Y1006),$V$1006:$AE$1006,0)))),"Fix")))</f>
        <v>0</v>
      </c>
      <c r="F947" s="3">
        <f>IF(OR(INDEX($P$2:$P$1001,MATCH(ROWS($O$2:O947),$O$2:$O$1001,0),1)&gt;=100000,INDEX($V$1005:$AE$1005,1,MATCH(COLUMNS($V$1006:Z1006),$V$1006:$AE$1006,0))&gt;=100000), " ",IF(INDEX($V$2:$AE$1001,MATCH(ROWS($O$2:O947),$O$2:$O$1001,0),MATCH(COLUMNS($V$1006:Z1006),$V$1006:$AE$1006,0)), HYPERLINK("#",""), HYPERLINK(CONCATENATE("#Metadata!", ADDRESS(INDEX($Q$2:$Q$1001,MATCH(ROWS($O$2:O947),$O$2:$O$1001,0),0), INDEX($V$1004:$AE$1004,1,MATCH(COLUMNS($V$1006:Z1006),$V$1006:$AE$1006,0)))),"Fix")))</f>
        <v>0</v>
      </c>
      <c r="G947" s="3">
        <f>IF(OR(INDEX($P$2:$P$1001,MATCH(ROWS($O$2:O947),$O$2:$O$1001,0),1)&gt;=100000,INDEX($V$1005:$AE$1005,1,MATCH(COLUMNS($V$1006:AA1006),$V$1006:$AE$1006,0))&gt;=100000), " ",IF(INDEX($V$2:$AE$1001,MATCH(ROWS($O$2:O947),$O$2:$O$1001,0),MATCH(COLUMNS($V$1006:AA1006),$V$1006:$AE$1006,0)), HYPERLINK("#",""), HYPERLINK(CONCATENATE("#Metadata!", ADDRESS(INDEX($Q$2:$Q$1001,MATCH(ROWS($O$2:O947),$O$2:$O$1001,0),0), INDEX($V$1004:$AE$1004,1,MATCH(COLUMNS($V$1006:AA1006),$V$1006:$AE$1006,0)))),"Fix")))</f>
        <v>0</v>
      </c>
      <c r="H947" s="3">
        <f>IF(OR(INDEX($P$2:$P$1001,MATCH(ROWS($O$2:O947),$O$2:$O$1001,0),1)&gt;=100000,INDEX($V$1005:$AE$1005,1,MATCH(COLUMNS($V$1006:AB1006),$V$1006:$AE$1006,0))&gt;=100000), " ",IF(INDEX($V$2:$AE$1001,MATCH(ROWS($O$2:O947),$O$2:$O$1001,0),MATCH(COLUMNS($V$1006:AB1006),$V$1006:$AE$1006,0)), HYPERLINK("#",""), HYPERLINK(CONCATENATE("#Metadata!", ADDRESS(INDEX($Q$2:$Q$1001,MATCH(ROWS($O$2:O947),$O$2:$O$1001,0),0), INDEX($V$1004:$AE$1004,1,MATCH(COLUMNS($V$1006:AB1006),$V$1006:$AE$1006,0)))),"Fix")))</f>
        <v>0</v>
      </c>
      <c r="I947" s="3">
        <f>IF(OR(INDEX($P$2:$P$1001,MATCH(ROWS($O$2:O947),$O$2:$O$1001,0),1)&gt;=100000,INDEX($V$1005:$AE$1005,1,MATCH(COLUMNS($V$1006:AC1006),$V$1006:$AE$1006,0))&gt;=100000), " ",IF(INDEX($V$2:$AE$1001,MATCH(ROWS($O$2:O947),$O$2:$O$1001,0),MATCH(COLUMNS($V$1006:AC1006),$V$1006:$AE$1006,0)), HYPERLINK("#",""), HYPERLINK(CONCATENATE("#Metadata!", ADDRESS(INDEX($Q$2:$Q$1001,MATCH(ROWS($O$2:O947),$O$2:$O$1001,0),0), INDEX($V$1004:$AE$1004,1,MATCH(COLUMNS($V$1006:AC1006),$V$1006:$AE$1006,0)))),"Fix")))</f>
        <v>0</v>
      </c>
      <c r="J947" s="3">
        <f>IF(OR(INDEX($P$2:$P$1001,MATCH(ROWS($O$2:O947),$O$2:$O$1001,0),1)&gt;=100000,INDEX($V$1005:$AE$1005,1,MATCH(COLUMNS($V$1006:AD1006),$V$1006:$AE$1006,0))&gt;=100000), " ",IF(INDEX($V$2:$AE$1001,MATCH(ROWS($O$2:O947),$O$2:$O$1001,0),MATCH(COLUMNS($V$1006:AD1006),$V$1006:$AE$1006,0)), HYPERLINK("#",""), HYPERLINK(CONCATENATE("#Metadata!", ADDRESS(INDEX($Q$2:$Q$1001,MATCH(ROWS($O$2:O947),$O$2:$O$1001,0),0), INDEX($V$1004:$AE$1004,1,MATCH(COLUMNS($V$1006:AD1006),$V$1006:$AE$1006,0)))),"Fix")))</f>
        <v>0</v>
      </c>
      <c r="K947" s="3">
        <f>IF(OR(INDEX($P$2:$P$1001,MATCH(ROWS($O$2:O947),$O$2:$O$1001,0),1)&gt;=100000,INDEX($V$1005:$AE$1005,1,MATCH(COLUMNS($V$1006:AE1006),$V$1006:$AE$1006,0))&gt;=100000), " ",IF(INDEX($V$2:$AE$1001,MATCH(ROWS($O$2:O947),$O$2:$O$1001,0),MATCH(COLUMNS($V$1006:AE1006),$V$1006:$AE$1006,0)), HYPERLINK("#",""), HYPERLINK(CONCATENATE("#Metadata!", ADDRESS(INDEX($Q$2:$Q$1001,MATCH(ROWS($O$2:O947),$O$2:$O$1001,0),0), INDEX($V$1004:$AE$1004,1,MATCH(COLUMNS($V$1006:AE1006),$V$1006:$AE$1006,0)))),"Fix")))</f>
        <v>0</v>
      </c>
      <c r="O947">
        <v>0</v>
      </c>
      <c r="P947">
        <v>0</v>
      </c>
      <c r="Q947">
        <v>0</v>
      </c>
      <c r="R947">
        <f>IF(S947,TRUE,AND(V947:AE947))</f>
        <v>0</v>
      </c>
      <c r="S947">
        <f>COUNTBLANK(Metadata!B947:K947)=COLUMNS(Metadata!B947:K947)</f>
        <v>0</v>
      </c>
      <c r="T947">
        <v>0</v>
      </c>
      <c r="V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W947">
        <f>AND(IF(Metadata!C947="",FALSE,TRUE),exact(Metadata!C947,"animal secretion"))</f>
        <v>0</v>
      </c>
      <c r="X947">
        <f>AND(IF(Metadata!D947="",FALSE,TRUE),exact(Metadata!D947,"saliva"))</f>
        <v>0</v>
      </c>
      <c r="Y947">
        <f>AND(IF(Metadata!E947="",FALSE,TRUE),exact(Metadata!E947,"human-oral"))</f>
        <v>0</v>
      </c>
      <c r="Z947">
        <f>AND(IF(Metadata!F947="",FALSE,TRUE),exact(Metadata!F947,"UBERON:oral cavity"))</f>
        <v>0</v>
      </c>
      <c r="AA947">
        <f>AND(IF(Metadata!G947="",FALSE,TRUE),exact(Metadata!G947,"UBERON:saliva"))</f>
        <v>0</v>
      </c>
      <c r="AB947">
        <f>AND(IF(Metadata!H947="",FALSE,TRUE),exact(Metadata!H947,"UBERON:tongue"))</f>
        <v>0</v>
      </c>
      <c r="AC947">
        <f>AND(IF(Metadata!I947="",FALSE,TRUE),exact(Metadata!I947,"tongue"))</f>
        <v>0</v>
      </c>
      <c r="AD947">
        <f>AND(IF(Metadata!J947="",FALSE,TRUE),exact(Metadata!J947,"human oral metagenome"))</f>
        <v>0</v>
      </c>
      <c r="AE947">
        <f>AND(IF(Metadata!K947="",FALSE,TRUE),exact(Metadata!K947,"447426"))</f>
        <v>0</v>
      </c>
    </row>
    <row r="948" spans="1:31">
      <c r="A948" s="4">
        <f>IF(B948=" "," ",HYPERLINK(CONCATENATE("#metadata!",ADDRESS(INDEX($Q$2:$Q$1001,MATCH(ROWS($O$2:O948),$O$2:$O$1001,0),0),1)),INDEX($T$2:$T$1001,MATCH(ROWS($O$2:O948),$O$2:$O$1001,0),0)))</f>
        <v>0</v>
      </c>
      <c r="B948" s="3">
        <f>IF(OR(INDEX($P$2:$P$1001,MATCH(ROWS($O$2:O948),$O$2:$O$1001,0),1)&gt;=100000,INDEX($V$1005:$AE$1005,1,MATCH(COLUMNS($V$1006:V1006),$V$1006:$AE$1006,0))&gt;=100000), " ",IF(INDEX($V$2:$AE$1001,MATCH(ROWS($O$2:O948),$O$2:$O$1001,0),MATCH(COLUMNS($V$1006:V1006),$V$1006:$AE$1006,0)), HYPERLINK("#",""), HYPERLINK(CONCATENATE("#Metadata!", ADDRESS(INDEX($Q$2:$Q$1001,MATCH(ROWS($O$2:O948),$O$2:$O$1001,0),0), INDEX($V$1004:$AE$1004,1,MATCH(COLUMNS($V$1006:V1006),$V$1006:$AE$1006,0)))),"Fix")))</f>
        <v>0</v>
      </c>
      <c r="C948" s="3">
        <f>IF(OR(INDEX($P$2:$P$1001,MATCH(ROWS($O$2:O948),$O$2:$O$1001,0),1)&gt;=100000,INDEX($V$1005:$AE$1005,1,MATCH(COLUMNS($V$1006:W1006),$V$1006:$AE$1006,0))&gt;=100000), " ",IF(INDEX($V$2:$AE$1001,MATCH(ROWS($O$2:O948),$O$2:$O$1001,0),MATCH(COLUMNS($V$1006:W1006),$V$1006:$AE$1006,0)), HYPERLINK("#",""), HYPERLINK(CONCATENATE("#Metadata!", ADDRESS(INDEX($Q$2:$Q$1001,MATCH(ROWS($O$2:O948),$O$2:$O$1001,0),0), INDEX($V$1004:$AE$1004,1,MATCH(COLUMNS($V$1006:W1006),$V$1006:$AE$1006,0)))),"Fix")))</f>
        <v>0</v>
      </c>
      <c r="D948" s="3">
        <f>IF(OR(INDEX($P$2:$P$1001,MATCH(ROWS($O$2:O948),$O$2:$O$1001,0),1)&gt;=100000,INDEX($V$1005:$AE$1005,1,MATCH(COLUMNS($V$1006:X1006),$V$1006:$AE$1006,0))&gt;=100000), " ",IF(INDEX($V$2:$AE$1001,MATCH(ROWS($O$2:O948),$O$2:$O$1001,0),MATCH(COLUMNS($V$1006:X1006),$V$1006:$AE$1006,0)), HYPERLINK("#",""), HYPERLINK(CONCATENATE("#Metadata!", ADDRESS(INDEX($Q$2:$Q$1001,MATCH(ROWS($O$2:O948),$O$2:$O$1001,0),0), INDEX($V$1004:$AE$1004,1,MATCH(COLUMNS($V$1006:X1006),$V$1006:$AE$1006,0)))),"Fix")))</f>
        <v>0</v>
      </c>
      <c r="E948" s="3">
        <f>IF(OR(INDEX($P$2:$P$1001,MATCH(ROWS($O$2:O948),$O$2:$O$1001,0),1)&gt;=100000,INDEX($V$1005:$AE$1005,1,MATCH(COLUMNS($V$1006:Y1006),$V$1006:$AE$1006,0))&gt;=100000), " ",IF(INDEX($V$2:$AE$1001,MATCH(ROWS($O$2:O948),$O$2:$O$1001,0),MATCH(COLUMNS($V$1006:Y1006),$V$1006:$AE$1006,0)), HYPERLINK("#",""), HYPERLINK(CONCATENATE("#Metadata!", ADDRESS(INDEX($Q$2:$Q$1001,MATCH(ROWS($O$2:O948),$O$2:$O$1001,0),0), INDEX($V$1004:$AE$1004,1,MATCH(COLUMNS($V$1006:Y1006),$V$1006:$AE$1006,0)))),"Fix")))</f>
        <v>0</v>
      </c>
      <c r="F948" s="3">
        <f>IF(OR(INDEX($P$2:$P$1001,MATCH(ROWS($O$2:O948),$O$2:$O$1001,0),1)&gt;=100000,INDEX($V$1005:$AE$1005,1,MATCH(COLUMNS($V$1006:Z1006),$V$1006:$AE$1006,0))&gt;=100000), " ",IF(INDEX($V$2:$AE$1001,MATCH(ROWS($O$2:O948),$O$2:$O$1001,0),MATCH(COLUMNS($V$1006:Z1006),$V$1006:$AE$1006,0)), HYPERLINK("#",""), HYPERLINK(CONCATENATE("#Metadata!", ADDRESS(INDEX($Q$2:$Q$1001,MATCH(ROWS($O$2:O948),$O$2:$O$1001,0),0), INDEX($V$1004:$AE$1004,1,MATCH(COLUMNS($V$1006:Z1006),$V$1006:$AE$1006,0)))),"Fix")))</f>
        <v>0</v>
      </c>
      <c r="G948" s="3">
        <f>IF(OR(INDEX($P$2:$P$1001,MATCH(ROWS($O$2:O948),$O$2:$O$1001,0),1)&gt;=100000,INDEX($V$1005:$AE$1005,1,MATCH(COLUMNS($V$1006:AA1006),$V$1006:$AE$1006,0))&gt;=100000), " ",IF(INDEX($V$2:$AE$1001,MATCH(ROWS($O$2:O948),$O$2:$O$1001,0),MATCH(COLUMNS($V$1006:AA1006),$V$1006:$AE$1006,0)), HYPERLINK("#",""), HYPERLINK(CONCATENATE("#Metadata!", ADDRESS(INDEX($Q$2:$Q$1001,MATCH(ROWS($O$2:O948),$O$2:$O$1001,0),0), INDEX($V$1004:$AE$1004,1,MATCH(COLUMNS($V$1006:AA1006),$V$1006:$AE$1006,0)))),"Fix")))</f>
        <v>0</v>
      </c>
      <c r="H948" s="3">
        <f>IF(OR(INDEX($P$2:$P$1001,MATCH(ROWS($O$2:O948),$O$2:$O$1001,0),1)&gt;=100000,INDEX($V$1005:$AE$1005,1,MATCH(COLUMNS($V$1006:AB1006),$V$1006:$AE$1006,0))&gt;=100000), " ",IF(INDEX($V$2:$AE$1001,MATCH(ROWS($O$2:O948),$O$2:$O$1001,0),MATCH(COLUMNS($V$1006:AB1006),$V$1006:$AE$1006,0)), HYPERLINK("#",""), HYPERLINK(CONCATENATE("#Metadata!", ADDRESS(INDEX($Q$2:$Q$1001,MATCH(ROWS($O$2:O948),$O$2:$O$1001,0),0), INDEX($V$1004:$AE$1004,1,MATCH(COLUMNS($V$1006:AB1006),$V$1006:$AE$1006,0)))),"Fix")))</f>
        <v>0</v>
      </c>
      <c r="I948" s="3">
        <f>IF(OR(INDEX($P$2:$P$1001,MATCH(ROWS($O$2:O948),$O$2:$O$1001,0),1)&gt;=100000,INDEX($V$1005:$AE$1005,1,MATCH(COLUMNS($V$1006:AC1006),$V$1006:$AE$1006,0))&gt;=100000), " ",IF(INDEX($V$2:$AE$1001,MATCH(ROWS($O$2:O948),$O$2:$O$1001,0),MATCH(COLUMNS($V$1006:AC1006),$V$1006:$AE$1006,0)), HYPERLINK("#",""), HYPERLINK(CONCATENATE("#Metadata!", ADDRESS(INDEX($Q$2:$Q$1001,MATCH(ROWS($O$2:O948),$O$2:$O$1001,0),0), INDEX($V$1004:$AE$1004,1,MATCH(COLUMNS($V$1006:AC1006),$V$1006:$AE$1006,0)))),"Fix")))</f>
        <v>0</v>
      </c>
      <c r="J948" s="3">
        <f>IF(OR(INDEX($P$2:$P$1001,MATCH(ROWS($O$2:O948),$O$2:$O$1001,0),1)&gt;=100000,INDEX($V$1005:$AE$1005,1,MATCH(COLUMNS($V$1006:AD1006),$V$1006:$AE$1006,0))&gt;=100000), " ",IF(INDEX($V$2:$AE$1001,MATCH(ROWS($O$2:O948),$O$2:$O$1001,0),MATCH(COLUMNS($V$1006:AD1006),$V$1006:$AE$1006,0)), HYPERLINK("#",""), HYPERLINK(CONCATENATE("#Metadata!", ADDRESS(INDEX($Q$2:$Q$1001,MATCH(ROWS($O$2:O948),$O$2:$O$1001,0),0), INDEX($V$1004:$AE$1004,1,MATCH(COLUMNS($V$1006:AD1006),$V$1006:$AE$1006,0)))),"Fix")))</f>
        <v>0</v>
      </c>
      <c r="K948" s="3">
        <f>IF(OR(INDEX($P$2:$P$1001,MATCH(ROWS($O$2:O948),$O$2:$O$1001,0),1)&gt;=100000,INDEX($V$1005:$AE$1005,1,MATCH(COLUMNS($V$1006:AE1006),$V$1006:$AE$1006,0))&gt;=100000), " ",IF(INDEX($V$2:$AE$1001,MATCH(ROWS($O$2:O948),$O$2:$O$1001,0),MATCH(COLUMNS($V$1006:AE1006),$V$1006:$AE$1006,0)), HYPERLINK("#",""), HYPERLINK(CONCATENATE("#Metadata!", ADDRESS(INDEX($Q$2:$Q$1001,MATCH(ROWS($O$2:O948),$O$2:$O$1001,0),0), INDEX($V$1004:$AE$1004,1,MATCH(COLUMNS($V$1006:AE1006),$V$1006:$AE$1006,0)))),"Fix")))</f>
        <v>0</v>
      </c>
      <c r="O948">
        <v>0</v>
      </c>
      <c r="P948">
        <v>0</v>
      </c>
      <c r="Q948">
        <v>0</v>
      </c>
      <c r="R948">
        <f>IF(S948,TRUE,AND(V948:AE948))</f>
        <v>0</v>
      </c>
      <c r="S948">
        <f>COUNTBLANK(Metadata!B948:K948)=COLUMNS(Metadata!B948:K948)</f>
        <v>0</v>
      </c>
      <c r="T948">
        <v>0</v>
      </c>
      <c r="V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W948">
        <f>AND(IF(Metadata!C948="",FALSE,TRUE),exact(Metadata!C948,"animal secretion"))</f>
        <v>0</v>
      </c>
      <c r="X948">
        <f>AND(IF(Metadata!D948="",FALSE,TRUE),exact(Metadata!D948,"saliva"))</f>
        <v>0</v>
      </c>
      <c r="Y948">
        <f>AND(IF(Metadata!E948="",FALSE,TRUE),exact(Metadata!E948,"human-oral"))</f>
        <v>0</v>
      </c>
      <c r="Z948">
        <f>AND(IF(Metadata!F948="",FALSE,TRUE),exact(Metadata!F948,"UBERON:oral cavity"))</f>
        <v>0</v>
      </c>
      <c r="AA948">
        <f>AND(IF(Metadata!G948="",FALSE,TRUE),exact(Metadata!G948,"UBERON:saliva"))</f>
        <v>0</v>
      </c>
      <c r="AB948">
        <f>AND(IF(Metadata!H948="",FALSE,TRUE),exact(Metadata!H948,"UBERON:tongue"))</f>
        <v>0</v>
      </c>
      <c r="AC948">
        <f>AND(IF(Metadata!I948="",FALSE,TRUE),exact(Metadata!I948,"tongue"))</f>
        <v>0</v>
      </c>
      <c r="AD948">
        <f>AND(IF(Metadata!J948="",FALSE,TRUE),exact(Metadata!J948,"human oral metagenome"))</f>
        <v>0</v>
      </c>
      <c r="AE948">
        <f>AND(IF(Metadata!K948="",FALSE,TRUE),exact(Metadata!K948,"447426"))</f>
        <v>0</v>
      </c>
    </row>
    <row r="949" spans="1:31">
      <c r="A949" s="4">
        <f>IF(B949=" "," ",HYPERLINK(CONCATENATE("#metadata!",ADDRESS(INDEX($Q$2:$Q$1001,MATCH(ROWS($O$2:O949),$O$2:$O$1001,0),0),1)),INDEX($T$2:$T$1001,MATCH(ROWS($O$2:O949),$O$2:$O$1001,0),0)))</f>
        <v>0</v>
      </c>
      <c r="B949" s="3">
        <f>IF(OR(INDEX($P$2:$P$1001,MATCH(ROWS($O$2:O949),$O$2:$O$1001,0),1)&gt;=100000,INDEX($V$1005:$AE$1005,1,MATCH(COLUMNS($V$1006:V1006),$V$1006:$AE$1006,0))&gt;=100000), " ",IF(INDEX($V$2:$AE$1001,MATCH(ROWS($O$2:O949),$O$2:$O$1001,0),MATCH(COLUMNS($V$1006:V1006),$V$1006:$AE$1006,0)), HYPERLINK("#",""), HYPERLINK(CONCATENATE("#Metadata!", ADDRESS(INDEX($Q$2:$Q$1001,MATCH(ROWS($O$2:O949),$O$2:$O$1001,0),0), INDEX($V$1004:$AE$1004,1,MATCH(COLUMNS($V$1006:V1006),$V$1006:$AE$1006,0)))),"Fix")))</f>
        <v>0</v>
      </c>
      <c r="C949" s="3">
        <f>IF(OR(INDEX($P$2:$P$1001,MATCH(ROWS($O$2:O949),$O$2:$O$1001,0),1)&gt;=100000,INDEX($V$1005:$AE$1005,1,MATCH(COLUMNS($V$1006:W1006),$V$1006:$AE$1006,0))&gt;=100000), " ",IF(INDEX($V$2:$AE$1001,MATCH(ROWS($O$2:O949),$O$2:$O$1001,0),MATCH(COLUMNS($V$1006:W1006),$V$1006:$AE$1006,0)), HYPERLINK("#",""), HYPERLINK(CONCATENATE("#Metadata!", ADDRESS(INDEX($Q$2:$Q$1001,MATCH(ROWS($O$2:O949),$O$2:$O$1001,0),0), INDEX($V$1004:$AE$1004,1,MATCH(COLUMNS($V$1006:W1006),$V$1006:$AE$1006,0)))),"Fix")))</f>
        <v>0</v>
      </c>
      <c r="D949" s="3">
        <f>IF(OR(INDEX($P$2:$P$1001,MATCH(ROWS($O$2:O949),$O$2:$O$1001,0),1)&gt;=100000,INDEX($V$1005:$AE$1005,1,MATCH(COLUMNS($V$1006:X1006),$V$1006:$AE$1006,0))&gt;=100000), " ",IF(INDEX($V$2:$AE$1001,MATCH(ROWS($O$2:O949),$O$2:$O$1001,0),MATCH(COLUMNS($V$1006:X1006),$V$1006:$AE$1006,0)), HYPERLINK("#",""), HYPERLINK(CONCATENATE("#Metadata!", ADDRESS(INDEX($Q$2:$Q$1001,MATCH(ROWS($O$2:O949),$O$2:$O$1001,0),0), INDEX($V$1004:$AE$1004,1,MATCH(COLUMNS($V$1006:X1006),$V$1006:$AE$1006,0)))),"Fix")))</f>
        <v>0</v>
      </c>
      <c r="E949" s="3">
        <f>IF(OR(INDEX($P$2:$P$1001,MATCH(ROWS($O$2:O949),$O$2:$O$1001,0),1)&gt;=100000,INDEX($V$1005:$AE$1005,1,MATCH(COLUMNS($V$1006:Y1006),$V$1006:$AE$1006,0))&gt;=100000), " ",IF(INDEX($V$2:$AE$1001,MATCH(ROWS($O$2:O949),$O$2:$O$1001,0),MATCH(COLUMNS($V$1006:Y1006),$V$1006:$AE$1006,0)), HYPERLINK("#",""), HYPERLINK(CONCATENATE("#Metadata!", ADDRESS(INDEX($Q$2:$Q$1001,MATCH(ROWS($O$2:O949),$O$2:$O$1001,0),0), INDEX($V$1004:$AE$1004,1,MATCH(COLUMNS($V$1006:Y1006),$V$1006:$AE$1006,0)))),"Fix")))</f>
        <v>0</v>
      </c>
      <c r="F949" s="3">
        <f>IF(OR(INDEX($P$2:$P$1001,MATCH(ROWS($O$2:O949),$O$2:$O$1001,0),1)&gt;=100000,INDEX($V$1005:$AE$1005,1,MATCH(COLUMNS($V$1006:Z1006),$V$1006:$AE$1006,0))&gt;=100000), " ",IF(INDEX($V$2:$AE$1001,MATCH(ROWS($O$2:O949),$O$2:$O$1001,0),MATCH(COLUMNS($V$1006:Z1006),$V$1006:$AE$1006,0)), HYPERLINK("#",""), HYPERLINK(CONCATENATE("#Metadata!", ADDRESS(INDEX($Q$2:$Q$1001,MATCH(ROWS($O$2:O949),$O$2:$O$1001,0),0), INDEX($V$1004:$AE$1004,1,MATCH(COLUMNS($V$1006:Z1006),$V$1006:$AE$1006,0)))),"Fix")))</f>
        <v>0</v>
      </c>
      <c r="G949" s="3">
        <f>IF(OR(INDEX($P$2:$P$1001,MATCH(ROWS($O$2:O949),$O$2:$O$1001,0),1)&gt;=100000,INDEX($V$1005:$AE$1005,1,MATCH(COLUMNS($V$1006:AA1006),$V$1006:$AE$1006,0))&gt;=100000), " ",IF(INDEX($V$2:$AE$1001,MATCH(ROWS($O$2:O949),$O$2:$O$1001,0),MATCH(COLUMNS($V$1006:AA1006),$V$1006:$AE$1006,0)), HYPERLINK("#",""), HYPERLINK(CONCATENATE("#Metadata!", ADDRESS(INDEX($Q$2:$Q$1001,MATCH(ROWS($O$2:O949),$O$2:$O$1001,0),0), INDEX($V$1004:$AE$1004,1,MATCH(COLUMNS($V$1006:AA1006),$V$1006:$AE$1006,0)))),"Fix")))</f>
        <v>0</v>
      </c>
      <c r="H949" s="3">
        <f>IF(OR(INDEX($P$2:$P$1001,MATCH(ROWS($O$2:O949),$O$2:$O$1001,0),1)&gt;=100000,INDEX($V$1005:$AE$1005,1,MATCH(COLUMNS($V$1006:AB1006),$V$1006:$AE$1006,0))&gt;=100000), " ",IF(INDEX($V$2:$AE$1001,MATCH(ROWS($O$2:O949),$O$2:$O$1001,0),MATCH(COLUMNS($V$1006:AB1006),$V$1006:$AE$1006,0)), HYPERLINK("#",""), HYPERLINK(CONCATENATE("#Metadata!", ADDRESS(INDEX($Q$2:$Q$1001,MATCH(ROWS($O$2:O949),$O$2:$O$1001,0),0), INDEX($V$1004:$AE$1004,1,MATCH(COLUMNS($V$1006:AB1006),$V$1006:$AE$1006,0)))),"Fix")))</f>
        <v>0</v>
      </c>
      <c r="I949" s="3">
        <f>IF(OR(INDEX($P$2:$P$1001,MATCH(ROWS($O$2:O949),$O$2:$O$1001,0),1)&gt;=100000,INDEX($V$1005:$AE$1005,1,MATCH(COLUMNS($V$1006:AC1006),$V$1006:$AE$1006,0))&gt;=100000), " ",IF(INDEX($V$2:$AE$1001,MATCH(ROWS($O$2:O949),$O$2:$O$1001,0),MATCH(COLUMNS($V$1006:AC1006),$V$1006:$AE$1006,0)), HYPERLINK("#",""), HYPERLINK(CONCATENATE("#Metadata!", ADDRESS(INDEX($Q$2:$Q$1001,MATCH(ROWS($O$2:O949),$O$2:$O$1001,0),0), INDEX($V$1004:$AE$1004,1,MATCH(COLUMNS($V$1006:AC1006),$V$1006:$AE$1006,0)))),"Fix")))</f>
        <v>0</v>
      </c>
      <c r="J949" s="3">
        <f>IF(OR(INDEX($P$2:$P$1001,MATCH(ROWS($O$2:O949),$O$2:$O$1001,0),1)&gt;=100000,INDEX($V$1005:$AE$1005,1,MATCH(COLUMNS($V$1006:AD1006),$V$1006:$AE$1006,0))&gt;=100000), " ",IF(INDEX($V$2:$AE$1001,MATCH(ROWS($O$2:O949),$O$2:$O$1001,0),MATCH(COLUMNS($V$1006:AD1006),$V$1006:$AE$1006,0)), HYPERLINK("#",""), HYPERLINK(CONCATENATE("#Metadata!", ADDRESS(INDEX($Q$2:$Q$1001,MATCH(ROWS($O$2:O949),$O$2:$O$1001,0),0), INDEX($V$1004:$AE$1004,1,MATCH(COLUMNS($V$1006:AD1006),$V$1006:$AE$1006,0)))),"Fix")))</f>
        <v>0</v>
      </c>
      <c r="K949" s="3">
        <f>IF(OR(INDEX($P$2:$P$1001,MATCH(ROWS($O$2:O949),$O$2:$O$1001,0),1)&gt;=100000,INDEX($V$1005:$AE$1005,1,MATCH(COLUMNS($V$1006:AE1006),$V$1006:$AE$1006,0))&gt;=100000), " ",IF(INDEX($V$2:$AE$1001,MATCH(ROWS($O$2:O949),$O$2:$O$1001,0),MATCH(COLUMNS($V$1006:AE1006),$V$1006:$AE$1006,0)), HYPERLINK("#",""), HYPERLINK(CONCATENATE("#Metadata!", ADDRESS(INDEX($Q$2:$Q$1001,MATCH(ROWS($O$2:O949),$O$2:$O$1001,0),0), INDEX($V$1004:$AE$1004,1,MATCH(COLUMNS($V$1006:AE1006),$V$1006:$AE$1006,0)))),"Fix")))</f>
        <v>0</v>
      </c>
      <c r="O949">
        <v>0</v>
      </c>
      <c r="P949">
        <v>0</v>
      </c>
      <c r="Q949">
        <v>0</v>
      </c>
      <c r="R949">
        <f>IF(S949,TRUE,AND(V949:AE949))</f>
        <v>0</v>
      </c>
      <c r="S949">
        <f>COUNTBLANK(Metadata!B949:K949)=COLUMNS(Metadata!B949:K949)</f>
        <v>0</v>
      </c>
      <c r="T949">
        <v>0</v>
      </c>
      <c r="V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W949">
        <f>AND(IF(Metadata!C949="",FALSE,TRUE),exact(Metadata!C949,"animal secretion"))</f>
        <v>0</v>
      </c>
      <c r="X949">
        <f>AND(IF(Metadata!D949="",FALSE,TRUE),exact(Metadata!D949,"saliva"))</f>
        <v>0</v>
      </c>
      <c r="Y949">
        <f>AND(IF(Metadata!E949="",FALSE,TRUE),exact(Metadata!E949,"human-oral"))</f>
        <v>0</v>
      </c>
      <c r="Z949">
        <f>AND(IF(Metadata!F949="",FALSE,TRUE),exact(Metadata!F949,"UBERON:oral cavity"))</f>
        <v>0</v>
      </c>
      <c r="AA949">
        <f>AND(IF(Metadata!G949="",FALSE,TRUE),exact(Metadata!G949,"UBERON:saliva"))</f>
        <v>0</v>
      </c>
      <c r="AB949">
        <f>AND(IF(Metadata!H949="",FALSE,TRUE),exact(Metadata!H949,"UBERON:tongue"))</f>
        <v>0</v>
      </c>
      <c r="AC949">
        <f>AND(IF(Metadata!I949="",FALSE,TRUE),exact(Metadata!I949,"tongue"))</f>
        <v>0</v>
      </c>
      <c r="AD949">
        <f>AND(IF(Metadata!J949="",FALSE,TRUE),exact(Metadata!J949,"human oral metagenome"))</f>
        <v>0</v>
      </c>
      <c r="AE949">
        <f>AND(IF(Metadata!K949="",FALSE,TRUE),exact(Metadata!K949,"447426"))</f>
        <v>0</v>
      </c>
    </row>
    <row r="950" spans="1:31">
      <c r="A950" s="4">
        <f>IF(B950=" "," ",HYPERLINK(CONCATENATE("#metadata!",ADDRESS(INDEX($Q$2:$Q$1001,MATCH(ROWS($O$2:O950),$O$2:$O$1001,0),0),1)),INDEX($T$2:$T$1001,MATCH(ROWS($O$2:O950),$O$2:$O$1001,0),0)))</f>
        <v>0</v>
      </c>
      <c r="B950" s="3">
        <f>IF(OR(INDEX($P$2:$P$1001,MATCH(ROWS($O$2:O950),$O$2:$O$1001,0),1)&gt;=100000,INDEX($V$1005:$AE$1005,1,MATCH(COLUMNS($V$1006:V1006),$V$1006:$AE$1006,0))&gt;=100000), " ",IF(INDEX($V$2:$AE$1001,MATCH(ROWS($O$2:O950),$O$2:$O$1001,0),MATCH(COLUMNS($V$1006:V1006),$V$1006:$AE$1006,0)), HYPERLINK("#",""), HYPERLINK(CONCATENATE("#Metadata!", ADDRESS(INDEX($Q$2:$Q$1001,MATCH(ROWS($O$2:O950),$O$2:$O$1001,0),0), INDEX($V$1004:$AE$1004,1,MATCH(COLUMNS($V$1006:V1006),$V$1006:$AE$1006,0)))),"Fix")))</f>
        <v>0</v>
      </c>
      <c r="C950" s="3">
        <f>IF(OR(INDEX($P$2:$P$1001,MATCH(ROWS($O$2:O950),$O$2:$O$1001,0),1)&gt;=100000,INDEX($V$1005:$AE$1005,1,MATCH(COLUMNS($V$1006:W1006),$V$1006:$AE$1006,0))&gt;=100000), " ",IF(INDEX($V$2:$AE$1001,MATCH(ROWS($O$2:O950),$O$2:$O$1001,0),MATCH(COLUMNS($V$1006:W1006),$V$1006:$AE$1006,0)), HYPERLINK("#",""), HYPERLINK(CONCATENATE("#Metadata!", ADDRESS(INDEX($Q$2:$Q$1001,MATCH(ROWS($O$2:O950),$O$2:$O$1001,0),0), INDEX($V$1004:$AE$1004,1,MATCH(COLUMNS($V$1006:W1006),$V$1006:$AE$1006,0)))),"Fix")))</f>
        <v>0</v>
      </c>
      <c r="D950" s="3">
        <f>IF(OR(INDEX($P$2:$P$1001,MATCH(ROWS($O$2:O950),$O$2:$O$1001,0),1)&gt;=100000,INDEX($V$1005:$AE$1005,1,MATCH(COLUMNS($V$1006:X1006),$V$1006:$AE$1006,0))&gt;=100000), " ",IF(INDEX($V$2:$AE$1001,MATCH(ROWS($O$2:O950),$O$2:$O$1001,0),MATCH(COLUMNS($V$1006:X1006),$V$1006:$AE$1006,0)), HYPERLINK("#",""), HYPERLINK(CONCATENATE("#Metadata!", ADDRESS(INDEX($Q$2:$Q$1001,MATCH(ROWS($O$2:O950),$O$2:$O$1001,0),0), INDEX($V$1004:$AE$1004,1,MATCH(COLUMNS($V$1006:X1006),$V$1006:$AE$1006,0)))),"Fix")))</f>
        <v>0</v>
      </c>
      <c r="E950" s="3">
        <f>IF(OR(INDEX($P$2:$P$1001,MATCH(ROWS($O$2:O950),$O$2:$O$1001,0),1)&gt;=100000,INDEX($V$1005:$AE$1005,1,MATCH(COLUMNS($V$1006:Y1006),$V$1006:$AE$1006,0))&gt;=100000), " ",IF(INDEX($V$2:$AE$1001,MATCH(ROWS($O$2:O950),$O$2:$O$1001,0),MATCH(COLUMNS($V$1006:Y1006),$V$1006:$AE$1006,0)), HYPERLINK("#",""), HYPERLINK(CONCATENATE("#Metadata!", ADDRESS(INDEX($Q$2:$Q$1001,MATCH(ROWS($O$2:O950),$O$2:$O$1001,0),0), INDEX($V$1004:$AE$1004,1,MATCH(COLUMNS($V$1006:Y1006),$V$1006:$AE$1006,0)))),"Fix")))</f>
        <v>0</v>
      </c>
      <c r="F950" s="3">
        <f>IF(OR(INDEX($P$2:$P$1001,MATCH(ROWS($O$2:O950),$O$2:$O$1001,0),1)&gt;=100000,INDEX($V$1005:$AE$1005,1,MATCH(COLUMNS($V$1006:Z1006),$V$1006:$AE$1006,0))&gt;=100000), " ",IF(INDEX($V$2:$AE$1001,MATCH(ROWS($O$2:O950),$O$2:$O$1001,0),MATCH(COLUMNS($V$1006:Z1006),$V$1006:$AE$1006,0)), HYPERLINK("#",""), HYPERLINK(CONCATENATE("#Metadata!", ADDRESS(INDEX($Q$2:$Q$1001,MATCH(ROWS($O$2:O950),$O$2:$O$1001,0),0), INDEX($V$1004:$AE$1004,1,MATCH(COLUMNS($V$1006:Z1006),$V$1006:$AE$1006,0)))),"Fix")))</f>
        <v>0</v>
      </c>
      <c r="G950" s="3">
        <f>IF(OR(INDEX($P$2:$P$1001,MATCH(ROWS($O$2:O950),$O$2:$O$1001,0),1)&gt;=100000,INDEX($V$1005:$AE$1005,1,MATCH(COLUMNS($V$1006:AA1006),$V$1006:$AE$1006,0))&gt;=100000), " ",IF(INDEX($V$2:$AE$1001,MATCH(ROWS($O$2:O950),$O$2:$O$1001,0),MATCH(COLUMNS($V$1006:AA1006),$V$1006:$AE$1006,0)), HYPERLINK("#",""), HYPERLINK(CONCATENATE("#Metadata!", ADDRESS(INDEX($Q$2:$Q$1001,MATCH(ROWS($O$2:O950),$O$2:$O$1001,0),0), INDEX($V$1004:$AE$1004,1,MATCH(COLUMNS($V$1006:AA1006),$V$1006:$AE$1006,0)))),"Fix")))</f>
        <v>0</v>
      </c>
      <c r="H950" s="3">
        <f>IF(OR(INDEX($P$2:$P$1001,MATCH(ROWS($O$2:O950),$O$2:$O$1001,0),1)&gt;=100000,INDEX($V$1005:$AE$1005,1,MATCH(COLUMNS($V$1006:AB1006),$V$1006:$AE$1006,0))&gt;=100000), " ",IF(INDEX($V$2:$AE$1001,MATCH(ROWS($O$2:O950),$O$2:$O$1001,0),MATCH(COLUMNS($V$1006:AB1006),$V$1006:$AE$1006,0)), HYPERLINK("#",""), HYPERLINK(CONCATENATE("#Metadata!", ADDRESS(INDEX($Q$2:$Q$1001,MATCH(ROWS($O$2:O950),$O$2:$O$1001,0),0), INDEX($V$1004:$AE$1004,1,MATCH(COLUMNS($V$1006:AB1006),$V$1006:$AE$1006,0)))),"Fix")))</f>
        <v>0</v>
      </c>
      <c r="I950" s="3">
        <f>IF(OR(INDEX($P$2:$P$1001,MATCH(ROWS($O$2:O950),$O$2:$O$1001,0),1)&gt;=100000,INDEX($V$1005:$AE$1005,1,MATCH(COLUMNS($V$1006:AC1006),$V$1006:$AE$1006,0))&gt;=100000), " ",IF(INDEX($V$2:$AE$1001,MATCH(ROWS($O$2:O950),$O$2:$O$1001,0),MATCH(COLUMNS($V$1006:AC1006),$V$1006:$AE$1006,0)), HYPERLINK("#",""), HYPERLINK(CONCATENATE("#Metadata!", ADDRESS(INDEX($Q$2:$Q$1001,MATCH(ROWS($O$2:O950),$O$2:$O$1001,0),0), INDEX($V$1004:$AE$1004,1,MATCH(COLUMNS($V$1006:AC1006),$V$1006:$AE$1006,0)))),"Fix")))</f>
        <v>0</v>
      </c>
      <c r="J950" s="3">
        <f>IF(OR(INDEX($P$2:$P$1001,MATCH(ROWS($O$2:O950),$O$2:$O$1001,0),1)&gt;=100000,INDEX($V$1005:$AE$1005,1,MATCH(COLUMNS($V$1006:AD1006),$V$1006:$AE$1006,0))&gt;=100000), " ",IF(INDEX($V$2:$AE$1001,MATCH(ROWS($O$2:O950),$O$2:$O$1001,0),MATCH(COLUMNS($V$1006:AD1006),$V$1006:$AE$1006,0)), HYPERLINK("#",""), HYPERLINK(CONCATENATE("#Metadata!", ADDRESS(INDEX($Q$2:$Q$1001,MATCH(ROWS($O$2:O950),$O$2:$O$1001,0),0), INDEX($V$1004:$AE$1004,1,MATCH(COLUMNS($V$1006:AD1006),$V$1006:$AE$1006,0)))),"Fix")))</f>
        <v>0</v>
      </c>
      <c r="K950" s="3">
        <f>IF(OR(INDEX($P$2:$P$1001,MATCH(ROWS($O$2:O950),$O$2:$O$1001,0),1)&gt;=100000,INDEX($V$1005:$AE$1005,1,MATCH(COLUMNS($V$1006:AE1006),$V$1006:$AE$1006,0))&gt;=100000), " ",IF(INDEX($V$2:$AE$1001,MATCH(ROWS($O$2:O950),$O$2:$O$1001,0),MATCH(COLUMNS($V$1006:AE1006),$V$1006:$AE$1006,0)), HYPERLINK("#",""), HYPERLINK(CONCATENATE("#Metadata!", ADDRESS(INDEX($Q$2:$Q$1001,MATCH(ROWS($O$2:O950),$O$2:$O$1001,0),0), INDEX($V$1004:$AE$1004,1,MATCH(COLUMNS($V$1006:AE1006),$V$1006:$AE$1006,0)))),"Fix")))</f>
        <v>0</v>
      </c>
      <c r="O950">
        <v>0</v>
      </c>
      <c r="P950">
        <v>0</v>
      </c>
      <c r="Q950">
        <v>0</v>
      </c>
      <c r="R950">
        <f>IF(S950,TRUE,AND(V950:AE950))</f>
        <v>0</v>
      </c>
      <c r="S950">
        <f>COUNTBLANK(Metadata!B950:K950)=COLUMNS(Metadata!B950:K950)</f>
        <v>0</v>
      </c>
      <c r="T950">
        <v>0</v>
      </c>
      <c r="V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W950">
        <f>AND(IF(Metadata!C950="",FALSE,TRUE),exact(Metadata!C950,"animal secretion"))</f>
        <v>0</v>
      </c>
      <c r="X950">
        <f>AND(IF(Metadata!D950="",FALSE,TRUE),exact(Metadata!D950,"saliva"))</f>
        <v>0</v>
      </c>
      <c r="Y950">
        <f>AND(IF(Metadata!E950="",FALSE,TRUE),exact(Metadata!E950,"human-oral"))</f>
        <v>0</v>
      </c>
      <c r="Z950">
        <f>AND(IF(Metadata!F950="",FALSE,TRUE),exact(Metadata!F950,"UBERON:oral cavity"))</f>
        <v>0</v>
      </c>
      <c r="AA950">
        <f>AND(IF(Metadata!G950="",FALSE,TRUE),exact(Metadata!G950,"UBERON:saliva"))</f>
        <v>0</v>
      </c>
      <c r="AB950">
        <f>AND(IF(Metadata!H950="",FALSE,TRUE),exact(Metadata!H950,"UBERON:tongue"))</f>
        <v>0</v>
      </c>
      <c r="AC950">
        <f>AND(IF(Metadata!I950="",FALSE,TRUE),exact(Metadata!I950,"tongue"))</f>
        <v>0</v>
      </c>
      <c r="AD950">
        <f>AND(IF(Metadata!J950="",FALSE,TRUE),exact(Metadata!J950,"human oral metagenome"))</f>
        <v>0</v>
      </c>
      <c r="AE950">
        <f>AND(IF(Metadata!K950="",FALSE,TRUE),exact(Metadata!K950,"447426"))</f>
        <v>0</v>
      </c>
    </row>
    <row r="951" spans="1:31">
      <c r="A951" s="4">
        <f>IF(B951=" "," ",HYPERLINK(CONCATENATE("#metadata!",ADDRESS(INDEX($Q$2:$Q$1001,MATCH(ROWS($O$2:O951),$O$2:$O$1001,0),0),1)),INDEX($T$2:$T$1001,MATCH(ROWS($O$2:O951),$O$2:$O$1001,0),0)))</f>
        <v>0</v>
      </c>
      <c r="B951" s="3">
        <f>IF(OR(INDEX($P$2:$P$1001,MATCH(ROWS($O$2:O951),$O$2:$O$1001,0),1)&gt;=100000,INDEX($V$1005:$AE$1005,1,MATCH(COLUMNS($V$1006:V1006),$V$1006:$AE$1006,0))&gt;=100000), " ",IF(INDEX($V$2:$AE$1001,MATCH(ROWS($O$2:O951),$O$2:$O$1001,0),MATCH(COLUMNS($V$1006:V1006),$V$1006:$AE$1006,0)), HYPERLINK("#",""), HYPERLINK(CONCATENATE("#Metadata!", ADDRESS(INDEX($Q$2:$Q$1001,MATCH(ROWS($O$2:O951),$O$2:$O$1001,0),0), INDEX($V$1004:$AE$1004,1,MATCH(COLUMNS($V$1006:V1006),$V$1006:$AE$1006,0)))),"Fix")))</f>
        <v>0</v>
      </c>
      <c r="C951" s="3">
        <f>IF(OR(INDEX($P$2:$P$1001,MATCH(ROWS($O$2:O951),$O$2:$O$1001,0),1)&gt;=100000,INDEX($V$1005:$AE$1005,1,MATCH(COLUMNS($V$1006:W1006),$V$1006:$AE$1006,0))&gt;=100000), " ",IF(INDEX($V$2:$AE$1001,MATCH(ROWS($O$2:O951),$O$2:$O$1001,0),MATCH(COLUMNS($V$1006:W1006),$V$1006:$AE$1006,0)), HYPERLINK("#",""), HYPERLINK(CONCATENATE("#Metadata!", ADDRESS(INDEX($Q$2:$Q$1001,MATCH(ROWS($O$2:O951),$O$2:$O$1001,0),0), INDEX($V$1004:$AE$1004,1,MATCH(COLUMNS($V$1006:W1006),$V$1006:$AE$1006,0)))),"Fix")))</f>
        <v>0</v>
      </c>
      <c r="D951" s="3">
        <f>IF(OR(INDEX($P$2:$P$1001,MATCH(ROWS($O$2:O951),$O$2:$O$1001,0),1)&gt;=100000,INDEX($V$1005:$AE$1005,1,MATCH(COLUMNS($V$1006:X1006),$V$1006:$AE$1006,0))&gt;=100000), " ",IF(INDEX($V$2:$AE$1001,MATCH(ROWS($O$2:O951),$O$2:$O$1001,0),MATCH(COLUMNS($V$1006:X1006),$V$1006:$AE$1006,0)), HYPERLINK("#",""), HYPERLINK(CONCATENATE("#Metadata!", ADDRESS(INDEX($Q$2:$Q$1001,MATCH(ROWS($O$2:O951),$O$2:$O$1001,0),0), INDEX($V$1004:$AE$1004,1,MATCH(COLUMNS($V$1006:X1006),$V$1006:$AE$1006,0)))),"Fix")))</f>
        <v>0</v>
      </c>
      <c r="E951" s="3">
        <f>IF(OR(INDEX($P$2:$P$1001,MATCH(ROWS($O$2:O951),$O$2:$O$1001,0),1)&gt;=100000,INDEX($V$1005:$AE$1005,1,MATCH(COLUMNS($V$1006:Y1006),$V$1006:$AE$1006,0))&gt;=100000), " ",IF(INDEX($V$2:$AE$1001,MATCH(ROWS($O$2:O951),$O$2:$O$1001,0),MATCH(COLUMNS($V$1006:Y1006),$V$1006:$AE$1006,0)), HYPERLINK("#",""), HYPERLINK(CONCATENATE("#Metadata!", ADDRESS(INDEX($Q$2:$Q$1001,MATCH(ROWS($O$2:O951),$O$2:$O$1001,0),0), INDEX($V$1004:$AE$1004,1,MATCH(COLUMNS($V$1006:Y1006),$V$1006:$AE$1006,0)))),"Fix")))</f>
        <v>0</v>
      </c>
      <c r="F951" s="3">
        <f>IF(OR(INDEX($P$2:$P$1001,MATCH(ROWS($O$2:O951),$O$2:$O$1001,0),1)&gt;=100000,INDEX($V$1005:$AE$1005,1,MATCH(COLUMNS($V$1006:Z1006),$V$1006:$AE$1006,0))&gt;=100000), " ",IF(INDEX($V$2:$AE$1001,MATCH(ROWS($O$2:O951),$O$2:$O$1001,0),MATCH(COLUMNS($V$1006:Z1006),$V$1006:$AE$1006,0)), HYPERLINK("#",""), HYPERLINK(CONCATENATE("#Metadata!", ADDRESS(INDEX($Q$2:$Q$1001,MATCH(ROWS($O$2:O951),$O$2:$O$1001,0),0), INDEX($V$1004:$AE$1004,1,MATCH(COLUMNS($V$1006:Z1006),$V$1006:$AE$1006,0)))),"Fix")))</f>
        <v>0</v>
      </c>
      <c r="G951" s="3">
        <f>IF(OR(INDEX($P$2:$P$1001,MATCH(ROWS($O$2:O951),$O$2:$O$1001,0),1)&gt;=100000,INDEX($V$1005:$AE$1005,1,MATCH(COLUMNS($V$1006:AA1006),$V$1006:$AE$1006,0))&gt;=100000), " ",IF(INDEX($V$2:$AE$1001,MATCH(ROWS($O$2:O951),$O$2:$O$1001,0),MATCH(COLUMNS($V$1006:AA1006),$V$1006:$AE$1006,0)), HYPERLINK("#",""), HYPERLINK(CONCATENATE("#Metadata!", ADDRESS(INDEX($Q$2:$Q$1001,MATCH(ROWS($O$2:O951),$O$2:$O$1001,0),0), INDEX($V$1004:$AE$1004,1,MATCH(COLUMNS($V$1006:AA1006),$V$1006:$AE$1006,0)))),"Fix")))</f>
        <v>0</v>
      </c>
      <c r="H951" s="3">
        <f>IF(OR(INDEX($P$2:$P$1001,MATCH(ROWS($O$2:O951),$O$2:$O$1001,0),1)&gt;=100000,INDEX($V$1005:$AE$1005,1,MATCH(COLUMNS($V$1006:AB1006),$V$1006:$AE$1006,0))&gt;=100000), " ",IF(INDEX($V$2:$AE$1001,MATCH(ROWS($O$2:O951),$O$2:$O$1001,0),MATCH(COLUMNS($V$1006:AB1006),$V$1006:$AE$1006,0)), HYPERLINK("#",""), HYPERLINK(CONCATENATE("#Metadata!", ADDRESS(INDEX($Q$2:$Q$1001,MATCH(ROWS($O$2:O951),$O$2:$O$1001,0),0), INDEX($V$1004:$AE$1004,1,MATCH(COLUMNS($V$1006:AB1006),$V$1006:$AE$1006,0)))),"Fix")))</f>
        <v>0</v>
      </c>
      <c r="I951" s="3">
        <f>IF(OR(INDEX($P$2:$P$1001,MATCH(ROWS($O$2:O951),$O$2:$O$1001,0),1)&gt;=100000,INDEX($V$1005:$AE$1005,1,MATCH(COLUMNS($V$1006:AC1006),$V$1006:$AE$1006,0))&gt;=100000), " ",IF(INDEX($V$2:$AE$1001,MATCH(ROWS($O$2:O951),$O$2:$O$1001,0),MATCH(COLUMNS($V$1006:AC1006),$V$1006:$AE$1006,0)), HYPERLINK("#",""), HYPERLINK(CONCATENATE("#Metadata!", ADDRESS(INDEX($Q$2:$Q$1001,MATCH(ROWS($O$2:O951),$O$2:$O$1001,0),0), INDEX($V$1004:$AE$1004,1,MATCH(COLUMNS($V$1006:AC1006),$V$1006:$AE$1006,0)))),"Fix")))</f>
        <v>0</v>
      </c>
      <c r="J951" s="3">
        <f>IF(OR(INDEX($P$2:$P$1001,MATCH(ROWS($O$2:O951),$O$2:$O$1001,0),1)&gt;=100000,INDEX($V$1005:$AE$1005,1,MATCH(COLUMNS($V$1006:AD1006),$V$1006:$AE$1006,0))&gt;=100000), " ",IF(INDEX($V$2:$AE$1001,MATCH(ROWS($O$2:O951),$O$2:$O$1001,0),MATCH(COLUMNS($V$1006:AD1006),$V$1006:$AE$1006,0)), HYPERLINK("#",""), HYPERLINK(CONCATENATE("#Metadata!", ADDRESS(INDEX($Q$2:$Q$1001,MATCH(ROWS($O$2:O951),$O$2:$O$1001,0),0), INDEX($V$1004:$AE$1004,1,MATCH(COLUMNS($V$1006:AD1006),$V$1006:$AE$1006,0)))),"Fix")))</f>
        <v>0</v>
      </c>
      <c r="K951" s="3">
        <f>IF(OR(INDEX($P$2:$P$1001,MATCH(ROWS($O$2:O951),$O$2:$O$1001,0),1)&gt;=100000,INDEX($V$1005:$AE$1005,1,MATCH(COLUMNS($V$1006:AE1006),$V$1006:$AE$1006,0))&gt;=100000), " ",IF(INDEX($V$2:$AE$1001,MATCH(ROWS($O$2:O951),$O$2:$O$1001,0),MATCH(COLUMNS($V$1006:AE1006),$V$1006:$AE$1006,0)), HYPERLINK("#",""), HYPERLINK(CONCATENATE("#Metadata!", ADDRESS(INDEX($Q$2:$Q$1001,MATCH(ROWS($O$2:O951),$O$2:$O$1001,0),0), INDEX($V$1004:$AE$1004,1,MATCH(COLUMNS($V$1006:AE1006),$V$1006:$AE$1006,0)))),"Fix")))</f>
        <v>0</v>
      </c>
      <c r="O951">
        <v>0</v>
      </c>
      <c r="P951">
        <v>0</v>
      </c>
      <c r="Q951">
        <v>0</v>
      </c>
      <c r="R951">
        <f>IF(S951,TRUE,AND(V951:AE951))</f>
        <v>0</v>
      </c>
      <c r="S951">
        <f>COUNTBLANK(Metadata!B951:K951)=COLUMNS(Metadata!B951:K951)</f>
        <v>0</v>
      </c>
      <c r="T951">
        <v>0</v>
      </c>
      <c r="V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W951">
        <f>AND(IF(Metadata!C951="",FALSE,TRUE),exact(Metadata!C951,"animal secretion"))</f>
        <v>0</v>
      </c>
      <c r="X951">
        <f>AND(IF(Metadata!D951="",FALSE,TRUE),exact(Metadata!D951,"saliva"))</f>
        <v>0</v>
      </c>
      <c r="Y951">
        <f>AND(IF(Metadata!E951="",FALSE,TRUE),exact(Metadata!E951,"human-oral"))</f>
        <v>0</v>
      </c>
      <c r="Z951">
        <f>AND(IF(Metadata!F951="",FALSE,TRUE),exact(Metadata!F951,"UBERON:oral cavity"))</f>
        <v>0</v>
      </c>
      <c r="AA951">
        <f>AND(IF(Metadata!G951="",FALSE,TRUE),exact(Metadata!G951,"UBERON:saliva"))</f>
        <v>0</v>
      </c>
      <c r="AB951">
        <f>AND(IF(Metadata!H951="",FALSE,TRUE),exact(Metadata!H951,"UBERON:tongue"))</f>
        <v>0</v>
      </c>
      <c r="AC951">
        <f>AND(IF(Metadata!I951="",FALSE,TRUE),exact(Metadata!I951,"tongue"))</f>
        <v>0</v>
      </c>
      <c r="AD951">
        <f>AND(IF(Metadata!J951="",FALSE,TRUE),exact(Metadata!J951,"human oral metagenome"))</f>
        <v>0</v>
      </c>
      <c r="AE951">
        <f>AND(IF(Metadata!K951="",FALSE,TRUE),exact(Metadata!K951,"447426"))</f>
        <v>0</v>
      </c>
    </row>
    <row r="952" spans="1:31">
      <c r="A952" s="4">
        <f>IF(B952=" "," ",HYPERLINK(CONCATENATE("#metadata!",ADDRESS(INDEX($Q$2:$Q$1001,MATCH(ROWS($O$2:O952),$O$2:$O$1001,0),0),1)),INDEX($T$2:$T$1001,MATCH(ROWS($O$2:O952),$O$2:$O$1001,0),0)))</f>
        <v>0</v>
      </c>
      <c r="B952" s="3">
        <f>IF(OR(INDEX($P$2:$P$1001,MATCH(ROWS($O$2:O952),$O$2:$O$1001,0),1)&gt;=100000,INDEX($V$1005:$AE$1005,1,MATCH(COLUMNS($V$1006:V1006),$V$1006:$AE$1006,0))&gt;=100000), " ",IF(INDEX($V$2:$AE$1001,MATCH(ROWS($O$2:O952),$O$2:$O$1001,0),MATCH(COLUMNS($V$1006:V1006),$V$1006:$AE$1006,0)), HYPERLINK("#",""), HYPERLINK(CONCATENATE("#Metadata!", ADDRESS(INDEX($Q$2:$Q$1001,MATCH(ROWS($O$2:O952),$O$2:$O$1001,0),0), INDEX($V$1004:$AE$1004,1,MATCH(COLUMNS($V$1006:V1006),$V$1006:$AE$1006,0)))),"Fix")))</f>
        <v>0</v>
      </c>
      <c r="C952" s="3">
        <f>IF(OR(INDEX($P$2:$P$1001,MATCH(ROWS($O$2:O952),$O$2:$O$1001,0),1)&gt;=100000,INDEX($V$1005:$AE$1005,1,MATCH(COLUMNS($V$1006:W1006),$V$1006:$AE$1006,0))&gt;=100000), " ",IF(INDEX($V$2:$AE$1001,MATCH(ROWS($O$2:O952),$O$2:$O$1001,0),MATCH(COLUMNS($V$1006:W1006),$V$1006:$AE$1006,0)), HYPERLINK("#",""), HYPERLINK(CONCATENATE("#Metadata!", ADDRESS(INDEX($Q$2:$Q$1001,MATCH(ROWS($O$2:O952),$O$2:$O$1001,0),0), INDEX($V$1004:$AE$1004,1,MATCH(COLUMNS($V$1006:W1006),$V$1006:$AE$1006,0)))),"Fix")))</f>
        <v>0</v>
      </c>
      <c r="D952" s="3">
        <f>IF(OR(INDEX($P$2:$P$1001,MATCH(ROWS($O$2:O952),$O$2:$O$1001,0),1)&gt;=100000,INDEX($V$1005:$AE$1005,1,MATCH(COLUMNS($V$1006:X1006),$V$1006:$AE$1006,0))&gt;=100000), " ",IF(INDEX($V$2:$AE$1001,MATCH(ROWS($O$2:O952),$O$2:$O$1001,0),MATCH(COLUMNS($V$1006:X1006),$V$1006:$AE$1006,0)), HYPERLINK("#",""), HYPERLINK(CONCATENATE("#Metadata!", ADDRESS(INDEX($Q$2:$Q$1001,MATCH(ROWS($O$2:O952),$O$2:$O$1001,0),0), INDEX($V$1004:$AE$1004,1,MATCH(COLUMNS($V$1006:X1006),$V$1006:$AE$1006,0)))),"Fix")))</f>
        <v>0</v>
      </c>
      <c r="E952" s="3">
        <f>IF(OR(INDEX($P$2:$P$1001,MATCH(ROWS($O$2:O952),$O$2:$O$1001,0),1)&gt;=100000,INDEX($V$1005:$AE$1005,1,MATCH(COLUMNS($V$1006:Y1006),$V$1006:$AE$1006,0))&gt;=100000), " ",IF(INDEX($V$2:$AE$1001,MATCH(ROWS($O$2:O952),$O$2:$O$1001,0),MATCH(COLUMNS($V$1006:Y1006),$V$1006:$AE$1006,0)), HYPERLINK("#",""), HYPERLINK(CONCATENATE("#Metadata!", ADDRESS(INDEX($Q$2:$Q$1001,MATCH(ROWS($O$2:O952),$O$2:$O$1001,0),0), INDEX($V$1004:$AE$1004,1,MATCH(COLUMNS($V$1006:Y1006),$V$1006:$AE$1006,0)))),"Fix")))</f>
        <v>0</v>
      </c>
      <c r="F952" s="3">
        <f>IF(OR(INDEX($P$2:$P$1001,MATCH(ROWS($O$2:O952),$O$2:$O$1001,0),1)&gt;=100000,INDEX($V$1005:$AE$1005,1,MATCH(COLUMNS($V$1006:Z1006),$V$1006:$AE$1006,0))&gt;=100000), " ",IF(INDEX($V$2:$AE$1001,MATCH(ROWS($O$2:O952),$O$2:$O$1001,0),MATCH(COLUMNS($V$1006:Z1006),$V$1006:$AE$1006,0)), HYPERLINK("#",""), HYPERLINK(CONCATENATE("#Metadata!", ADDRESS(INDEX($Q$2:$Q$1001,MATCH(ROWS($O$2:O952),$O$2:$O$1001,0),0), INDEX($V$1004:$AE$1004,1,MATCH(COLUMNS($V$1006:Z1006),$V$1006:$AE$1006,0)))),"Fix")))</f>
        <v>0</v>
      </c>
      <c r="G952" s="3">
        <f>IF(OR(INDEX($P$2:$P$1001,MATCH(ROWS($O$2:O952),$O$2:$O$1001,0),1)&gt;=100000,INDEX($V$1005:$AE$1005,1,MATCH(COLUMNS($V$1006:AA1006),$V$1006:$AE$1006,0))&gt;=100000), " ",IF(INDEX($V$2:$AE$1001,MATCH(ROWS($O$2:O952),$O$2:$O$1001,0),MATCH(COLUMNS($V$1006:AA1006),$V$1006:$AE$1006,0)), HYPERLINK("#",""), HYPERLINK(CONCATENATE("#Metadata!", ADDRESS(INDEX($Q$2:$Q$1001,MATCH(ROWS($O$2:O952),$O$2:$O$1001,0),0), INDEX($V$1004:$AE$1004,1,MATCH(COLUMNS($V$1006:AA1006),$V$1006:$AE$1006,0)))),"Fix")))</f>
        <v>0</v>
      </c>
      <c r="H952" s="3">
        <f>IF(OR(INDEX($P$2:$P$1001,MATCH(ROWS($O$2:O952),$O$2:$O$1001,0),1)&gt;=100000,INDEX($V$1005:$AE$1005,1,MATCH(COLUMNS($V$1006:AB1006),$V$1006:$AE$1006,0))&gt;=100000), " ",IF(INDEX($V$2:$AE$1001,MATCH(ROWS($O$2:O952),$O$2:$O$1001,0),MATCH(COLUMNS($V$1006:AB1006),$V$1006:$AE$1006,0)), HYPERLINK("#",""), HYPERLINK(CONCATENATE("#Metadata!", ADDRESS(INDEX($Q$2:$Q$1001,MATCH(ROWS($O$2:O952),$O$2:$O$1001,0),0), INDEX($V$1004:$AE$1004,1,MATCH(COLUMNS($V$1006:AB1006),$V$1006:$AE$1006,0)))),"Fix")))</f>
        <v>0</v>
      </c>
      <c r="I952" s="3">
        <f>IF(OR(INDEX($P$2:$P$1001,MATCH(ROWS($O$2:O952),$O$2:$O$1001,0),1)&gt;=100000,INDEX($V$1005:$AE$1005,1,MATCH(COLUMNS($V$1006:AC1006),$V$1006:$AE$1006,0))&gt;=100000), " ",IF(INDEX($V$2:$AE$1001,MATCH(ROWS($O$2:O952),$O$2:$O$1001,0),MATCH(COLUMNS($V$1006:AC1006),$V$1006:$AE$1006,0)), HYPERLINK("#",""), HYPERLINK(CONCATENATE("#Metadata!", ADDRESS(INDEX($Q$2:$Q$1001,MATCH(ROWS($O$2:O952),$O$2:$O$1001,0),0), INDEX($V$1004:$AE$1004,1,MATCH(COLUMNS($V$1006:AC1006),$V$1006:$AE$1006,0)))),"Fix")))</f>
        <v>0</v>
      </c>
      <c r="J952" s="3">
        <f>IF(OR(INDEX($P$2:$P$1001,MATCH(ROWS($O$2:O952),$O$2:$O$1001,0),1)&gt;=100000,INDEX($V$1005:$AE$1005,1,MATCH(COLUMNS($V$1006:AD1006),$V$1006:$AE$1006,0))&gt;=100000), " ",IF(INDEX($V$2:$AE$1001,MATCH(ROWS($O$2:O952),$O$2:$O$1001,0),MATCH(COLUMNS($V$1006:AD1006),$V$1006:$AE$1006,0)), HYPERLINK("#",""), HYPERLINK(CONCATENATE("#Metadata!", ADDRESS(INDEX($Q$2:$Q$1001,MATCH(ROWS($O$2:O952),$O$2:$O$1001,0),0), INDEX($V$1004:$AE$1004,1,MATCH(COLUMNS($V$1006:AD1006),$V$1006:$AE$1006,0)))),"Fix")))</f>
        <v>0</v>
      </c>
      <c r="K952" s="3">
        <f>IF(OR(INDEX($P$2:$P$1001,MATCH(ROWS($O$2:O952),$O$2:$O$1001,0),1)&gt;=100000,INDEX($V$1005:$AE$1005,1,MATCH(COLUMNS($V$1006:AE1006),$V$1006:$AE$1006,0))&gt;=100000), " ",IF(INDEX($V$2:$AE$1001,MATCH(ROWS($O$2:O952),$O$2:$O$1001,0),MATCH(COLUMNS($V$1006:AE1006),$V$1006:$AE$1006,0)), HYPERLINK("#",""), HYPERLINK(CONCATENATE("#Metadata!", ADDRESS(INDEX($Q$2:$Q$1001,MATCH(ROWS($O$2:O952),$O$2:$O$1001,0),0), INDEX($V$1004:$AE$1004,1,MATCH(COLUMNS($V$1006:AE1006),$V$1006:$AE$1006,0)))),"Fix")))</f>
        <v>0</v>
      </c>
      <c r="O952">
        <v>0</v>
      </c>
      <c r="P952">
        <v>0</v>
      </c>
      <c r="Q952">
        <v>0</v>
      </c>
      <c r="R952">
        <f>IF(S952,TRUE,AND(V952:AE952))</f>
        <v>0</v>
      </c>
      <c r="S952">
        <f>COUNTBLANK(Metadata!B952:K952)=COLUMNS(Metadata!B952:K952)</f>
        <v>0</v>
      </c>
      <c r="T952">
        <v>0</v>
      </c>
      <c r="V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W952">
        <f>AND(IF(Metadata!C952="",FALSE,TRUE),exact(Metadata!C952,"animal secretion"))</f>
        <v>0</v>
      </c>
      <c r="X952">
        <f>AND(IF(Metadata!D952="",FALSE,TRUE),exact(Metadata!D952,"saliva"))</f>
        <v>0</v>
      </c>
      <c r="Y952">
        <f>AND(IF(Metadata!E952="",FALSE,TRUE),exact(Metadata!E952,"human-oral"))</f>
        <v>0</v>
      </c>
      <c r="Z952">
        <f>AND(IF(Metadata!F952="",FALSE,TRUE),exact(Metadata!F952,"UBERON:oral cavity"))</f>
        <v>0</v>
      </c>
      <c r="AA952">
        <f>AND(IF(Metadata!G952="",FALSE,TRUE),exact(Metadata!G952,"UBERON:saliva"))</f>
        <v>0</v>
      </c>
      <c r="AB952">
        <f>AND(IF(Metadata!H952="",FALSE,TRUE),exact(Metadata!H952,"UBERON:tongue"))</f>
        <v>0</v>
      </c>
      <c r="AC952">
        <f>AND(IF(Metadata!I952="",FALSE,TRUE),exact(Metadata!I952,"tongue"))</f>
        <v>0</v>
      </c>
      <c r="AD952">
        <f>AND(IF(Metadata!J952="",FALSE,TRUE),exact(Metadata!J952,"human oral metagenome"))</f>
        <v>0</v>
      </c>
      <c r="AE952">
        <f>AND(IF(Metadata!K952="",FALSE,TRUE),exact(Metadata!K952,"447426"))</f>
        <v>0</v>
      </c>
    </row>
    <row r="953" spans="1:31">
      <c r="A953" s="4">
        <f>IF(B953=" "," ",HYPERLINK(CONCATENATE("#metadata!",ADDRESS(INDEX($Q$2:$Q$1001,MATCH(ROWS($O$2:O953),$O$2:$O$1001,0),0),1)),INDEX($T$2:$T$1001,MATCH(ROWS($O$2:O953),$O$2:$O$1001,0),0)))</f>
        <v>0</v>
      </c>
      <c r="B953" s="3">
        <f>IF(OR(INDEX($P$2:$P$1001,MATCH(ROWS($O$2:O953),$O$2:$O$1001,0),1)&gt;=100000,INDEX($V$1005:$AE$1005,1,MATCH(COLUMNS($V$1006:V1006),$V$1006:$AE$1006,0))&gt;=100000), " ",IF(INDEX($V$2:$AE$1001,MATCH(ROWS($O$2:O953),$O$2:$O$1001,0),MATCH(COLUMNS($V$1006:V1006),$V$1006:$AE$1006,0)), HYPERLINK("#",""), HYPERLINK(CONCATENATE("#Metadata!", ADDRESS(INDEX($Q$2:$Q$1001,MATCH(ROWS($O$2:O953),$O$2:$O$1001,0),0), INDEX($V$1004:$AE$1004,1,MATCH(COLUMNS($V$1006:V1006),$V$1006:$AE$1006,0)))),"Fix")))</f>
        <v>0</v>
      </c>
      <c r="C953" s="3">
        <f>IF(OR(INDEX($P$2:$P$1001,MATCH(ROWS($O$2:O953),$O$2:$O$1001,0),1)&gt;=100000,INDEX($V$1005:$AE$1005,1,MATCH(COLUMNS($V$1006:W1006),$V$1006:$AE$1006,0))&gt;=100000), " ",IF(INDEX($V$2:$AE$1001,MATCH(ROWS($O$2:O953),$O$2:$O$1001,0),MATCH(COLUMNS($V$1006:W1006),$V$1006:$AE$1006,0)), HYPERLINK("#",""), HYPERLINK(CONCATENATE("#Metadata!", ADDRESS(INDEX($Q$2:$Q$1001,MATCH(ROWS($O$2:O953),$O$2:$O$1001,0),0), INDEX($V$1004:$AE$1004,1,MATCH(COLUMNS($V$1006:W1006),$V$1006:$AE$1006,0)))),"Fix")))</f>
        <v>0</v>
      </c>
      <c r="D953" s="3">
        <f>IF(OR(INDEX($P$2:$P$1001,MATCH(ROWS($O$2:O953),$O$2:$O$1001,0),1)&gt;=100000,INDEX($V$1005:$AE$1005,1,MATCH(COLUMNS($V$1006:X1006),$V$1006:$AE$1006,0))&gt;=100000), " ",IF(INDEX($V$2:$AE$1001,MATCH(ROWS($O$2:O953),$O$2:$O$1001,0),MATCH(COLUMNS($V$1006:X1006),$V$1006:$AE$1006,0)), HYPERLINK("#",""), HYPERLINK(CONCATENATE("#Metadata!", ADDRESS(INDEX($Q$2:$Q$1001,MATCH(ROWS($O$2:O953),$O$2:$O$1001,0),0), INDEX($V$1004:$AE$1004,1,MATCH(COLUMNS($V$1006:X1006),$V$1006:$AE$1006,0)))),"Fix")))</f>
        <v>0</v>
      </c>
      <c r="E953" s="3">
        <f>IF(OR(INDEX($P$2:$P$1001,MATCH(ROWS($O$2:O953),$O$2:$O$1001,0),1)&gt;=100000,INDEX($V$1005:$AE$1005,1,MATCH(COLUMNS($V$1006:Y1006),$V$1006:$AE$1006,0))&gt;=100000), " ",IF(INDEX($V$2:$AE$1001,MATCH(ROWS($O$2:O953),$O$2:$O$1001,0),MATCH(COLUMNS($V$1006:Y1006),$V$1006:$AE$1006,0)), HYPERLINK("#",""), HYPERLINK(CONCATENATE("#Metadata!", ADDRESS(INDEX($Q$2:$Q$1001,MATCH(ROWS($O$2:O953),$O$2:$O$1001,0),0), INDEX($V$1004:$AE$1004,1,MATCH(COLUMNS($V$1006:Y1006),$V$1006:$AE$1006,0)))),"Fix")))</f>
        <v>0</v>
      </c>
      <c r="F953" s="3">
        <f>IF(OR(INDEX($P$2:$P$1001,MATCH(ROWS($O$2:O953),$O$2:$O$1001,0),1)&gt;=100000,INDEX($V$1005:$AE$1005,1,MATCH(COLUMNS($V$1006:Z1006),$V$1006:$AE$1006,0))&gt;=100000), " ",IF(INDEX($V$2:$AE$1001,MATCH(ROWS($O$2:O953),$O$2:$O$1001,0),MATCH(COLUMNS($V$1006:Z1006),$V$1006:$AE$1006,0)), HYPERLINK("#",""), HYPERLINK(CONCATENATE("#Metadata!", ADDRESS(INDEX($Q$2:$Q$1001,MATCH(ROWS($O$2:O953),$O$2:$O$1001,0),0), INDEX($V$1004:$AE$1004,1,MATCH(COLUMNS($V$1006:Z1006),$V$1006:$AE$1006,0)))),"Fix")))</f>
        <v>0</v>
      </c>
      <c r="G953" s="3">
        <f>IF(OR(INDEX($P$2:$P$1001,MATCH(ROWS($O$2:O953),$O$2:$O$1001,0),1)&gt;=100000,INDEX($V$1005:$AE$1005,1,MATCH(COLUMNS($V$1006:AA1006),$V$1006:$AE$1006,0))&gt;=100000), " ",IF(INDEX($V$2:$AE$1001,MATCH(ROWS($O$2:O953),$O$2:$O$1001,0),MATCH(COLUMNS($V$1006:AA1006),$V$1006:$AE$1006,0)), HYPERLINK("#",""), HYPERLINK(CONCATENATE("#Metadata!", ADDRESS(INDEX($Q$2:$Q$1001,MATCH(ROWS($O$2:O953),$O$2:$O$1001,0),0), INDEX($V$1004:$AE$1004,1,MATCH(COLUMNS($V$1006:AA1006),$V$1006:$AE$1006,0)))),"Fix")))</f>
        <v>0</v>
      </c>
      <c r="H953" s="3">
        <f>IF(OR(INDEX($P$2:$P$1001,MATCH(ROWS($O$2:O953),$O$2:$O$1001,0),1)&gt;=100000,INDEX($V$1005:$AE$1005,1,MATCH(COLUMNS($V$1006:AB1006),$V$1006:$AE$1006,0))&gt;=100000), " ",IF(INDEX($V$2:$AE$1001,MATCH(ROWS($O$2:O953),$O$2:$O$1001,0),MATCH(COLUMNS($V$1006:AB1006),$V$1006:$AE$1006,0)), HYPERLINK("#",""), HYPERLINK(CONCATENATE("#Metadata!", ADDRESS(INDEX($Q$2:$Q$1001,MATCH(ROWS($O$2:O953),$O$2:$O$1001,0),0), INDEX($V$1004:$AE$1004,1,MATCH(COLUMNS($V$1006:AB1006),$V$1006:$AE$1006,0)))),"Fix")))</f>
        <v>0</v>
      </c>
      <c r="I953" s="3">
        <f>IF(OR(INDEX($P$2:$P$1001,MATCH(ROWS($O$2:O953),$O$2:$O$1001,0),1)&gt;=100000,INDEX($V$1005:$AE$1005,1,MATCH(COLUMNS($V$1006:AC1006),$V$1006:$AE$1006,0))&gt;=100000), " ",IF(INDEX($V$2:$AE$1001,MATCH(ROWS($O$2:O953),$O$2:$O$1001,0),MATCH(COLUMNS($V$1006:AC1006),$V$1006:$AE$1006,0)), HYPERLINK("#",""), HYPERLINK(CONCATENATE("#Metadata!", ADDRESS(INDEX($Q$2:$Q$1001,MATCH(ROWS($O$2:O953),$O$2:$O$1001,0),0), INDEX($V$1004:$AE$1004,1,MATCH(COLUMNS($V$1006:AC1006),$V$1006:$AE$1006,0)))),"Fix")))</f>
        <v>0</v>
      </c>
      <c r="J953" s="3">
        <f>IF(OR(INDEX($P$2:$P$1001,MATCH(ROWS($O$2:O953),$O$2:$O$1001,0),1)&gt;=100000,INDEX($V$1005:$AE$1005,1,MATCH(COLUMNS($V$1006:AD1006),$V$1006:$AE$1006,0))&gt;=100000), " ",IF(INDEX($V$2:$AE$1001,MATCH(ROWS($O$2:O953),$O$2:$O$1001,0),MATCH(COLUMNS($V$1006:AD1006),$V$1006:$AE$1006,0)), HYPERLINK("#",""), HYPERLINK(CONCATENATE("#Metadata!", ADDRESS(INDEX($Q$2:$Q$1001,MATCH(ROWS($O$2:O953),$O$2:$O$1001,0),0), INDEX($V$1004:$AE$1004,1,MATCH(COLUMNS($V$1006:AD1006),$V$1006:$AE$1006,0)))),"Fix")))</f>
        <v>0</v>
      </c>
      <c r="K953" s="3">
        <f>IF(OR(INDEX($P$2:$P$1001,MATCH(ROWS($O$2:O953),$O$2:$O$1001,0),1)&gt;=100000,INDEX($V$1005:$AE$1005,1,MATCH(COLUMNS($V$1006:AE1006),$V$1006:$AE$1006,0))&gt;=100000), " ",IF(INDEX($V$2:$AE$1001,MATCH(ROWS($O$2:O953),$O$2:$O$1001,0),MATCH(COLUMNS($V$1006:AE1006),$V$1006:$AE$1006,0)), HYPERLINK("#",""), HYPERLINK(CONCATENATE("#Metadata!", ADDRESS(INDEX($Q$2:$Q$1001,MATCH(ROWS($O$2:O953),$O$2:$O$1001,0),0), INDEX($V$1004:$AE$1004,1,MATCH(COLUMNS($V$1006:AE1006),$V$1006:$AE$1006,0)))),"Fix")))</f>
        <v>0</v>
      </c>
      <c r="O953">
        <v>0</v>
      </c>
      <c r="P953">
        <v>0</v>
      </c>
      <c r="Q953">
        <v>0</v>
      </c>
      <c r="R953">
        <f>IF(S953,TRUE,AND(V953:AE953))</f>
        <v>0</v>
      </c>
      <c r="S953">
        <f>COUNTBLANK(Metadata!B953:K953)=COLUMNS(Metadata!B953:K953)</f>
        <v>0</v>
      </c>
      <c r="T953">
        <v>0</v>
      </c>
      <c r="V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W953">
        <f>AND(IF(Metadata!C953="",FALSE,TRUE),exact(Metadata!C953,"animal secretion"))</f>
        <v>0</v>
      </c>
      <c r="X953">
        <f>AND(IF(Metadata!D953="",FALSE,TRUE),exact(Metadata!D953,"saliva"))</f>
        <v>0</v>
      </c>
      <c r="Y953">
        <f>AND(IF(Metadata!E953="",FALSE,TRUE),exact(Metadata!E953,"human-oral"))</f>
        <v>0</v>
      </c>
      <c r="Z953">
        <f>AND(IF(Metadata!F953="",FALSE,TRUE),exact(Metadata!F953,"UBERON:oral cavity"))</f>
        <v>0</v>
      </c>
      <c r="AA953">
        <f>AND(IF(Metadata!G953="",FALSE,TRUE),exact(Metadata!G953,"UBERON:saliva"))</f>
        <v>0</v>
      </c>
      <c r="AB953">
        <f>AND(IF(Metadata!H953="",FALSE,TRUE),exact(Metadata!H953,"UBERON:tongue"))</f>
        <v>0</v>
      </c>
      <c r="AC953">
        <f>AND(IF(Metadata!I953="",FALSE,TRUE),exact(Metadata!I953,"tongue"))</f>
        <v>0</v>
      </c>
      <c r="AD953">
        <f>AND(IF(Metadata!J953="",FALSE,TRUE),exact(Metadata!J953,"human oral metagenome"))</f>
        <v>0</v>
      </c>
      <c r="AE953">
        <f>AND(IF(Metadata!K953="",FALSE,TRUE),exact(Metadata!K953,"447426"))</f>
        <v>0</v>
      </c>
    </row>
    <row r="954" spans="1:31">
      <c r="A954" s="4">
        <f>IF(B954=" "," ",HYPERLINK(CONCATENATE("#metadata!",ADDRESS(INDEX($Q$2:$Q$1001,MATCH(ROWS($O$2:O954),$O$2:$O$1001,0),0),1)),INDEX($T$2:$T$1001,MATCH(ROWS($O$2:O954),$O$2:$O$1001,0),0)))</f>
        <v>0</v>
      </c>
      <c r="B954" s="3">
        <f>IF(OR(INDEX($P$2:$P$1001,MATCH(ROWS($O$2:O954),$O$2:$O$1001,0),1)&gt;=100000,INDEX($V$1005:$AE$1005,1,MATCH(COLUMNS($V$1006:V1006),$V$1006:$AE$1006,0))&gt;=100000), " ",IF(INDEX($V$2:$AE$1001,MATCH(ROWS($O$2:O954),$O$2:$O$1001,0),MATCH(COLUMNS($V$1006:V1006),$V$1006:$AE$1006,0)), HYPERLINK("#",""), HYPERLINK(CONCATENATE("#Metadata!", ADDRESS(INDEX($Q$2:$Q$1001,MATCH(ROWS($O$2:O954),$O$2:$O$1001,0),0), INDEX($V$1004:$AE$1004,1,MATCH(COLUMNS($V$1006:V1006),$V$1006:$AE$1006,0)))),"Fix")))</f>
        <v>0</v>
      </c>
      <c r="C954" s="3">
        <f>IF(OR(INDEX($P$2:$P$1001,MATCH(ROWS($O$2:O954),$O$2:$O$1001,0),1)&gt;=100000,INDEX($V$1005:$AE$1005,1,MATCH(COLUMNS($V$1006:W1006),$V$1006:$AE$1006,0))&gt;=100000), " ",IF(INDEX($V$2:$AE$1001,MATCH(ROWS($O$2:O954),$O$2:$O$1001,0),MATCH(COLUMNS($V$1006:W1006),$V$1006:$AE$1006,0)), HYPERLINK("#",""), HYPERLINK(CONCATENATE("#Metadata!", ADDRESS(INDEX($Q$2:$Q$1001,MATCH(ROWS($O$2:O954),$O$2:$O$1001,0),0), INDEX($V$1004:$AE$1004,1,MATCH(COLUMNS($V$1006:W1006),$V$1006:$AE$1006,0)))),"Fix")))</f>
        <v>0</v>
      </c>
      <c r="D954" s="3">
        <f>IF(OR(INDEX($P$2:$P$1001,MATCH(ROWS($O$2:O954),$O$2:$O$1001,0),1)&gt;=100000,INDEX($V$1005:$AE$1005,1,MATCH(COLUMNS($V$1006:X1006),$V$1006:$AE$1006,0))&gt;=100000), " ",IF(INDEX($V$2:$AE$1001,MATCH(ROWS($O$2:O954),$O$2:$O$1001,0),MATCH(COLUMNS($V$1006:X1006),$V$1006:$AE$1006,0)), HYPERLINK("#",""), HYPERLINK(CONCATENATE("#Metadata!", ADDRESS(INDEX($Q$2:$Q$1001,MATCH(ROWS($O$2:O954),$O$2:$O$1001,0),0), INDEX($V$1004:$AE$1004,1,MATCH(COLUMNS($V$1006:X1006),$V$1006:$AE$1006,0)))),"Fix")))</f>
        <v>0</v>
      </c>
      <c r="E954" s="3">
        <f>IF(OR(INDEX($P$2:$P$1001,MATCH(ROWS($O$2:O954),$O$2:$O$1001,0),1)&gt;=100000,INDEX($V$1005:$AE$1005,1,MATCH(COLUMNS($V$1006:Y1006),$V$1006:$AE$1006,0))&gt;=100000), " ",IF(INDEX($V$2:$AE$1001,MATCH(ROWS($O$2:O954),$O$2:$O$1001,0),MATCH(COLUMNS($V$1006:Y1006),$V$1006:$AE$1006,0)), HYPERLINK("#",""), HYPERLINK(CONCATENATE("#Metadata!", ADDRESS(INDEX($Q$2:$Q$1001,MATCH(ROWS($O$2:O954),$O$2:$O$1001,0),0), INDEX($V$1004:$AE$1004,1,MATCH(COLUMNS($V$1006:Y1006),$V$1006:$AE$1006,0)))),"Fix")))</f>
        <v>0</v>
      </c>
      <c r="F954" s="3">
        <f>IF(OR(INDEX($P$2:$P$1001,MATCH(ROWS($O$2:O954),$O$2:$O$1001,0),1)&gt;=100000,INDEX($V$1005:$AE$1005,1,MATCH(COLUMNS($V$1006:Z1006),$V$1006:$AE$1006,0))&gt;=100000), " ",IF(INDEX($V$2:$AE$1001,MATCH(ROWS($O$2:O954),$O$2:$O$1001,0),MATCH(COLUMNS($V$1006:Z1006),$V$1006:$AE$1006,0)), HYPERLINK("#",""), HYPERLINK(CONCATENATE("#Metadata!", ADDRESS(INDEX($Q$2:$Q$1001,MATCH(ROWS($O$2:O954),$O$2:$O$1001,0),0), INDEX($V$1004:$AE$1004,1,MATCH(COLUMNS($V$1006:Z1006),$V$1006:$AE$1006,0)))),"Fix")))</f>
        <v>0</v>
      </c>
      <c r="G954" s="3">
        <f>IF(OR(INDEX($P$2:$P$1001,MATCH(ROWS($O$2:O954),$O$2:$O$1001,0),1)&gt;=100000,INDEX($V$1005:$AE$1005,1,MATCH(COLUMNS($V$1006:AA1006),$V$1006:$AE$1006,0))&gt;=100000), " ",IF(INDEX($V$2:$AE$1001,MATCH(ROWS($O$2:O954),$O$2:$O$1001,0),MATCH(COLUMNS($V$1006:AA1006),$V$1006:$AE$1006,0)), HYPERLINK("#",""), HYPERLINK(CONCATENATE("#Metadata!", ADDRESS(INDEX($Q$2:$Q$1001,MATCH(ROWS($O$2:O954),$O$2:$O$1001,0),0), INDEX($V$1004:$AE$1004,1,MATCH(COLUMNS($V$1006:AA1006),$V$1006:$AE$1006,0)))),"Fix")))</f>
        <v>0</v>
      </c>
      <c r="H954" s="3">
        <f>IF(OR(INDEX($P$2:$P$1001,MATCH(ROWS($O$2:O954),$O$2:$O$1001,0),1)&gt;=100000,INDEX($V$1005:$AE$1005,1,MATCH(COLUMNS($V$1006:AB1006),$V$1006:$AE$1006,0))&gt;=100000), " ",IF(INDEX($V$2:$AE$1001,MATCH(ROWS($O$2:O954),$O$2:$O$1001,0),MATCH(COLUMNS($V$1006:AB1006),$V$1006:$AE$1006,0)), HYPERLINK("#",""), HYPERLINK(CONCATENATE("#Metadata!", ADDRESS(INDEX($Q$2:$Q$1001,MATCH(ROWS($O$2:O954),$O$2:$O$1001,0),0), INDEX($V$1004:$AE$1004,1,MATCH(COLUMNS($V$1006:AB1006),$V$1006:$AE$1006,0)))),"Fix")))</f>
        <v>0</v>
      </c>
      <c r="I954" s="3">
        <f>IF(OR(INDEX($P$2:$P$1001,MATCH(ROWS($O$2:O954),$O$2:$O$1001,0),1)&gt;=100000,INDEX($V$1005:$AE$1005,1,MATCH(COLUMNS($V$1006:AC1006),$V$1006:$AE$1006,0))&gt;=100000), " ",IF(INDEX($V$2:$AE$1001,MATCH(ROWS($O$2:O954),$O$2:$O$1001,0),MATCH(COLUMNS($V$1006:AC1006),$V$1006:$AE$1006,0)), HYPERLINK("#",""), HYPERLINK(CONCATENATE("#Metadata!", ADDRESS(INDEX($Q$2:$Q$1001,MATCH(ROWS($O$2:O954),$O$2:$O$1001,0),0), INDEX($V$1004:$AE$1004,1,MATCH(COLUMNS($V$1006:AC1006),$V$1006:$AE$1006,0)))),"Fix")))</f>
        <v>0</v>
      </c>
      <c r="J954" s="3">
        <f>IF(OR(INDEX($P$2:$P$1001,MATCH(ROWS($O$2:O954),$O$2:$O$1001,0),1)&gt;=100000,INDEX($V$1005:$AE$1005,1,MATCH(COLUMNS($V$1006:AD1006),$V$1006:$AE$1006,0))&gt;=100000), " ",IF(INDEX($V$2:$AE$1001,MATCH(ROWS($O$2:O954),$O$2:$O$1001,0),MATCH(COLUMNS($V$1006:AD1006),$V$1006:$AE$1006,0)), HYPERLINK("#",""), HYPERLINK(CONCATENATE("#Metadata!", ADDRESS(INDEX($Q$2:$Q$1001,MATCH(ROWS($O$2:O954),$O$2:$O$1001,0),0), INDEX($V$1004:$AE$1004,1,MATCH(COLUMNS($V$1006:AD1006),$V$1006:$AE$1006,0)))),"Fix")))</f>
        <v>0</v>
      </c>
      <c r="K954" s="3">
        <f>IF(OR(INDEX($P$2:$P$1001,MATCH(ROWS($O$2:O954),$O$2:$O$1001,0),1)&gt;=100000,INDEX($V$1005:$AE$1005,1,MATCH(COLUMNS($V$1006:AE1006),$V$1006:$AE$1006,0))&gt;=100000), " ",IF(INDEX($V$2:$AE$1001,MATCH(ROWS($O$2:O954),$O$2:$O$1001,0),MATCH(COLUMNS($V$1006:AE1006),$V$1006:$AE$1006,0)), HYPERLINK("#",""), HYPERLINK(CONCATENATE("#Metadata!", ADDRESS(INDEX($Q$2:$Q$1001,MATCH(ROWS($O$2:O954),$O$2:$O$1001,0),0), INDEX($V$1004:$AE$1004,1,MATCH(COLUMNS($V$1006:AE1006),$V$1006:$AE$1006,0)))),"Fix")))</f>
        <v>0</v>
      </c>
      <c r="O954">
        <v>0</v>
      </c>
      <c r="P954">
        <v>0</v>
      </c>
      <c r="Q954">
        <v>0</v>
      </c>
      <c r="R954">
        <f>IF(S954,TRUE,AND(V954:AE954))</f>
        <v>0</v>
      </c>
      <c r="S954">
        <f>COUNTBLANK(Metadata!B954:K954)=COLUMNS(Metadata!B954:K954)</f>
        <v>0</v>
      </c>
      <c r="T954">
        <v>0</v>
      </c>
      <c r="V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W954">
        <f>AND(IF(Metadata!C954="",FALSE,TRUE),exact(Metadata!C954,"animal secretion"))</f>
        <v>0</v>
      </c>
      <c r="X954">
        <f>AND(IF(Metadata!D954="",FALSE,TRUE),exact(Metadata!D954,"saliva"))</f>
        <v>0</v>
      </c>
      <c r="Y954">
        <f>AND(IF(Metadata!E954="",FALSE,TRUE),exact(Metadata!E954,"human-oral"))</f>
        <v>0</v>
      </c>
      <c r="Z954">
        <f>AND(IF(Metadata!F954="",FALSE,TRUE),exact(Metadata!F954,"UBERON:oral cavity"))</f>
        <v>0</v>
      </c>
      <c r="AA954">
        <f>AND(IF(Metadata!G954="",FALSE,TRUE),exact(Metadata!G954,"UBERON:saliva"))</f>
        <v>0</v>
      </c>
      <c r="AB954">
        <f>AND(IF(Metadata!H954="",FALSE,TRUE),exact(Metadata!H954,"UBERON:tongue"))</f>
        <v>0</v>
      </c>
      <c r="AC954">
        <f>AND(IF(Metadata!I954="",FALSE,TRUE),exact(Metadata!I954,"tongue"))</f>
        <v>0</v>
      </c>
      <c r="AD954">
        <f>AND(IF(Metadata!J954="",FALSE,TRUE),exact(Metadata!J954,"human oral metagenome"))</f>
        <v>0</v>
      </c>
      <c r="AE954">
        <f>AND(IF(Metadata!K954="",FALSE,TRUE),exact(Metadata!K954,"447426"))</f>
        <v>0</v>
      </c>
    </row>
    <row r="955" spans="1:31">
      <c r="A955" s="4">
        <f>IF(B955=" "," ",HYPERLINK(CONCATENATE("#metadata!",ADDRESS(INDEX($Q$2:$Q$1001,MATCH(ROWS($O$2:O955),$O$2:$O$1001,0),0),1)),INDEX($T$2:$T$1001,MATCH(ROWS($O$2:O955),$O$2:$O$1001,0),0)))</f>
        <v>0</v>
      </c>
      <c r="B955" s="3">
        <f>IF(OR(INDEX($P$2:$P$1001,MATCH(ROWS($O$2:O955),$O$2:$O$1001,0),1)&gt;=100000,INDEX($V$1005:$AE$1005,1,MATCH(COLUMNS($V$1006:V1006),$V$1006:$AE$1006,0))&gt;=100000), " ",IF(INDEX($V$2:$AE$1001,MATCH(ROWS($O$2:O955),$O$2:$O$1001,0),MATCH(COLUMNS($V$1006:V1006),$V$1006:$AE$1006,0)), HYPERLINK("#",""), HYPERLINK(CONCATENATE("#Metadata!", ADDRESS(INDEX($Q$2:$Q$1001,MATCH(ROWS($O$2:O955),$O$2:$O$1001,0),0), INDEX($V$1004:$AE$1004,1,MATCH(COLUMNS($V$1006:V1006),$V$1006:$AE$1006,0)))),"Fix")))</f>
        <v>0</v>
      </c>
      <c r="C955" s="3">
        <f>IF(OR(INDEX($P$2:$P$1001,MATCH(ROWS($O$2:O955),$O$2:$O$1001,0),1)&gt;=100000,INDEX($V$1005:$AE$1005,1,MATCH(COLUMNS($V$1006:W1006),$V$1006:$AE$1006,0))&gt;=100000), " ",IF(INDEX($V$2:$AE$1001,MATCH(ROWS($O$2:O955),$O$2:$O$1001,0),MATCH(COLUMNS($V$1006:W1006),$V$1006:$AE$1006,0)), HYPERLINK("#",""), HYPERLINK(CONCATENATE("#Metadata!", ADDRESS(INDEX($Q$2:$Q$1001,MATCH(ROWS($O$2:O955),$O$2:$O$1001,0),0), INDEX($V$1004:$AE$1004,1,MATCH(COLUMNS($V$1006:W1006),$V$1006:$AE$1006,0)))),"Fix")))</f>
        <v>0</v>
      </c>
      <c r="D955" s="3">
        <f>IF(OR(INDEX($P$2:$P$1001,MATCH(ROWS($O$2:O955),$O$2:$O$1001,0),1)&gt;=100000,INDEX($V$1005:$AE$1005,1,MATCH(COLUMNS($V$1006:X1006),$V$1006:$AE$1006,0))&gt;=100000), " ",IF(INDEX($V$2:$AE$1001,MATCH(ROWS($O$2:O955),$O$2:$O$1001,0),MATCH(COLUMNS($V$1006:X1006),$V$1006:$AE$1006,0)), HYPERLINK("#",""), HYPERLINK(CONCATENATE("#Metadata!", ADDRESS(INDEX($Q$2:$Q$1001,MATCH(ROWS($O$2:O955),$O$2:$O$1001,0),0), INDEX($V$1004:$AE$1004,1,MATCH(COLUMNS($V$1006:X1006),$V$1006:$AE$1006,0)))),"Fix")))</f>
        <v>0</v>
      </c>
      <c r="E955" s="3">
        <f>IF(OR(INDEX($P$2:$P$1001,MATCH(ROWS($O$2:O955),$O$2:$O$1001,0),1)&gt;=100000,INDEX($V$1005:$AE$1005,1,MATCH(COLUMNS($V$1006:Y1006),$V$1006:$AE$1006,0))&gt;=100000), " ",IF(INDEX($V$2:$AE$1001,MATCH(ROWS($O$2:O955),$O$2:$O$1001,0),MATCH(COLUMNS($V$1006:Y1006),$V$1006:$AE$1006,0)), HYPERLINK("#",""), HYPERLINK(CONCATENATE("#Metadata!", ADDRESS(INDEX($Q$2:$Q$1001,MATCH(ROWS($O$2:O955),$O$2:$O$1001,0),0), INDEX($V$1004:$AE$1004,1,MATCH(COLUMNS($V$1006:Y1006),$V$1006:$AE$1006,0)))),"Fix")))</f>
        <v>0</v>
      </c>
      <c r="F955" s="3">
        <f>IF(OR(INDEX($P$2:$P$1001,MATCH(ROWS($O$2:O955),$O$2:$O$1001,0),1)&gt;=100000,INDEX($V$1005:$AE$1005,1,MATCH(COLUMNS($V$1006:Z1006),$V$1006:$AE$1006,0))&gt;=100000), " ",IF(INDEX($V$2:$AE$1001,MATCH(ROWS($O$2:O955),$O$2:$O$1001,0),MATCH(COLUMNS($V$1006:Z1006),$V$1006:$AE$1006,0)), HYPERLINK("#",""), HYPERLINK(CONCATENATE("#Metadata!", ADDRESS(INDEX($Q$2:$Q$1001,MATCH(ROWS($O$2:O955),$O$2:$O$1001,0),0), INDEX($V$1004:$AE$1004,1,MATCH(COLUMNS($V$1006:Z1006),$V$1006:$AE$1006,0)))),"Fix")))</f>
        <v>0</v>
      </c>
      <c r="G955" s="3">
        <f>IF(OR(INDEX($P$2:$P$1001,MATCH(ROWS($O$2:O955),$O$2:$O$1001,0),1)&gt;=100000,INDEX($V$1005:$AE$1005,1,MATCH(COLUMNS($V$1006:AA1006),$V$1006:$AE$1006,0))&gt;=100000), " ",IF(INDEX($V$2:$AE$1001,MATCH(ROWS($O$2:O955),$O$2:$O$1001,0),MATCH(COLUMNS($V$1006:AA1006),$V$1006:$AE$1006,0)), HYPERLINK("#",""), HYPERLINK(CONCATENATE("#Metadata!", ADDRESS(INDEX($Q$2:$Q$1001,MATCH(ROWS($O$2:O955),$O$2:$O$1001,0),0), INDEX($V$1004:$AE$1004,1,MATCH(COLUMNS($V$1006:AA1006),$V$1006:$AE$1006,0)))),"Fix")))</f>
        <v>0</v>
      </c>
      <c r="H955" s="3">
        <f>IF(OR(INDEX($P$2:$P$1001,MATCH(ROWS($O$2:O955),$O$2:$O$1001,0),1)&gt;=100000,INDEX($V$1005:$AE$1005,1,MATCH(COLUMNS($V$1006:AB1006),$V$1006:$AE$1006,0))&gt;=100000), " ",IF(INDEX($V$2:$AE$1001,MATCH(ROWS($O$2:O955),$O$2:$O$1001,0),MATCH(COLUMNS($V$1006:AB1006),$V$1006:$AE$1006,0)), HYPERLINK("#",""), HYPERLINK(CONCATENATE("#Metadata!", ADDRESS(INDEX($Q$2:$Q$1001,MATCH(ROWS($O$2:O955),$O$2:$O$1001,0),0), INDEX($V$1004:$AE$1004,1,MATCH(COLUMNS($V$1006:AB1006),$V$1006:$AE$1006,0)))),"Fix")))</f>
        <v>0</v>
      </c>
      <c r="I955" s="3">
        <f>IF(OR(INDEX($P$2:$P$1001,MATCH(ROWS($O$2:O955),$O$2:$O$1001,0),1)&gt;=100000,INDEX($V$1005:$AE$1005,1,MATCH(COLUMNS($V$1006:AC1006),$V$1006:$AE$1006,0))&gt;=100000), " ",IF(INDEX($V$2:$AE$1001,MATCH(ROWS($O$2:O955),$O$2:$O$1001,0),MATCH(COLUMNS($V$1006:AC1006),$V$1006:$AE$1006,0)), HYPERLINK("#",""), HYPERLINK(CONCATENATE("#Metadata!", ADDRESS(INDEX($Q$2:$Q$1001,MATCH(ROWS($O$2:O955),$O$2:$O$1001,0),0), INDEX($V$1004:$AE$1004,1,MATCH(COLUMNS($V$1006:AC1006),$V$1006:$AE$1006,0)))),"Fix")))</f>
        <v>0</v>
      </c>
      <c r="J955" s="3">
        <f>IF(OR(INDEX($P$2:$P$1001,MATCH(ROWS($O$2:O955),$O$2:$O$1001,0),1)&gt;=100000,INDEX($V$1005:$AE$1005,1,MATCH(COLUMNS($V$1006:AD1006),$V$1006:$AE$1006,0))&gt;=100000), " ",IF(INDEX($V$2:$AE$1001,MATCH(ROWS($O$2:O955),$O$2:$O$1001,0),MATCH(COLUMNS($V$1006:AD1006),$V$1006:$AE$1006,0)), HYPERLINK("#",""), HYPERLINK(CONCATENATE("#Metadata!", ADDRESS(INDEX($Q$2:$Q$1001,MATCH(ROWS($O$2:O955),$O$2:$O$1001,0),0), INDEX($V$1004:$AE$1004,1,MATCH(COLUMNS($V$1006:AD1006),$V$1006:$AE$1006,0)))),"Fix")))</f>
        <v>0</v>
      </c>
      <c r="K955" s="3">
        <f>IF(OR(INDEX($P$2:$P$1001,MATCH(ROWS($O$2:O955),$O$2:$O$1001,0),1)&gt;=100000,INDEX($V$1005:$AE$1005,1,MATCH(COLUMNS($V$1006:AE1006),$V$1006:$AE$1006,0))&gt;=100000), " ",IF(INDEX($V$2:$AE$1001,MATCH(ROWS($O$2:O955),$O$2:$O$1001,0),MATCH(COLUMNS($V$1006:AE1006),$V$1006:$AE$1006,0)), HYPERLINK("#",""), HYPERLINK(CONCATENATE("#Metadata!", ADDRESS(INDEX($Q$2:$Q$1001,MATCH(ROWS($O$2:O955),$O$2:$O$1001,0),0), INDEX($V$1004:$AE$1004,1,MATCH(COLUMNS($V$1006:AE1006),$V$1006:$AE$1006,0)))),"Fix")))</f>
        <v>0</v>
      </c>
      <c r="O955">
        <v>0</v>
      </c>
      <c r="P955">
        <v>0</v>
      </c>
      <c r="Q955">
        <v>0</v>
      </c>
      <c r="R955">
        <f>IF(S955,TRUE,AND(V955:AE955))</f>
        <v>0</v>
      </c>
      <c r="S955">
        <f>COUNTBLANK(Metadata!B955:K955)=COLUMNS(Metadata!B955:K955)</f>
        <v>0</v>
      </c>
      <c r="T955">
        <v>0</v>
      </c>
      <c r="V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W955">
        <f>AND(IF(Metadata!C955="",FALSE,TRUE),exact(Metadata!C955,"animal secretion"))</f>
        <v>0</v>
      </c>
      <c r="X955">
        <f>AND(IF(Metadata!D955="",FALSE,TRUE),exact(Metadata!D955,"saliva"))</f>
        <v>0</v>
      </c>
      <c r="Y955">
        <f>AND(IF(Metadata!E955="",FALSE,TRUE),exact(Metadata!E955,"human-oral"))</f>
        <v>0</v>
      </c>
      <c r="Z955">
        <f>AND(IF(Metadata!F955="",FALSE,TRUE),exact(Metadata!F955,"UBERON:oral cavity"))</f>
        <v>0</v>
      </c>
      <c r="AA955">
        <f>AND(IF(Metadata!G955="",FALSE,TRUE),exact(Metadata!G955,"UBERON:saliva"))</f>
        <v>0</v>
      </c>
      <c r="AB955">
        <f>AND(IF(Metadata!H955="",FALSE,TRUE),exact(Metadata!H955,"UBERON:tongue"))</f>
        <v>0</v>
      </c>
      <c r="AC955">
        <f>AND(IF(Metadata!I955="",FALSE,TRUE),exact(Metadata!I955,"tongue"))</f>
        <v>0</v>
      </c>
      <c r="AD955">
        <f>AND(IF(Metadata!J955="",FALSE,TRUE),exact(Metadata!J955,"human oral metagenome"))</f>
        <v>0</v>
      </c>
      <c r="AE955">
        <f>AND(IF(Metadata!K955="",FALSE,TRUE),exact(Metadata!K955,"447426"))</f>
        <v>0</v>
      </c>
    </row>
    <row r="956" spans="1:31">
      <c r="A956" s="4">
        <f>IF(B956=" "," ",HYPERLINK(CONCATENATE("#metadata!",ADDRESS(INDEX($Q$2:$Q$1001,MATCH(ROWS($O$2:O956),$O$2:$O$1001,0),0),1)),INDEX($T$2:$T$1001,MATCH(ROWS($O$2:O956),$O$2:$O$1001,0),0)))</f>
        <v>0</v>
      </c>
      <c r="B956" s="3">
        <f>IF(OR(INDEX($P$2:$P$1001,MATCH(ROWS($O$2:O956),$O$2:$O$1001,0),1)&gt;=100000,INDEX($V$1005:$AE$1005,1,MATCH(COLUMNS($V$1006:V1006),$V$1006:$AE$1006,0))&gt;=100000), " ",IF(INDEX($V$2:$AE$1001,MATCH(ROWS($O$2:O956),$O$2:$O$1001,0),MATCH(COLUMNS($V$1006:V1006),$V$1006:$AE$1006,0)), HYPERLINK("#",""), HYPERLINK(CONCATENATE("#Metadata!", ADDRESS(INDEX($Q$2:$Q$1001,MATCH(ROWS($O$2:O956),$O$2:$O$1001,0),0), INDEX($V$1004:$AE$1004,1,MATCH(COLUMNS($V$1006:V1006),$V$1006:$AE$1006,0)))),"Fix")))</f>
        <v>0</v>
      </c>
      <c r="C956" s="3">
        <f>IF(OR(INDEX($P$2:$P$1001,MATCH(ROWS($O$2:O956),$O$2:$O$1001,0),1)&gt;=100000,INDEX($V$1005:$AE$1005,1,MATCH(COLUMNS($V$1006:W1006),$V$1006:$AE$1006,0))&gt;=100000), " ",IF(INDEX($V$2:$AE$1001,MATCH(ROWS($O$2:O956),$O$2:$O$1001,0),MATCH(COLUMNS($V$1006:W1006),$V$1006:$AE$1006,0)), HYPERLINK("#",""), HYPERLINK(CONCATENATE("#Metadata!", ADDRESS(INDEX($Q$2:$Q$1001,MATCH(ROWS($O$2:O956),$O$2:$O$1001,0),0), INDEX($V$1004:$AE$1004,1,MATCH(COLUMNS($V$1006:W1006),$V$1006:$AE$1006,0)))),"Fix")))</f>
        <v>0</v>
      </c>
      <c r="D956" s="3">
        <f>IF(OR(INDEX($P$2:$P$1001,MATCH(ROWS($O$2:O956),$O$2:$O$1001,0),1)&gt;=100000,INDEX($V$1005:$AE$1005,1,MATCH(COLUMNS($V$1006:X1006),$V$1006:$AE$1006,0))&gt;=100000), " ",IF(INDEX($V$2:$AE$1001,MATCH(ROWS($O$2:O956),$O$2:$O$1001,0),MATCH(COLUMNS($V$1006:X1006),$V$1006:$AE$1006,0)), HYPERLINK("#",""), HYPERLINK(CONCATENATE("#Metadata!", ADDRESS(INDEX($Q$2:$Q$1001,MATCH(ROWS($O$2:O956),$O$2:$O$1001,0),0), INDEX($V$1004:$AE$1004,1,MATCH(COLUMNS($V$1006:X1006),$V$1006:$AE$1006,0)))),"Fix")))</f>
        <v>0</v>
      </c>
      <c r="E956" s="3">
        <f>IF(OR(INDEX($P$2:$P$1001,MATCH(ROWS($O$2:O956),$O$2:$O$1001,0),1)&gt;=100000,INDEX($V$1005:$AE$1005,1,MATCH(COLUMNS($V$1006:Y1006),$V$1006:$AE$1006,0))&gt;=100000), " ",IF(INDEX($V$2:$AE$1001,MATCH(ROWS($O$2:O956),$O$2:$O$1001,0),MATCH(COLUMNS($V$1006:Y1006),$V$1006:$AE$1006,0)), HYPERLINK("#",""), HYPERLINK(CONCATENATE("#Metadata!", ADDRESS(INDEX($Q$2:$Q$1001,MATCH(ROWS($O$2:O956),$O$2:$O$1001,0),0), INDEX($V$1004:$AE$1004,1,MATCH(COLUMNS($V$1006:Y1006),$V$1006:$AE$1006,0)))),"Fix")))</f>
        <v>0</v>
      </c>
      <c r="F956" s="3">
        <f>IF(OR(INDEX($P$2:$P$1001,MATCH(ROWS($O$2:O956),$O$2:$O$1001,0),1)&gt;=100000,INDEX($V$1005:$AE$1005,1,MATCH(COLUMNS($V$1006:Z1006),$V$1006:$AE$1006,0))&gt;=100000), " ",IF(INDEX($V$2:$AE$1001,MATCH(ROWS($O$2:O956),$O$2:$O$1001,0),MATCH(COLUMNS($V$1006:Z1006),$V$1006:$AE$1006,0)), HYPERLINK("#",""), HYPERLINK(CONCATENATE("#Metadata!", ADDRESS(INDEX($Q$2:$Q$1001,MATCH(ROWS($O$2:O956),$O$2:$O$1001,0),0), INDEX($V$1004:$AE$1004,1,MATCH(COLUMNS($V$1006:Z1006),$V$1006:$AE$1006,0)))),"Fix")))</f>
        <v>0</v>
      </c>
      <c r="G956" s="3">
        <f>IF(OR(INDEX($P$2:$P$1001,MATCH(ROWS($O$2:O956),$O$2:$O$1001,0),1)&gt;=100000,INDEX($V$1005:$AE$1005,1,MATCH(COLUMNS($V$1006:AA1006),$V$1006:$AE$1006,0))&gt;=100000), " ",IF(INDEX($V$2:$AE$1001,MATCH(ROWS($O$2:O956),$O$2:$O$1001,0),MATCH(COLUMNS($V$1006:AA1006),$V$1006:$AE$1006,0)), HYPERLINK("#",""), HYPERLINK(CONCATENATE("#Metadata!", ADDRESS(INDEX($Q$2:$Q$1001,MATCH(ROWS($O$2:O956),$O$2:$O$1001,0),0), INDEX($V$1004:$AE$1004,1,MATCH(COLUMNS($V$1006:AA1006),$V$1006:$AE$1006,0)))),"Fix")))</f>
        <v>0</v>
      </c>
      <c r="H956" s="3">
        <f>IF(OR(INDEX($P$2:$P$1001,MATCH(ROWS($O$2:O956),$O$2:$O$1001,0),1)&gt;=100000,INDEX($V$1005:$AE$1005,1,MATCH(COLUMNS($V$1006:AB1006),$V$1006:$AE$1006,0))&gt;=100000), " ",IF(INDEX($V$2:$AE$1001,MATCH(ROWS($O$2:O956),$O$2:$O$1001,0),MATCH(COLUMNS($V$1006:AB1006),$V$1006:$AE$1006,0)), HYPERLINK("#",""), HYPERLINK(CONCATENATE("#Metadata!", ADDRESS(INDEX($Q$2:$Q$1001,MATCH(ROWS($O$2:O956),$O$2:$O$1001,0),0), INDEX($V$1004:$AE$1004,1,MATCH(COLUMNS($V$1006:AB1006),$V$1006:$AE$1006,0)))),"Fix")))</f>
        <v>0</v>
      </c>
      <c r="I956" s="3">
        <f>IF(OR(INDEX($P$2:$P$1001,MATCH(ROWS($O$2:O956),$O$2:$O$1001,0),1)&gt;=100000,INDEX($V$1005:$AE$1005,1,MATCH(COLUMNS($V$1006:AC1006),$V$1006:$AE$1006,0))&gt;=100000), " ",IF(INDEX($V$2:$AE$1001,MATCH(ROWS($O$2:O956),$O$2:$O$1001,0),MATCH(COLUMNS($V$1006:AC1006),$V$1006:$AE$1006,0)), HYPERLINK("#",""), HYPERLINK(CONCATENATE("#Metadata!", ADDRESS(INDEX($Q$2:$Q$1001,MATCH(ROWS($O$2:O956),$O$2:$O$1001,0),0), INDEX($V$1004:$AE$1004,1,MATCH(COLUMNS($V$1006:AC1006),$V$1006:$AE$1006,0)))),"Fix")))</f>
        <v>0</v>
      </c>
      <c r="J956" s="3">
        <f>IF(OR(INDEX($P$2:$P$1001,MATCH(ROWS($O$2:O956),$O$2:$O$1001,0),1)&gt;=100000,INDEX($V$1005:$AE$1005,1,MATCH(COLUMNS($V$1006:AD1006),$V$1006:$AE$1006,0))&gt;=100000), " ",IF(INDEX($V$2:$AE$1001,MATCH(ROWS($O$2:O956),$O$2:$O$1001,0),MATCH(COLUMNS($V$1006:AD1006),$V$1006:$AE$1006,0)), HYPERLINK("#",""), HYPERLINK(CONCATENATE("#Metadata!", ADDRESS(INDEX($Q$2:$Q$1001,MATCH(ROWS($O$2:O956),$O$2:$O$1001,0),0), INDEX($V$1004:$AE$1004,1,MATCH(COLUMNS($V$1006:AD1006),$V$1006:$AE$1006,0)))),"Fix")))</f>
        <v>0</v>
      </c>
      <c r="K956" s="3">
        <f>IF(OR(INDEX($P$2:$P$1001,MATCH(ROWS($O$2:O956),$O$2:$O$1001,0),1)&gt;=100000,INDEX($V$1005:$AE$1005,1,MATCH(COLUMNS($V$1006:AE1006),$V$1006:$AE$1006,0))&gt;=100000), " ",IF(INDEX($V$2:$AE$1001,MATCH(ROWS($O$2:O956),$O$2:$O$1001,0),MATCH(COLUMNS($V$1006:AE1006),$V$1006:$AE$1006,0)), HYPERLINK("#",""), HYPERLINK(CONCATENATE("#Metadata!", ADDRESS(INDEX($Q$2:$Q$1001,MATCH(ROWS($O$2:O956),$O$2:$O$1001,0),0), INDEX($V$1004:$AE$1004,1,MATCH(COLUMNS($V$1006:AE1006),$V$1006:$AE$1006,0)))),"Fix")))</f>
        <v>0</v>
      </c>
      <c r="O956">
        <v>0</v>
      </c>
      <c r="P956">
        <v>0</v>
      </c>
      <c r="Q956">
        <v>0</v>
      </c>
      <c r="R956">
        <f>IF(S956,TRUE,AND(V956:AE956))</f>
        <v>0</v>
      </c>
      <c r="S956">
        <f>COUNTBLANK(Metadata!B956:K956)=COLUMNS(Metadata!B956:K956)</f>
        <v>0</v>
      </c>
      <c r="T956">
        <v>0</v>
      </c>
      <c r="V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W956">
        <f>AND(IF(Metadata!C956="",FALSE,TRUE),exact(Metadata!C956,"animal secretion"))</f>
        <v>0</v>
      </c>
      <c r="X956">
        <f>AND(IF(Metadata!D956="",FALSE,TRUE),exact(Metadata!D956,"saliva"))</f>
        <v>0</v>
      </c>
      <c r="Y956">
        <f>AND(IF(Metadata!E956="",FALSE,TRUE),exact(Metadata!E956,"human-oral"))</f>
        <v>0</v>
      </c>
      <c r="Z956">
        <f>AND(IF(Metadata!F956="",FALSE,TRUE),exact(Metadata!F956,"UBERON:oral cavity"))</f>
        <v>0</v>
      </c>
      <c r="AA956">
        <f>AND(IF(Metadata!G956="",FALSE,TRUE),exact(Metadata!G956,"UBERON:saliva"))</f>
        <v>0</v>
      </c>
      <c r="AB956">
        <f>AND(IF(Metadata!H956="",FALSE,TRUE),exact(Metadata!H956,"UBERON:tongue"))</f>
        <v>0</v>
      </c>
      <c r="AC956">
        <f>AND(IF(Metadata!I956="",FALSE,TRUE),exact(Metadata!I956,"tongue"))</f>
        <v>0</v>
      </c>
      <c r="AD956">
        <f>AND(IF(Metadata!J956="",FALSE,TRUE),exact(Metadata!J956,"human oral metagenome"))</f>
        <v>0</v>
      </c>
      <c r="AE956">
        <f>AND(IF(Metadata!K956="",FALSE,TRUE),exact(Metadata!K956,"447426"))</f>
        <v>0</v>
      </c>
    </row>
    <row r="957" spans="1:31">
      <c r="A957" s="4">
        <f>IF(B957=" "," ",HYPERLINK(CONCATENATE("#metadata!",ADDRESS(INDEX($Q$2:$Q$1001,MATCH(ROWS($O$2:O957),$O$2:$O$1001,0),0),1)),INDEX($T$2:$T$1001,MATCH(ROWS($O$2:O957),$O$2:$O$1001,0),0)))</f>
        <v>0</v>
      </c>
      <c r="B957" s="3">
        <f>IF(OR(INDEX($P$2:$P$1001,MATCH(ROWS($O$2:O957),$O$2:$O$1001,0),1)&gt;=100000,INDEX($V$1005:$AE$1005,1,MATCH(COLUMNS($V$1006:V1006),$V$1006:$AE$1006,0))&gt;=100000), " ",IF(INDEX($V$2:$AE$1001,MATCH(ROWS($O$2:O957),$O$2:$O$1001,0),MATCH(COLUMNS($V$1006:V1006),$V$1006:$AE$1006,0)), HYPERLINK("#",""), HYPERLINK(CONCATENATE("#Metadata!", ADDRESS(INDEX($Q$2:$Q$1001,MATCH(ROWS($O$2:O957),$O$2:$O$1001,0),0), INDEX($V$1004:$AE$1004,1,MATCH(COLUMNS($V$1006:V1006),$V$1006:$AE$1006,0)))),"Fix")))</f>
        <v>0</v>
      </c>
      <c r="C957" s="3">
        <f>IF(OR(INDEX($P$2:$P$1001,MATCH(ROWS($O$2:O957),$O$2:$O$1001,0),1)&gt;=100000,INDEX($V$1005:$AE$1005,1,MATCH(COLUMNS($V$1006:W1006),$V$1006:$AE$1006,0))&gt;=100000), " ",IF(INDEX($V$2:$AE$1001,MATCH(ROWS($O$2:O957),$O$2:$O$1001,0),MATCH(COLUMNS($V$1006:W1006),$V$1006:$AE$1006,0)), HYPERLINK("#",""), HYPERLINK(CONCATENATE("#Metadata!", ADDRESS(INDEX($Q$2:$Q$1001,MATCH(ROWS($O$2:O957),$O$2:$O$1001,0),0), INDEX($V$1004:$AE$1004,1,MATCH(COLUMNS($V$1006:W1006),$V$1006:$AE$1006,0)))),"Fix")))</f>
        <v>0</v>
      </c>
      <c r="D957" s="3">
        <f>IF(OR(INDEX($P$2:$P$1001,MATCH(ROWS($O$2:O957),$O$2:$O$1001,0),1)&gt;=100000,INDEX($V$1005:$AE$1005,1,MATCH(COLUMNS($V$1006:X1006),$V$1006:$AE$1006,0))&gt;=100000), " ",IF(INDEX($V$2:$AE$1001,MATCH(ROWS($O$2:O957),$O$2:$O$1001,0),MATCH(COLUMNS($V$1006:X1006),$V$1006:$AE$1006,0)), HYPERLINK("#",""), HYPERLINK(CONCATENATE("#Metadata!", ADDRESS(INDEX($Q$2:$Q$1001,MATCH(ROWS($O$2:O957),$O$2:$O$1001,0),0), INDEX($V$1004:$AE$1004,1,MATCH(COLUMNS($V$1006:X1006),$V$1006:$AE$1006,0)))),"Fix")))</f>
        <v>0</v>
      </c>
      <c r="E957" s="3">
        <f>IF(OR(INDEX($P$2:$P$1001,MATCH(ROWS($O$2:O957),$O$2:$O$1001,0),1)&gt;=100000,INDEX($V$1005:$AE$1005,1,MATCH(COLUMNS($V$1006:Y1006),$V$1006:$AE$1006,0))&gt;=100000), " ",IF(INDEX($V$2:$AE$1001,MATCH(ROWS($O$2:O957),$O$2:$O$1001,0),MATCH(COLUMNS($V$1006:Y1006),$V$1006:$AE$1006,0)), HYPERLINK("#",""), HYPERLINK(CONCATENATE("#Metadata!", ADDRESS(INDEX($Q$2:$Q$1001,MATCH(ROWS($O$2:O957),$O$2:$O$1001,0),0), INDEX($V$1004:$AE$1004,1,MATCH(COLUMNS($V$1006:Y1006),$V$1006:$AE$1006,0)))),"Fix")))</f>
        <v>0</v>
      </c>
      <c r="F957" s="3">
        <f>IF(OR(INDEX($P$2:$P$1001,MATCH(ROWS($O$2:O957),$O$2:$O$1001,0),1)&gt;=100000,INDEX($V$1005:$AE$1005,1,MATCH(COLUMNS($V$1006:Z1006),$V$1006:$AE$1006,0))&gt;=100000), " ",IF(INDEX($V$2:$AE$1001,MATCH(ROWS($O$2:O957),$O$2:$O$1001,0),MATCH(COLUMNS($V$1006:Z1006),$V$1006:$AE$1006,0)), HYPERLINK("#",""), HYPERLINK(CONCATENATE("#Metadata!", ADDRESS(INDEX($Q$2:$Q$1001,MATCH(ROWS($O$2:O957),$O$2:$O$1001,0),0), INDEX($V$1004:$AE$1004,1,MATCH(COLUMNS($V$1006:Z1006),$V$1006:$AE$1006,0)))),"Fix")))</f>
        <v>0</v>
      </c>
      <c r="G957" s="3">
        <f>IF(OR(INDEX($P$2:$P$1001,MATCH(ROWS($O$2:O957),$O$2:$O$1001,0),1)&gt;=100000,INDEX($V$1005:$AE$1005,1,MATCH(COLUMNS($V$1006:AA1006),$V$1006:$AE$1006,0))&gt;=100000), " ",IF(INDEX($V$2:$AE$1001,MATCH(ROWS($O$2:O957),$O$2:$O$1001,0),MATCH(COLUMNS($V$1006:AA1006),$V$1006:$AE$1006,0)), HYPERLINK("#",""), HYPERLINK(CONCATENATE("#Metadata!", ADDRESS(INDEX($Q$2:$Q$1001,MATCH(ROWS($O$2:O957),$O$2:$O$1001,0),0), INDEX($V$1004:$AE$1004,1,MATCH(COLUMNS($V$1006:AA1006),$V$1006:$AE$1006,0)))),"Fix")))</f>
        <v>0</v>
      </c>
      <c r="H957" s="3">
        <f>IF(OR(INDEX($P$2:$P$1001,MATCH(ROWS($O$2:O957),$O$2:$O$1001,0),1)&gt;=100000,INDEX($V$1005:$AE$1005,1,MATCH(COLUMNS($V$1006:AB1006),$V$1006:$AE$1006,0))&gt;=100000), " ",IF(INDEX($V$2:$AE$1001,MATCH(ROWS($O$2:O957),$O$2:$O$1001,0),MATCH(COLUMNS($V$1006:AB1006),$V$1006:$AE$1006,0)), HYPERLINK("#",""), HYPERLINK(CONCATENATE("#Metadata!", ADDRESS(INDEX($Q$2:$Q$1001,MATCH(ROWS($O$2:O957),$O$2:$O$1001,0),0), INDEX($V$1004:$AE$1004,1,MATCH(COLUMNS($V$1006:AB1006),$V$1006:$AE$1006,0)))),"Fix")))</f>
        <v>0</v>
      </c>
      <c r="I957" s="3">
        <f>IF(OR(INDEX($P$2:$P$1001,MATCH(ROWS($O$2:O957),$O$2:$O$1001,0),1)&gt;=100000,INDEX($V$1005:$AE$1005,1,MATCH(COLUMNS($V$1006:AC1006),$V$1006:$AE$1006,0))&gt;=100000), " ",IF(INDEX($V$2:$AE$1001,MATCH(ROWS($O$2:O957),$O$2:$O$1001,0),MATCH(COLUMNS($V$1006:AC1006),$V$1006:$AE$1006,0)), HYPERLINK("#",""), HYPERLINK(CONCATENATE("#Metadata!", ADDRESS(INDEX($Q$2:$Q$1001,MATCH(ROWS($O$2:O957),$O$2:$O$1001,0),0), INDEX($V$1004:$AE$1004,1,MATCH(COLUMNS($V$1006:AC1006),$V$1006:$AE$1006,0)))),"Fix")))</f>
        <v>0</v>
      </c>
      <c r="J957" s="3">
        <f>IF(OR(INDEX($P$2:$P$1001,MATCH(ROWS($O$2:O957),$O$2:$O$1001,0),1)&gt;=100000,INDEX($V$1005:$AE$1005,1,MATCH(COLUMNS($V$1006:AD1006),$V$1006:$AE$1006,0))&gt;=100000), " ",IF(INDEX($V$2:$AE$1001,MATCH(ROWS($O$2:O957),$O$2:$O$1001,0),MATCH(COLUMNS($V$1006:AD1006),$V$1006:$AE$1006,0)), HYPERLINK("#",""), HYPERLINK(CONCATENATE("#Metadata!", ADDRESS(INDEX($Q$2:$Q$1001,MATCH(ROWS($O$2:O957),$O$2:$O$1001,0),0), INDEX($V$1004:$AE$1004,1,MATCH(COLUMNS($V$1006:AD1006),$V$1006:$AE$1006,0)))),"Fix")))</f>
        <v>0</v>
      </c>
      <c r="K957" s="3">
        <f>IF(OR(INDEX($P$2:$P$1001,MATCH(ROWS($O$2:O957),$O$2:$O$1001,0),1)&gt;=100000,INDEX($V$1005:$AE$1005,1,MATCH(COLUMNS($V$1006:AE1006),$V$1006:$AE$1006,0))&gt;=100000), " ",IF(INDEX($V$2:$AE$1001,MATCH(ROWS($O$2:O957),$O$2:$O$1001,0),MATCH(COLUMNS($V$1006:AE1006),$V$1006:$AE$1006,0)), HYPERLINK("#",""), HYPERLINK(CONCATENATE("#Metadata!", ADDRESS(INDEX($Q$2:$Q$1001,MATCH(ROWS($O$2:O957),$O$2:$O$1001,0),0), INDEX($V$1004:$AE$1004,1,MATCH(COLUMNS($V$1006:AE1006),$V$1006:$AE$1006,0)))),"Fix")))</f>
        <v>0</v>
      </c>
      <c r="O957">
        <v>0</v>
      </c>
      <c r="P957">
        <v>0</v>
      </c>
      <c r="Q957">
        <v>0</v>
      </c>
      <c r="R957">
        <f>IF(S957,TRUE,AND(V957:AE957))</f>
        <v>0</v>
      </c>
      <c r="S957">
        <f>COUNTBLANK(Metadata!B957:K957)=COLUMNS(Metadata!B957:K957)</f>
        <v>0</v>
      </c>
      <c r="T957">
        <v>0</v>
      </c>
      <c r="V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W957">
        <f>AND(IF(Metadata!C957="",FALSE,TRUE),exact(Metadata!C957,"animal secretion"))</f>
        <v>0</v>
      </c>
      <c r="X957">
        <f>AND(IF(Metadata!D957="",FALSE,TRUE),exact(Metadata!D957,"saliva"))</f>
        <v>0</v>
      </c>
      <c r="Y957">
        <f>AND(IF(Metadata!E957="",FALSE,TRUE),exact(Metadata!E957,"human-oral"))</f>
        <v>0</v>
      </c>
      <c r="Z957">
        <f>AND(IF(Metadata!F957="",FALSE,TRUE),exact(Metadata!F957,"UBERON:oral cavity"))</f>
        <v>0</v>
      </c>
      <c r="AA957">
        <f>AND(IF(Metadata!G957="",FALSE,TRUE),exact(Metadata!G957,"UBERON:saliva"))</f>
        <v>0</v>
      </c>
      <c r="AB957">
        <f>AND(IF(Metadata!H957="",FALSE,TRUE),exact(Metadata!H957,"UBERON:tongue"))</f>
        <v>0</v>
      </c>
      <c r="AC957">
        <f>AND(IF(Metadata!I957="",FALSE,TRUE),exact(Metadata!I957,"tongue"))</f>
        <v>0</v>
      </c>
      <c r="AD957">
        <f>AND(IF(Metadata!J957="",FALSE,TRUE),exact(Metadata!J957,"human oral metagenome"))</f>
        <v>0</v>
      </c>
      <c r="AE957">
        <f>AND(IF(Metadata!K957="",FALSE,TRUE),exact(Metadata!K957,"447426"))</f>
        <v>0</v>
      </c>
    </row>
    <row r="958" spans="1:31">
      <c r="A958" s="4">
        <f>IF(B958=" "," ",HYPERLINK(CONCATENATE("#metadata!",ADDRESS(INDEX($Q$2:$Q$1001,MATCH(ROWS($O$2:O958),$O$2:$O$1001,0),0),1)),INDEX($T$2:$T$1001,MATCH(ROWS($O$2:O958),$O$2:$O$1001,0),0)))</f>
        <v>0</v>
      </c>
      <c r="B958" s="3">
        <f>IF(OR(INDEX($P$2:$P$1001,MATCH(ROWS($O$2:O958),$O$2:$O$1001,0),1)&gt;=100000,INDEX($V$1005:$AE$1005,1,MATCH(COLUMNS($V$1006:V1006),$V$1006:$AE$1006,0))&gt;=100000), " ",IF(INDEX($V$2:$AE$1001,MATCH(ROWS($O$2:O958),$O$2:$O$1001,0),MATCH(COLUMNS($V$1006:V1006),$V$1006:$AE$1006,0)), HYPERLINK("#",""), HYPERLINK(CONCATENATE("#Metadata!", ADDRESS(INDEX($Q$2:$Q$1001,MATCH(ROWS($O$2:O958),$O$2:$O$1001,0),0), INDEX($V$1004:$AE$1004,1,MATCH(COLUMNS($V$1006:V1006),$V$1006:$AE$1006,0)))),"Fix")))</f>
        <v>0</v>
      </c>
      <c r="C958" s="3">
        <f>IF(OR(INDEX($P$2:$P$1001,MATCH(ROWS($O$2:O958),$O$2:$O$1001,0),1)&gt;=100000,INDEX($V$1005:$AE$1005,1,MATCH(COLUMNS($V$1006:W1006),$V$1006:$AE$1006,0))&gt;=100000), " ",IF(INDEX($V$2:$AE$1001,MATCH(ROWS($O$2:O958),$O$2:$O$1001,0),MATCH(COLUMNS($V$1006:W1006),$V$1006:$AE$1006,0)), HYPERLINK("#",""), HYPERLINK(CONCATENATE("#Metadata!", ADDRESS(INDEX($Q$2:$Q$1001,MATCH(ROWS($O$2:O958),$O$2:$O$1001,0),0), INDEX($V$1004:$AE$1004,1,MATCH(COLUMNS($V$1006:W1006),$V$1006:$AE$1006,0)))),"Fix")))</f>
        <v>0</v>
      </c>
      <c r="D958" s="3">
        <f>IF(OR(INDEX($P$2:$P$1001,MATCH(ROWS($O$2:O958),$O$2:$O$1001,0),1)&gt;=100000,INDEX($V$1005:$AE$1005,1,MATCH(COLUMNS($V$1006:X1006),$V$1006:$AE$1006,0))&gt;=100000), " ",IF(INDEX($V$2:$AE$1001,MATCH(ROWS($O$2:O958),$O$2:$O$1001,0),MATCH(COLUMNS($V$1006:X1006),$V$1006:$AE$1006,0)), HYPERLINK("#",""), HYPERLINK(CONCATENATE("#Metadata!", ADDRESS(INDEX($Q$2:$Q$1001,MATCH(ROWS($O$2:O958),$O$2:$O$1001,0),0), INDEX($V$1004:$AE$1004,1,MATCH(COLUMNS($V$1006:X1006),$V$1006:$AE$1006,0)))),"Fix")))</f>
        <v>0</v>
      </c>
      <c r="E958" s="3">
        <f>IF(OR(INDEX($P$2:$P$1001,MATCH(ROWS($O$2:O958),$O$2:$O$1001,0),1)&gt;=100000,INDEX($V$1005:$AE$1005,1,MATCH(COLUMNS($V$1006:Y1006),$V$1006:$AE$1006,0))&gt;=100000), " ",IF(INDEX($V$2:$AE$1001,MATCH(ROWS($O$2:O958),$O$2:$O$1001,0),MATCH(COLUMNS($V$1006:Y1006),$V$1006:$AE$1006,0)), HYPERLINK("#",""), HYPERLINK(CONCATENATE("#Metadata!", ADDRESS(INDEX($Q$2:$Q$1001,MATCH(ROWS($O$2:O958),$O$2:$O$1001,0),0), INDEX($V$1004:$AE$1004,1,MATCH(COLUMNS($V$1006:Y1006),$V$1006:$AE$1006,0)))),"Fix")))</f>
        <v>0</v>
      </c>
      <c r="F958" s="3">
        <f>IF(OR(INDEX($P$2:$P$1001,MATCH(ROWS($O$2:O958),$O$2:$O$1001,0),1)&gt;=100000,INDEX($V$1005:$AE$1005,1,MATCH(COLUMNS($V$1006:Z1006),$V$1006:$AE$1006,0))&gt;=100000), " ",IF(INDEX($V$2:$AE$1001,MATCH(ROWS($O$2:O958),$O$2:$O$1001,0),MATCH(COLUMNS($V$1006:Z1006),$V$1006:$AE$1006,0)), HYPERLINK("#",""), HYPERLINK(CONCATENATE("#Metadata!", ADDRESS(INDEX($Q$2:$Q$1001,MATCH(ROWS($O$2:O958),$O$2:$O$1001,0),0), INDEX($V$1004:$AE$1004,1,MATCH(COLUMNS($V$1006:Z1006),$V$1006:$AE$1006,0)))),"Fix")))</f>
        <v>0</v>
      </c>
      <c r="G958" s="3">
        <f>IF(OR(INDEX($P$2:$P$1001,MATCH(ROWS($O$2:O958),$O$2:$O$1001,0),1)&gt;=100000,INDEX($V$1005:$AE$1005,1,MATCH(COLUMNS($V$1006:AA1006),$V$1006:$AE$1006,0))&gt;=100000), " ",IF(INDEX($V$2:$AE$1001,MATCH(ROWS($O$2:O958),$O$2:$O$1001,0),MATCH(COLUMNS($V$1006:AA1006),$V$1006:$AE$1006,0)), HYPERLINK("#",""), HYPERLINK(CONCATENATE("#Metadata!", ADDRESS(INDEX($Q$2:$Q$1001,MATCH(ROWS($O$2:O958),$O$2:$O$1001,0),0), INDEX($V$1004:$AE$1004,1,MATCH(COLUMNS($V$1006:AA1006),$V$1006:$AE$1006,0)))),"Fix")))</f>
        <v>0</v>
      </c>
      <c r="H958" s="3">
        <f>IF(OR(INDEX($P$2:$P$1001,MATCH(ROWS($O$2:O958),$O$2:$O$1001,0),1)&gt;=100000,INDEX($V$1005:$AE$1005,1,MATCH(COLUMNS($V$1006:AB1006),$V$1006:$AE$1006,0))&gt;=100000), " ",IF(INDEX($V$2:$AE$1001,MATCH(ROWS($O$2:O958),$O$2:$O$1001,0),MATCH(COLUMNS($V$1006:AB1006),$V$1006:$AE$1006,0)), HYPERLINK("#",""), HYPERLINK(CONCATENATE("#Metadata!", ADDRESS(INDEX($Q$2:$Q$1001,MATCH(ROWS($O$2:O958),$O$2:$O$1001,0),0), INDEX($V$1004:$AE$1004,1,MATCH(COLUMNS($V$1006:AB1006),$V$1006:$AE$1006,0)))),"Fix")))</f>
        <v>0</v>
      </c>
      <c r="I958" s="3">
        <f>IF(OR(INDEX($P$2:$P$1001,MATCH(ROWS($O$2:O958),$O$2:$O$1001,0),1)&gt;=100000,INDEX($V$1005:$AE$1005,1,MATCH(COLUMNS($V$1006:AC1006),$V$1006:$AE$1006,0))&gt;=100000), " ",IF(INDEX($V$2:$AE$1001,MATCH(ROWS($O$2:O958),$O$2:$O$1001,0),MATCH(COLUMNS($V$1006:AC1006),$V$1006:$AE$1006,0)), HYPERLINK("#",""), HYPERLINK(CONCATENATE("#Metadata!", ADDRESS(INDEX($Q$2:$Q$1001,MATCH(ROWS($O$2:O958),$O$2:$O$1001,0),0), INDEX($V$1004:$AE$1004,1,MATCH(COLUMNS($V$1006:AC1006),$V$1006:$AE$1006,0)))),"Fix")))</f>
        <v>0</v>
      </c>
      <c r="J958" s="3">
        <f>IF(OR(INDEX($P$2:$P$1001,MATCH(ROWS($O$2:O958),$O$2:$O$1001,0),1)&gt;=100000,INDEX($V$1005:$AE$1005,1,MATCH(COLUMNS($V$1006:AD1006),$V$1006:$AE$1006,0))&gt;=100000), " ",IF(INDEX($V$2:$AE$1001,MATCH(ROWS($O$2:O958),$O$2:$O$1001,0),MATCH(COLUMNS($V$1006:AD1006),$V$1006:$AE$1006,0)), HYPERLINK("#",""), HYPERLINK(CONCATENATE("#Metadata!", ADDRESS(INDEX($Q$2:$Q$1001,MATCH(ROWS($O$2:O958),$O$2:$O$1001,0),0), INDEX($V$1004:$AE$1004,1,MATCH(COLUMNS($V$1006:AD1006),$V$1006:$AE$1006,0)))),"Fix")))</f>
        <v>0</v>
      </c>
      <c r="K958" s="3">
        <f>IF(OR(INDEX($P$2:$P$1001,MATCH(ROWS($O$2:O958),$O$2:$O$1001,0),1)&gt;=100000,INDEX($V$1005:$AE$1005,1,MATCH(COLUMNS($V$1006:AE1006),$V$1006:$AE$1006,0))&gt;=100000), " ",IF(INDEX($V$2:$AE$1001,MATCH(ROWS($O$2:O958),$O$2:$O$1001,0),MATCH(COLUMNS($V$1006:AE1006),$V$1006:$AE$1006,0)), HYPERLINK("#",""), HYPERLINK(CONCATENATE("#Metadata!", ADDRESS(INDEX($Q$2:$Q$1001,MATCH(ROWS($O$2:O958),$O$2:$O$1001,0),0), INDEX($V$1004:$AE$1004,1,MATCH(COLUMNS($V$1006:AE1006),$V$1006:$AE$1006,0)))),"Fix")))</f>
        <v>0</v>
      </c>
      <c r="O958">
        <v>0</v>
      </c>
      <c r="P958">
        <v>0</v>
      </c>
      <c r="Q958">
        <v>0</v>
      </c>
      <c r="R958">
        <f>IF(S958,TRUE,AND(V958:AE958))</f>
        <v>0</v>
      </c>
      <c r="S958">
        <f>COUNTBLANK(Metadata!B958:K958)=COLUMNS(Metadata!B958:K958)</f>
        <v>0</v>
      </c>
      <c r="T958">
        <v>0</v>
      </c>
      <c r="V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W958">
        <f>AND(IF(Metadata!C958="",FALSE,TRUE),exact(Metadata!C958,"animal secretion"))</f>
        <v>0</v>
      </c>
      <c r="X958">
        <f>AND(IF(Metadata!D958="",FALSE,TRUE),exact(Metadata!D958,"saliva"))</f>
        <v>0</v>
      </c>
      <c r="Y958">
        <f>AND(IF(Metadata!E958="",FALSE,TRUE),exact(Metadata!E958,"human-oral"))</f>
        <v>0</v>
      </c>
      <c r="Z958">
        <f>AND(IF(Metadata!F958="",FALSE,TRUE),exact(Metadata!F958,"UBERON:oral cavity"))</f>
        <v>0</v>
      </c>
      <c r="AA958">
        <f>AND(IF(Metadata!G958="",FALSE,TRUE),exact(Metadata!G958,"UBERON:saliva"))</f>
        <v>0</v>
      </c>
      <c r="AB958">
        <f>AND(IF(Metadata!H958="",FALSE,TRUE),exact(Metadata!H958,"UBERON:tongue"))</f>
        <v>0</v>
      </c>
      <c r="AC958">
        <f>AND(IF(Metadata!I958="",FALSE,TRUE),exact(Metadata!I958,"tongue"))</f>
        <v>0</v>
      </c>
      <c r="AD958">
        <f>AND(IF(Metadata!J958="",FALSE,TRUE),exact(Metadata!J958,"human oral metagenome"))</f>
        <v>0</v>
      </c>
      <c r="AE958">
        <f>AND(IF(Metadata!K958="",FALSE,TRUE),exact(Metadata!K958,"447426"))</f>
        <v>0</v>
      </c>
    </row>
    <row r="959" spans="1:31">
      <c r="A959" s="4">
        <f>IF(B959=" "," ",HYPERLINK(CONCATENATE("#metadata!",ADDRESS(INDEX($Q$2:$Q$1001,MATCH(ROWS($O$2:O959),$O$2:$O$1001,0),0),1)),INDEX($T$2:$T$1001,MATCH(ROWS($O$2:O959),$O$2:$O$1001,0),0)))</f>
        <v>0</v>
      </c>
      <c r="B959" s="3">
        <f>IF(OR(INDEX($P$2:$P$1001,MATCH(ROWS($O$2:O959),$O$2:$O$1001,0),1)&gt;=100000,INDEX($V$1005:$AE$1005,1,MATCH(COLUMNS($V$1006:V1006),$V$1006:$AE$1006,0))&gt;=100000), " ",IF(INDEX($V$2:$AE$1001,MATCH(ROWS($O$2:O959),$O$2:$O$1001,0),MATCH(COLUMNS($V$1006:V1006),$V$1006:$AE$1006,0)), HYPERLINK("#",""), HYPERLINK(CONCATENATE("#Metadata!", ADDRESS(INDEX($Q$2:$Q$1001,MATCH(ROWS($O$2:O959),$O$2:$O$1001,0),0), INDEX($V$1004:$AE$1004,1,MATCH(COLUMNS($V$1006:V1006),$V$1006:$AE$1006,0)))),"Fix")))</f>
        <v>0</v>
      </c>
      <c r="C959" s="3">
        <f>IF(OR(INDEX($P$2:$P$1001,MATCH(ROWS($O$2:O959),$O$2:$O$1001,0),1)&gt;=100000,INDEX($V$1005:$AE$1005,1,MATCH(COLUMNS($V$1006:W1006),$V$1006:$AE$1006,0))&gt;=100000), " ",IF(INDEX($V$2:$AE$1001,MATCH(ROWS($O$2:O959),$O$2:$O$1001,0),MATCH(COLUMNS($V$1006:W1006),$V$1006:$AE$1006,0)), HYPERLINK("#",""), HYPERLINK(CONCATENATE("#Metadata!", ADDRESS(INDEX($Q$2:$Q$1001,MATCH(ROWS($O$2:O959),$O$2:$O$1001,0),0), INDEX($V$1004:$AE$1004,1,MATCH(COLUMNS($V$1006:W1006),$V$1006:$AE$1006,0)))),"Fix")))</f>
        <v>0</v>
      </c>
      <c r="D959" s="3">
        <f>IF(OR(INDEX($P$2:$P$1001,MATCH(ROWS($O$2:O959),$O$2:$O$1001,0),1)&gt;=100000,INDEX($V$1005:$AE$1005,1,MATCH(COLUMNS($V$1006:X1006),$V$1006:$AE$1006,0))&gt;=100000), " ",IF(INDEX($V$2:$AE$1001,MATCH(ROWS($O$2:O959),$O$2:$O$1001,0),MATCH(COLUMNS($V$1006:X1006),$V$1006:$AE$1006,0)), HYPERLINK("#",""), HYPERLINK(CONCATENATE("#Metadata!", ADDRESS(INDEX($Q$2:$Q$1001,MATCH(ROWS($O$2:O959),$O$2:$O$1001,0),0), INDEX($V$1004:$AE$1004,1,MATCH(COLUMNS($V$1006:X1006),$V$1006:$AE$1006,0)))),"Fix")))</f>
        <v>0</v>
      </c>
      <c r="E959" s="3">
        <f>IF(OR(INDEX($P$2:$P$1001,MATCH(ROWS($O$2:O959),$O$2:$O$1001,0),1)&gt;=100000,INDEX($V$1005:$AE$1005,1,MATCH(COLUMNS($V$1006:Y1006),$V$1006:$AE$1006,0))&gt;=100000), " ",IF(INDEX($V$2:$AE$1001,MATCH(ROWS($O$2:O959),$O$2:$O$1001,0),MATCH(COLUMNS($V$1006:Y1006),$V$1006:$AE$1006,0)), HYPERLINK("#",""), HYPERLINK(CONCATENATE("#Metadata!", ADDRESS(INDEX($Q$2:$Q$1001,MATCH(ROWS($O$2:O959),$O$2:$O$1001,0),0), INDEX($V$1004:$AE$1004,1,MATCH(COLUMNS($V$1006:Y1006),$V$1006:$AE$1006,0)))),"Fix")))</f>
        <v>0</v>
      </c>
      <c r="F959" s="3">
        <f>IF(OR(INDEX($P$2:$P$1001,MATCH(ROWS($O$2:O959),$O$2:$O$1001,0),1)&gt;=100000,INDEX($V$1005:$AE$1005,1,MATCH(COLUMNS($V$1006:Z1006),$V$1006:$AE$1006,0))&gt;=100000), " ",IF(INDEX($V$2:$AE$1001,MATCH(ROWS($O$2:O959),$O$2:$O$1001,0),MATCH(COLUMNS($V$1006:Z1006),$V$1006:$AE$1006,0)), HYPERLINK("#",""), HYPERLINK(CONCATENATE("#Metadata!", ADDRESS(INDEX($Q$2:$Q$1001,MATCH(ROWS($O$2:O959),$O$2:$O$1001,0),0), INDEX($V$1004:$AE$1004,1,MATCH(COLUMNS($V$1006:Z1006),$V$1006:$AE$1006,0)))),"Fix")))</f>
        <v>0</v>
      </c>
      <c r="G959" s="3">
        <f>IF(OR(INDEX($P$2:$P$1001,MATCH(ROWS($O$2:O959),$O$2:$O$1001,0),1)&gt;=100000,INDEX($V$1005:$AE$1005,1,MATCH(COLUMNS($V$1006:AA1006),$V$1006:$AE$1006,0))&gt;=100000), " ",IF(INDEX($V$2:$AE$1001,MATCH(ROWS($O$2:O959),$O$2:$O$1001,0),MATCH(COLUMNS($V$1006:AA1006),$V$1006:$AE$1006,0)), HYPERLINK("#",""), HYPERLINK(CONCATENATE("#Metadata!", ADDRESS(INDEX($Q$2:$Q$1001,MATCH(ROWS($O$2:O959),$O$2:$O$1001,0),0), INDEX($V$1004:$AE$1004,1,MATCH(COLUMNS($V$1006:AA1006),$V$1006:$AE$1006,0)))),"Fix")))</f>
        <v>0</v>
      </c>
      <c r="H959" s="3">
        <f>IF(OR(INDEX($P$2:$P$1001,MATCH(ROWS($O$2:O959),$O$2:$O$1001,0),1)&gt;=100000,INDEX($V$1005:$AE$1005,1,MATCH(COLUMNS($V$1006:AB1006),$V$1006:$AE$1006,0))&gt;=100000), " ",IF(INDEX($V$2:$AE$1001,MATCH(ROWS($O$2:O959),$O$2:$O$1001,0),MATCH(COLUMNS($V$1006:AB1006),$V$1006:$AE$1006,0)), HYPERLINK("#",""), HYPERLINK(CONCATENATE("#Metadata!", ADDRESS(INDEX($Q$2:$Q$1001,MATCH(ROWS($O$2:O959),$O$2:$O$1001,0),0), INDEX($V$1004:$AE$1004,1,MATCH(COLUMNS($V$1006:AB1006),$V$1006:$AE$1006,0)))),"Fix")))</f>
        <v>0</v>
      </c>
      <c r="I959" s="3">
        <f>IF(OR(INDEX($P$2:$P$1001,MATCH(ROWS($O$2:O959),$O$2:$O$1001,0),1)&gt;=100000,INDEX($V$1005:$AE$1005,1,MATCH(COLUMNS($V$1006:AC1006),$V$1006:$AE$1006,0))&gt;=100000), " ",IF(INDEX($V$2:$AE$1001,MATCH(ROWS($O$2:O959),$O$2:$O$1001,0),MATCH(COLUMNS($V$1006:AC1006),$V$1006:$AE$1006,0)), HYPERLINK("#",""), HYPERLINK(CONCATENATE("#Metadata!", ADDRESS(INDEX($Q$2:$Q$1001,MATCH(ROWS($O$2:O959),$O$2:$O$1001,0),0), INDEX($V$1004:$AE$1004,1,MATCH(COLUMNS($V$1006:AC1006),$V$1006:$AE$1006,0)))),"Fix")))</f>
        <v>0</v>
      </c>
      <c r="J959" s="3">
        <f>IF(OR(INDEX($P$2:$P$1001,MATCH(ROWS($O$2:O959),$O$2:$O$1001,0),1)&gt;=100000,INDEX($V$1005:$AE$1005,1,MATCH(COLUMNS($V$1006:AD1006),$V$1006:$AE$1006,0))&gt;=100000), " ",IF(INDEX($V$2:$AE$1001,MATCH(ROWS($O$2:O959),$O$2:$O$1001,0),MATCH(COLUMNS($V$1006:AD1006),$V$1006:$AE$1006,0)), HYPERLINK("#",""), HYPERLINK(CONCATENATE("#Metadata!", ADDRESS(INDEX($Q$2:$Q$1001,MATCH(ROWS($O$2:O959),$O$2:$O$1001,0),0), INDEX($V$1004:$AE$1004,1,MATCH(COLUMNS($V$1006:AD1006),$V$1006:$AE$1006,0)))),"Fix")))</f>
        <v>0</v>
      </c>
      <c r="K959" s="3">
        <f>IF(OR(INDEX($P$2:$P$1001,MATCH(ROWS($O$2:O959),$O$2:$O$1001,0),1)&gt;=100000,INDEX($V$1005:$AE$1005,1,MATCH(COLUMNS($V$1006:AE1006),$V$1006:$AE$1006,0))&gt;=100000), " ",IF(INDEX($V$2:$AE$1001,MATCH(ROWS($O$2:O959),$O$2:$O$1001,0),MATCH(COLUMNS($V$1006:AE1006),$V$1006:$AE$1006,0)), HYPERLINK("#",""), HYPERLINK(CONCATENATE("#Metadata!", ADDRESS(INDEX($Q$2:$Q$1001,MATCH(ROWS($O$2:O959),$O$2:$O$1001,0),0), INDEX($V$1004:$AE$1004,1,MATCH(COLUMNS($V$1006:AE1006),$V$1006:$AE$1006,0)))),"Fix")))</f>
        <v>0</v>
      </c>
      <c r="O959">
        <v>0</v>
      </c>
      <c r="P959">
        <v>0</v>
      </c>
      <c r="Q959">
        <v>0</v>
      </c>
      <c r="R959">
        <f>IF(S959,TRUE,AND(V959:AE959))</f>
        <v>0</v>
      </c>
      <c r="S959">
        <f>COUNTBLANK(Metadata!B959:K959)=COLUMNS(Metadata!B959:K959)</f>
        <v>0</v>
      </c>
      <c r="T959">
        <v>0</v>
      </c>
      <c r="V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W959">
        <f>AND(IF(Metadata!C959="",FALSE,TRUE),exact(Metadata!C959,"animal secretion"))</f>
        <v>0</v>
      </c>
      <c r="X959">
        <f>AND(IF(Metadata!D959="",FALSE,TRUE),exact(Metadata!D959,"saliva"))</f>
        <v>0</v>
      </c>
      <c r="Y959">
        <f>AND(IF(Metadata!E959="",FALSE,TRUE),exact(Metadata!E959,"human-oral"))</f>
        <v>0</v>
      </c>
      <c r="Z959">
        <f>AND(IF(Metadata!F959="",FALSE,TRUE),exact(Metadata!F959,"UBERON:oral cavity"))</f>
        <v>0</v>
      </c>
      <c r="AA959">
        <f>AND(IF(Metadata!G959="",FALSE,TRUE),exact(Metadata!G959,"UBERON:saliva"))</f>
        <v>0</v>
      </c>
      <c r="AB959">
        <f>AND(IF(Metadata!H959="",FALSE,TRUE),exact(Metadata!H959,"UBERON:tongue"))</f>
        <v>0</v>
      </c>
      <c r="AC959">
        <f>AND(IF(Metadata!I959="",FALSE,TRUE),exact(Metadata!I959,"tongue"))</f>
        <v>0</v>
      </c>
      <c r="AD959">
        <f>AND(IF(Metadata!J959="",FALSE,TRUE),exact(Metadata!J959,"human oral metagenome"))</f>
        <v>0</v>
      </c>
      <c r="AE959">
        <f>AND(IF(Metadata!K959="",FALSE,TRUE),exact(Metadata!K959,"447426"))</f>
        <v>0</v>
      </c>
    </row>
    <row r="960" spans="1:31">
      <c r="A960" s="4">
        <f>IF(B960=" "," ",HYPERLINK(CONCATENATE("#metadata!",ADDRESS(INDEX($Q$2:$Q$1001,MATCH(ROWS($O$2:O960),$O$2:$O$1001,0),0),1)),INDEX($T$2:$T$1001,MATCH(ROWS($O$2:O960),$O$2:$O$1001,0),0)))</f>
        <v>0</v>
      </c>
      <c r="B960" s="3">
        <f>IF(OR(INDEX($P$2:$P$1001,MATCH(ROWS($O$2:O960),$O$2:$O$1001,0),1)&gt;=100000,INDEX($V$1005:$AE$1005,1,MATCH(COLUMNS($V$1006:V1006),$V$1006:$AE$1006,0))&gt;=100000), " ",IF(INDEX($V$2:$AE$1001,MATCH(ROWS($O$2:O960),$O$2:$O$1001,0),MATCH(COLUMNS($V$1006:V1006),$V$1006:$AE$1006,0)), HYPERLINK("#",""), HYPERLINK(CONCATENATE("#Metadata!", ADDRESS(INDEX($Q$2:$Q$1001,MATCH(ROWS($O$2:O960),$O$2:$O$1001,0),0), INDEX($V$1004:$AE$1004,1,MATCH(COLUMNS($V$1006:V1006),$V$1006:$AE$1006,0)))),"Fix")))</f>
        <v>0</v>
      </c>
      <c r="C960" s="3">
        <f>IF(OR(INDEX($P$2:$P$1001,MATCH(ROWS($O$2:O960),$O$2:$O$1001,0),1)&gt;=100000,INDEX($V$1005:$AE$1005,1,MATCH(COLUMNS($V$1006:W1006),$V$1006:$AE$1006,0))&gt;=100000), " ",IF(INDEX($V$2:$AE$1001,MATCH(ROWS($O$2:O960),$O$2:$O$1001,0),MATCH(COLUMNS($V$1006:W1006),$V$1006:$AE$1006,0)), HYPERLINK("#",""), HYPERLINK(CONCATENATE("#Metadata!", ADDRESS(INDEX($Q$2:$Q$1001,MATCH(ROWS($O$2:O960),$O$2:$O$1001,0),0), INDEX($V$1004:$AE$1004,1,MATCH(COLUMNS($V$1006:W1006),$V$1006:$AE$1006,0)))),"Fix")))</f>
        <v>0</v>
      </c>
      <c r="D960" s="3">
        <f>IF(OR(INDEX($P$2:$P$1001,MATCH(ROWS($O$2:O960),$O$2:$O$1001,0),1)&gt;=100000,INDEX($V$1005:$AE$1005,1,MATCH(COLUMNS($V$1006:X1006),$V$1006:$AE$1006,0))&gt;=100000), " ",IF(INDEX($V$2:$AE$1001,MATCH(ROWS($O$2:O960),$O$2:$O$1001,0),MATCH(COLUMNS($V$1006:X1006),$V$1006:$AE$1006,0)), HYPERLINK("#",""), HYPERLINK(CONCATENATE("#Metadata!", ADDRESS(INDEX($Q$2:$Q$1001,MATCH(ROWS($O$2:O960),$O$2:$O$1001,0),0), INDEX($V$1004:$AE$1004,1,MATCH(COLUMNS($V$1006:X1006),$V$1006:$AE$1006,0)))),"Fix")))</f>
        <v>0</v>
      </c>
      <c r="E960" s="3">
        <f>IF(OR(INDEX($P$2:$P$1001,MATCH(ROWS($O$2:O960),$O$2:$O$1001,0),1)&gt;=100000,INDEX($V$1005:$AE$1005,1,MATCH(COLUMNS($V$1006:Y1006),$V$1006:$AE$1006,0))&gt;=100000), " ",IF(INDEX($V$2:$AE$1001,MATCH(ROWS($O$2:O960),$O$2:$O$1001,0),MATCH(COLUMNS($V$1006:Y1006),$V$1006:$AE$1006,0)), HYPERLINK("#",""), HYPERLINK(CONCATENATE("#Metadata!", ADDRESS(INDEX($Q$2:$Q$1001,MATCH(ROWS($O$2:O960),$O$2:$O$1001,0),0), INDEX($V$1004:$AE$1004,1,MATCH(COLUMNS($V$1006:Y1006),$V$1006:$AE$1006,0)))),"Fix")))</f>
        <v>0</v>
      </c>
      <c r="F960" s="3">
        <f>IF(OR(INDEX($P$2:$P$1001,MATCH(ROWS($O$2:O960),$O$2:$O$1001,0),1)&gt;=100000,INDEX($V$1005:$AE$1005,1,MATCH(COLUMNS($V$1006:Z1006),$V$1006:$AE$1006,0))&gt;=100000), " ",IF(INDEX($V$2:$AE$1001,MATCH(ROWS($O$2:O960),$O$2:$O$1001,0),MATCH(COLUMNS($V$1006:Z1006),$V$1006:$AE$1006,0)), HYPERLINK("#",""), HYPERLINK(CONCATENATE("#Metadata!", ADDRESS(INDEX($Q$2:$Q$1001,MATCH(ROWS($O$2:O960),$O$2:$O$1001,0),0), INDEX($V$1004:$AE$1004,1,MATCH(COLUMNS($V$1006:Z1006),$V$1006:$AE$1006,0)))),"Fix")))</f>
        <v>0</v>
      </c>
      <c r="G960" s="3">
        <f>IF(OR(INDEX($P$2:$P$1001,MATCH(ROWS($O$2:O960),$O$2:$O$1001,0),1)&gt;=100000,INDEX($V$1005:$AE$1005,1,MATCH(COLUMNS($V$1006:AA1006),$V$1006:$AE$1006,0))&gt;=100000), " ",IF(INDEX($V$2:$AE$1001,MATCH(ROWS($O$2:O960),$O$2:$O$1001,0),MATCH(COLUMNS($V$1006:AA1006),$V$1006:$AE$1006,0)), HYPERLINK("#",""), HYPERLINK(CONCATENATE("#Metadata!", ADDRESS(INDEX($Q$2:$Q$1001,MATCH(ROWS($O$2:O960),$O$2:$O$1001,0),0), INDEX($V$1004:$AE$1004,1,MATCH(COLUMNS($V$1006:AA1006),$V$1006:$AE$1006,0)))),"Fix")))</f>
        <v>0</v>
      </c>
      <c r="H960" s="3">
        <f>IF(OR(INDEX($P$2:$P$1001,MATCH(ROWS($O$2:O960),$O$2:$O$1001,0),1)&gt;=100000,INDEX($V$1005:$AE$1005,1,MATCH(COLUMNS($V$1006:AB1006),$V$1006:$AE$1006,0))&gt;=100000), " ",IF(INDEX($V$2:$AE$1001,MATCH(ROWS($O$2:O960),$O$2:$O$1001,0),MATCH(COLUMNS($V$1006:AB1006),$V$1006:$AE$1006,0)), HYPERLINK("#",""), HYPERLINK(CONCATENATE("#Metadata!", ADDRESS(INDEX($Q$2:$Q$1001,MATCH(ROWS($O$2:O960),$O$2:$O$1001,0),0), INDEX($V$1004:$AE$1004,1,MATCH(COLUMNS($V$1006:AB1006),$V$1006:$AE$1006,0)))),"Fix")))</f>
        <v>0</v>
      </c>
      <c r="I960" s="3">
        <f>IF(OR(INDEX($P$2:$P$1001,MATCH(ROWS($O$2:O960),$O$2:$O$1001,0),1)&gt;=100000,INDEX($V$1005:$AE$1005,1,MATCH(COLUMNS($V$1006:AC1006),$V$1006:$AE$1006,0))&gt;=100000), " ",IF(INDEX($V$2:$AE$1001,MATCH(ROWS($O$2:O960),$O$2:$O$1001,0),MATCH(COLUMNS($V$1006:AC1006),$V$1006:$AE$1006,0)), HYPERLINK("#",""), HYPERLINK(CONCATENATE("#Metadata!", ADDRESS(INDEX($Q$2:$Q$1001,MATCH(ROWS($O$2:O960),$O$2:$O$1001,0),0), INDEX($V$1004:$AE$1004,1,MATCH(COLUMNS($V$1006:AC1006),$V$1006:$AE$1006,0)))),"Fix")))</f>
        <v>0</v>
      </c>
      <c r="J960" s="3">
        <f>IF(OR(INDEX($P$2:$P$1001,MATCH(ROWS($O$2:O960),$O$2:$O$1001,0),1)&gt;=100000,INDEX($V$1005:$AE$1005,1,MATCH(COLUMNS($V$1006:AD1006),$V$1006:$AE$1006,0))&gt;=100000), " ",IF(INDEX($V$2:$AE$1001,MATCH(ROWS($O$2:O960),$O$2:$O$1001,0),MATCH(COLUMNS($V$1006:AD1006),$V$1006:$AE$1006,0)), HYPERLINK("#",""), HYPERLINK(CONCATENATE("#Metadata!", ADDRESS(INDEX($Q$2:$Q$1001,MATCH(ROWS($O$2:O960),$O$2:$O$1001,0),0), INDEX($V$1004:$AE$1004,1,MATCH(COLUMNS($V$1006:AD1006),$V$1006:$AE$1006,0)))),"Fix")))</f>
        <v>0</v>
      </c>
      <c r="K960" s="3">
        <f>IF(OR(INDEX($P$2:$P$1001,MATCH(ROWS($O$2:O960),$O$2:$O$1001,0),1)&gt;=100000,INDEX($V$1005:$AE$1005,1,MATCH(COLUMNS($V$1006:AE1006),$V$1006:$AE$1006,0))&gt;=100000), " ",IF(INDEX($V$2:$AE$1001,MATCH(ROWS($O$2:O960),$O$2:$O$1001,0),MATCH(COLUMNS($V$1006:AE1006),$V$1006:$AE$1006,0)), HYPERLINK("#",""), HYPERLINK(CONCATENATE("#Metadata!", ADDRESS(INDEX($Q$2:$Q$1001,MATCH(ROWS($O$2:O960),$O$2:$O$1001,0),0), INDEX($V$1004:$AE$1004,1,MATCH(COLUMNS($V$1006:AE1006),$V$1006:$AE$1006,0)))),"Fix")))</f>
        <v>0</v>
      </c>
      <c r="O960">
        <v>0</v>
      </c>
      <c r="P960">
        <v>0</v>
      </c>
      <c r="Q960">
        <v>0</v>
      </c>
      <c r="R960">
        <f>IF(S960,TRUE,AND(V960:AE960))</f>
        <v>0</v>
      </c>
      <c r="S960">
        <f>COUNTBLANK(Metadata!B960:K960)=COLUMNS(Metadata!B960:K960)</f>
        <v>0</v>
      </c>
      <c r="T960">
        <v>0</v>
      </c>
      <c r="V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W960">
        <f>AND(IF(Metadata!C960="",FALSE,TRUE),exact(Metadata!C960,"animal secretion"))</f>
        <v>0</v>
      </c>
      <c r="X960">
        <f>AND(IF(Metadata!D960="",FALSE,TRUE),exact(Metadata!D960,"saliva"))</f>
        <v>0</v>
      </c>
      <c r="Y960">
        <f>AND(IF(Metadata!E960="",FALSE,TRUE),exact(Metadata!E960,"human-oral"))</f>
        <v>0</v>
      </c>
      <c r="Z960">
        <f>AND(IF(Metadata!F960="",FALSE,TRUE),exact(Metadata!F960,"UBERON:oral cavity"))</f>
        <v>0</v>
      </c>
      <c r="AA960">
        <f>AND(IF(Metadata!G960="",FALSE,TRUE),exact(Metadata!G960,"UBERON:saliva"))</f>
        <v>0</v>
      </c>
      <c r="AB960">
        <f>AND(IF(Metadata!H960="",FALSE,TRUE),exact(Metadata!H960,"UBERON:tongue"))</f>
        <v>0</v>
      </c>
      <c r="AC960">
        <f>AND(IF(Metadata!I960="",FALSE,TRUE),exact(Metadata!I960,"tongue"))</f>
        <v>0</v>
      </c>
      <c r="AD960">
        <f>AND(IF(Metadata!J960="",FALSE,TRUE),exact(Metadata!J960,"human oral metagenome"))</f>
        <v>0</v>
      </c>
      <c r="AE960">
        <f>AND(IF(Metadata!K960="",FALSE,TRUE),exact(Metadata!K960,"447426"))</f>
        <v>0</v>
      </c>
    </row>
    <row r="961" spans="1:31">
      <c r="A961" s="4">
        <f>IF(B961=" "," ",HYPERLINK(CONCATENATE("#metadata!",ADDRESS(INDEX($Q$2:$Q$1001,MATCH(ROWS($O$2:O961),$O$2:$O$1001,0),0),1)),INDEX($T$2:$T$1001,MATCH(ROWS($O$2:O961),$O$2:$O$1001,0),0)))</f>
        <v>0</v>
      </c>
      <c r="B961" s="3">
        <f>IF(OR(INDEX($P$2:$P$1001,MATCH(ROWS($O$2:O961),$O$2:$O$1001,0),1)&gt;=100000,INDEX($V$1005:$AE$1005,1,MATCH(COLUMNS($V$1006:V1006),$V$1006:$AE$1006,0))&gt;=100000), " ",IF(INDEX($V$2:$AE$1001,MATCH(ROWS($O$2:O961),$O$2:$O$1001,0),MATCH(COLUMNS($V$1006:V1006),$V$1006:$AE$1006,0)), HYPERLINK("#",""), HYPERLINK(CONCATENATE("#Metadata!", ADDRESS(INDEX($Q$2:$Q$1001,MATCH(ROWS($O$2:O961),$O$2:$O$1001,0),0), INDEX($V$1004:$AE$1004,1,MATCH(COLUMNS($V$1006:V1006),$V$1006:$AE$1006,0)))),"Fix")))</f>
        <v>0</v>
      </c>
      <c r="C961" s="3">
        <f>IF(OR(INDEX($P$2:$P$1001,MATCH(ROWS($O$2:O961),$O$2:$O$1001,0),1)&gt;=100000,INDEX($V$1005:$AE$1005,1,MATCH(COLUMNS($V$1006:W1006),$V$1006:$AE$1006,0))&gt;=100000), " ",IF(INDEX($V$2:$AE$1001,MATCH(ROWS($O$2:O961),$O$2:$O$1001,0),MATCH(COLUMNS($V$1006:W1006),$V$1006:$AE$1006,0)), HYPERLINK("#",""), HYPERLINK(CONCATENATE("#Metadata!", ADDRESS(INDEX($Q$2:$Q$1001,MATCH(ROWS($O$2:O961),$O$2:$O$1001,0),0), INDEX($V$1004:$AE$1004,1,MATCH(COLUMNS($V$1006:W1006),$V$1006:$AE$1006,0)))),"Fix")))</f>
        <v>0</v>
      </c>
      <c r="D961" s="3">
        <f>IF(OR(INDEX($P$2:$P$1001,MATCH(ROWS($O$2:O961),$O$2:$O$1001,0),1)&gt;=100000,INDEX($V$1005:$AE$1005,1,MATCH(COLUMNS($V$1006:X1006),$V$1006:$AE$1006,0))&gt;=100000), " ",IF(INDEX($V$2:$AE$1001,MATCH(ROWS($O$2:O961),$O$2:$O$1001,0),MATCH(COLUMNS($V$1006:X1006),$V$1006:$AE$1006,0)), HYPERLINK("#",""), HYPERLINK(CONCATENATE("#Metadata!", ADDRESS(INDEX($Q$2:$Q$1001,MATCH(ROWS($O$2:O961),$O$2:$O$1001,0),0), INDEX($V$1004:$AE$1004,1,MATCH(COLUMNS($V$1006:X1006),$V$1006:$AE$1006,0)))),"Fix")))</f>
        <v>0</v>
      </c>
      <c r="E961" s="3">
        <f>IF(OR(INDEX($P$2:$P$1001,MATCH(ROWS($O$2:O961),$O$2:$O$1001,0),1)&gt;=100000,INDEX($V$1005:$AE$1005,1,MATCH(COLUMNS($V$1006:Y1006),$V$1006:$AE$1006,0))&gt;=100000), " ",IF(INDEX($V$2:$AE$1001,MATCH(ROWS($O$2:O961),$O$2:$O$1001,0),MATCH(COLUMNS($V$1006:Y1006),$V$1006:$AE$1006,0)), HYPERLINK("#",""), HYPERLINK(CONCATENATE("#Metadata!", ADDRESS(INDEX($Q$2:$Q$1001,MATCH(ROWS($O$2:O961),$O$2:$O$1001,0),0), INDEX($V$1004:$AE$1004,1,MATCH(COLUMNS($V$1006:Y1006),$V$1006:$AE$1006,0)))),"Fix")))</f>
        <v>0</v>
      </c>
      <c r="F961" s="3">
        <f>IF(OR(INDEX($P$2:$P$1001,MATCH(ROWS($O$2:O961),$O$2:$O$1001,0),1)&gt;=100000,INDEX($V$1005:$AE$1005,1,MATCH(COLUMNS($V$1006:Z1006),$V$1006:$AE$1006,0))&gt;=100000), " ",IF(INDEX($V$2:$AE$1001,MATCH(ROWS($O$2:O961),$O$2:$O$1001,0),MATCH(COLUMNS($V$1006:Z1006),$V$1006:$AE$1006,0)), HYPERLINK("#",""), HYPERLINK(CONCATENATE("#Metadata!", ADDRESS(INDEX($Q$2:$Q$1001,MATCH(ROWS($O$2:O961),$O$2:$O$1001,0),0), INDEX($V$1004:$AE$1004,1,MATCH(COLUMNS($V$1006:Z1006),$V$1006:$AE$1006,0)))),"Fix")))</f>
        <v>0</v>
      </c>
      <c r="G961" s="3">
        <f>IF(OR(INDEX($P$2:$P$1001,MATCH(ROWS($O$2:O961),$O$2:$O$1001,0),1)&gt;=100000,INDEX($V$1005:$AE$1005,1,MATCH(COLUMNS($V$1006:AA1006),$V$1006:$AE$1006,0))&gt;=100000), " ",IF(INDEX($V$2:$AE$1001,MATCH(ROWS($O$2:O961),$O$2:$O$1001,0),MATCH(COLUMNS($V$1006:AA1006),$V$1006:$AE$1006,0)), HYPERLINK("#",""), HYPERLINK(CONCATENATE("#Metadata!", ADDRESS(INDEX($Q$2:$Q$1001,MATCH(ROWS($O$2:O961),$O$2:$O$1001,0),0), INDEX($V$1004:$AE$1004,1,MATCH(COLUMNS($V$1006:AA1006),$V$1006:$AE$1006,0)))),"Fix")))</f>
        <v>0</v>
      </c>
      <c r="H961" s="3">
        <f>IF(OR(INDEX($P$2:$P$1001,MATCH(ROWS($O$2:O961),$O$2:$O$1001,0),1)&gt;=100000,INDEX($V$1005:$AE$1005,1,MATCH(COLUMNS($V$1006:AB1006),$V$1006:$AE$1006,0))&gt;=100000), " ",IF(INDEX($V$2:$AE$1001,MATCH(ROWS($O$2:O961),$O$2:$O$1001,0),MATCH(COLUMNS($V$1006:AB1006),$V$1006:$AE$1006,0)), HYPERLINK("#",""), HYPERLINK(CONCATENATE("#Metadata!", ADDRESS(INDEX($Q$2:$Q$1001,MATCH(ROWS($O$2:O961),$O$2:$O$1001,0),0), INDEX($V$1004:$AE$1004,1,MATCH(COLUMNS($V$1006:AB1006),$V$1006:$AE$1006,0)))),"Fix")))</f>
        <v>0</v>
      </c>
      <c r="I961" s="3">
        <f>IF(OR(INDEX($P$2:$P$1001,MATCH(ROWS($O$2:O961),$O$2:$O$1001,0),1)&gt;=100000,INDEX($V$1005:$AE$1005,1,MATCH(COLUMNS($V$1006:AC1006),$V$1006:$AE$1006,0))&gt;=100000), " ",IF(INDEX($V$2:$AE$1001,MATCH(ROWS($O$2:O961),$O$2:$O$1001,0),MATCH(COLUMNS($V$1006:AC1006),$V$1006:$AE$1006,0)), HYPERLINK("#",""), HYPERLINK(CONCATENATE("#Metadata!", ADDRESS(INDEX($Q$2:$Q$1001,MATCH(ROWS($O$2:O961),$O$2:$O$1001,0),0), INDEX($V$1004:$AE$1004,1,MATCH(COLUMNS($V$1006:AC1006),$V$1006:$AE$1006,0)))),"Fix")))</f>
        <v>0</v>
      </c>
      <c r="J961" s="3">
        <f>IF(OR(INDEX($P$2:$P$1001,MATCH(ROWS($O$2:O961),$O$2:$O$1001,0),1)&gt;=100000,INDEX($V$1005:$AE$1005,1,MATCH(COLUMNS($V$1006:AD1006),$V$1006:$AE$1006,0))&gt;=100000), " ",IF(INDEX($V$2:$AE$1001,MATCH(ROWS($O$2:O961),$O$2:$O$1001,0),MATCH(COLUMNS($V$1006:AD1006),$V$1006:$AE$1006,0)), HYPERLINK("#",""), HYPERLINK(CONCATENATE("#Metadata!", ADDRESS(INDEX($Q$2:$Q$1001,MATCH(ROWS($O$2:O961),$O$2:$O$1001,0),0), INDEX($V$1004:$AE$1004,1,MATCH(COLUMNS($V$1006:AD1006),$V$1006:$AE$1006,0)))),"Fix")))</f>
        <v>0</v>
      </c>
      <c r="K961" s="3">
        <f>IF(OR(INDEX($P$2:$P$1001,MATCH(ROWS($O$2:O961),$O$2:$O$1001,0),1)&gt;=100000,INDEX($V$1005:$AE$1005,1,MATCH(COLUMNS($V$1006:AE1006),$V$1006:$AE$1006,0))&gt;=100000), " ",IF(INDEX($V$2:$AE$1001,MATCH(ROWS($O$2:O961),$O$2:$O$1001,0),MATCH(COLUMNS($V$1006:AE1006),$V$1006:$AE$1006,0)), HYPERLINK("#",""), HYPERLINK(CONCATENATE("#Metadata!", ADDRESS(INDEX($Q$2:$Q$1001,MATCH(ROWS($O$2:O961),$O$2:$O$1001,0),0), INDEX($V$1004:$AE$1004,1,MATCH(COLUMNS($V$1006:AE1006),$V$1006:$AE$1006,0)))),"Fix")))</f>
        <v>0</v>
      </c>
      <c r="O961">
        <v>0</v>
      </c>
      <c r="P961">
        <v>0</v>
      </c>
      <c r="Q961">
        <v>0</v>
      </c>
      <c r="R961">
        <f>IF(S961,TRUE,AND(V961:AE961))</f>
        <v>0</v>
      </c>
      <c r="S961">
        <f>COUNTBLANK(Metadata!B961:K961)=COLUMNS(Metadata!B961:K961)</f>
        <v>0</v>
      </c>
      <c r="T961">
        <v>0</v>
      </c>
      <c r="V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W961">
        <f>AND(IF(Metadata!C961="",FALSE,TRUE),exact(Metadata!C961,"animal secretion"))</f>
        <v>0</v>
      </c>
      <c r="X961">
        <f>AND(IF(Metadata!D961="",FALSE,TRUE),exact(Metadata!D961,"saliva"))</f>
        <v>0</v>
      </c>
      <c r="Y961">
        <f>AND(IF(Metadata!E961="",FALSE,TRUE),exact(Metadata!E961,"human-oral"))</f>
        <v>0</v>
      </c>
      <c r="Z961">
        <f>AND(IF(Metadata!F961="",FALSE,TRUE),exact(Metadata!F961,"UBERON:oral cavity"))</f>
        <v>0</v>
      </c>
      <c r="AA961">
        <f>AND(IF(Metadata!G961="",FALSE,TRUE),exact(Metadata!G961,"UBERON:saliva"))</f>
        <v>0</v>
      </c>
      <c r="AB961">
        <f>AND(IF(Metadata!H961="",FALSE,TRUE),exact(Metadata!H961,"UBERON:tongue"))</f>
        <v>0</v>
      </c>
      <c r="AC961">
        <f>AND(IF(Metadata!I961="",FALSE,TRUE),exact(Metadata!I961,"tongue"))</f>
        <v>0</v>
      </c>
      <c r="AD961">
        <f>AND(IF(Metadata!J961="",FALSE,TRUE),exact(Metadata!J961,"human oral metagenome"))</f>
        <v>0</v>
      </c>
      <c r="AE961">
        <f>AND(IF(Metadata!K961="",FALSE,TRUE),exact(Metadata!K961,"447426"))</f>
        <v>0</v>
      </c>
    </row>
    <row r="962" spans="1:31">
      <c r="A962" s="4">
        <f>IF(B962=" "," ",HYPERLINK(CONCATENATE("#metadata!",ADDRESS(INDEX($Q$2:$Q$1001,MATCH(ROWS($O$2:O962),$O$2:$O$1001,0),0),1)),INDEX($T$2:$T$1001,MATCH(ROWS($O$2:O962),$O$2:$O$1001,0),0)))</f>
        <v>0</v>
      </c>
      <c r="B962" s="3">
        <f>IF(OR(INDEX($P$2:$P$1001,MATCH(ROWS($O$2:O962),$O$2:$O$1001,0),1)&gt;=100000,INDEX($V$1005:$AE$1005,1,MATCH(COLUMNS($V$1006:V1006),$V$1006:$AE$1006,0))&gt;=100000), " ",IF(INDEX($V$2:$AE$1001,MATCH(ROWS($O$2:O962),$O$2:$O$1001,0),MATCH(COLUMNS($V$1006:V1006),$V$1006:$AE$1006,0)), HYPERLINK("#",""), HYPERLINK(CONCATENATE("#Metadata!", ADDRESS(INDEX($Q$2:$Q$1001,MATCH(ROWS($O$2:O962),$O$2:$O$1001,0),0), INDEX($V$1004:$AE$1004,1,MATCH(COLUMNS($V$1006:V1006),$V$1006:$AE$1006,0)))),"Fix")))</f>
        <v>0</v>
      </c>
      <c r="C962" s="3">
        <f>IF(OR(INDEX($P$2:$P$1001,MATCH(ROWS($O$2:O962),$O$2:$O$1001,0),1)&gt;=100000,INDEX($V$1005:$AE$1005,1,MATCH(COLUMNS($V$1006:W1006),$V$1006:$AE$1006,0))&gt;=100000), " ",IF(INDEX($V$2:$AE$1001,MATCH(ROWS($O$2:O962),$O$2:$O$1001,0),MATCH(COLUMNS($V$1006:W1006),$V$1006:$AE$1006,0)), HYPERLINK("#",""), HYPERLINK(CONCATENATE("#Metadata!", ADDRESS(INDEX($Q$2:$Q$1001,MATCH(ROWS($O$2:O962),$O$2:$O$1001,0),0), INDEX($V$1004:$AE$1004,1,MATCH(COLUMNS($V$1006:W1006),$V$1006:$AE$1006,0)))),"Fix")))</f>
        <v>0</v>
      </c>
      <c r="D962" s="3">
        <f>IF(OR(INDEX($P$2:$P$1001,MATCH(ROWS($O$2:O962),$O$2:$O$1001,0),1)&gt;=100000,INDEX($V$1005:$AE$1005,1,MATCH(COLUMNS($V$1006:X1006),$V$1006:$AE$1006,0))&gt;=100000), " ",IF(INDEX($V$2:$AE$1001,MATCH(ROWS($O$2:O962),$O$2:$O$1001,0),MATCH(COLUMNS($V$1006:X1006),$V$1006:$AE$1006,0)), HYPERLINK("#",""), HYPERLINK(CONCATENATE("#Metadata!", ADDRESS(INDEX($Q$2:$Q$1001,MATCH(ROWS($O$2:O962),$O$2:$O$1001,0),0), INDEX($V$1004:$AE$1004,1,MATCH(COLUMNS($V$1006:X1006),$V$1006:$AE$1006,0)))),"Fix")))</f>
        <v>0</v>
      </c>
      <c r="E962" s="3">
        <f>IF(OR(INDEX($P$2:$P$1001,MATCH(ROWS($O$2:O962),$O$2:$O$1001,0),1)&gt;=100000,INDEX($V$1005:$AE$1005,1,MATCH(COLUMNS($V$1006:Y1006),$V$1006:$AE$1006,0))&gt;=100000), " ",IF(INDEX($V$2:$AE$1001,MATCH(ROWS($O$2:O962),$O$2:$O$1001,0),MATCH(COLUMNS($V$1006:Y1006),$V$1006:$AE$1006,0)), HYPERLINK("#",""), HYPERLINK(CONCATENATE("#Metadata!", ADDRESS(INDEX($Q$2:$Q$1001,MATCH(ROWS($O$2:O962),$O$2:$O$1001,0),0), INDEX($V$1004:$AE$1004,1,MATCH(COLUMNS($V$1006:Y1006),$V$1006:$AE$1006,0)))),"Fix")))</f>
        <v>0</v>
      </c>
      <c r="F962" s="3">
        <f>IF(OR(INDEX($P$2:$P$1001,MATCH(ROWS($O$2:O962),$O$2:$O$1001,0),1)&gt;=100000,INDEX($V$1005:$AE$1005,1,MATCH(COLUMNS($V$1006:Z1006),$V$1006:$AE$1006,0))&gt;=100000), " ",IF(INDEX($V$2:$AE$1001,MATCH(ROWS($O$2:O962),$O$2:$O$1001,0),MATCH(COLUMNS($V$1006:Z1006),$V$1006:$AE$1006,0)), HYPERLINK("#",""), HYPERLINK(CONCATENATE("#Metadata!", ADDRESS(INDEX($Q$2:$Q$1001,MATCH(ROWS($O$2:O962),$O$2:$O$1001,0),0), INDEX($V$1004:$AE$1004,1,MATCH(COLUMNS($V$1006:Z1006),$V$1006:$AE$1006,0)))),"Fix")))</f>
        <v>0</v>
      </c>
      <c r="G962" s="3">
        <f>IF(OR(INDEX($P$2:$P$1001,MATCH(ROWS($O$2:O962),$O$2:$O$1001,0),1)&gt;=100000,INDEX($V$1005:$AE$1005,1,MATCH(COLUMNS($V$1006:AA1006),$V$1006:$AE$1006,0))&gt;=100000), " ",IF(INDEX($V$2:$AE$1001,MATCH(ROWS($O$2:O962),$O$2:$O$1001,0),MATCH(COLUMNS($V$1006:AA1006),$V$1006:$AE$1006,0)), HYPERLINK("#",""), HYPERLINK(CONCATENATE("#Metadata!", ADDRESS(INDEX($Q$2:$Q$1001,MATCH(ROWS($O$2:O962),$O$2:$O$1001,0),0), INDEX($V$1004:$AE$1004,1,MATCH(COLUMNS($V$1006:AA1006),$V$1006:$AE$1006,0)))),"Fix")))</f>
        <v>0</v>
      </c>
      <c r="H962" s="3">
        <f>IF(OR(INDEX($P$2:$P$1001,MATCH(ROWS($O$2:O962),$O$2:$O$1001,0),1)&gt;=100000,INDEX($V$1005:$AE$1005,1,MATCH(COLUMNS($V$1006:AB1006),$V$1006:$AE$1006,0))&gt;=100000), " ",IF(INDEX($V$2:$AE$1001,MATCH(ROWS($O$2:O962),$O$2:$O$1001,0),MATCH(COLUMNS($V$1006:AB1006),$V$1006:$AE$1006,0)), HYPERLINK("#",""), HYPERLINK(CONCATENATE("#Metadata!", ADDRESS(INDEX($Q$2:$Q$1001,MATCH(ROWS($O$2:O962),$O$2:$O$1001,0),0), INDEX($V$1004:$AE$1004,1,MATCH(COLUMNS($V$1006:AB1006),$V$1006:$AE$1006,0)))),"Fix")))</f>
        <v>0</v>
      </c>
      <c r="I962" s="3">
        <f>IF(OR(INDEX($P$2:$P$1001,MATCH(ROWS($O$2:O962),$O$2:$O$1001,0),1)&gt;=100000,INDEX($V$1005:$AE$1005,1,MATCH(COLUMNS($V$1006:AC1006),$V$1006:$AE$1006,0))&gt;=100000), " ",IF(INDEX($V$2:$AE$1001,MATCH(ROWS($O$2:O962),$O$2:$O$1001,0),MATCH(COLUMNS($V$1006:AC1006),$V$1006:$AE$1006,0)), HYPERLINK("#",""), HYPERLINK(CONCATENATE("#Metadata!", ADDRESS(INDEX($Q$2:$Q$1001,MATCH(ROWS($O$2:O962),$O$2:$O$1001,0),0), INDEX($V$1004:$AE$1004,1,MATCH(COLUMNS($V$1006:AC1006),$V$1006:$AE$1006,0)))),"Fix")))</f>
        <v>0</v>
      </c>
      <c r="J962" s="3">
        <f>IF(OR(INDEX($P$2:$P$1001,MATCH(ROWS($O$2:O962),$O$2:$O$1001,0),1)&gt;=100000,INDEX($V$1005:$AE$1005,1,MATCH(COLUMNS($V$1006:AD1006),$V$1006:$AE$1006,0))&gt;=100000), " ",IF(INDEX($V$2:$AE$1001,MATCH(ROWS($O$2:O962),$O$2:$O$1001,0),MATCH(COLUMNS($V$1006:AD1006),$V$1006:$AE$1006,0)), HYPERLINK("#",""), HYPERLINK(CONCATENATE("#Metadata!", ADDRESS(INDEX($Q$2:$Q$1001,MATCH(ROWS($O$2:O962),$O$2:$O$1001,0),0), INDEX($V$1004:$AE$1004,1,MATCH(COLUMNS($V$1006:AD1006),$V$1006:$AE$1006,0)))),"Fix")))</f>
        <v>0</v>
      </c>
      <c r="K962" s="3">
        <f>IF(OR(INDEX($P$2:$P$1001,MATCH(ROWS($O$2:O962),$O$2:$O$1001,0),1)&gt;=100000,INDEX($V$1005:$AE$1005,1,MATCH(COLUMNS($V$1006:AE1006),$V$1006:$AE$1006,0))&gt;=100000), " ",IF(INDEX($V$2:$AE$1001,MATCH(ROWS($O$2:O962),$O$2:$O$1001,0),MATCH(COLUMNS($V$1006:AE1006),$V$1006:$AE$1006,0)), HYPERLINK("#",""), HYPERLINK(CONCATENATE("#Metadata!", ADDRESS(INDEX($Q$2:$Q$1001,MATCH(ROWS($O$2:O962),$O$2:$O$1001,0),0), INDEX($V$1004:$AE$1004,1,MATCH(COLUMNS($V$1006:AE1006),$V$1006:$AE$1006,0)))),"Fix")))</f>
        <v>0</v>
      </c>
      <c r="O962">
        <v>0</v>
      </c>
      <c r="P962">
        <v>0</v>
      </c>
      <c r="Q962">
        <v>0</v>
      </c>
      <c r="R962">
        <f>IF(S962,TRUE,AND(V962:AE962))</f>
        <v>0</v>
      </c>
      <c r="S962">
        <f>COUNTBLANK(Metadata!B962:K962)=COLUMNS(Metadata!B962:K962)</f>
        <v>0</v>
      </c>
      <c r="T962">
        <v>0</v>
      </c>
      <c r="V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W962">
        <f>AND(IF(Metadata!C962="",FALSE,TRUE),exact(Metadata!C962,"animal secretion"))</f>
        <v>0</v>
      </c>
      <c r="X962">
        <f>AND(IF(Metadata!D962="",FALSE,TRUE),exact(Metadata!D962,"saliva"))</f>
        <v>0</v>
      </c>
      <c r="Y962">
        <f>AND(IF(Metadata!E962="",FALSE,TRUE),exact(Metadata!E962,"human-oral"))</f>
        <v>0</v>
      </c>
      <c r="Z962">
        <f>AND(IF(Metadata!F962="",FALSE,TRUE),exact(Metadata!F962,"UBERON:oral cavity"))</f>
        <v>0</v>
      </c>
      <c r="AA962">
        <f>AND(IF(Metadata!G962="",FALSE,TRUE),exact(Metadata!G962,"UBERON:saliva"))</f>
        <v>0</v>
      </c>
      <c r="AB962">
        <f>AND(IF(Metadata!H962="",FALSE,TRUE),exact(Metadata!H962,"UBERON:tongue"))</f>
        <v>0</v>
      </c>
      <c r="AC962">
        <f>AND(IF(Metadata!I962="",FALSE,TRUE),exact(Metadata!I962,"tongue"))</f>
        <v>0</v>
      </c>
      <c r="AD962">
        <f>AND(IF(Metadata!J962="",FALSE,TRUE),exact(Metadata!J962,"human oral metagenome"))</f>
        <v>0</v>
      </c>
      <c r="AE962">
        <f>AND(IF(Metadata!K962="",FALSE,TRUE),exact(Metadata!K962,"447426"))</f>
        <v>0</v>
      </c>
    </row>
    <row r="963" spans="1:31">
      <c r="A963" s="4">
        <f>IF(B963=" "," ",HYPERLINK(CONCATENATE("#metadata!",ADDRESS(INDEX($Q$2:$Q$1001,MATCH(ROWS($O$2:O963),$O$2:$O$1001,0),0),1)),INDEX($T$2:$T$1001,MATCH(ROWS($O$2:O963),$O$2:$O$1001,0),0)))</f>
        <v>0</v>
      </c>
      <c r="B963" s="3">
        <f>IF(OR(INDEX($P$2:$P$1001,MATCH(ROWS($O$2:O963),$O$2:$O$1001,0),1)&gt;=100000,INDEX($V$1005:$AE$1005,1,MATCH(COLUMNS($V$1006:V1006),$V$1006:$AE$1006,0))&gt;=100000), " ",IF(INDEX($V$2:$AE$1001,MATCH(ROWS($O$2:O963),$O$2:$O$1001,0),MATCH(COLUMNS($V$1006:V1006),$V$1006:$AE$1006,0)), HYPERLINK("#",""), HYPERLINK(CONCATENATE("#Metadata!", ADDRESS(INDEX($Q$2:$Q$1001,MATCH(ROWS($O$2:O963),$O$2:$O$1001,0),0), INDEX($V$1004:$AE$1004,1,MATCH(COLUMNS($V$1006:V1006),$V$1006:$AE$1006,0)))),"Fix")))</f>
        <v>0</v>
      </c>
      <c r="C963" s="3">
        <f>IF(OR(INDEX($P$2:$P$1001,MATCH(ROWS($O$2:O963),$O$2:$O$1001,0),1)&gt;=100000,INDEX($V$1005:$AE$1005,1,MATCH(COLUMNS($V$1006:W1006),$V$1006:$AE$1006,0))&gt;=100000), " ",IF(INDEX($V$2:$AE$1001,MATCH(ROWS($O$2:O963),$O$2:$O$1001,0),MATCH(COLUMNS($V$1006:W1006),$V$1006:$AE$1006,0)), HYPERLINK("#",""), HYPERLINK(CONCATENATE("#Metadata!", ADDRESS(INDEX($Q$2:$Q$1001,MATCH(ROWS($O$2:O963),$O$2:$O$1001,0),0), INDEX($V$1004:$AE$1004,1,MATCH(COLUMNS($V$1006:W1006),$V$1006:$AE$1006,0)))),"Fix")))</f>
        <v>0</v>
      </c>
      <c r="D963" s="3">
        <f>IF(OR(INDEX($P$2:$P$1001,MATCH(ROWS($O$2:O963),$O$2:$O$1001,0),1)&gt;=100000,INDEX($V$1005:$AE$1005,1,MATCH(COLUMNS($V$1006:X1006),$V$1006:$AE$1006,0))&gt;=100000), " ",IF(INDEX($V$2:$AE$1001,MATCH(ROWS($O$2:O963),$O$2:$O$1001,0),MATCH(COLUMNS($V$1006:X1006),$V$1006:$AE$1006,0)), HYPERLINK("#",""), HYPERLINK(CONCATENATE("#Metadata!", ADDRESS(INDEX($Q$2:$Q$1001,MATCH(ROWS($O$2:O963),$O$2:$O$1001,0),0), INDEX($V$1004:$AE$1004,1,MATCH(COLUMNS($V$1006:X1006),$V$1006:$AE$1006,0)))),"Fix")))</f>
        <v>0</v>
      </c>
      <c r="E963" s="3">
        <f>IF(OR(INDEX($P$2:$P$1001,MATCH(ROWS($O$2:O963),$O$2:$O$1001,0),1)&gt;=100000,INDEX($V$1005:$AE$1005,1,MATCH(COLUMNS($V$1006:Y1006),$V$1006:$AE$1006,0))&gt;=100000), " ",IF(INDEX($V$2:$AE$1001,MATCH(ROWS($O$2:O963),$O$2:$O$1001,0),MATCH(COLUMNS($V$1006:Y1006),$V$1006:$AE$1006,0)), HYPERLINK("#",""), HYPERLINK(CONCATENATE("#Metadata!", ADDRESS(INDEX($Q$2:$Q$1001,MATCH(ROWS($O$2:O963),$O$2:$O$1001,0),0), INDEX($V$1004:$AE$1004,1,MATCH(COLUMNS($V$1006:Y1006),$V$1006:$AE$1006,0)))),"Fix")))</f>
        <v>0</v>
      </c>
      <c r="F963" s="3">
        <f>IF(OR(INDEX($P$2:$P$1001,MATCH(ROWS($O$2:O963),$O$2:$O$1001,0),1)&gt;=100000,INDEX($V$1005:$AE$1005,1,MATCH(COLUMNS($V$1006:Z1006),$V$1006:$AE$1006,0))&gt;=100000), " ",IF(INDEX($V$2:$AE$1001,MATCH(ROWS($O$2:O963),$O$2:$O$1001,0),MATCH(COLUMNS($V$1006:Z1006),$V$1006:$AE$1006,0)), HYPERLINK("#",""), HYPERLINK(CONCATENATE("#Metadata!", ADDRESS(INDEX($Q$2:$Q$1001,MATCH(ROWS($O$2:O963),$O$2:$O$1001,0),0), INDEX($V$1004:$AE$1004,1,MATCH(COLUMNS($V$1006:Z1006),$V$1006:$AE$1006,0)))),"Fix")))</f>
        <v>0</v>
      </c>
      <c r="G963" s="3">
        <f>IF(OR(INDEX($P$2:$P$1001,MATCH(ROWS($O$2:O963),$O$2:$O$1001,0),1)&gt;=100000,INDEX($V$1005:$AE$1005,1,MATCH(COLUMNS($V$1006:AA1006),$V$1006:$AE$1006,0))&gt;=100000), " ",IF(INDEX($V$2:$AE$1001,MATCH(ROWS($O$2:O963),$O$2:$O$1001,0),MATCH(COLUMNS($V$1006:AA1006),$V$1006:$AE$1006,0)), HYPERLINK("#",""), HYPERLINK(CONCATENATE("#Metadata!", ADDRESS(INDEX($Q$2:$Q$1001,MATCH(ROWS($O$2:O963),$O$2:$O$1001,0),0), INDEX($V$1004:$AE$1004,1,MATCH(COLUMNS($V$1006:AA1006),$V$1006:$AE$1006,0)))),"Fix")))</f>
        <v>0</v>
      </c>
      <c r="H963" s="3">
        <f>IF(OR(INDEX($P$2:$P$1001,MATCH(ROWS($O$2:O963),$O$2:$O$1001,0),1)&gt;=100000,INDEX($V$1005:$AE$1005,1,MATCH(COLUMNS($V$1006:AB1006),$V$1006:$AE$1006,0))&gt;=100000), " ",IF(INDEX($V$2:$AE$1001,MATCH(ROWS($O$2:O963),$O$2:$O$1001,0),MATCH(COLUMNS($V$1006:AB1006),$V$1006:$AE$1006,0)), HYPERLINK("#",""), HYPERLINK(CONCATENATE("#Metadata!", ADDRESS(INDEX($Q$2:$Q$1001,MATCH(ROWS($O$2:O963),$O$2:$O$1001,0),0), INDEX($V$1004:$AE$1004,1,MATCH(COLUMNS($V$1006:AB1006),$V$1006:$AE$1006,0)))),"Fix")))</f>
        <v>0</v>
      </c>
      <c r="I963" s="3">
        <f>IF(OR(INDEX($P$2:$P$1001,MATCH(ROWS($O$2:O963),$O$2:$O$1001,0),1)&gt;=100000,INDEX($V$1005:$AE$1005,1,MATCH(COLUMNS($V$1006:AC1006),$V$1006:$AE$1006,0))&gt;=100000), " ",IF(INDEX($V$2:$AE$1001,MATCH(ROWS($O$2:O963),$O$2:$O$1001,0),MATCH(COLUMNS($V$1006:AC1006),$V$1006:$AE$1006,0)), HYPERLINK("#",""), HYPERLINK(CONCATENATE("#Metadata!", ADDRESS(INDEX($Q$2:$Q$1001,MATCH(ROWS($O$2:O963),$O$2:$O$1001,0),0), INDEX($V$1004:$AE$1004,1,MATCH(COLUMNS($V$1006:AC1006),$V$1006:$AE$1006,0)))),"Fix")))</f>
        <v>0</v>
      </c>
      <c r="J963" s="3">
        <f>IF(OR(INDEX($P$2:$P$1001,MATCH(ROWS($O$2:O963),$O$2:$O$1001,0),1)&gt;=100000,INDEX($V$1005:$AE$1005,1,MATCH(COLUMNS($V$1006:AD1006),$V$1006:$AE$1006,0))&gt;=100000), " ",IF(INDEX($V$2:$AE$1001,MATCH(ROWS($O$2:O963),$O$2:$O$1001,0),MATCH(COLUMNS($V$1006:AD1006),$V$1006:$AE$1006,0)), HYPERLINK("#",""), HYPERLINK(CONCATENATE("#Metadata!", ADDRESS(INDEX($Q$2:$Q$1001,MATCH(ROWS($O$2:O963),$O$2:$O$1001,0),0), INDEX($V$1004:$AE$1004,1,MATCH(COLUMNS($V$1006:AD1006),$V$1006:$AE$1006,0)))),"Fix")))</f>
        <v>0</v>
      </c>
      <c r="K963" s="3">
        <f>IF(OR(INDEX($P$2:$P$1001,MATCH(ROWS($O$2:O963),$O$2:$O$1001,0),1)&gt;=100000,INDEX($V$1005:$AE$1005,1,MATCH(COLUMNS($V$1006:AE1006),$V$1006:$AE$1006,0))&gt;=100000), " ",IF(INDEX($V$2:$AE$1001,MATCH(ROWS($O$2:O963),$O$2:$O$1001,0),MATCH(COLUMNS($V$1006:AE1006),$V$1006:$AE$1006,0)), HYPERLINK("#",""), HYPERLINK(CONCATENATE("#Metadata!", ADDRESS(INDEX($Q$2:$Q$1001,MATCH(ROWS($O$2:O963),$O$2:$O$1001,0),0), INDEX($V$1004:$AE$1004,1,MATCH(COLUMNS($V$1006:AE1006),$V$1006:$AE$1006,0)))),"Fix")))</f>
        <v>0</v>
      </c>
      <c r="O963">
        <v>0</v>
      </c>
      <c r="P963">
        <v>0</v>
      </c>
      <c r="Q963">
        <v>0</v>
      </c>
      <c r="R963">
        <f>IF(S963,TRUE,AND(V963:AE963))</f>
        <v>0</v>
      </c>
      <c r="S963">
        <f>COUNTBLANK(Metadata!B963:K963)=COLUMNS(Metadata!B963:K963)</f>
        <v>0</v>
      </c>
      <c r="T963">
        <v>0</v>
      </c>
      <c r="V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W963">
        <f>AND(IF(Metadata!C963="",FALSE,TRUE),exact(Metadata!C963,"animal secretion"))</f>
        <v>0</v>
      </c>
      <c r="X963">
        <f>AND(IF(Metadata!D963="",FALSE,TRUE),exact(Metadata!D963,"saliva"))</f>
        <v>0</v>
      </c>
      <c r="Y963">
        <f>AND(IF(Metadata!E963="",FALSE,TRUE),exact(Metadata!E963,"human-oral"))</f>
        <v>0</v>
      </c>
      <c r="Z963">
        <f>AND(IF(Metadata!F963="",FALSE,TRUE),exact(Metadata!F963,"UBERON:oral cavity"))</f>
        <v>0</v>
      </c>
      <c r="AA963">
        <f>AND(IF(Metadata!G963="",FALSE,TRUE),exact(Metadata!G963,"UBERON:saliva"))</f>
        <v>0</v>
      </c>
      <c r="AB963">
        <f>AND(IF(Metadata!H963="",FALSE,TRUE),exact(Metadata!H963,"UBERON:tongue"))</f>
        <v>0</v>
      </c>
      <c r="AC963">
        <f>AND(IF(Metadata!I963="",FALSE,TRUE),exact(Metadata!I963,"tongue"))</f>
        <v>0</v>
      </c>
      <c r="AD963">
        <f>AND(IF(Metadata!J963="",FALSE,TRUE),exact(Metadata!J963,"human oral metagenome"))</f>
        <v>0</v>
      </c>
      <c r="AE963">
        <f>AND(IF(Metadata!K963="",FALSE,TRUE),exact(Metadata!K963,"447426"))</f>
        <v>0</v>
      </c>
    </row>
    <row r="964" spans="1:31">
      <c r="A964" s="4">
        <f>IF(B964=" "," ",HYPERLINK(CONCATENATE("#metadata!",ADDRESS(INDEX($Q$2:$Q$1001,MATCH(ROWS($O$2:O964),$O$2:$O$1001,0),0),1)),INDEX($T$2:$T$1001,MATCH(ROWS($O$2:O964),$O$2:$O$1001,0),0)))</f>
        <v>0</v>
      </c>
      <c r="B964" s="3">
        <f>IF(OR(INDEX($P$2:$P$1001,MATCH(ROWS($O$2:O964),$O$2:$O$1001,0),1)&gt;=100000,INDEX($V$1005:$AE$1005,1,MATCH(COLUMNS($V$1006:V1006),$V$1006:$AE$1006,0))&gt;=100000), " ",IF(INDEX($V$2:$AE$1001,MATCH(ROWS($O$2:O964),$O$2:$O$1001,0),MATCH(COLUMNS($V$1006:V1006),$V$1006:$AE$1006,0)), HYPERLINK("#",""), HYPERLINK(CONCATENATE("#Metadata!", ADDRESS(INDEX($Q$2:$Q$1001,MATCH(ROWS($O$2:O964),$O$2:$O$1001,0),0), INDEX($V$1004:$AE$1004,1,MATCH(COLUMNS($V$1006:V1006),$V$1006:$AE$1006,0)))),"Fix")))</f>
        <v>0</v>
      </c>
      <c r="C964" s="3">
        <f>IF(OR(INDEX($P$2:$P$1001,MATCH(ROWS($O$2:O964),$O$2:$O$1001,0),1)&gt;=100000,INDEX($V$1005:$AE$1005,1,MATCH(COLUMNS($V$1006:W1006),$V$1006:$AE$1006,0))&gt;=100000), " ",IF(INDEX($V$2:$AE$1001,MATCH(ROWS($O$2:O964),$O$2:$O$1001,0),MATCH(COLUMNS($V$1006:W1006),$V$1006:$AE$1006,0)), HYPERLINK("#",""), HYPERLINK(CONCATENATE("#Metadata!", ADDRESS(INDEX($Q$2:$Q$1001,MATCH(ROWS($O$2:O964),$O$2:$O$1001,0),0), INDEX($V$1004:$AE$1004,1,MATCH(COLUMNS($V$1006:W1006),$V$1006:$AE$1006,0)))),"Fix")))</f>
        <v>0</v>
      </c>
      <c r="D964" s="3">
        <f>IF(OR(INDEX($P$2:$P$1001,MATCH(ROWS($O$2:O964),$O$2:$O$1001,0),1)&gt;=100000,INDEX($V$1005:$AE$1005,1,MATCH(COLUMNS($V$1006:X1006),$V$1006:$AE$1006,0))&gt;=100000), " ",IF(INDEX($V$2:$AE$1001,MATCH(ROWS($O$2:O964),$O$2:$O$1001,0),MATCH(COLUMNS($V$1006:X1006),$V$1006:$AE$1006,0)), HYPERLINK("#",""), HYPERLINK(CONCATENATE("#Metadata!", ADDRESS(INDEX($Q$2:$Q$1001,MATCH(ROWS($O$2:O964),$O$2:$O$1001,0),0), INDEX($V$1004:$AE$1004,1,MATCH(COLUMNS($V$1006:X1006),$V$1006:$AE$1006,0)))),"Fix")))</f>
        <v>0</v>
      </c>
      <c r="E964" s="3">
        <f>IF(OR(INDEX($P$2:$P$1001,MATCH(ROWS($O$2:O964),$O$2:$O$1001,0),1)&gt;=100000,INDEX($V$1005:$AE$1005,1,MATCH(COLUMNS($V$1006:Y1006),$V$1006:$AE$1006,0))&gt;=100000), " ",IF(INDEX($V$2:$AE$1001,MATCH(ROWS($O$2:O964),$O$2:$O$1001,0),MATCH(COLUMNS($V$1006:Y1006),$V$1006:$AE$1006,0)), HYPERLINK("#",""), HYPERLINK(CONCATENATE("#Metadata!", ADDRESS(INDEX($Q$2:$Q$1001,MATCH(ROWS($O$2:O964),$O$2:$O$1001,0),0), INDEX($V$1004:$AE$1004,1,MATCH(COLUMNS($V$1006:Y1006),$V$1006:$AE$1006,0)))),"Fix")))</f>
        <v>0</v>
      </c>
      <c r="F964" s="3">
        <f>IF(OR(INDEX($P$2:$P$1001,MATCH(ROWS($O$2:O964),$O$2:$O$1001,0),1)&gt;=100000,INDEX($V$1005:$AE$1005,1,MATCH(COLUMNS($V$1006:Z1006),$V$1006:$AE$1006,0))&gt;=100000), " ",IF(INDEX($V$2:$AE$1001,MATCH(ROWS($O$2:O964),$O$2:$O$1001,0),MATCH(COLUMNS($V$1006:Z1006),$V$1006:$AE$1006,0)), HYPERLINK("#",""), HYPERLINK(CONCATENATE("#Metadata!", ADDRESS(INDEX($Q$2:$Q$1001,MATCH(ROWS($O$2:O964),$O$2:$O$1001,0),0), INDEX($V$1004:$AE$1004,1,MATCH(COLUMNS($V$1006:Z1006),$V$1006:$AE$1006,0)))),"Fix")))</f>
        <v>0</v>
      </c>
      <c r="G964" s="3">
        <f>IF(OR(INDEX($P$2:$P$1001,MATCH(ROWS($O$2:O964),$O$2:$O$1001,0),1)&gt;=100000,INDEX($V$1005:$AE$1005,1,MATCH(COLUMNS($V$1006:AA1006),$V$1006:$AE$1006,0))&gt;=100000), " ",IF(INDEX($V$2:$AE$1001,MATCH(ROWS($O$2:O964),$O$2:$O$1001,0),MATCH(COLUMNS($V$1006:AA1006),$V$1006:$AE$1006,0)), HYPERLINK("#",""), HYPERLINK(CONCATENATE("#Metadata!", ADDRESS(INDEX($Q$2:$Q$1001,MATCH(ROWS($O$2:O964),$O$2:$O$1001,0),0), INDEX($V$1004:$AE$1004,1,MATCH(COLUMNS($V$1006:AA1006),$V$1006:$AE$1006,0)))),"Fix")))</f>
        <v>0</v>
      </c>
      <c r="H964" s="3">
        <f>IF(OR(INDEX($P$2:$P$1001,MATCH(ROWS($O$2:O964),$O$2:$O$1001,0),1)&gt;=100000,INDEX($V$1005:$AE$1005,1,MATCH(COLUMNS($V$1006:AB1006),$V$1006:$AE$1006,0))&gt;=100000), " ",IF(INDEX($V$2:$AE$1001,MATCH(ROWS($O$2:O964),$O$2:$O$1001,0),MATCH(COLUMNS($V$1006:AB1006),$V$1006:$AE$1006,0)), HYPERLINK("#",""), HYPERLINK(CONCATENATE("#Metadata!", ADDRESS(INDEX($Q$2:$Q$1001,MATCH(ROWS($O$2:O964),$O$2:$O$1001,0),0), INDEX($V$1004:$AE$1004,1,MATCH(COLUMNS($V$1006:AB1006),$V$1006:$AE$1006,0)))),"Fix")))</f>
        <v>0</v>
      </c>
      <c r="I964" s="3">
        <f>IF(OR(INDEX($P$2:$P$1001,MATCH(ROWS($O$2:O964),$O$2:$O$1001,0),1)&gt;=100000,INDEX($V$1005:$AE$1005,1,MATCH(COLUMNS($V$1006:AC1006),$V$1006:$AE$1006,0))&gt;=100000), " ",IF(INDEX($V$2:$AE$1001,MATCH(ROWS($O$2:O964),$O$2:$O$1001,0),MATCH(COLUMNS($V$1006:AC1006),$V$1006:$AE$1006,0)), HYPERLINK("#",""), HYPERLINK(CONCATENATE("#Metadata!", ADDRESS(INDEX($Q$2:$Q$1001,MATCH(ROWS($O$2:O964),$O$2:$O$1001,0),0), INDEX($V$1004:$AE$1004,1,MATCH(COLUMNS($V$1006:AC1006),$V$1006:$AE$1006,0)))),"Fix")))</f>
        <v>0</v>
      </c>
      <c r="J964" s="3">
        <f>IF(OR(INDEX($P$2:$P$1001,MATCH(ROWS($O$2:O964),$O$2:$O$1001,0),1)&gt;=100000,INDEX($V$1005:$AE$1005,1,MATCH(COLUMNS($V$1006:AD1006),$V$1006:$AE$1006,0))&gt;=100000), " ",IF(INDEX($V$2:$AE$1001,MATCH(ROWS($O$2:O964),$O$2:$O$1001,0),MATCH(COLUMNS($V$1006:AD1006),$V$1006:$AE$1006,0)), HYPERLINK("#",""), HYPERLINK(CONCATENATE("#Metadata!", ADDRESS(INDEX($Q$2:$Q$1001,MATCH(ROWS($O$2:O964),$O$2:$O$1001,0),0), INDEX($V$1004:$AE$1004,1,MATCH(COLUMNS($V$1006:AD1006),$V$1006:$AE$1006,0)))),"Fix")))</f>
        <v>0</v>
      </c>
      <c r="K964" s="3">
        <f>IF(OR(INDEX($P$2:$P$1001,MATCH(ROWS($O$2:O964),$O$2:$O$1001,0),1)&gt;=100000,INDEX($V$1005:$AE$1005,1,MATCH(COLUMNS($V$1006:AE1006),$V$1006:$AE$1006,0))&gt;=100000), " ",IF(INDEX($V$2:$AE$1001,MATCH(ROWS($O$2:O964),$O$2:$O$1001,0),MATCH(COLUMNS($V$1006:AE1006),$V$1006:$AE$1006,0)), HYPERLINK("#",""), HYPERLINK(CONCATENATE("#Metadata!", ADDRESS(INDEX($Q$2:$Q$1001,MATCH(ROWS($O$2:O964),$O$2:$O$1001,0),0), INDEX($V$1004:$AE$1004,1,MATCH(COLUMNS($V$1006:AE1006),$V$1006:$AE$1006,0)))),"Fix")))</f>
        <v>0</v>
      </c>
      <c r="O964">
        <v>0</v>
      </c>
      <c r="P964">
        <v>0</v>
      </c>
      <c r="Q964">
        <v>0</v>
      </c>
      <c r="R964">
        <f>IF(S964,TRUE,AND(V964:AE964))</f>
        <v>0</v>
      </c>
      <c r="S964">
        <f>COUNTBLANK(Metadata!B964:K964)=COLUMNS(Metadata!B964:K964)</f>
        <v>0</v>
      </c>
      <c r="T964">
        <v>0</v>
      </c>
      <c r="V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W964">
        <f>AND(IF(Metadata!C964="",FALSE,TRUE),exact(Metadata!C964,"animal secretion"))</f>
        <v>0</v>
      </c>
      <c r="X964">
        <f>AND(IF(Metadata!D964="",FALSE,TRUE),exact(Metadata!D964,"saliva"))</f>
        <v>0</v>
      </c>
      <c r="Y964">
        <f>AND(IF(Metadata!E964="",FALSE,TRUE),exact(Metadata!E964,"human-oral"))</f>
        <v>0</v>
      </c>
      <c r="Z964">
        <f>AND(IF(Metadata!F964="",FALSE,TRUE),exact(Metadata!F964,"UBERON:oral cavity"))</f>
        <v>0</v>
      </c>
      <c r="AA964">
        <f>AND(IF(Metadata!G964="",FALSE,TRUE),exact(Metadata!G964,"UBERON:saliva"))</f>
        <v>0</v>
      </c>
      <c r="AB964">
        <f>AND(IF(Metadata!H964="",FALSE,TRUE),exact(Metadata!H964,"UBERON:tongue"))</f>
        <v>0</v>
      </c>
      <c r="AC964">
        <f>AND(IF(Metadata!I964="",FALSE,TRUE),exact(Metadata!I964,"tongue"))</f>
        <v>0</v>
      </c>
      <c r="AD964">
        <f>AND(IF(Metadata!J964="",FALSE,TRUE),exact(Metadata!J964,"human oral metagenome"))</f>
        <v>0</v>
      </c>
      <c r="AE964">
        <f>AND(IF(Metadata!K964="",FALSE,TRUE),exact(Metadata!K964,"447426"))</f>
        <v>0</v>
      </c>
    </row>
    <row r="965" spans="1:31">
      <c r="A965" s="4">
        <f>IF(B965=" "," ",HYPERLINK(CONCATENATE("#metadata!",ADDRESS(INDEX($Q$2:$Q$1001,MATCH(ROWS($O$2:O965),$O$2:$O$1001,0),0),1)),INDEX($T$2:$T$1001,MATCH(ROWS($O$2:O965),$O$2:$O$1001,0),0)))</f>
        <v>0</v>
      </c>
      <c r="B965" s="3">
        <f>IF(OR(INDEX($P$2:$P$1001,MATCH(ROWS($O$2:O965),$O$2:$O$1001,0),1)&gt;=100000,INDEX($V$1005:$AE$1005,1,MATCH(COLUMNS($V$1006:V1006),$V$1006:$AE$1006,0))&gt;=100000), " ",IF(INDEX($V$2:$AE$1001,MATCH(ROWS($O$2:O965),$O$2:$O$1001,0),MATCH(COLUMNS($V$1006:V1006),$V$1006:$AE$1006,0)), HYPERLINK("#",""), HYPERLINK(CONCATENATE("#Metadata!", ADDRESS(INDEX($Q$2:$Q$1001,MATCH(ROWS($O$2:O965),$O$2:$O$1001,0),0), INDEX($V$1004:$AE$1004,1,MATCH(COLUMNS($V$1006:V1006),$V$1006:$AE$1006,0)))),"Fix")))</f>
        <v>0</v>
      </c>
      <c r="C965" s="3">
        <f>IF(OR(INDEX($P$2:$P$1001,MATCH(ROWS($O$2:O965),$O$2:$O$1001,0),1)&gt;=100000,INDEX($V$1005:$AE$1005,1,MATCH(COLUMNS($V$1006:W1006),$V$1006:$AE$1006,0))&gt;=100000), " ",IF(INDEX($V$2:$AE$1001,MATCH(ROWS($O$2:O965),$O$2:$O$1001,0),MATCH(COLUMNS($V$1006:W1006),$V$1006:$AE$1006,0)), HYPERLINK("#",""), HYPERLINK(CONCATENATE("#Metadata!", ADDRESS(INDEX($Q$2:$Q$1001,MATCH(ROWS($O$2:O965),$O$2:$O$1001,0),0), INDEX($V$1004:$AE$1004,1,MATCH(COLUMNS($V$1006:W1006),$V$1006:$AE$1006,0)))),"Fix")))</f>
        <v>0</v>
      </c>
      <c r="D965" s="3">
        <f>IF(OR(INDEX($P$2:$P$1001,MATCH(ROWS($O$2:O965),$O$2:$O$1001,0),1)&gt;=100000,INDEX($V$1005:$AE$1005,1,MATCH(COLUMNS($V$1006:X1006),$V$1006:$AE$1006,0))&gt;=100000), " ",IF(INDEX($V$2:$AE$1001,MATCH(ROWS($O$2:O965),$O$2:$O$1001,0),MATCH(COLUMNS($V$1006:X1006),$V$1006:$AE$1006,0)), HYPERLINK("#",""), HYPERLINK(CONCATENATE("#Metadata!", ADDRESS(INDEX($Q$2:$Q$1001,MATCH(ROWS($O$2:O965),$O$2:$O$1001,0),0), INDEX($V$1004:$AE$1004,1,MATCH(COLUMNS($V$1006:X1006),$V$1006:$AE$1006,0)))),"Fix")))</f>
        <v>0</v>
      </c>
      <c r="E965" s="3">
        <f>IF(OR(INDEX($P$2:$P$1001,MATCH(ROWS($O$2:O965),$O$2:$O$1001,0),1)&gt;=100000,INDEX($V$1005:$AE$1005,1,MATCH(COLUMNS($V$1006:Y1006),$V$1006:$AE$1006,0))&gt;=100000), " ",IF(INDEX($V$2:$AE$1001,MATCH(ROWS($O$2:O965),$O$2:$O$1001,0),MATCH(COLUMNS($V$1006:Y1006),$V$1006:$AE$1006,0)), HYPERLINK("#",""), HYPERLINK(CONCATENATE("#Metadata!", ADDRESS(INDEX($Q$2:$Q$1001,MATCH(ROWS($O$2:O965),$O$2:$O$1001,0),0), INDEX($V$1004:$AE$1004,1,MATCH(COLUMNS($V$1006:Y1006),$V$1006:$AE$1006,0)))),"Fix")))</f>
        <v>0</v>
      </c>
      <c r="F965" s="3">
        <f>IF(OR(INDEX($P$2:$P$1001,MATCH(ROWS($O$2:O965),$O$2:$O$1001,0),1)&gt;=100000,INDEX($V$1005:$AE$1005,1,MATCH(COLUMNS($V$1006:Z1006),$V$1006:$AE$1006,0))&gt;=100000), " ",IF(INDEX($V$2:$AE$1001,MATCH(ROWS($O$2:O965),$O$2:$O$1001,0),MATCH(COLUMNS($V$1006:Z1006),$V$1006:$AE$1006,0)), HYPERLINK("#",""), HYPERLINK(CONCATENATE("#Metadata!", ADDRESS(INDEX($Q$2:$Q$1001,MATCH(ROWS($O$2:O965),$O$2:$O$1001,0),0), INDEX($V$1004:$AE$1004,1,MATCH(COLUMNS($V$1006:Z1006),$V$1006:$AE$1006,0)))),"Fix")))</f>
        <v>0</v>
      </c>
      <c r="G965" s="3">
        <f>IF(OR(INDEX($P$2:$P$1001,MATCH(ROWS($O$2:O965),$O$2:$O$1001,0),1)&gt;=100000,INDEX($V$1005:$AE$1005,1,MATCH(COLUMNS($V$1006:AA1006),$V$1006:$AE$1006,0))&gt;=100000), " ",IF(INDEX($V$2:$AE$1001,MATCH(ROWS($O$2:O965),$O$2:$O$1001,0),MATCH(COLUMNS($V$1006:AA1006),$V$1006:$AE$1006,0)), HYPERLINK("#",""), HYPERLINK(CONCATENATE("#Metadata!", ADDRESS(INDEX($Q$2:$Q$1001,MATCH(ROWS($O$2:O965),$O$2:$O$1001,0),0), INDEX($V$1004:$AE$1004,1,MATCH(COLUMNS($V$1006:AA1006),$V$1006:$AE$1006,0)))),"Fix")))</f>
        <v>0</v>
      </c>
      <c r="H965" s="3">
        <f>IF(OR(INDEX($P$2:$P$1001,MATCH(ROWS($O$2:O965),$O$2:$O$1001,0),1)&gt;=100000,INDEX($V$1005:$AE$1005,1,MATCH(COLUMNS($V$1006:AB1006),$V$1006:$AE$1006,0))&gt;=100000), " ",IF(INDEX($V$2:$AE$1001,MATCH(ROWS($O$2:O965),$O$2:$O$1001,0),MATCH(COLUMNS($V$1006:AB1006),$V$1006:$AE$1006,0)), HYPERLINK("#",""), HYPERLINK(CONCATENATE("#Metadata!", ADDRESS(INDEX($Q$2:$Q$1001,MATCH(ROWS($O$2:O965),$O$2:$O$1001,0),0), INDEX($V$1004:$AE$1004,1,MATCH(COLUMNS($V$1006:AB1006),$V$1006:$AE$1006,0)))),"Fix")))</f>
        <v>0</v>
      </c>
      <c r="I965" s="3">
        <f>IF(OR(INDEX($P$2:$P$1001,MATCH(ROWS($O$2:O965),$O$2:$O$1001,0),1)&gt;=100000,INDEX($V$1005:$AE$1005,1,MATCH(COLUMNS($V$1006:AC1006),$V$1006:$AE$1006,0))&gt;=100000), " ",IF(INDEX($V$2:$AE$1001,MATCH(ROWS($O$2:O965),$O$2:$O$1001,0),MATCH(COLUMNS($V$1006:AC1006),$V$1006:$AE$1006,0)), HYPERLINK("#",""), HYPERLINK(CONCATENATE("#Metadata!", ADDRESS(INDEX($Q$2:$Q$1001,MATCH(ROWS($O$2:O965),$O$2:$O$1001,0),0), INDEX($V$1004:$AE$1004,1,MATCH(COLUMNS($V$1006:AC1006),$V$1006:$AE$1006,0)))),"Fix")))</f>
        <v>0</v>
      </c>
      <c r="J965" s="3">
        <f>IF(OR(INDEX($P$2:$P$1001,MATCH(ROWS($O$2:O965),$O$2:$O$1001,0),1)&gt;=100000,INDEX($V$1005:$AE$1005,1,MATCH(COLUMNS($V$1006:AD1006),$V$1006:$AE$1006,0))&gt;=100000), " ",IF(INDEX($V$2:$AE$1001,MATCH(ROWS($O$2:O965),$O$2:$O$1001,0),MATCH(COLUMNS($V$1006:AD1006),$V$1006:$AE$1006,0)), HYPERLINK("#",""), HYPERLINK(CONCATENATE("#Metadata!", ADDRESS(INDEX($Q$2:$Q$1001,MATCH(ROWS($O$2:O965),$O$2:$O$1001,0),0), INDEX($V$1004:$AE$1004,1,MATCH(COLUMNS($V$1006:AD1006),$V$1006:$AE$1006,0)))),"Fix")))</f>
        <v>0</v>
      </c>
      <c r="K965" s="3">
        <f>IF(OR(INDEX($P$2:$P$1001,MATCH(ROWS($O$2:O965),$O$2:$O$1001,0),1)&gt;=100000,INDEX($V$1005:$AE$1005,1,MATCH(COLUMNS($V$1006:AE1006),$V$1006:$AE$1006,0))&gt;=100000), " ",IF(INDEX($V$2:$AE$1001,MATCH(ROWS($O$2:O965),$O$2:$O$1001,0),MATCH(COLUMNS($V$1006:AE1006),$V$1006:$AE$1006,0)), HYPERLINK("#",""), HYPERLINK(CONCATENATE("#Metadata!", ADDRESS(INDEX($Q$2:$Q$1001,MATCH(ROWS($O$2:O965),$O$2:$O$1001,0),0), INDEX($V$1004:$AE$1004,1,MATCH(COLUMNS($V$1006:AE1006),$V$1006:$AE$1006,0)))),"Fix")))</f>
        <v>0</v>
      </c>
      <c r="O965">
        <v>0</v>
      </c>
      <c r="P965">
        <v>0</v>
      </c>
      <c r="Q965">
        <v>0</v>
      </c>
      <c r="R965">
        <f>IF(S965,TRUE,AND(V965:AE965))</f>
        <v>0</v>
      </c>
      <c r="S965">
        <f>COUNTBLANK(Metadata!B965:K965)=COLUMNS(Metadata!B965:K965)</f>
        <v>0</v>
      </c>
      <c r="T965">
        <v>0</v>
      </c>
      <c r="V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W965">
        <f>AND(IF(Metadata!C965="",FALSE,TRUE),exact(Metadata!C965,"animal secretion"))</f>
        <v>0</v>
      </c>
      <c r="X965">
        <f>AND(IF(Metadata!D965="",FALSE,TRUE),exact(Metadata!D965,"saliva"))</f>
        <v>0</v>
      </c>
      <c r="Y965">
        <f>AND(IF(Metadata!E965="",FALSE,TRUE),exact(Metadata!E965,"human-oral"))</f>
        <v>0</v>
      </c>
      <c r="Z965">
        <f>AND(IF(Metadata!F965="",FALSE,TRUE),exact(Metadata!F965,"UBERON:oral cavity"))</f>
        <v>0</v>
      </c>
      <c r="AA965">
        <f>AND(IF(Metadata!G965="",FALSE,TRUE),exact(Metadata!G965,"UBERON:saliva"))</f>
        <v>0</v>
      </c>
      <c r="AB965">
        <f>AND(IF(Metadata!H965="",FALSE,TRUE),exact(Metadata!H965,"UBERON:tongue"))</f>
        <v>0</v>
      </c>
      <c r="AC965">
        <f>AND(IF(Metadata!I965="",FALSE,TRUE),exact(Metadata!I965,"tongue"))</f>
        <v>0</v>
      </c>
      <c r="AD965">
        <f>AND(IF(Metadata!J965="",FALSE,TRUE),exact(Metadata!J965,"human oral metagenome"))</f>
        <v>0</v>
      </c>
      <c r="AE965">
        <f>AND(IF(Metadata!K965="",FALSE,TRUE),exact(Metadata!K965,"447426"))</f>
        <v>0</v>
      </c>
    </row>
    <row r="966" spans="1:31">
      <c r="A966" s="4">
        <f>IF(B966=" "," ",HYPERLINK(CONCATENATE("#metadata!",ADDRESS(INDEX($Q$2:$Q$1001,MATCH(ROWS($O$2:O966),$O$2:$O$1001,0),0),1)),INDEX($T$2:$T$1001,MATCH(ROWS($O$2:O966),$O$2:$O$1001,0),0)))</f>
        <v>0</v>
      </c>
      <c r="B966" s="3">
        <f>IF(OR(INDEX($P$2:$P$1001,MATCH(ROWS($O$2:O966),$O$2:$O$1001,0),1)&gt;=100000,INDEX($V$1005:$AE$1005,1,MATCH(COLUMNS($V$1006:V1006),$V$1006:$AE$1006,0))&gt;=100000), " ",IF(INDEX($V$2:$AE$1001,MATCH(ROWS($O$2:O966),$O$2:$O$1001,0),MATCH(COLUMNS($V$1006:V1006),$V$1006:$AE$1006,0)), HYPERLINK("#",""), HYPERLINK(CONCATENATE("#Metadata!", ADDRESS(INDEX($Q$2:$Q$1001,MATCH(ROWS($O$2:O966),$O$2:$O$1001,0),0), INDEX($V$1004:$AE$1004,1,MATCH(COLUMNS($V$1006:V1006),$V$1006:$AE$1006,0)))),"Fix")))</f>
        <v>0</v>
      </c>
      <c r="C966" s="3">
        <f>IF(OR(INDEX($P$2:$P$1001,MATCH(ROWS($O$2:O966),$O$2:$O$1001,0),1)&gt;=100000,INDEX($V$1005:$AE$1005,1,MATCH(COLUMNS($V$1006:W1006),$V$1006:$AE$1006,0))&gt;=100000), " ",IF(INDEX($V$2:$AE$1001,MATCH(ROWS($O$2:O966),$O$2:$O$1001,0),MATCH(COLUMNS($V$1006:W1006),$V$1006:$AE$1006,0)), HYPERLINK("#",""), HYPERLINK(CONCATENATE("#Metadata!", ADDRESS(INDEX($Q$2:$Q$1001,MATCH(ROWS($O$2:O966),$O$2:$O$1001,0),0), INDEX($V$1004:$AE$1004,1,MATCH(COLUMNS($V$1006:W1006),$V$1006:$AE$1006,0)))),"Fix")))</f>
        <v>0</v>
      </c>
      <c r="D966" s="3">
        <f>IF(OR(INDEX($P$2:$P$1001,MATCH(ROWS($O$2:O966),$O$2:$O$1001,0),1)&gt;=100000,INDEX($V$1005:$AE$1005,1,MATCH(COLUMNS($V$1006:X1006),$V$1006:$AE$1006,0))&gt;=100000), " ",IF(INDEX($V$2:$AE$1001,MATCH(ROWS($O$2:O966),$O$2:$O$1001,0),MATCH(COLUMNS($V$1006:X1006),$V$1006:$AE$1006,0)), HYPERLINK("#",""), HYPERLINK(CONCATENATE("#Metadata!", ADDRESS(INDEX($Q$2:$Q$1001,MATCH(ROWS($O$2:O966),$O$2:$O$1001,0),0), INDEX($V$1004:$AE$1004,1,MATCH(COLUMNS($V$1006:X1006),$V$1006:$AE$1006,0)))),"Fix")))</f>
        <v>0</v>
      </c>
      <c r="E966" s="3">
        <f>IF(OR(INDEX($P$2:$P$1001,MATCH(ROWS($O$2:O966),$O$2:$O$1001,0),1)&gt;=100000,INDEX($V$1005:$AE$1005,1,MATCH(COLUMNS($V$1006:Y1006),$V$1006:$AE$1006,0))&gt;=100000), " ",IF(INDEX($V$2:$AE$1001,MATCH(ROWS($O$2:O966),$O$2:$O$1001,0),MATCH(COLUMNS($V$1006:Y1006),$V$1006:$AE$1006,0)), HYPERLINK("#",""), HYPERLINK(CONCATENATE("#Metadata!", ADDRESS(INDEX($Q$2:$Q$1001,MATCH(ROWS($O$2:O966),$O$2:$O$1001,0),0), INDEX($V$1004:$AE$1004,1,MATCH(COLUMNS($V$1006:Y1006),$V$1006:$AE$1006,0)))),"Fix")))</f>
        <v>0</v>
      </c>
      <c r="F966" s="3">
        <f>IF(OR(INDEX($P$2:$P$1001,MATCH(ROWS($O$2:O966),$O$2:$O$1001,0),1)&gt;=100000,INDEX($V$1005:$AE$1005,1,MATCH(COLUMNS($V$1006:Z1006),$V$1006:$AE$1006,0))&gt;=100000), " ",IF(INDEX($V$2:$AE$1001,MATCH(ROWS($O$2:O966),$O$2:$O$1001,0),MATCH(COLUMNS($V$1006:Z1006),$V$1006:$AE$1006,0)), HYPERLINK("#",""), HYPERLINK(CONCATENATE("#Metadata!", ADDRESS(INDEX($Q$2:$Q$1001,MATCH(ROWS($O$2:O966),$O$2:$O$1001,0),0), INDEX($V$1004:$AE$1004,1,MATCH(COLUMNS($V$1006:Z1006),$V$1006:$AE$1006,0)))),"Fix")))</f>
        <v>0</v>
      </c>
      <c r="G966" s="3">
        <f>IF(OR(INDEX($P$2:$P$1001,MATCH(ROWS($O$2:O966),$O$2:$O$1001,0),1)&gt;=100000,INDEX($V$1005:$AE$1005,1,MATCH(COLUMNS($V$1006:AA1006),$V$1006:$AE$1006,0))&gt;=100000), " ",IF(INDEX($V$2:$AE$1001,MATCH(ROWS($O$2:O966),$O$2:$O$1001,0),MATCH(COLUMNS($V$1006:AA1006),$V$1006:$AE$1006,0)), HYPERLINK("#",""), HYPERLINK(CONCATENATE("#Metadata!", ADDRESS(INDEX($Q$2:$Q$1001,MATCH(ROWS($O$2:O966),$O$2:$O$1001,0),0), INDEX($V$1004:$AE$1004,1,MATCH(COLUMNS($V$1006:AA1006),$V$1006:$AE$1006,0)))),"Fix")))</f>
        <v>0</v>
      </c>
      <c r="H966" s="3">
        <f>IF(OR(INDEX($P$2:$P$1001,MATCH(ROWS($O$2:O966),$O$2:$O$1001,0),1)&gt;=100000,INDEX($V$1005:$AE$1005,1,MATCH(COLUMNS($V$1006:AB1006),$V$1006:$AE$1006,0))&gt;=100000), " ",IF(INDEX($V$2:$AE$1001,MATCH(ROWS($O$2:O966),$O$2:$O$1001,0),MATCH(COLUMNS($V$1006:AB1006),$V$1006:$AE$1006,0)), HYPERLINK("#",""), HYPERLINK(CONCATENATE("#Metadata!", ADDRESS(INDEX($Q$2:$Q$1001,MATCH(ROWS($O$2:O966),$O$2:$O$1001,0),0), INDEX($V$1004:$AE$1004,1,MATCH(COLUMNS($V$1006:AB1006),$V$1006:$AE$1006,0)))),"Fix")))</f>
        <v>0</v>
      </c>
      <c r="I966" s="3">
        <f>IF(OR(INDEX($P$2:$P$1001,MATCH(ROWS($O$2:O966),$O$2:$O$1001,0),1)&gt;=100000,INDEX($V$1005:$AE$1005,1,MATCH(COLUMNS($V$1006:AC1006),$V$1006:$AE$1006,0))&gt;=100000), " ",IF(INDEX($V$2:$AE$1001,MATCH(ROWS($O$2:O966),$O$2:$O$1001,0),MATCH(COLUMNS($V$1006:AC1006),$V$1006:$AE$1006,0)), HYPERLINK("#",""), HYPERLINK(CONCATENATE("#Metadata!", ADDRESS(INDEX($Q$2:$Q$1001,MATCH(ROWS($O$2:O966),$O$2:$O$1001,0),0), INDEX($V$1004:$AE$1004,1,MATCH(COLUMNS($V$1006:AC1006),$V$1006:$AE$1006,0)))),"Fix")))</f>
        <v>0</v>
      </c>
      <c r="J966" s="3">
        <f>IF(OR(INDEX($P$2:$P$1001,MATCH(ROWS($O$2:O966),$O$2:$O$1001,0),1)&gt;=100000,INDEX($V$1005:$AE$1005,1,MATCH(COLUMNS($V$1006:AD1006),$V$1006:$AE$1006,0))&gt;=100000), " ",IF(INDEX($V$2:$AE$1001,MATCH(ROWS($O$2:O966),$O$2:$O$1001,0),MATCH(COLUMNS($V$1006:AD1006),$V$1006:$AE$1006,0)), HYPERLINK("#",""), HYPERLINK(CONCATENATE("#Metadata!", ADDRESS(INDEX($Q$2:$Q$1001,MATCH(ROWS($O$2:O966),$O$2:$O$1001,0),0), INDEX($V$1004:$AE$1004,1,MATCH(COLUMNS($V$1006:AD1006),$V$1006:$AE$1006,0)))),"Fix")))</f>
        <v>0</v>
      </c>
      <c r="K966" s="3">
        <f>IF(OR(INDEX($P$2:$P$1001,MATCH(ROWS($O$2:O966),$O$2:$O$1001,0),1)&gt;=100000,INDEX($V$1005:$AE$1005,1,MATCH(COLUMNS($V$1006:AE1006),$V$1006:$AE$1006,0))&gt;=100000), " ",IF(INDEX($V$2:$AE$1001,MATCH(ROWS($O$2:O966),$O$2:$O$1001,0),MATCH(COLUMNS($V$1006:AE1006),$V$1006:$AE$1006,0)), HYPERLINK("#",""), HYPERLINK(CONCATENATE("#Metadata!", ADDRESS(INDEX($Q$2:$Q$1001,MATCH(ROWS($O$2:O966),$O$2:$O$1001,0),0), INDEX($V$1004:$AE$1004,1,MATCH(COLUMNS($V$1006:AE1006),$V$1006:$AE$1006,0)))),"Fix")))</f>
        <v>0</v>
      </c>
      <c r="O966">
        <v>0</v>
      </c>
      <c r="P966">
        <v>0</v>
      </c>
      <c r="Q966">
        <v>0</v>
      </c>
      <c r="R966">
        <f>IF(S966,TRUE,AND(V966:AE966))</f>
        <v>0</v>
      </c>
      <c r="S966">
        <f>COUNTBLANK(Metadata!B966:K966)=COLUMNS(Metadata!B966:K966)</f>
        <v>0</v>
      </c>
      <c r="T966">
        <v>0</v>
      </c>
      <c r="V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W966">
        <f>AND(IF(Metadata!C966="",FALSE,TRUE),exact(Metadata!C966,"animal secretion"))</f>
        <v>0</v>
      </c>
      <c r="X966">
        <f>AND(IF(Metadata!D966="",FALSE,TRUE),exact(Metadata!D966,"saliva"))</f>
        <v>0</v>
      </c>
      <c r="Y966">
        <f>AND(IF(Metadata!E966="",FALSE,TRUE),exact(Metadata!E966,"human-oral"))</f>
        <v>0</v>
      </c>
      <c r="Z966">
        <f>AND(IF(Metadata!F966="",FALSE,TRUE),exact(Metadata!F966,"UBERON:oral cavity"))</f>
        <v>0</v>
      </c>
      <c r="AA966">
        <f>AND(IF(Metadata!G966="",FALSE,TRUE),exact(Metadata!G966,"UBERON:saliva"))</f>
        <v>0</v>
      </c>
      <c r="AB966">
        <f>AND(IF(Metadata!H966="",FALSE,TRUE),exact(Metadata!H966,"UBERON:tongue"))</f>
        <v>0</v>
      </c>
      <c r="AC966">
        <f>AND(IF(Metadata!I966="",FALSE,TRUE),exact(Metadata!I966,"tongue"))</f>
        <v>0</v>
      </c>
      <c r="AD966">
        <f>AND(IF(Metadata!J966="",FALSE,TRUE),exact(Metadata!J966,"human oral metagenome"))</f>
        <v>0</v>
      </c>
      <c r="AE966">
        <f>AND(IF(Metadata!K966="",FALSE,TRUE),exact(Metadata!K966,"447426"))</f>
        <v>0</v>
      </c>
    </row>
    <row r="967" spans="1:31">
      <c r="A967" s="4">
        <f>IF(B967=" "," ",HYPERLINK(CONCATENATE("#metadata!",ADDRESS(INDEX($Q$2:$Q$1001,MATCH(ROWS($O$2:O967),$O$2:$O$1001,0),0),1)),INDEX($T$2:$T$1001,MATCH(ROWS($O$2:O967),$O$2:$O$1001,0),0)))</f>
        <v>0</v>
      </c>
      <c r="B967" s="3">
        <f>IF(OR(INDEX($P$2:$P$1001,MATCH(ROWS($O$2:O967),$O$2:$O$1001,0),1)&gt;=100000,INDEX($V$1005:$AE$1005,1,MATCH(COLUMNS($V$1006:V1006),$V$1006:$AE$1006,0))&gt;=100000), " ",IF(INDEX($V$2:$AE$1001,MATCH(ROWS($O$2:O967),$O$2:$O$1001,0),MATCH(COLUMNS($V$1006:V1006),$V$1006:$AE$1006,0)), HYPERLINK("#",""), HYPERLINK(CONCATENATE("#Metadata!", ADDRESS(INDEX($Q$2:$Q$1001,MATCH(ROWS($O$2:O967),$O$2:$O$1001,0),0), INDEX($V$1004:$AE$1004,1,MATCH(COLUMNS($V$1006:V1006),$V$1006:$AE$1006,0)))),"Fix")))</f>
        <v>0</v>
      </c>
      <c r="C967" s="3">
        <f>IF(OR(INDEX($P$2:$P$1001,MATCH(ROWS($O$2:O967),$O$2:$O$1001,0),1)&gt;=100000,INDEX($V$1005:$AE$1005,1,MATCH(COLUMNS($V$1006:W1006),$V$1006:$AE$1006,0))&gt;=100000), " ",IF(INDEX($V$2:$AE$1001,MATCH(ROWS($O$2:O967),$O$2:$O$1001,0),MATCH(COLUMNS($V$1006:W1006),$V$1006:$AE$1006,0)), HYPERLINK("#",""), HYPERLINK(CONCATENATE("#Metadata!", ADDRESS(INDEX($Q$2:$Q$1001,MATCH(ROWS($O$2:O967),$O$2:$O$1001,0),0), INDEX($V$1004:$AE$1004,1,MATCH(COLUMNS($V$1006:W1006),$V$1006:$AE$1006,0)))),"Fix")))</f>
        <v>0</v>
      </c>
      <c r="D967" s="3">
        <f>IF(OR(INDEX($P$2:$P$1001,MATCH(ROWS($O$2:O967),$O$2:$O$1001,0),1)&gt;=100000,INDEX($V$1005:$AE$1005,1,MATCH(COLUMNS($V$1006:X1006),$V$1006:$AE$1006,0))&gt;=100000), " ",IF(INDEX($V$2:$AE$1001,MATCH(ROWS($O$2:O967),$O$2:$O$1001,0),MATCH(COLUMNS($V$1006:X1006),$V$1006:$AE$1006,0)), HYPERLINK("#",""), HYPERLINK(CONCATENATE("#Metadata!", ADDRESS(INDEX($Q$2:$Q$1001,MATCH(ROWS($O$2:O967),$O$2:$O$1001,0),0), INDEX($V$1004:$AE$1004,1,MATCH(COLUMNS($V$1006:X1006),$V$1006:$AE$1006,0)))),"Fix")))</f>
        <v>0</v>
      </c>
      <c r="E967" s="3">
        <f>IF(OR(INDEX($P$2:$P$1001,MATCH(ROWS($O$2:O967),$O$2:$O$1001,0),1)&gt;=100000,INDEX($V$1005:$AE$1005,1,MATCH(COLUMNS($V$1006:Y1006),$V$1006:$AE$1006,0))&gt;=100000), " ",IF(INDEX($V$2:$AE$1001,MATCH(ROWS($O$2:O967),$O$2:$O$1001,0),MATCH(COLUMNS($V$1006:Y1006),$V$1006:$AE$1006,0)), HYPERLINK("#",""), HYPERLINK(CONCATENATE("#Metadata!", ADDRESS(INDEX($Q$2:$Q$1001,MATCH(ROWS($O$2:O967),$O$2:$O$1001,0),0), INDEX($V$1004:$AE$1004,1,MATCH(COLUMNS($V$1006:Y1006),$V$1006:$AE$1006,0)))),"Fix")))</f>
        <v>0</v>
      </c>
      <c r="F967" s="3">
        <f>IF(OR(INDEX($P$2:$P$1001,MATCH(ROWS($O$2:O967),$O$2:$O$1001,0),1)&gt;=100000,INDEX($V$1005:$AE$1005,1,MATCH(COLUMNS($V$1006:Z1006),$V$1006:$AE$1006,0))&gt;=100000), " ",IF(INDEX($V$2:$AE$1001,MATCH(ROWS($O$2:O967),$O$2:$O$1001,0),MATCH(COLUMNS($V$1006:Z1006),$V$1006:$AE$1006,0)), HYPERLINK("#",""), HYPERLINK(CONCATENATE("#Metadata!", ADDRESS(INDEX($Q$2:$Q$1001,MATCH(ROWS($O$2:O967),$O$2:$O$1001,0),0), INDEX($V$1004:$AE$1004,1,MATCH(COLUMNS($V$1006:Z1006),$V$1006:$AE$1006,0)))),"Fix")))</f>
        <v>0</v>
      </c>
      <c r="G967" s="3">
        <f>IF(OR(INDEX($P$2:$P$1001,MATCH(ROWS($O$2:O967),$O$2:$O$1001,0),1)&gt;=100000,INDEX($V$1005:$AE$1005,1,MATCH(COLUMNS($V$1006:AA1006),$V$1006:$AE$1006,0))&gt;=100000), " ",IF(INDEX($V$2:$AE$1001,MATCH(ROWS($O$2:O967),$O$2:$O$1001,0),MATCH(COLUMNS($V$1006:AA1006),$V$1006:$AE$1006,0)), HYPERLINK("#",""), HYPERLINK(CONCATENATE("#Metadata!", ADDRESS(INDEX($Q$2:$Q$1001,MATCH(ROWS($O$2:O967),$O$2:$O$1001,0),0), INDEX($V$1004:$AE$1004,1,MATCH(COLUMNS($V$1006:AA1006),$V$1006:$AE$1006,0)))),"Fix")))</f>
        <v>0</v>
      </c>
      <c r="H967" s="3">
        <f>IF(OR(INDEX($P$2:$P$1001,MATCH(ROWS($O$2:O967),$O$2:$O$1001,0),1)&gt;=100000,INDEX($V$1005:$AE$1005,1,MATCH(COLUMNS($V$1006:AB1006),$V$1006:$AE$1006,0))&gt;=100000), " ",IF(INDEX($V$2:$AE$1001,MATCH(ROWS($O$2:O967),$O$2:$O$1001,0),MATCH(COLUMNS($V$1006:AB1006),$V$1006:$AE$1006,0)), HYPERLINK("#",""), HYPERLINK(CONCATENATE("#Metadata!", ADDRESS(INDEX($Q$2:$Q$1001,MATCH(ROWS($O$2:O967),$O$2:$O$1001,0),0), INDEX($V$1004:$AE$1004,1,MATCH(COLUMNS($V$1006:AB1006),$V$1006:$AE$1006,0)))),"Fix")))</f>
        <v>0</v>
      </c>
      <c r="I967" s="3">
        <f>IF(OR(INDEX($P$2:$P$1001,MATCH(ROWS($O$2:O967),$O$2:$O$1001,0),1)&gt;=100000,INDEX($V$1005:$AE$1005,1,MATCH(COLUMNS($V$1006:AC1006),$V$1006:$AE$1006,0))&gt;=100000), " ",IF(INDEX($V$2:$AE$1001,MATCH(ROWS($O$2:O967),$O$2:$O$1001,0),MATCH(COLUMNS($V$1006:AC1006),$V$1006:$AE$1006,0)), HYPERLINK("#",""), HYPERLINK(CONCATENATE("#Metadata!", ADDRESS(INDEX($Q$2:$Q$1001,MATCH(ROWS($O$2:O967),$O$2:$O$1001,0),0), INDEX($V$1004:$AE$1004,1,MATCH(COLUMNS($V$1006:AC1006),$V$1006:$AE$1006,0)))),"Fix")))</f>
        <v>0</v>
      </c>
      <c r="J967" s="3">
        <f>IF(OR(INDEX($P$2:$P$1001,MATCH(ROWS($O$2:O967),$O$2:$O$1001,0),1)&gt;=100000,INDEX($V$1005:$AE$1005,1,MATCH(COLUMNS($V$1006:AD1006),$V$1006:$AE$1006,0))&gt;=100000), " ",IF(INDEX($V$2:$AE$1001,MATCH(ROWS($O$2:O967),$O$2:$O$1001,0),MATCH(COLUMNS($V$1006:AD1006),$V$1006:$AE$1006,0)), HYPERLINK("#",""), HYPERLINK(CONCATENATE("#Metadata!", ADDRESS(INDEX($Q$2:$Q$1001,MATCH(ROWS($O$2:O967),$O$2:$O$1001,0),0), INDEX($V$1004:$AE$1004,1,MATCH(COLUMNS($V$1006:AD1006),$V$1006:$AE$1006,0)))),"Fix")))</f>
        <v>0</v>
      </c>
      <c r="K967" s="3">
        <f>IF(OR(INDEX($P$2:$P$1001,MATCH(ROWS($O$2:O967),$O$2:$O$1001,0),1)&gt;=100000,INDEX($V$1005:$AE$1005,1,MATCH(COLUMNS($V$1006:AE1006),$V$1006:$AE$1006,0))&gt;=100000), " ",IF(INDEX($V$2:$AE$1001,MATCH(ROWS($O$2:O967),$O$2:$O$1001,0),MATCH(COLUMNS($V$1006:AE1006),$V$1006:$AE$1006,0)), HYPERLINK("#",""), HYPERLINK(CONCATENATE("#Metadata!", ADDRESS(INDEX($Q$2:$Q$1001,MATCH(ROWS($O$2:O967),$O$2:$O$1001,0),0), INDEX($V$1004:$AE$1004,1,MATCH(COLUMNS($V$1006:AE1006),$V$1006:$AE$1006,0)))),"Fix")))</f>
        <v>0</v>
      </c>
      <c r="O967">
        <v>0</v>
      </c>
      <c r="P967">
        <v>0</v>
      </c>
      <c r="Q967">
        <v>0</v>
      </c>
      <c r="R967">
        <f>IF(S967,TRUE,AND(V967:AE967))</f>
        <v>0</v>
      </c>
      <c r="S967">
        <f>COUNTBLANK(Metadata!B967:K967)=COLUMNS(Metadata!B967:K967)</f>
        <v>0</v>
      </c>
      <c r="T967">
        <v>0</v>
      </c>
      <c r="V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W967">
        <f>AND(IF(Metadata!C967="",FALSE,TRUE),exact(Metadata!C967,"animal secretion"))</f>
        <v>0</v>
      </c>
      <c r="X967">
        <f>AND(IF(Metadata!D967="",FALSE,TRUE),exact(Metadata!D967,"saliva"))</f>
        <v>0</v>
      </c>
      <c r="Y967">
        <f>AND(IF(Metadata!E967="",FALSE,TRUE),exact(Metadata!E967,"human-oral"))</f>
        <v>0</v>
      </c>
      <c r="Z967">
        <f>AND(IF(Metadata!F967="",FALSE,TRUE),exact(Metadata!F967,"UBERON:oral cavity"))</f>
        <v>0</v>
      </c>
      <c r="AA967">
        <f>AND(IF(Metadata!G967="",FALSE,TRUE),exact(Metadata!G967,"UBERON:saliva"))</f>
        <v>0</v>
      </c>
      <c r="AB967">
        <f>AND(IF(Metadata!H967="",FALSE,TRUE),exact(Metadata!H967,"UBERON:tongue"))</f>
        <v>0</v>
      </c>
      <c r="AC967">
        <f>AND(IF(Metadata!I967="",FALSE,TRUE),exact(Metadata!I967,"tongue"))</f>
        <v>0</v>
      </c>
      <c r="AD967">
        <f>AND(IF(Metadata!J967="",FALSE,TRUE),exact(Metadata!J967,"human oral metagenome"))</f>
        <v>0</v>
      </c>
      <c r="AE967">
        <f>AND(IF(Metadata!K967="",FALSE,TRUE),exact(Metadata!K967,"447426"))</f>
        <v>0</v>
      </c>
    </row>
    <row r="968" spans="1:31">
      <c r="A968" s="4">
        <f>IF(B968=" "," ",HYPERLINK(CONCATENATE("#metadata!",ADDRESS(INDEX($Q$2:$Q$1001,MATCH(ROWS($O$2:O968),$O$2:$O$1001,0),0),1)),INDEX($T$2:$T$1001,MATCH(ROWS($O$2:O968),$O$2:$O$1001,0),0)))</f>
        <v>0</v>
      </c>
      <c r="B968" s="3">
        <f>IF(OR(INDEX($P$2:$P$1001,MATCH(ROWS($O$2:O968),$O$2:$O$1001,0),1)&gt;=100000,INDEX($V$1005:$AE$1005,1,MATCH(COLUMNS($V$1006:V1006),$V$1006:$AE$1006,0))&gt;=100000), " ",IF(INDEX($V$2:$AE$1001,MATCH(ROWS($O$2:O968),$O$2:$O$1001,0),MATCH(COLUMNS($V$1006:V1006),$V$1006:$AE$1006,0)), HYPERLINK("#",""), HYPERLINK(CONCATENATE("#Metadata!", ADDRESS(INDEX($Q$2:$Q$1001,MATCH(ROWS($O$2:O968),$O$2:$O$1001,0),0), INDEX($V$1004:$AE$1004,1,MATCH(COLUMNS($V$1006:V1006),$V$1006:$AE$1006,0)))),"Fix")))</f>
        <v>0</v>
      </c>
      <c r="C968" s="3">
        <f>IF(OR(INDEX($P$2:$P$1001,MATCH(ROWS($O$2:O968),$O$2:$O$1001,0),1)&gt;=100000,INDEX($V$1005:$AE$1005,1,MATCH(COLUMNS($V$1006:W1006),$V$1006:$AE$1006,0))&gt;=100000), " ",IF(INDEX($V$2:$AE$1001,MATCH(ROWS($O$2:O968),$O$2:$O$1001,0),MATCH(COLUMNS($V$1006:W1006),$V$1006:$AE$1006,0)), HYPERLINK("#",""), HYPERLINK(CONCATENATE("#Metadata!", ADDRESS(INDEX($Q$2:$Q$1001,MATCH(ROWS($O$2:O968),$O$2:$O$1001,0),0), INDEX($V$1004:$AE$1004,1,MATCH(COLUMNS($V$1006:W1006),$V$1006:$AE$1006,0)))),"Fix")))</f>
        <v>0</v>
      </c>
      <c r="D968" s="3">
        <f>IF(OR(INDEX($P$2:$P$1001,MATCH(ROWS($O$2:O968),$O$2:$O$1001,0),1)&gt;=100000,INDEX($V$1005:$AE$1005,1,MATCH(COLUMNS($V$1006:X1006),$V$1006:$AE$1006,0))&gt;=100000), " ",IF(INDEX($V$2:$AE$1001,MATCH(ROWS($O$2:O968),$O$2:$O$1001,0),MATCH(COLUMNS($V$1006:X1006),$V$1006:$AE$1006,0)), HYPERLINK("#",""), HYPERLINK(CONCATENATE("#Metadata!", ADDRESS(INDEX($Q$2:$Q$1001,MATCH(ROWS($O$2:O968),$O$2:$O$1001,0),0), INDEX($V$1004:$AE$1004,1,MATCH(COLUMNS($V$1006:X1006),$V$1006:$AE$1006,0)))),"Fix")))</f>
        <v>0</v>
      </c>
      <c r="E968" s="3">
        <f>IF(OR(INDEX($P$2:$P$1001,MATCH(ROWS($O$2:O968),$O$2:$O$1001,0),1)&gt;=100000,INDEX($V$1005:$AE$1005,1,MATCH(COLUMNS($V$1006:Y1006),$V$1006:$AE$1006,0))&gt;=100000), " ",IF(INDEX($V$2:$AE$1001,MATCH(ROWS($O$2:O968),$O$2:$O$1001,0),MATCH(COLUMNS($V$1006:Y1006),$V$1006:$AE$1006,0)), HYPERLINK("#",""), HYPERLINK(CONCATENATE("#Metadata!", ADDRESS(INDEX($Q$2:$Q$1001,MATCH(ROWS($O$2:O968),$O$2:$O$1001,0),0), INDEX($V$1004:$AE$1004,1,MATCH(COLUMNS($V$1006:Y1006),$V$1006:$AE$1006,0)))),"Fix")))</f>
        <v>0</v>
      </c>
      <c r="F968" s="3">
        <f>IF(OR(INDEX($P$2:$P$1001,MATCH(ROWS($O$2:O968),$O$2:$O$1001,0),1)&gt;=100000,INDEX($V$1005:$AE$1005,1,MATCH(COLUMNS($V$1006:Z1006),$V$1006:$AE$1006,0))&gt;=100000), " ",IF(INDEX($V$2:$AE$1001,MATCH(ROWS($O$2:O968),$O$2:$O$1001,0),MATCH(COLUMNS($V$1006:Z1006),$V$1006:$AE$1006,0)), HYPERLINK("#",""), HYPERLINK(CONCATENATE("#Metadata!", ADDRESS(INDEX($Q$2:$Q$1001,MATCH(ROWS($O$2:O968),$O$2:$O$1001,0),0), INDEX($V$1004:$AE$1004,1,MATCH(COLUMNS($V$1006:Z1006),$V$1006:$AE$1006,0)))),"Fix")))</f>
        <v>0</v>
      </c>
      <c r="G968" s="3">
        <f>IF(OR(INDEX($P$2:$P$1001,MATCH(ROWS($O$2:O968),$O$2:$O$1001,0),1)&gt;=100000,INDEX($V$1005:$AE$1005,1,MATCH(COLUMNS($V$1006:AA1006),$V$1006:$AE$1006,0))&gt;=100000), " ",IF(INDEX($V$2:$AE$1001,MATCH(ROWS($O$2:O968),$O$2:$O$1001,0),MATCH(COLUMNS($V$1006:AA1006),$V$1006:$AE$1006,0)), HYPERLINK("#",""), HYPERLINK(CONCATENATE("#Metadata!", ADDRESS(INDEX($Q$2:$Q$1001,MATCH(ROWS($O$2:O968),$O$2:$O$1001,0),0), INDEX($V$1004:$AE$1004,1,MATCH(COLUMNS($V$1006:AA1006),$V$1006:$AE$1006,0)))),"Fix")))</f>
        <v>0</v>
      </c>
      <c r="H968" s="3">
        <f>IF(OR(INDEX($P$2:$P$1001,MATCH(ROWS($O$2:O968),$O$2:$O$1001,0),1)&gt;=100000,INDEX($V$1005:$AE$1005,1,MATCH(COLUMNS($V$1006:AB1006),$V$1006:$AE$1006,0))&gt;=100000), " ",IF(INDEX($V$2:$AE$1001,MATCH(ROWS($O$2:O968),$O$2:$O$1001,0),MATCH(COLUMNS($V$1006:AB1006),$V$1006:$AE$1006,0)), HYPERLINK("#",""), HYPERLINK(CONCATENATE("#Metadata!", ADDRESS(INDEX($Q$2:$Q$1001,MATCH(ROWS($O$2:O968),$O$2:$O$1001,0),0), INDEX($V$1004:$AE$1004,1,MATCH(COLUMNS($V$1006:AB1006),$V$1006:$AE$1006,0)))),"Fix")))</f>
        <v>0</v>
      </c>
      <c r="I968" s="3">
        <f>IF(OR(INDEX($P$2:$P$1001,MATCH(ROWS($O$2:O968),$O$2:$O$1001,0),1)&gt;=100000,INDEX($V$1005:$AE$1005,1,MATCH(COLUMNS($V$1006:AC1006),$V$1006:$AE$1006,0))&gt;=100000), " ",IF(INDEX($V$2:$AE$1001,MATCH(ROWS($O$2:O968),$O$2:$O$1001,0),MATCH(COLUMNS($V$1006:AC1006),$V$1006:$AE$1006,0)), HYPERLINK("#",""), HYPERLINK(CONCATENATE("#Metadata!", ADDRESS(INDEX($Q$2:$Q$1001,MATCH(ROWS($O$2:O968),$O$2:$O$1001,0),0), INDEX($V$1004:$AE$1004,1,MATCH(COLUMNS($V$1006:AC1006),$V$1006:$AE$1006,0)))),"Fix")))</f>
        <v>0</v>
      </c>
      <c r="J968" s="3">
        <f>IF(OR(INDEX($P$2:$P$1001,MATCH(ROWS($O$2:O968),$O$2:$O$1001,0),1)&gt;=100000,INDEX($V$1005:$AE$1005,1,MATCH(COLUMNS($V$1006:AD1006),$V$1006:$AE$1006,0))&gt;=100000), " ",IF(INDEX($V$2:$AE$1001,MATCH(ROWS($O$2:O968),$O$2:$O$1001,0),MATCH(COLUMNS($V$1006:AD1006),$V$1006:$AE$1006,0)), HYPERLINK("#",""), HYPERLINK(CONCATENATE("#Metadata!", ADDRESS(INDEX($Q$2:$Q$1001,MATCH(ROWS($O$2:O968),$O$2:$O$1001,0),0), INDEX($V$1004:$AE$1004,1,MATCH(COLUMNS($V$1006:AD1006),$V$1006:$AE$1006,0)))),"Fix")))</f>
        <v>0</v>
      </c>
      <c r="K968" s="3">
        <f>IF(OR(INDEX($P$2:$P$1001,MATCH(ROWS($O$2:O968),$O$2:$O$1001,0),1)&gt;=100000,INDEX($V$1005:$AE$1005,1,MATCH(COLUMNS($V$1006:AE1006),$V$1006:$AE$1006,0))&gt;=100000), " ",IF(INDEX($V$2:$AE$1001,MATCH(ROWS($O$2:O968),$O$2:$O$1001,0),MATCH(COLUMNS($V$1006:AE1006),$V$1006:$AE$1006,0)), HYPERLINK("#",""), HYPERLINK(CONCATENATE("#Metadata!", ADDRESS(INDEX($Q$2:$Q$1001,MATCH(ROWS($O$2:O968),$O$2:$O$1001,0),0), INDEX($V$1004:$AE$1004,1,MATCH(COLUMNS($V$1006:AE1006),$V$1006:$AE$1006,0)))),"Fix")))</f>
        <v>0</v>
      </c>
      <c r="O968">
        <v>0</v>
      </c>
      <c r="P968">
        <v>0</v>
      </c>
      <c r="Q968">
        <v>0</v>
      </c>
      <c r="R968">
        <f>IF(S968,TRUE,AND(V968:AE968))</f>
        <v>0</v>
      </c>
      <c r="S968">
        <f>COUNTBLANK(Metadata!B968:K968)=COLUMNS(Metadata!B968:K968)</f>
        <v>0</v>
      </c>
      <c r="T968">
        <v>0</v>
      </c>
      <c r="V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W968">
        <f>AND(IF(Metadata!C968="",FALSE,TRUE),exact(Metadata!C968,"animal secretion"))</f>
        <v>0</v>
      </c>
      <c r="X968">
        <f>AND(IF(Metadata!D968="",FALSE,TRUE),exact(Metadata!D968,"saliva"))</f>
        <v>0</v>
      </c>
      <c r="Y968">
        <f>AND(IF(Metadata!E968="",FALSE,TRUE),exact(Metadata!E968,"human-oral"))</f>
        <v>0</v>
      </c>
      <c r="Z968">
        <f>AND(IF(Metadata!F968="",FALSE,TRUE),exact(Metadata!F968,"UBERON:oral cavity"))</f>
        <v>0</v>
      </c>
      <c r="AA968">
        <f>AND(IF(Metadata!G968="",FALSE,TRUE),exact(Metadata!G968,"UBERON:saliva"))</f>
        <v>0</v>
      </c>
      <c r="AB968">
        <f>AND(IF(Metadata!H968="",FALSE,TRUE),exact(Metadata!H968,"UBERON:tongue"))</f>
        <v>0</v>
      </c>
      <c r="AC968">
        <f>AND(IF(Metadata!I968="",FALSE,TRUE),exact(Metadata!I968,"tongue"))</f>
        <v>0</v>
      </c>
      <c r="AD968">
        <f>AND(IF(Metadata!J968="",FALSE,TRUE),exact(Metadata!J968,"human oral metagenome"))</f>
        <v>0</v>
      </c>
      <c r="AE968">
        <f>AND(IF(Metadata!K968="",FALSE,TRUE),exact(Metadata!K968,"447426"))</f>
        <v>0</v>
      </c>
    </row>
    <row r="969" spans="1:31">
      <c r="A969" s="4">
        <f>IF(B969=" "," ",HYPERLINK(CONCATENATE("#metadata!",ADDRESS(INDEX($Q$2:$Q$1001,MATCH(ROWS($O$2:O969),$O$2:$O$1001,0),0),1)),INDEX($T$2:$T$1001,MATCH(ROWS($O$2:O969),$O$2:$O$1001,0),0)))</f>
        <v>0</v>
      </c>
      <c r="B969" s="3">
        <f>IF(OR(INDEX($P$2:$P$1001,MATCH(ROWS($O$2:O969),$O$2:$O$1001,0),1)&gt;=100000,INDEX($V$1005:$AE$1005,1,MATCH(COLUMNS($V$1006:V1006),$V$1006:$AE$1006,0))&gt;=100000), " ",IF(INDEX($V$2:$AE$1001,MATCH(ROWS($O$2:O969),$O$2:$O$1001,0),MATCH(COLUMNS($V$1006:V1006),$V$1006:$AE$1006,0)), HYPERLINK("#",""), HYPERLINK(CONCATENATE("#Metadata!", ADDRESS(INDEX($Q$2:$Q$1001,MATCH(ROWS($O$2:O969),$O$2:$O$1001,0),0), INDEX($V$1004:$AE$1004,1,MATCH(COLUMNS($V$1006:V1006),$V$1006:$AE$1006,0)))),"Fix")))</f>
        <v>0</v>
      </c>
      <c r="C969" s="3">
        <f>IF(OR(INDEX($P$2:$P$1001,MATCH(ROWS($O$2:O969),$O$2:$O$1001,0),1)&gt;=100000,INDEX($V$1005:$AE$1005,1,MATCH(COLUMNS($V$1006:W1006),$V$1006:$AE$1006,0))&gt;=100000), " ",IF(INDEX($V$2:$AE$1001,MATCH(ROWS($O$2:O969),$O$2:$O$1001,0),MATCH(COLUMNS($V$1006:W1006),$V$1006:$AE$1006,0)), HYPERLINK("#",""), HYPERLINK(CONCATENATE("#Metadata!", ADDRESS(INDEX($Q$2:$Q$1001,MATCH(ROWS($O$2:O969),$O$2:$O$1001,0),0), INDEX($V$1004:$AE$1004,1,MATCH(COLUMNS($V$1006:W1006),$V$1006:$AE$1006,0)))),"Fix")))</f>
        <v>0</v>
      </c>
      <c r="D969" s="3">
        <f>IF(OR(INDEX($P$2:$P$1001,MATCH(ROWS($O$2:O969),$O$2:$O$1001,0),1)&gt;=100000,INDEX($V$1005:$AE$1005,1,MATCH(COLUMNS($V$1006:X1006),$V$1006:$AE$1006,0))&gt;=100000), " ",IF(INDEX($V$2:$AE$1001,MATCH(ROWS($O$2:O969),$O$2:$O$1001,0),MATCH(COLUMNS($V$1006:X1006),$V$1006:$AE$1006,0)), HYPERLINK("#",""), HYPERLINK(CONCATENATE("#Metadata!", ADDRESS(INDEX($Q$2:$Q$1001,MATCH(ROWS($O$2:O969),$O$2:$O$1001,0),0), INDEX($V$1004:$AE$1004,1,MATCH(COLUMNS($V$1006:X1006),$V$1006:$AE$1006,0)))),"Fix")))</f>
        <v>0</v>
      </c>
      <c r="E969" s="3">
        <f>IF(OR(INDEX($P$2:$P$1001,MATCH(ROWS($O$2:O969),$O$2:$O$1001,0),1)&gt;=100000,INDEX($V$1005:$AE$1005,1,MATCH(COLUMNS($V$1006:Y1006),$V$1006:$AE$1006,0))&gt;=100000), " ",IF(INDEX($V$2:$AE$1001,MATCH(ROWS($O$2:O969),$O$2:$O$1001,0),MATCH(COLUMNS($V$1006:Y1006),$V$1006:$AE$1006,0)), HYPERLINK("#",""), HYPERLINK(CONCATENATE("#Metadata!", ADDRESS(INDEX($Q$2:$Q$1001,MATCH(ROWS($O$2:O969),$O$2:$O$1001,0),0), INDEX($V$1004:$AE$1004,1,MATCH(COLUMNS($V$1006:Y1006),$V$1006:$AE$1006,0)))),"Fix")))</f>
        <v>0</v>
      </c>
      <c r="F969" s="3">
        <f>IF(OR(INDEX($P$2:$P$1001,MATCH(ROWS($O$2:O969),$O$2:$O$1001,0),1)&gt;=100000,INDEX($V$1005:$AE$1005,1,MATCH(COLUMNS($V$1006:Z1006),$V$1006:$AE$1006,0))&gt;=100000), " ",IF(INDEX($V$2:$AE$1001,MATCH(ROWS($O$2:O969),$O$2:$O$1001,0),MATCH(COLUMNS($V$1006:Z1006),$V$1006:$AE$1006,0)), HYPERLINK("#",""), HYPERLINK(CONCATENATE("#Metadata!", ADDRESS(INDEX($Q$2:$Q$1001,MATCH(ROWS($O$2:O969),$O$2:$O$1001,0),0), INDEX($V$1004:$AE$1004,1,MATCH(COLUMNS($V$1006:Z1006),$V$1006:$AE$1006,0)))),"Fix")))</f>
        <v>0</v>
      </c>
      <c r="G969" s="3">
        <f>IF(OR(INDEX($P$2:$P$1001,MATCH(ROWS($O$2:O969),$O$2:$O$1001,0),1)&gt;=100000,INDEX($V$1005:$AE$1005,1,MATCH(COLUMNS($V$1006:AA1006),$V$1006:$AE$1006,0))&gt;=100000), " ",IF(INDEX($V$2:$AE$1001,MATCH(ROWS($O$2:O969),$O$2:$O$1001,0),MATCH(COLUMNS($V$1006:AA1006),$V$1006:$AE$1006,0)), HYPERLINK("#",""), HYPERLINK(CONCATENATE("#Metadata!", ADDRESS(INDEX($Q$2:$Q$1001,MATCH(ROWS($O$2:O969),$O$2:$O$1001,0),0), INDEX($V$1004:$AE$1004,1,MATCH(COLUMNS($V$1006:AA1006),$V$1006:$AE$1006,0)))),"Fix")))</f>
        <v>0</v>
      </c>
      <c r="H969" s="3">
        <f>IF(OR(INDEX($P$2:$P$1001,MATCH(ROWS($O$2:O969),$O$2:$O$1001,0),1)&gt;=100000,INDEX($V$1005:$AE$1005,1,MATCH(COLUMNS($V$1006:AB1006),$V$1006:$AE$1006,0))&gt;=100000), " ",IF(INDEX($V$2:$AE$1001,MATCH(ROWS($O$2:O969),$O$2:$O$1001,0),MATCH(COLUMNS($V$1006:AB1006),$V$1006:$AE$1006,0)), HYPERLINK("#",""), HYPERLINK(CONCATENATE("#Metadata!", ADDRESS(INDEX($Q$2:$Q$1001,MATCH(ROWS($O$2:O969),$O$2:$O$1001,0),0), INDEX($V$1004:$AE$1004,1,MATCH(COLUMNS($V$1006:AB1006),$V$1006:$AE$1006,0)))),"Fix")))</f>
        <v>0</v>
      </c>
      <c r="I969" s="3">
        <f>IF(OR(INDEX($P$2:$P$1001,MATCH(ROWS($O$2:O969),$O$2:$O$1001,0),1)&gt;=100000,INDEX($V$1005:$AE$1005,1,MATCH(COLUMNS($V$1006:AC1006),$V$1006:$AE$1006,0))&gt;=100000), " ",IF(INDEX($V$2:$AE$1001,MATCH(ROWS($O$2:O969),$O$2:$O$1001,0),MATCH(COLUMNS($V$1006:AC1006),$V$1006:$AE$1006,0)), HYPERLINK("#",""), HYPERLINK(CONCATENATE("#Metadata!", ADDRESS(INDEX($Q$2:$Q$1001,MATCH(ROWS($O$2:O969),$O$2:$O$1001,0),0), INDEX($V$1004:$AE$1004,1,MATCH(COLUMNS($V$1006:AC1006),$V$1006:$AE$1006,0)))),"Fix")))</f>
        <v>0</v>
      </c>
      <c r="J969" s="3">
        <f>IF(OR(INDEX($P$2:$P$1001,MATCH(ROWS($O$2:O969),$O$2:$O$1001,0),1)&gt;=100000,INDEX($V$1005:$AE$1005,1,MATCH(COLUMNS($V$1006:AD1006),$V$1006:$AE$1006,0))&gt;=100000), " ",IF(INDEX($V$2:$AE$1001,MATCH(ROWS($O$2:O969),$O$2:$O$1001,0),MATCH(COLUMNS($V$1006:AD1006),$V$1006:$AE$1006,0)), HYPERLINK("#",""), HYPERLINK(CONCATENATE("#Metadata!", ADDRESS(INDEX($Q$2:$Q$1001,MATCH(ROWS($O$2:O969),$O$2:$O$1001,0),0), INDEX($V$1004:$AE$1004,1,MATCH(COLUMNS($V$1006:AD1006),$V$1006:$AE$1006,0)))),"Fix")))</f>
        <v>0</v>
      </c>
      <c r="K969" s="3">
        <f>IF(OR(INDEX($P$2:$P$1001,MATCH(ROWS($O$2:O969),$O$2:$O$1001,0),1)&gt;=100000,INDEX($V$1005:$AE$1005,1,MATCH(COLUMNS($V$1006:AE1006),$V$1006:$AE$1006,0))&gt;=100000), " ",IF(INDEX($V$2:$AE$1001,MATCH(ROWS($O$2:O969),$O$2:$O$1001,0),MATCH(COLUMNS($V$1006:AE1006),$V$1006:$AE$1006,0)), HYPERLINK("#",""), HYPERLINK(CONCATENATE("#Metadata!", ADDRESS(INDEX($Q$2:$Q$1001,MATCH(ROWS($O$2:O969),$O$2:$O$1001,0),0), INDEX($V$1004:$AE$1004,1,MATCH(COLUMNS($V$1006:AE1006),$V$1006:$AE$1006,0)))),"Fix")))</f>
        <v>0</v>
      </c>
      <c r="O969">
        <v>0</v>
      </c>
      <c r="P969">
        <v>0</v>
      </c>
      <c r="Q969">
        <v>0</v>
      </c>
      <c r="R969">
        <f>IF(S969,TRUE,AND(V969:AE969))</f>
        <v>0</v>
      </c>
      <c r="S969">
        <f>COUNTBLANK(Metadata!B969:K969)=COLUMNS(Metadata!B969:K969)</f>
        <v>0</v>
      </c>
      <c r="T969">
        <v>0</v>
      </c>
      <c r="V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W969">
        <f>AND(IF(Metadata!C969="",FALSE,TRUE),exact(Metadata!C969,"animal secretion"))</f>
        <v>0</v>
      </c>
      <c r="X969">
        <f>AND(IF(Metadata!D969="",FALSE,TRUE),exact(Metadata!D969,"saliva"))</f>
        <v>0</v>
      </c>
      <c r="Y969">
        <f>AND(IF(Metadata!E969="",FALSE,TRUE),exact(Metadata!E969,"human-oral"))</f>
        <v>0</v>
      </c>
      <c r="Z969">
        <f>AND(IF(Metadata!F969="",FALSE,TRUE),exact(Metadata!F969,"UBERON:oral cavity"))</f>
        <v>0</v>
      </c>
      <c r="AA969">
        <f>AND(IF(Metadata!G969="",FALSE,TRUE),exact(Metadata!G969,"UBERON:saliva"))</f>
        <v>0</v>
      </c>
      <c r="AB969">
        <f>AND(IF(Metadata!H969="",FALSE,TRUE),exact(Metadata!H969,"UBERON:tongue"))</f>
        <v>0</v>
      </c>
      <c r="AC969">
        <f>AND(IF(Metadata!I969="",FALSE,TRUE),exact(Metadata!I969,"tongue"))</f>
        <v>0</v>
      </c>
      <c r="AD969">
        <f>AND(IF(Metadata!J969="",FALSE,TRUE),exact(Metadata!J969,"human oral metagenome"))</f>
        <v>0</v>
      </c>
      <c r="AE969">
        <f>AND(IF(Metadata!K969="",FALSE,TRUE),exact(Metadata!K969,"447426"))</f>
        <v>0</v>
      </c>
    </row>
    <row r="970" spans="1:31">
      <c r="A970" s="4">
        <f>IF(B970=" "," ",HYPERLINK(CONCATENATE("#metadata!",ADDRESS(INDEX($Q$2:$Q$1001,MATCH(ROWS($O$2:O970),$O$2:$O$1001,0),0),1)),INDEX($T$2:$T$1001,MATCH(ROWS($O$2:O970),$O$2:$O$1001,0),0)))</f>
        <v>0</v>
      </c>
      <c r="B970" s="3">
        <f>IF(OR(INDEX($P$2:$P$1001,MATCH(ROWS($O$2:O970),$O$2:$O$1001,0),1)&gt;=100000,INDEX($V$1005:$AE$1005,1,MATCH(COLUMNS($V$1006:V1006),$V$1006:$AE$1006,0))&gt;=100000), " ",IF(INDEX($V$2:$AE$1001,MATCH(ROWS($O$2:O970),$O$2:$O$1001,0),MATCH(COLUMNS($V$1006:V1006),$V$1006:$AE$1006,0)), HYPERLINK("#",""), HYPERLINK(CONCATENATE("#Metadata!", ADDRESS(INDEX($Q$2:$Q$1001,MATCH(ROWS($O$2:O970),$O$2:$O$1001,0),0), INDEX($V$1004:$AE$1004,1,MATCH(COLUMNS($V$1006:V1006),$V$1006:$AE$1006,0)))),"Fix")))</f>
        <v>0</v>
      </c>
      <c r="C970" s="3">
        <f>IF(OR(INDEX($P$2:$P$1001,MATCH(ROWS($O$2:O970),$O$2:$O$1001,0),1)&gt;=100000,INDEX($V$1005:$AE$1005,1,MATCH(COLUMNS($V$1006:W1006),$V$1006:$AE$1006,0))&gt;=100000), " ",IF(INDEX($V$2:$AE$1001,MATCH(ROWS($O$2:O970),$O$2:$O$1001,0),MATCH(COLUMNS($V$1006:W1006),$V$1006:$AE$1006,0)), HYPERLINK("#",""), HYPERLINK(CONCATENATE("#Metadata!", ADDRESS(INDEX($Q$2:$Q$1001,MATCH(ROWS($O$2:O970),$O$2:$O$1001,0),0), INDEX($V$1004:$AE$1004,1,MATCH(COLUMNS($V$1006:W1006),$V$1006:$AE$1006,0)))),"Fix")))</f>
        <v>0</v>
      </c>
      <c r="D970" s="3">
        <f>IF(OR(INDEX($P$2:$P$1001,MATCH(ROWS($O$2:O970),$O$2:$O$1001,0),1)&gt;=100000,INDEX($V$1005:$AE$1005,1,MATCH(COLUMNS($V$1006:X1006),$V$1006:$AE$1006,0))&gt;=100000), " ",IF(INDEX($V$2:$AE$1001,MATCH(ROWS($O$2:O970),$O$2:$O$1001,0),MATCH(COLUMNS($V$1006:X1006),$V$1006:$AE$1006,0)), HYPERLINK("#",""), HYPERLINK(CONCATENATE("#Metadata!", ADDRESS(INDEX($Q$2:$Q$1001,MATCH(ROWS($O$2:O970),$O$2:$O$1001,0),0), INDEX($V$1004:$AE$1004,1,MATCH(COLUMNS($V$1006:X1006),$V$1006:$AE$1006,0)))),"Fix")))</f>
        <v>0</v>
      </c>
      <c r="E970" s="3">
        <f>IF(OR(INDEX($P$2:$P$1001,MATCH(ROWS($O$2:O970),$O$2:$O$1001,0),1)&gt;=100000,INDEX($V$1005:$AE$1005,1,MATCH(COLUMNS($V$1006:Y1006),$V$1006:$AE$1006,0))&gt;=100000), " ",IF(INDEX($V$2:$AE$1001,MATCH(ROWS($O$2:O970),$O$2:$O$1001,0),MATCH(COLUMNS($V$1006:Y1006),$V$1006:$AE$1006,0)), HYPERLINK("#",""), HYPERLINK(CONCATENATE("#Metadata!", ADDRESS(INDEX($Q$2:$Q$1001,MATCH(ROWS($O$2:O970),$O$2:$O$1001,0),0), INDEX($V$1004:$AE$1004,1,MATCH(COLUMNS($V$1006:Y1006),$V$1006:$AE$1006,0)))),"Fix")))</f>
        <v>0</v>
      </c>
      <c r="F970" s="3">
        <f>IF(OR(INDEX($P$2:$P$1001,MATCH(ROWS($O$2:O970),$O$2:$O$1001,0),1)&gt;=100000,INDEX($V$1005:$AE$1005,1,MATCH(COLUMNS($V$1006:Z1006),$V$1006:$AE$1006,0))&gt;=100000), " ",IF(INDEX($V$2:$AE$1001,MATCH(ROWS($O$2:O970),$O$2:$O$1001,0),MATCH(COLUMNS($V$1006:Z1006),$V$1006:$AE$1006,0)), HYPERLINK("#",""), HYPERLINK(CONCATENATE("#Metadata!", ADDRESS(INDEX($Q$2:$Q$1001,MATCH(ROWS($O$2:O970),$O$2:$O$1001,0),0), INDEX($V$1004:$AE$1004,1,MATCH(COLUMNS($V$1006:Z1006),$V$1006:$AE$1006,0)))),"Fix")))</f>
        <v>0</v>
      </c>
      <c r="G970" s="3">
        <f>IF(OR(INDEX($P$2:$P$1001,MATCH(ROWS($O$2:O970),$O$2:$O$1001,0),1)&gt;=100000,INDEX($V$1005:$AE$1005,1,MATCH(COLUMNS($V$1006:AA1006),$V$1006:$AE$1006,0))&gt;=100000), " ",IF(INDEX($V$2:$AE$1001,MATCH(ROWS($O$2:O970),$O$2:$O$1001,0),MATCH(COLUMNS($V$1006:AA1006),$V$1006:$AE$1006,0)), HYPERLINK("#",""), HYPERLINK(CONCATENATE("#Metadata!", ADDRESS(INDEX($Q$2:$Q$1001,MATCH(ROWS($O$2:O970),$O$2:$O$1001,0),0), INDEX($V$1004:$AE$1004,1,MATCH(COLUMNS($V$1006:AA1006),$V$1006:$AE$1006,0)))),"Fix")))</f>
        <v>0</v>
      </c>
      <c r="H970" s="3">
        <f>IF(OR(INDEX($P$2:$P$1001,MATCH(ROWS($O$2:O970),$O$2:$O$1001,0),1)&gt;=100000,INDEX($V$1005:$AE$1005,1,MATCH(COLUMNS($V$1006:AB1006),$V$1006:$AE$1006,0))&gt;=100000), " ",IF(INDEX($V$2:$AE$1001,MATCH(ROWS($O$2:O970),$O$2:$O$1001,0),MATCH(COLUMNS($V$1006:AB1006),$V$1006:$AE$1006,0)), HYPERLINK("#",""), HYPERLINK(CONCATENATE("#Metadata!", ADDRESS(INDEX($Q$2:$Q$1001,MATCH(ROWS($O$2:O970),$O$2:$O$1001,0),0), INDEX($V$1004:$AE$1004,1,MATCH(COLUMNS($V$1006:AB1006),$V$1006:$AE$1006,0)))),"Fix")))</f>
        <v>0</v>
      </c>
      <c r="I970" s="3">
        <f>IF(OR(INDEX($P$2:$P$1001,MATCH(ROWS($O$2:O970),$O$2:$O$1001,0),1)&gt;=100000,INDEX($V$1005:$AE$1005,1,MATCH(COLUMNS($V$1006:AC1006),$V$1006:$AE$1006,0))&gt;=100000), " ",IF(INDEX($V$2:$AE$1001,MATCH(ROWS($O$2:O970),$O$2:$O$1001,0),MATCH(COLUMNS($V$1006:AC1006),$V$1006:$AE$1006,0)), HYPERLINK("#",""), HYPERLINK(CONCATENATE("#Metadata!", ADDRESS(INDEX($Q$2:$Q$1001,MATCH(ROWS($O$2:O970),$O$2:$O$1001,0),0), INDEX($V$1004:$AE$1004,1,MATCH(COLUMNS($V$1006:AC1006),$V$1006:$AE$1006,0)))),"Fix")))</f>
        <v>0</v>
      </c>
      <c r="J970" s="3">
        <f>IF(OR(INDEX($P$2:$P$1001,MATCH(ROWS($O$2:O970),$O$2:$O$1001,0),1)&gt;=100000,INDEX($V$1005:$AE$1005,1,MATCH(COLUMNS($V$1006:AD1006),$V$1006:$AE$1006,0))&gt;=100000), " ",IF(INDEX($V$2:$AE$1001,MATCH(ROWS($O$2:O970),$O$2:$O$1001,0),MATCH(COLUMNS($V$1006:AD1006),$V$1006:$AE$1006,0)), HYPERLINK("#",""), HYPERLINK(CONCATENATE("#Metadata!", ADDRESS(INDEX($Q$2:$Q$1001,MATCH(ROWS($O$2:O970),$O$2:$O$1001,0),0), INDEX($V$1004:$AE$1004,1,MATCH(COLUMNS($V$1006:AD1006),$V$1006:$AE$1006,0)))),"Fix")))</f>
        <v>0</v>
      </c>
      <c r="K970" s="3">
        <f>IF(OR(INDEX($P$2:$P$1001,MATCH(ROWS($O$2:O970),$O$2:$O$1001,0),1)&gt;=100000,INDEX($V$1005:$AE$1005,1,MATCH(COLUMNS($V$1006:AE1006),$V$1006:$AE$1006,0))&gt;=100000), " ",IF(INDEX($V$2:$AE$1001,MATCH(ROWS($O$2:O970),$O$2:$O$1001,0),MATCH(COLUMNS($V$1006:AE1006),$V$1006:$AE$1006,0)), HYPERLINK("#",""), HYPERLINK(CONCATENATE("#Metadata!", ADDRESS(INDEX($Q$2:$Q$1001,MATCH(ROWS($O$2:O970),$O$2:$O$1001,0),0), INDEX($V$1004:$AE$1004,1,MATCH(COLUMNS($V$1006:AE1006),$V$1006:$AE$1006,0)))),"Fix")))</f>
        <v>0</v>
      </c>
      <c r="O970">
        <v>0</v>
      </c>
      <c r="P970">
        <v>0</v>
      </c>
      <c r="Q970">
        <v>0</v>
      </c>
      <c r="R970">
        <f>IF(S970,TRUE,AND(V970:AE970))</f>
        <v>0</v>
      </c>
      <c r="S970">
        <f>COUNTBLANK(Metadata!B970:K970)=COLUMNS(Metadata!B970:K970)</f>
        <v>0</v>
      </c>
      <c r="T970">
        <v>0</v>
      </c>
      <c r="V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W970">
        <f>AND(IF(Metadata!C970="",FALSE,TRUE),exact(Metadata!C970,"animal secretion"))</f>
        <v>0</v>
      </c>
      <c r="X970">
        <f>AND(IF(Metadata!D970="",FALSE,TRUE),exact(Metadata!D970,"saliva"))</f>
        <v>0</v>
      </c>
      <c r="Y970">
        <f>AND(IF(Metadata!E970="",FALSE,TRUE),exact(Metadata!E970,"human-oral"))</f>
        <v>0</v>
      </c>
      <c r="Z970">
        <f>AND(IF(Metadata!F970="",FALSE,TRUE),exact(Metadata!F970,"UBERON:oral cavity"))</f>
        <v>0</v>
      </c>
      <c r="AA970">
        <f>AND(IF(Metadata!G970="",FALSE,TRUE),exact(Metadata!G970,"UBERON:saliva"))</f>
        <v>0</v>
      </c>
      <c r="AB970">
        <f>AND(IF(Metadata!H970="",FALSE,TRUE),exact(Metadata!H970,"UBERON:tongue"))</f>
        <v>0</v>
      </c>
      <c r="AC970">
        <f>AND(IF(Metadata!I970="",FALSE,TRUE),exact(Metadata!I970,"tongue"))</f>
        <v>0</v>
      </c>
      <c r="AD970">
        <f>AND(IF(Metadata!J970="",FALSE,TRUE),exact(Metadata!J970,"human oral metagenome"))</f>
        <v>0</v>
      </c>
      <c r="AE970">
        <f>AND(IF(Metadata!K970="",FALSE,TRUE),exact(Metadata!K970,"447426"))</f>
        <v>0</v>
      </c>
    </row>
    <row r="971" spans="1:31">
      <c r="A971" s="4">
        <f>IF(B971=" "," ",HYPERLINK(CONCATENATE("#metadata!",ADDRESS(INDEX($Q$2:$Q$1001,MATCH(ROWS($O$2:O971),$O$2:$O$1001,0),0),1)),INDEX($T$2:$T$1001,MATCH(ROWS($O$2:O971),$O$2:$O$1001,0),0)))</f>
        <v>0</v>
      </c>
      <c r="B971" s="3">
        <f>IF(OR(INDEX($P$2:$P$1001,MATCH(ROWS($O$2:O971),$O$2:$O$1001,0),1)&gt;=100000,INDEX($V$1005:$AE$1005,1,MATCH(COLUMNS($V$1006:V1006),$V$1006:$AE$1006,0))&gt;=100000), " ",IF(INDEX($V$2:$AE$1001,MATCH(ROWS($O$2:O971),$O$2:$O$1001,0),MATCH(COLUMNS($V$1006:V1006),$V$1006:$AE$1006,0)), HYPERLINK("#",""), HYPERLINK(CONCATENATE("#Metadata!", ADDRESS(INDEX($Q$2:$Q$1001,MATCH(ROWS($O$2:O971),$O$2:$O$1001,0),0), INDEX($V$1004:$AE$1004,1,MATCH(COLUMNS($V$1006:V1006),$V$1006:$AE$1006,0)))),"Fix")))</f>
        <v>0</v>
      </c>
      <c r="C971" s="3">
        <f>IF(OR(INDEX($P$2:$P$1001,MATCH(ROWS($O$2:O971),$O$2:$O$1001,0),1)&gt;=100000,INDEX($V$1005:$AE$1005,1,MATCH(COLUMNS($V$1006:W1006),$V$1006:$AE$1006,0))&gt;=100000), " ",IF(INDEX($V$2:$AE$1001,MATCH(ROWS($O$2:O971),$O$2:$O$1001,0),MATCH(COLUMNS($V$1006:W1006),$V$1006:$AE$1006,0)), HYPERLINK("#",""), HYPERLINK(CONCATENATE("#Metadata!", ADDRESS(INDEX($Q$2:$Q$1001,MATCH(ROWS($O$2:O971),$O$2:$O$1001,0),0), INDEX($V$1004:$AE$1004,1,MATCH(COLUMNS($V$1006:W1006),$V$1006:$AE$1006,0)))),"Fix")))</f>
        <v>0</v>
      </c>
      <c r="D971" s="3">
        <f>IF(OR(INDEX($P$2:$P$1001,MATCH(ROWS($O$2:O971),$O$2:$O$1001,0),1)&gt;=100000,INDEX($V$1005:$AE$1005,1,MATCH(COLUMNS($V$1006:X1006),$V$1006:$AE$1006,0))&gt;=100000), " ",IF(INDEX($V$2:$AE$1001,MATCH(ROWS($O$2:O971),$O$2:$O$1001,0),MATCH(COLUMNS($V$1006:X1006),$V$1006:$AE$1006,0)), HYPERLINK("#",""), HYPERLINK(CONCATENATE("#Metadata!", ADDRESS(INDEX($Q$2:$Q$1001,MATCH(ROWS($O$2:O971),$O$2:$O$1001,0),0), INDEX($V$1004:$AE$1004,1,MATCH(COLUMNS($V$1006:X1006),$V$1006:$AE$1006,0)))),"Fix")))</f>
        <v>0</v>
      </c>
      <c r="E971" s="3">
        <f>IF(OR(INDEX($P$2:$P$1001,MATCH(ROWS($O$2:O971),$O$2:$O$1001,0),1)&gt;=100000,INDEX($V$1005:$AE$1005,1,MATCH(COLUMNS($V$1006:Y1006),$V$1006:$AE$1006,0))&gt;=100000), " ",IF(INDEX($V$2:$AE$1001,MATCH(ROWS($O$2:O971),$O$2:$O$1001,0),MATCH(COLUMNS($V$1006:Y1006),$V$1006:$AE$1006,0)), HYPERLINK("#",""), HYPERLINK(CONCATENATE("#Metadata!", ADDRESS(INDEX($Q$2:$Q$1001,MATCH(ROWS($O$2:O971),$O$2:$O$1001,0),0), INDEX($V$1004:$AE$1004,1,MATCH(COLUMNS($V$1006:Y1006),$V$1006:$AE$1006,0)))),"Fix")))</f>
        <v>0</v>
      </c>
      <c r="F971" s="3">
        <f>IF(OR(INDEX($P$2:$P$1001,MATCH(ROWS($O$2:O971),$O$2:$O$1001,0),1)&gt;=100000,INDEX($V$1005:$AE$1005,1,MATCH(COLUMNS($V$1006:Z1006),$V$1006:$AE$1006,0))&gt;=100000), " ",IF(INDEX($V$2:$AE$1001,MATCH(ROWS($O$2:O971),$O$2:$O$1001,0),MATCH(COLUMNS($V$1006:Z1006),$V$1006:$AE$1006,0)), HYPERLINK("#",""), HYPERLINK(CONCATENATE("#Metadata!", ADDRESS(INDEX($Q$2:$Q$1001,MATCH(ROWS($O$2:O971),$O$2:$O$1001,0),0), INDEX($V$1004:$AE$1004,1,MATCH(COLUMNS($V$1006:Z1006),$V$1006:$AE$1006,0)))),"Fix")))</f>
        <v>0</v>
      </c>
      <c r="G971" s="3">
        <f>IF(OR(INDEX($P$2:$P$1001,MATCH(ROWS($O$2:O971),$O$2:$O$1001,0),1)&gt;=100000,INDEX($V$1005:$AE$1005,1,MATCH(COLUMNS($V$1006:AA1006),$V$1006:$AE$1006,0))&gt;=100000), " ",IF(INDEX($V$2:$AE$1001,MATCH(ROWS($O$2:O971),$O$2:$O$1001,0),MATCH(COLUMNS($V$1006:AA1006),$V$1006:$AE$1006,0)), HYPERLINK("#",""), HYPERLINK(CONCATENATE("#Metadata!", ADDRESS(INDEX($Q$2:$Q$1001,MATCH(ROWS($O$2:O971),$O$2:$O$1001,0),0), INDEX($V$1004:$AE$1004,1,MATCH(COLUMNS($V$1006:AA1006),$V$1006:$AE$1006,0)))),"Fix")))</f>
        <v>0</v>
      </c>
      <c r="H971" s="3">
        <f>IF(OR(INDEX($P$2:$P$1001,MATCH(ROWS($O$2:O971),$O$2:$O$1001,0),1)&gt;=100000,INDEX($V$1005:$AE$1005,1,MATCH(COLUMNS($V$1006:AB1006),$V$1006:$AE$1006,0))&gt;=100000), " ",IF(INDEX($V$2:$AE$1001,MATCH(ROWS($O$2:O971),$O$2:$O$1001,0),MATCH(COLUMNS($V$1006:AB1006),$V$1006:$AE$1006,0)), HYPERLINK("#",""), HYPERLINK(CONCATENATE("#Metadata!", ADDRESS(INDEX($Q$2:$Q$1001,MATCH(ROWS($O$2:O971),$O$2:$O$1001,0),0), INDEX($V$1004:$AE$1004,1,MATCH(COLUMNS($V$1006:AB1006),$V$1006:$AE$1006,0)))),"Fix")))</f>
        <v>0</v>
      </c>
      <c r="I971" s="3">
        <f>IF(OR(INDEX($P$2:$P$1001,MATCH(ROWS($O$2:O971),$O$2:$O$1001,0),1)&gt;=100000,INDEX($V$1005:$AE$1005,1,MATCH(COLUMNS($V$1006:AC1006),$V$1006:$AE$1006,0))&gt;=100000), " ",IF(INDEX($V$2:$AE$1001,MATCH(ROWS($O$2:O971),$O$2:$O$1001,0),MATCH(COLUMNS($V$1006:AC1006),$V$1006:$AE$1006,0)), HYPERLINK("#",""), HYPERLINK(CONCATENATE("#Metadata!", ADDRESS(INDEX($Q$2:$Q$1001,MATCH(ROWS($O$2:O971),$O$2:$O$1001,0),0), INDEX($V$1004:$AE$1004,1,MATCH(COLUMNS($V$1006:AC1006),$V$1006:$AE$1006,0)))),"Fix")))</f>
        <v>0</v>
      </c>
      <c r="J971" s="3">
        <f>IF(OR(INDEX($P$2:$P$1001,MATCH(ROWS($O$2:O971),$O$2:$O$1001,0),1)&gt;=100000,INDEX($V$1005:$AE$1005,1,MATCH(COLUMNS($V$1006:AD1006),$V$1006:$AE$1006,0))&gt;=100000), " ",IF(INDEX($V$2:$AE$1001,MATCH(ROWS($O$2:O971),$O$2:$O$1001,0),MATCH(COLUMNS($V$1006:AD1006),$V$1006:$AE$1006,0)), HYPERLINK("#",""), HYPERLINK(CONCATENATE("#Metadata!", ADDRESS(INDEX($Q$2:$Q$1001,MATCH(ROWS($O$2:O971),$O$2:$O$1001,0),0), INDEX($V$1004:$AE$1004,1,MATCH(COLUMNS($V$1006:AD1006),$V$1006:$AE$1006,0)))),"Fix")))</f>
        <v>0</v>
      </c>
      <c r="K971" s="3">
        <f>IF(OR(INDEX($P$2:$P$1001,MATCH(ROWS($O$2:O971),$O$2:$O$1001,0),1)&gt;=100000,INDEX($V$1005:$AE$1005,1,MATCH(COLUMNS($V$1006:AE1006),$V$1006:$AE$1006,0))&gt;=100000), " ",IF(INDEX($V$2:$AE$1001,MATCH(ROWS($O$2:O971),$O$2:$O$1001,0),MATCH(COLUMNS($V$1006:AE1006),$V$1006:$AE$1006,0)), HYPERLINK("#",""), HYPERLINK(CONCATENATE("#Metadata!", ADDRESS(INDEX($Q$2:$Q$1001,MATCH(ROWS($O$2:O971),$O$2:$O$1001,0),0), INDEX($V$1004:$AE$1004,1,MATCH(COLUMNS($V$1006:AE1006),$V$1006:$AE$1006,0)))),"Fix")))</f>
        <v>0</v>
      </c>
      <c r="O971">
        <v>0</v>
      </c>
      <c r="P971">
        <v>0</v>
      </c>
      <c r="Q971">
        <v>0</v>
      </c>
      <c r="R971">
        <f>IF(S971,TRUE,AND(V971:AE971))</f>
        <v>0</v>
      </c>
      <c r="S971">
        <f>COUNTBLANK(Metadata!B971:K971)=COLUMNS(Metadata!B971:K971)</f>
        <v>0</v>
      </c>
      <c r="T971">
        <v>0</v>
      </c>
      <c r="V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W971">
        <f>AND(IF(Metadata!C971="",FALSE,TRUE),exact(Metadata!C971,"animal secretion"))</f>
        <v>0</v>
      </c>
      <c r="X971">
        <f>AND(IF(Metadata!D971="",FALSE,TRUE),exact(Metadata!D971,"saliva"))</f>
        <v>0</v>
      </c>
      <c r="Y971">
        <f>AND(IF(Metadata!E971="",FALSE,TRUE),exact(Metadata!E971,"human-oral"))</f>
        <v>0</v>
      </c>
      <c r="Z971">
        <f>AND(IF(Metadata!F971="",FALSE,TRUE),exact(Metadata!F971,"UBERON:oral cavity"))</f>
        <v>0</v>
      </c>
      <c r="AA971">
        <f>AND(IF(Metadata!G971="",FALSE,TRUE),exact(Metadata!G971,"UBERON:saliva"))</f>
        <v>0</v>
      </c>
      <c r="AB971">
        <f>AND(IF(Metadata!H971="",FALSE,TRUE),exact(Metadata!H971,"UBERON:tongue"))</f>
        <v>0</v>
      </c>
      <c r="AC971">
        <f>AND(IF(Metadata!I971="",FALSE,TRUE),exact(Metadata!I971,"tongue"))</f>
        <v>0</v>
      </c>
      <c r="AD971">
        <f>AND(IF(Metadata!J971="",FALSE,TRUE),exact(Metadata!J971,"human oral metagenome"))</f>
        <v>0</v>
      </c>
      <c r="AE971">
        <f>AND(IF(Metadata!K971="",FALSE,TRUE),exact(Metadata!K971,"447426"))</f>
        <v>0</v>
      </c>
    </row>
    <row r="972" spans="1:31">
      <c r="A972" s="4">
        <f>IF(B972=" "," ",HYPERLINK(CONCATENATE("#metadata!",ADDRESS(INDEX($Q$2:$Q$1001,MATCH(ROWS($O$2:O972),$O$2:$O$1001,0),0),1)),INDEX($T$2:$T$1001,MATCH(ROWS($O$2:O972),$O$2:$O$1001,0),0)))</f>
        <v>0</v>
      </c>
      <c r="B972" s="3">
        <f>IF(OR(INDEX($P$2:$P$1001,MATCH(ROWS($O$2:O972),$O$2:$O$1001,0),1)&gt;=100000,INDEX($V$1005:$AE$1005,1,MATCH(COLUMNS($V$1006:V1006),$V$1006:$AE$1006,0))&gt;=100000), " ",IF(INDEX($V$2:$AE$1001,MATCH(ROWS($O$2:O972),$O$2:$O$1001,0),MATCH(COLUMNS($V$1006:V1006),$V$1006:$AE$1006,0)), HYPERLINK("#",""), HYPERLINK(CONCATENATE("#Metadata!", ADDRESS(INDEX($Q$2:$Q$1001,MATCH(ROWS($O$2:O972),$O$2:$O$1001,0),0), INDEX($V$1004:$AE$1004,1,MATCH(COLUMNS($V$1006:V1006),$V$1006:$AE$1006,0)))),"Fix")))</f>
        <v>0</v>
      </c>
      <c r="C972" s="3">
        <f>IF(OR(INDEX($P$2:$P$1001,MATCH(ROWS($O$2:O972),$O$2:$O$1001,0),1)&gt;=100000,INDEX($V$1005:$AE$1005,1,MATCH(COLUMNS($V$1006:W1006),$V$1006:$AE$1006,0))&gt;=100000), " ",IF(INDEX($V$2:$AE$1001,MATCH(ROWS($O$2:O972),$O$2:$O$1001,0),MATCH(COLUMNS($V$1006:W1006),$V$1006:$AE$1006,0)), HYPERLINK("#",""), HYPERLINK(CONCATENATE("#Metadata!", ADDRESS(INDEX($Q$2:$Q$1001,MATCH(ROWS($O$2:O972),$O$2:$O$1001,0),0), INDEX($V$1004:$AE$1004,1,MATCH(COLUMNS($V$1006:W1006),$V$1006:$AE$1006,0)))),"Fix")))</f>
        <v>0</v>
      </c>
      <c r="D972" s="3">
        <f>IF(OR(INDEX($P$2:$P$1001,MATCH(ROWS($O$2:O972),$O$2:$O$1001,0),1)&gt;=100000,INDEX($V$1005:$AE$1005,1,MATCH(COLUMNS($V$1006:X1006),$V$1006:$AE$1006,0))&gt;=100000), " ",IF(INDEX($V$2:$AE$1001,MATCH(ROWS($O$2:O972),$O$2:$O$1001,0),MATCH(COLUMNS($V$1006:X1006),$V$1006:$AE$1006,0)), HYPERLINK("#",""), HYPERLINK(CONCATENATE("#Metadata!", ADDRESS(INDEX($Q$2:$Q$1001,MATCH(ROWS($O$2:O972),$O$2:$O$1001,0),0), INDEX($V$1004:$AE$1004,1,MATCH(COLUMNS($V$1006:X1006),$V$1006:$AE$1006,0)))),"Fix")))</f>
        <v>0</v>
      </c>
      <c r="E972" s="3">
        <f>IF(OR(INDEX($P$2:$P$1001,MATCH(ROWS($O$2:O972),$O$2:$O$1001,0),1)&gt;=100000,INDEX($V$1005:$AE$1005,1,MATCH(COLUMNS($V$1006:Y1006),$V$1006:$AE$1006,0))&gt;=100000), " ",IF(INDEX($V$2:$AE$1001,MATCH(ROWS($O$2:O972),$O$2:$O$1001,0),MATCH(COLUMNS($V$1006:Y1006),$V$1006:$AE$1006,0)), HYPERLINK("#",""), HYPERLINK(CONCATENATE("#Metadata!", ADDRESS(INDEX($Q$2:$Q$1001,MATCH(ROWS($O$2:O972),$O$2:$O$1001,0),0), INDEX($V$1004:$AE$1004,1,MATCH(COLUMNS($V$1006:Y1006),$V$1006:$AE$1006,0)))),"Fix")))</f>
        <v>0</v>
      </c>
      <c r="F972" s="3">
        <f>IF(OR(INDEX($P$2:$P$1001,MATCH(ROWS($O$2:O972),$O$2:$O$1001,0),1)&gt;=100000,INDEX($V$1005:$AE$1005,1,MATCH(COLUMNS($V$1006:Z1006),$V$1006:$AE$1006,0))&gt;=100000), " ",IF(INDEX($V$2:$AE$1001,MATCH(ROWS($O$2:O972),$O$2:$O$1001,0),MATCH(COLUMNS($V$1006:Z1006),$V$1006:$AE$1006,0)), HYPERLINK("#",""), HYPERLINK(CONCATENATE("#Metadata!", ADDRESS(INDEX($Q$2:$Q$1001,MATCH(ROWS($O$2:O972),$O$2:$O$1001,0),0), INDEX($V$1004:$AE$1004,1,MATCH(COLUMNS($V$1006:Z1006),$V$1006:$AE$1006,0)))),"Fix")))</f>
        <v>0</v>
      </c>
      <c r="G972" s="3">
        <f>IF(OR(INDEX($P$2:$P$1001,MATCH(ROWS($O$2:O972),$O$2:$O$1001,0),1)&gt;=100000,INDEX($V$1005:$AE$1005,1,MATCH(COLUMNS($V$1006:AA1006),$V$1006:$AE$1006,0))&gt;=100000), " ",IF(INDEX($V$2:$AE$1001,MATCH(ROWS($O$2:O972),$O$2:$O$1001,0),MATCH(COLUMNS($V$1006:AA1006),$V$1006:$AE$1006,0)), HYPERLINK("#",""), HYPERLINK(CONCATENATE("#Metadata!", ADDRESS(INDEX($Q$2:$Q$1001,MATCH(ROWS($O$2:O972),$O$2:$O$1001,0),0), INDEX($V$1004:$AE$1004,1,MATCH(COLUMNS($V$1006:AA1006),$V$1006:$AE$1006,0)))),"Fix")))</f>
        <v>0</v>
      </c>
      <c r="H972" s="3">
        <f>IF(OR(INDEX($P$2:$P$1001,MATCH(ROWS($O$2:O972),$O$2:$O$1001,0),1)&gt;=100000,INDEX($V$1005:$AE$1005,1,MATCH(COLUMNS($V$1006:AB1006),$V$1006:$AE$1006,0))&gt;=100000), " ",IF(INDEX($V$2:$AE$1001,MATCH(ROWS($O$2:O972),$O$2:$O$1001,0),MATCH(COLUMNS($V$1006:AB1006),$V$1006:$AE$1006,0)), HYPERLINK("#",""), HYPERLINK(CONCATENATE("#Metadata!", ADDRESS(INDEX($Q$2:$Q$1001,MATCH(ROWS($O$2:O972),$O$2:$O$1001,0),0), INDEX($V$1004:$AE$1004,1,MATCH(COLUMNS($V$1006:AB1006),$V$1006:$AE$1006,0)))),"Fix")))</f>
        <v>0</v>
      </c>
      <c r="I972" s="3">
        <f>IF(OR(INDEX($P$2:$P$1001,MATCH(ROWS($O$2:O972),$O$2:$O$1001,0),1)&gt;=100000,INDEX($V$1005:$AE$1005,1,MATCH(COLUMNS($V$1006:AC1006),$V$1006:$AE$1006,0))&gt;=100000), " ",IF(INDEX($V$2:$AE$1001,MATCH(ROWS($O$2:O972),$O$2:$O$1001,0),MATCH(COLUMNS($V$1006:AC1006),$V$1006:$AE$1006,0)), HYPERLINK("#",""), HYPERLINK(CONCATENATE("#Metadata!", ADDRESS(INDEX($Q$2:$Q$1001,MATCH(ROWS($O$2:O972),$O$2:$O$1001,0),0), INDEX($V$1004:$AE$1004,1,MATCH(COLUMNS($V$1006:AC1006),$V$1006:$AE$1006,0)))),"Fix")))</f>
        <v>0</v>
      </c>
      <c r="J972" s="3">
        <f>IF(OR(INDEX($P$2:$P$1001,MATCH(ROWS($O$2:O972),$O$2:$O$1001,0),1)&gt;=100000,INDEX($V$1005:$AE$1005,1,MATCH(COLUMNS($V$1006:AD1006),$V$1006:$AE$1006,0))&gt;=100000), " ",IF(INDEX($V$2:$AE$1001,MATCH(ROWS($O$2:O972),$O$2:$O$1001,0),MATCH(COLUMNS($V$1006:AD1006),$V$1006:$AE$1006,0)), HYPERLINK("#",""), HYPERLINK(CONCATENATE("#Metadata!", ADDRESS(INDEX($Q$2:$Q$1001,MATCH(ROWS($O$2:O972),$O$2:$O$1001,0),0), INDEX($V$1004:$AE$1004,1,MATCH(COLUMNS($V$1006:AD1006),$V$1006:$AE$1006,0)))),"Fix")))</f>
        <v>0</v>
      </c>
      <c r="K972" s="3">
        <f>IF(OR(INDEX($P$2:$P$1001,MATCH(ROWS($O$2:O972),$O$2:$O$1001,0),1)&gt;=100000,INDEX($V$1005:$AE$1005,1,MATCH(COLUMNS($V$1006:AE1006),$V$1006:$AE$1006,0))&gt;=100000), " ",IF(INDEX($V$2:$AE$1001,MATCH(ROWS($O$2:O972),$O$2:$O$1001,0),MATCH(COLUMNS($V$1006:AE1006),$V$1006:$AE$1006,0)), HYPERLINK("#",""), HYPERLINK(CONCATENATE("#Metadata!", ADDRESS(INDEX($Q$2:$Q$1001,MATCH(ROWS($O$2:O972),$O$2:$O$1001,0),0), INDEX($V$1004:$AE$1004,1,MATCH(COLUMNS($V$1006:AE1006),$V$1006:$AE$1006,0)))),"Fix")))</f>
        <v>0</v>
      </c>
      <c r="O972">
        <v>0</v>
      </c>
      <c r="P972">
        <v>0</v>
      </c>
      <c r="Q972">
        <v>0</v>
      </c>
      <c r="R972">
        <f>IF(S972,TRUE,AND(V972:AE972))</f>
        <v>0</v>
      </c>
      <c r="S972">
        <f>COUNTBLANK(Metadata!B972:K972)=COLUMNS(Metadata!B972:K972)</f>
        <v>0</v>
      </c>
      <c r="T972">
        <v>0</v>
      </c>
      <c r="V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W972">
        <f>AND(IF(Metadata!C972="",FALSE,TRUE),exact(Metadata!C972,"animal secretion"))</f>
        <v>0</v>
      </c>
      <c r="X972">
        <f>AND(IF(Metadata!D972="",FALSE,TRUE),exact(Metadata!D972,"saliva"))</f>
        <v>0</v>
      </c>
      <c r="Y972">
        <f>AND(IF(Metadata!E972="",FALSE,TRUE),exact(Metadata!E972,"human-oral"))</f>
        <v>0</v>
      </c>
      <c r="Z972">
        <f>AND(IF(Metadata!F972="",FALSE,TRUE),exact(Metadata!F972,"UBERON:oral cavity"))</f>
        <v>0</v>
      </c>
      <c r="AA972">
        <f>AND(IF(Metadata!G972="",FALSE,TRUE),exact(Metadata!G972,"UBERON:saliva"))</f>
        <v>0</v>
      </c>
      <c r="AB972">
        <f>AND(IF(Metadata!H972="",FALSE,TRUE),exact(Metadata!H972,"UBERON:tongue"))</f>
        <v>0</v>
      </c>
      <c r="AC972">
        <f>AND(IF(Metadata!I972="",FALSE,TRUE),exact(Metadata!I972,"tongue"))</f>
        <v>0</v>
      </c>
      <c r="AD972">
        <f>AND(IF(Metadata!J972="",FALSE,TRUE),exact(Metadata!J972,"human oral metagenome"))</f>
        <v>0</v>
      </c>
      <c r="AE972">
        <f>AND(IF(Metadata!K972="",FALSE,TRUE),exact(Metadata!K972,"447426"))</f>
        <v>0</v>
      </c>
    </row>
    <row r="973" spans="1:31">
      <c r="A973" s="4">
        <f>IF(B973=" "," ",HYPERLINK(CONCATENATE("#metadata!",ADDRESS(INDEX($Q$2:$Q$1001,MATCH(ROWS($O$2:O973),$O$2:$O$1001,0),0),1)),INDEX($T$2:$T$1001,MATCH(ROWS($O$2:O973),$O$2:$O$1001,0),0)))</f>
        <v>0</v>
      </c>
      <c r="B973" s="3">
        <f>IF(OR(INDEX($P$2:$P$1001,MATCH(ROWS($O$2:O973),$O$2:$O$1001,0),1)&gt;=100000,INDEX($V$1005:$AE$1005,1,MATCH(COLUMNS($V$1006:V1006),$V$1006:$AE$1006,0))&gt;=100000), " ",IF(INDEX($V$2:$AE$1001,MATCH(ROWS($O$2:O973),$O$2:$O$1001,0),MATCH(COLUMNS($V$1006:V1006),$V$1006:$AE$1006,0)), HYPERLINK("#",""), HYPERLINK(CONCATENATE("#Metadata!", ADDRESS(INDEX($Q$2:$Q$1001,MATCH(ROWS($O$2:O973),$O$2:$O$1001,0),0), INDEX($V$1004:$AE$1004,1,MATCH(COLUMNS($V$1006:V1006),$V$1006:$AE$1006,0)))),"Fix")))</f>
        <v>0</v>
      </c>
      <c r="C973" s="3">
        <f>IF(OR(INDEX($P$2:$P$1001,MATCH(ROWS($O$2:O973),$O$2:$O$1001,0),1)&gt;=100000,INDEX($V$1005:$AE$1005,1,MATCH(COLUMNS($V$1006:W1006),$V$1006:$AE$1006,0))&gt;=100000), " ",IF(INDEX($V$2:$AE$1001,MATCH(ROWS($O$2:O973),$O$2:$O$1001,0),MATCH(COLUMNS($V$1006:W1006),$V$1006:$AE$1006,0)), HYPERLINK("#",""), HYPERLINK(CONCATENATE("#Metadata!", ADDRESS(INDEX($Q$2:$Q$1001,MATCH(ROWS($O$2:O973),$O$2:$O$1001,0),0), INDEX($V$1004:$AE$1004,1,MATCH(COLUMNS($V$1006:W1006),$V$1006:$AE$1006,0)))),"Fix")))</f>
        <v>0</v>
      </c>
      <c r="D973" s="3">
        <f>IF(OR(INDEX($P$2:$P$1001,MATCH(ROWS($O$2:O973),$O$2:$O$1001,0),1)&gt;=100000,INDEX($V$1005:$AE$1005,1,MATCH(COLUMNS($V$1006:X1006),$V$1006:$AE$1006,0))&gt;=100000), " ",IF(INDEX($V$2:$AE$1001,MATCH(ROWS($O$2:O973),$O$2:$O$1001,0),MATCH(COLUMNS($V$1006:X1006),$V$1006:$AE$1006,0)), HYPERLINK("#",""), HYPERLINK(CONCATENATE("#Metadata!", ADDRESS(INDEX($Q$2:$Q$1001,MATCH(ROWS($O$2:O973),$O$2:$O$1001,0),0), INDEX($V$1004:$AE$1004,1,MATCH(COLUMNS($V$1006:X1006),$V$1006:$AE$1006,0)))),"Fix")))</f>
        <v>0</v>
      </c>
      <c r="E973" s="3">
        <f>IF(OR(INDEX($P$2:$P$1001,MATCH(ROWS($O$2:O973),$O$2:$O$1001,0),1)&gt;=100000,INDEX($V$1005:$AE$1005,1,MATCH(COLUMNS($V$1006:Y1006),$V$1006:$AE$1006,0))&gt;=100000), " ",IF(INDEX($V$2:$AE$1001,MATCH(ROWS($O$2:O973),$O$2:$O$1001,0),MATCH(COLUMNS($V$1006:Y1006),$V$1006:$AE$1006,0)), HYPERLINK("#",""), HYPERLINK(CONCATENATE("#Metadata!", ADDRESS(INDEX($Q$2:$Q$1001,MATCH(ROWS($O$2:O973),$O$2:$O$1001,0),0), INDEX($V$1004:$AE$1004,1,MATCH(COLUMNS($V$1006:Y1006),$V$1006:$AE$1006,0)))),"Fix")))</f>
        <v>0</v>
      </c>
      <c r="F973" s="3">
        <f>IF(OR(INDEX($P$2:$P$1001,MATCH(ROWS($O$2:O973),$O$2:$O$1001,0),1)&gt;=100000,INDEX($V$1005:$AE$1005,1,MATCH(COLUMNS($V$1006:Z1006),$V$1006:$AE$1006,0))&gt;=100000), " ",IF(INDEX($V$2:$AE$1001,MATCH(ROWS($O$2:O973),$O$2:$O$1001,0),MATCH(COLUMNS($V$1006:Z1006),$V$1006:$AE$1006,0)), HYPERLINK("#",""), HYPERLINK(CONCATENATE("#Metadata!", ADDRESS(INDEX($Q$2:$Q$1001,MATCH(ROWS($O$2:O973),$O$2:$O$1001,0),0), INDEX($V$1004:$AE$1004,1,MATCH(COLUMNS($V$1006:Z1006),$V$1006:$AE$1006,0)))),"Fix")))</f>
        <v>0</v>
      </c>
      <c r="G973" s="3">
        <f>IF(OR(INDEX($P$2:$P$1001,MATCH(ROWS($O$2:O973),$O$2:$O$1001,0),1)&gt;=100000,INDEX($V$1005:$AE$1005,1,MATCH(COLUMNS($V$1006:AA1006),$V$1006:$AE$1006,0))&gt;=100000), " ",IF(INDEX($V$2:$AE$1001,MATCH(ROWS($O$2:O973),$O$2:$O$1001,0),MATCH(COLUMNS($V$1006:AA1006),$V$1006:$AE$1006,0)), HYPERLINK("#",""), HYPERLINK(CONCATENATE("#Metadata!", ADDRESS(INDEX($Q$2:$Q$1001,MATCH(ROWS($O$2:O973),$O$2:$O$1001,0),0), INDEX($V$1004:$AE$1004,1,MATCH(COLUMNS($V$1006:AA1006),$V$1006:$AE$1006,0)))),"Fix")))</f>
        <v>0</v>
      </c>
      <c r="H973" s="3">
        <f>IF(OR(INDEX($P$2:$P$1001,MATCH(ROWS($O$2:O973),$O$2:$O$1001,0),1)&gt;=100000,INDEX($V$1005:$AE$1005,1,MATCH(COLUMNS($V$1006:AB1006),$V$1006:$AE$1006,0))&gt;=100000), " ",IF(INDEX($V$2:$AE$1001,MATCH(ROWS($O$2:O973),$O$2:$O$1001,0),MATCH(COLUMNS($V$1006:AB1006),$V$1006:$AE$1006,0)), HYPERLINK("#",""), HYPERLINK(CONCATENATE("#Metadata!", ADDRESS(INDEX($Q$2:$Q$1001,MATCH(ROWS($O$2:O973),$O$2:$O$1001,0),0), INDEX($V$1004:$AE$1004,1,MATCH(COLUMNS($V$1006:AB1006),$V$1006:$AE$1006,0)))),"Fix")))</f>
        <v>0</v>
      </c>
      <c r="I973" s="3">
        <f>IF(OR(INDEX($P$2:$P$1001,MATCH(ROWS($O$2:O973),$O$2:$O$1001,0),1)&gt;=100000,INDEX($V$1005:$AE$1005,1,MATCH(COLUMNS($V$1006:AC1006),$V$1006:$AE$1006,0))&gt;=100000), " ",IF(INDEX($V$2:$AE$1001,MATCH(ROWS($O$2:O973),$O$2:$O$1001,0),MATCH(COLUMNS($V$1006:AC1006),$V$1006:$AE$1006,0)), HYPERLINK("#",""), HYPERLINK(CONCATENATE("#Metadata!", ADDRESS(INDEX($Q$2:$Q$1001,MATCH(ROWS($O$2:O973),$O$2:$O$1001,0),0), INDEX($V$1004:$AE$1004,1,MATCH(COLUMNS($V$1006:AC1006),$V$1006:$AE$1006,0)))),"Fix")))</f>
        <v>0</v>
      </c>
      <c r="J973" s="3">
        <f>IF(OR(INDEX($P$2:$P$1001,MATCH(ROWS($O$2:O973),$O$2:$O$1001,0),1)&gt;=100000,INDEX($V$1005:$AE$1005,1,MATCH(COLUMNS($V$1006:AD1006),$V$1006:$AE$1006,0))&gt;=100000), " ",IF(INDEX($V$2:$AE$1001,MATCH(ROWS($O$2:O973),$O$2:$O$1001,0),MATCH(COLUMNS($V$1006:AD1006),$V$1006:$AE$1006,0)), HYPERLINK("#",""), HYPERLINK(CONCATENATE("#Metadata!", ADDRESS(INDEX($Q$2:$Q$1001,MATCH(ROWS($O$2:O973),$O$2:$O$1001,0),0), INDEX($V$1004:$AE$1004,1,MATCH(COLUMNS($V$1006:AD1006),$V$1006:$AE$1006,0)))),"Fix")))</f>
        <v>0</v>
      </c>
      <c r="K973" s="3">
        <f>IF(OR(INDEX($P$2:$P$1001,MATCH(ROWS($O$2:O973),$O$2:$O$1001,0),1)&gt;=100000,INDEX($V$1005:$AE$1005,1,MATCH(COLUMNS($V$1006:AE1006),$V$1006:$AE$1006,0))&gt;=100000), " ",IF(INDEX($V$2:$AE$1001,MATCH(ROWS($O$2:O973),$O$2:$O$1001,0),MATCH(COLUMNS($V$1006:AE1006),$V$1006:$AE$1006,0)), HYPERLINK("#",""), HYPERLINK(CONCATENATE("#Metadata!", ADDRESS(INDEX($Q$2:$Q$1001,MATCH(ROWS($O$2:O973),$O$2:$O$1001,0),0), INDEX($V$1004:$AE$1004,1,MATCH(COLUMNS($V$1006:AE1006),$V$1006:$AE$1006,0)))),"Fix")))</f>
        <v>0</v>
      </c>
      <c r="O973">
        <v>0</v>
      </c>
      <c r="P973">
        <v>0</v>
      </c>
      <c r="Q973">
        <v>0</v>
      </c>
      <c r="R973">
        <f>IF(S973,TRUE,AND(V973:AE973))</f>
        <v>0</v>
      </c>
      <c r="S973">
        <f>COUNTBLANK(Metadata!B973:K973)=COLUMNS(Metadata!B973:K973)</f>
        <v>0</v>
      </c>
      <c r="T973">
        <v>0</v>
      </c>
      <c r="V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W973">
        <f>AND(IF(Metadata!C973="",FALSE,TRUE),exact(Metadata!C973,"animal secretion"))</f>
        <v>0</v>
      </c>
      <c r="X973">
        <f>AND(IF(Metadata!D973="",FALSE,TRUE),exact(Metadata!D973,"saliva"))</f>
        <v>0</v>
      </c>
      <c r="Y973">
        <f>AND(IF(Metadata!E973="",FALSE,TRUE),exact(Metadata!E973,"human-oral"))</f>
        <v>0</v>
      </c>
      <c r="Z973">
        <f>AND(IF(Metadata!F973="",FALSE,TRUE),exact(Metadata!F973,"UBERON:oral cavity"))</f>
        <v>0</v>
      </c>
      <c r="AA973">
        <f>AND(IF(Metadata!G973="",FALSE,TRUE),exact(Metadata!G973,"UBERON:saliva"))</f>
        <v>0</v>
      </c>
      <c r="AB973">
        <f>AND(IF(Metadata!H973="",FALSE,TRUE),exact(Metadata!H973,"UBERON:tongue"))</f>
        <v>0</v>
      </c>
      <c r="AC973">
        <f>AND(IF(Metadata!I973="",FALSE,TRUE),exact(Metadata!I973,"tongue"))</f>
        <v>0</v>
      </c>
      <c r="AD973">
        <f>AND(IF(Metadata!J973="",FALSE,TRUE),exact(Metadata!J973,"human oral metagenome"))</f>
        <v>0</v>
      </c>
      <c r="AE973">
        <f>AND(IF(Metadata!K973="",FALSE,TRUE),exact(Metadata!K973,"447426"))</f>
        <v>0</v>
      </c>
    </row>
    <row r="974" spans="1:31">
      <c r="A974" s="4">
        <f>IF(B974=" "," ",HYPERLINK(CONCATENATE("#metadata!",ADDRESS(INDEX($Q$2:$Q$1001,MATCH(ROWS($O$2:O974),$O$2:$O$1001,0),0),1)),INDEX($T$2:$T$1001,MATCH(ROWS($O$2:O974),$O$2:$O$1001,0),0)))</f>
        <v>0</v>
      </c>
      <c r="B974" s="3">
        <f>IF(OR(INDEX($P$2:$P$1001,MATCH(ROWS($O$2:O974),$O$2:$O$1001,0),1)&gt;=100000,INDEX($V$1005:$AE$1005,1,MATCH(COLUMNS($V$1006:V1006),$V$1006:$AE$1006,0))&gt;=100000), " ",IF(INDEX($V$2:$AE$1001,MATCH(ROWS($O$2:O974),$O$2:$O$1001,0),MATCH(COLUMNS($V$1006:V1006),$V$1006:$AE$1006,0)), HYPERLINK("#",""), HYPERLINK(CONCATENATE("#Metadata!", ADDRESS(INDEX($Q$2:$Q$1001,MATCH(ROWS($O$2:O974),$O$2:$O$1001,0),0), INDEX($V$1004:$AE$1004,1,MATCH(COLUMNS($V$1006:V1006),$V$1006:$AE$1006,0)))),"Fix")))</f>
        <v>0</v>
      </c>
      <c r="C974" s="3">
        <f>IF(OR(INDEX($P$2:$P$1001,MATCH(ROWS($O$2:O974),$O$2:$O$1001,0),1)&gt;=100000,INDEX($V$1005:$AE$1005,1,MATCH(COLUMNS($V$1006:W1006),$V$1006:$AE$1006,0))&gt;=100000), " ",IF(INDEX($V$2:$AE$1001,MATCH(ROWS($O$2:O974),$O$2:$O$1001,0),MATCH(COLUMNS($V$1006:W1006),$V$1006:$AE$1006,0)), HYPERLINK("#",""), HYPERLINK(CONCATENATE("#Metadata!", ADDRESS(INDEX($Q$2:$Q$1001,MATCH(ROWS($O$2:O974),$O$2:$O$1001,0),0), INDEX($V$1004:$AE$1004,1,MATCH(COLUMNS($V$1006:W1006),$V$1006:$AE$1006,0)))),"Fix")))</f>
        <v>0</v>
      </c>
      <c r="D974" s="3">
        <f>IF(OR(INDEX($P$2:$P$1001,MATCH(ROWS($O$2:O974),$O$2:$O$1001,0),1)&gt;=100000,INDEX($V$1005:$AE$1005,1,MATCH(COLUMNS($V$1006:X1006),$V$1006:$AE$1006,0))&gt;=100000), " ",IF(INDEX($V$2:$AE$1001,MATCH(ROWS($O$2:O974),$O$2:$O$1001,0),MATCH(COLUMNS($V$1006:X1006),$V$1006:$AE$1006,0)), HYPERLINK("#",""), HYPERLINK(CONCATENATE("#Metadata!", ADDRESS(INDEX($Q$2:$Q$1001,MATCH(ROWS($O$2:O974),$O$2:$O$1001,0),0), INDEX($V$1004:$AE$1004,1,MATCH(COLUMNS($V$1006:X1006),$V$1006:$AE$1006,0)))),"Fix")))</f>
        <v>0</v>
      </c>
      <c r="E974" s="3">
        <f>IF(OR(INDEX($P$2:$P$1001,MATCH(ROWS($O$2:O974),$O$2:$O$1001,0),1)&gt;=100000,INDEX($V$1005:$AE$1005,1,MATCH(COLUMNS($V$1006:Y1006),$V$1006:$AE$1006,0))&gt;=100000), " ",IF(INDEX($V$2:$AE$1001,MATCH(ROWS($O$2:O974),$O$2:$O$1001,0),MATCH(COLUMNS($V$1006:Y1006),$V$1006:$AE$1006,0)), HYPERLINK("#",""), HYPERLINK(CONCATENATE("#Metadata!", ADDRESS(INDEX($Q$2:$Q$1001,MATCH(ROWS($O$2:O974),$O$2:$O$1001,0),0), INDEX($V$1004:$AE$1004,1,MATCH(COLUMNS($V$1006:Y1006),$V$1006:$AE$1006,0)))),"Fix")))</f>
        <v>0</v>
      </c>
      <c r="F974" s="3">
        <f>IF(OR(INDEX($P$2:$P$1001,MATCH(ROWS($O$2:O974),$O$2:$O$1001,0),1)&gt;=100000,INDEX($V$1005:$AE$1005,1,MATCH(COLUMNS($V$1006:Z1006),$V$1006:$AE$1006,0))&gt;=100000), " ",IF(INDEX($V$2:$AE$1001,MATCH(ROWS($O$2:O974),$O$2:$O$1001,0),MATCH(COLUMNS($V$1006:Z1006),$V$1006:$AE$1006,0)), HYPERLINK("#",""), HYPERLINK(CONCATENATE("#Metadata!", ADDRESS(INDEX($Q$2:$Q$1001,MATCH(ROWS($O$2:O974),$O$2:$O$1001,0),0), INDEX($V$1004:$AE$1004,1,MATCH(COLUMNS($V$1006:Z1006),$V$1006:$AE$1006,0)))),"Fix")))</f>
        <v>0</v>
      </c>
      <c r="G974" s="3">
        <f>IF(OR(INDEX($P$2:$P$1001,MATCH(ROWS($O$2:O974),$O$2:$O$1001,0),1)&gt;=100000,INDEX($V$1005:$AE$1005,1,MATCH(COLUMNS($V$1006:AA1006),$V$1006:$AE$1006,0))&gt;=100000), " ",IF(INDEX($V$2:$AE$1001,MATCH(ROWS($O$2:O974),$O$2:$O$1001,0),MATCH(COLUMNS($V$1006:AA1006),$V$1006:$AE$1006,0)), HYPERLINK("#",""), HYPERLINK(CONCATENATE("#Metadata!", ADDRESS(INDEX($Q$2:$Q$1001,MATCH(ROWS($O$2:O974),$O$2:$O$1001,0),0), INDEX($V$1004:$AE$1004,1,MATCH(COLUMNS($V$1006:AA1006),$V$1006:$AE$1006,0)))),"Fix")))</f>
        <v>0</v>
      </c>
      <c r="H974" s="3">
        <f>IF(OR(INDEX($P$2:$P$1001,MATCH(ROWS($O$2:O974),$O$2:$O$1001,0),1)&gt;=100000,INDEX($V$1005:$AE$1005,1,MATCH(COLUMNS($V$1006:AB1006),$V$1006:$AE$1006,0))&gt;=100000), " ",IF(INDEX($V$2:$AE$1001,MATCH(ROWS($O$2:O974),$O$2:$O$1001,0),MATCH(COLUMNS($V$1006:AB1006),$V$1006:$AE$1006,0)), HYPERLINK("#",""), HYPERLINK(CONCATENATE("#Metadata!", ADDRESS(INDEX($Q$2:$Q$1001,MATCH(ROWS($O$2:O974),$O$2:$O$1001,0),0), INDEX($V$1004:$AE$1004,1,MATCH(COLUMNS($V$1006:AB1006),$V$1006:$AE$1006,0)))),"Fix")))</f>
        <v>0</v>
      </c>
      <c r="I974" s="3">
        <f>IF(OR(INDEX($P$2:$P$1001,MATCH(ROWS($O$2:O974),$O$2:$O$1001,0),1)&gt;=100000,INDEX($V$1005:$AE$1005,1,MATCH(COLUMNS($V$1006:AC1006),$V$1006:$AE$1006,0))&gt;=100000), " ",IF(INDEX($V$2:$AE$1001,MATCH(ROWS($O$2:O974),$O$2:$O$1001,0),MATCH(COLUMNS($V$1006:AC1006),$V$1006:$AE$1006,0)), HYPERLINK("#",""), HYPERLINK(CONCATENATE("#Metadata!", ADDRESS(INDEX($Q$2:$Q$1001,MATCH(ROWS($O$2:O974),$O$2:$O$1001,0),0), INDEX($V$1004:$AE$1004,1,MATCH(COLUMNS($V$1006:AC1006),$V$1006:$AE$1006,0)))),"Fix")))</f>
        <v>0</v>
      </c>
      <c r="J974" s="3">
        <f>IF(OR(INDEX($P$2:$P$1001,MATCH(ROWS($O$2:O974),$O$2:$O$1001,0),1)&gt;=100000,INDEX($V$1005:$AE$1005,1,MATCH(COLUMNS($V$1006:AD1006),$V$1006:$AE$1006,0))&gt;=100000), " ",IF(INDEX($V$2:$AE$1001,MATCH(ROWS($O$2:O974),$O$2:$O$1001,0),MATCH(COLUMNS($V$1006:AD1006),$V$1006:$AE$1006,0)), HYPERLINK("#",""), HYPERLINK(CONCATENATE("#Metadata!", ADDRESS(INDEX($Q$2:$Q$1001,MATCH(ROWS($O$2:O974),$O$2:$O$1001,0),0), INDEX($V$1004:$AE$1004,1,MATCH(COLUMNS($V$1006:AD1006),$V$1006:$AE$1006,0)))),"Fix")))</f>
        <v>0</v>
      </c>
      <c r="K974" s="3">
        <f>IF(OR(INDEX($P$2:$P$1001,MATCH(ROWS($O$2:O974),$O$2:$O$1001,0),1)&gt;=100000,INDEX($V$1005:$AE$1005,1,MATCH(COLUMNS($V$1006:AE1006),$V$1006:$AE$1006,0))&gt;=100000), " ",IF(INDEX($V$2:$AE$1001,MATCH(ROWS($O$2:O974),$O$2:$O$1001,0),MATCH(COLUMNS($V$1006:AE1006),$V$1006:$AE$1006,0)), HYPERLINK("#",""), HYPERLINK(CONCATENATE("#Metadata!", ADDRESS(INDEX($Q$2:$Q$1001,MATCH(ROWS($O$2:O974),$O$2:$O$1001,0),0), INDEX($V$1004:$AE$1004,1,MATCH(COLUMNS($V$1006:AE1006),$V$1006:$AE$1006,0)))),"Fix")))</f>
        <v>0</v>
      </c>
      <c r="O974">
        <v>0</v>
      </c>
      <c r="P974">
        <v>0</v>
      </c>
      <c r="Q974">
        <v>0</v>
      </c>
      <c r="R974">
        <f>IF(S974,TRUE,AND(V974:AE974))</f>
        <v>0</v>
      </c>
      <c r="S974">
        <f>COUNTBLANK(Metadata!B974:K974)=COLUMNS(Metadata!B974:K974)</f>
        <v>0</v>
      </c>
      <c r="T974">
        <v>0</v>
      </c>
      <c r="V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W974">
        <f>AND(IF(Metadata!C974="",FALSE,TRUE),exact(Metadata!C974,"animal secretion"))</f>
        <v>0</v>
      </c>
      <c r="X974">
        <f>AND(IF(Metadata!D974="",FALSE,TRUE),exact(Metadata!D974,"saliva"))</f>
        <v>0</v>
      </c>
      <c r="Y974">
        <f>AND(IF(Metadata!E974="",FALSE,TRUE),exact(Metadata!E974,"human-oral"))</f>
        <v>0</v>
      </c>
      <c r="Z974">
        <f>AND(IF(Metadata!F974="",FALSE,TRUE),exact(Metadata!F974,"UBERON:oral cavity"))</f>
        <v>0</v>
      </c>
      <c r="AA974">
        <f>AND(IF(Metadata!G974="",FALSE,TRUE),exact(Metadata!G974,"UBERON:saliva"))</f>
        <v>0</v>
      </c>
      <c r="AB974">
        <f>AND(IF(Metadata!H974="",FALSE,TRUE),exact(Metadata!H974,"UBERON:tongue"))</f>
        <v>0</v>
      </c>
      <c r="AC974">
        <f>AND(IF(Metadata!I974="",FALSE,TRUE),exact(Metadata!I974,"tongue"))</f>
        <v>0</v>
      </c>
      <c r="AD974">
        <f>AND(IF(Metadata!J974="",FALSE,TRUE),exact(Metadata!J974,"human oral metagenome"))</f>
        <v>0</v>
      </c>
      <c r="AE974">
        <f>AND(IF(Metadata!K974="",FALSE,TRUE),exact(Metadata!K974,"447426"))</f>
        <v>0</v>
      </c>
    </row>
    <row r="975" spans="1:31">
      <c r="A975" s="4">
        <f>IF(B975=" "," ",HYPERLINK(CONCATENATE("#metadata!",ADDRESS(INDEX($Q$2:$Q$1001,MATCH(ROWS($O$2:O975),$O$2:$O$1001,0),0),1)),INDEX($T$2:$T$1001,MATCH(ROWS($O$2:O975),$O$2:$O$1001,0),0)))</f>
        <v>0</v>
      </c>
      <c r="B975" s="3">
        <f>IF(OR(INDEX($P$2:$P$1001,MATCH(ROWS($O$2:O975),$O$2:$O$1001,0),1)&gt;=100000,INDEX($V$1005:$AE$1005,1,MATCH(COLUMNS($V$1006:V1006),$V$1006:$AE$1006,0))&gt;=100000), " ",IF(INDEX($V$2:$AE$1001,MATCH(ROWS($O$2:O975),$O$2:$O$1001,0),MATCH(COLUMNS($V$1006:V1006),$V$1006:$AE$1006,0)), HYPERLINK("#",""), HYPERLINK(CONCATENATE("#Metadata!", ADDRESS(INDEX($Q$2:$Q$1001,MATCH(ROWS($O$2:O975),$O$2:$O$1001,0),0), INDEX($V$1004:$AE$1004,1,MATCH(COLUMNS($V$1006:V1006),$V$1006:$AE$1006,0)))),"Fix")))</f>
        <v>0</v>
      </c>
      <c r="C975" s="3">
        <f>IF(OR(INDEX($P$2:$P$1001,MATCH(ROWS($O$2:O975),$O$2:$O$1001,0),1)&gt;=100000,INDEX($V$1005:$AE$1005,1,MATCH(COLUMNS($V$1006:W1006),$V$1006:$AE$1006,0))&gt;=100000), " ",IF(INDEX($V$2:$AE$1001,MATCH(ROWS($O$2:O975),$O$2:$O$1001,0),MATCH(COLUMNS($V$1006:W1006),$V$1006:$AE$1006,0)), HYPERLINK("#",""), HYPERLINK(CONCATENATE("#Metadata!", ADDRESS(INDEX($Q$2:$Q$1001,MATCH(ROWS($O$2:O975),$O$2:$O$1001,0),0), INDEX($V$1004:$AE$1004,1,MATCH(COLUMNS($V$1006:W1006),$V$1006:$AE$1006,0)))),"Fix")))</f>
        <v>0</v>
      </c>
      <c r="D975" s="3">
        <f>IF(OR(INDEX($P$2:$P$1001,MATCH(ROWS($O$2:O975),$O$2:$O$1001,0),1)&gt;=100000,INDEX($V$1005:$AE$1005,1,MATCH(COLUMNS($V$1006:X1006),$V$1006:$AE$1006,0))&gt;=100000), " ",IF(INDEX($V$2:$AE$1001,MATCH(ROWS($O$2:O975),$O$2:$O$1001,0),MATCH(COLUMNS($V$1006:X1006),$V$1006:$AE$1006,0)), HYPERLINK("#",""), HYPERLINK(CONCATENATE("#Metadata!", ADDRESS(INDEX($Q$2:$Q$1001,MATCH(ROWS($O$2:O975),$O$2:$O$1001,0),0), INDEX($V$1004:$AE$1004,1,MATCH(COLUMNS($V$1006:X1006),$V$1006:$AE$1006,0)))),"Fix")))</f>
        <v>0</v>
      </c>
      <c r="E975" s="3">
        <f>IF(OR(INDEX($P$2:$P$1001,MATCH(ROWS($O$2:O975),$O$2:$O$1001,0),1)&gt;=100000,INDEX($V$1005:$AE$1005,1,MATCH(COLUMNS($V$1006:Y1006),$V$1006:$AE$1006,0))&gt;=100000), " ",IF(INDEX($V$2:$AE$1001,MATCH(ROWS($O$2:O975),$O$2:$O$1001,0),MATCH(COLUMNS($V$1006:Y1006),$V$1006:$AE$1006,0)), HYPERLINK("#",""), HYPERLINK(CONCATENATE("#Metadata!", ADDRESS(INDEX($Q$2:$Q$1001,MATCH(ROWS($O$2:O975),$O$2:$O$1001,0),0), INDEX($V$1004:$AE$1004,1,MATCH(COLUMNS($V$1006:Y1006),$V$1006:$AE$1006,0)))),"Fix")))</f>
        <v>0</v>
      </c>
      <c r="F975" s="3">
        <f>IF(OR(INDEX($P$2:$P$1001,MATCH(ROWS($O$2:O975),$O$2:$O$1001,0),1)&gt;=100000,INDEX($V$1005:$AE$1005,1,MATCH(COLUMNS($V$1006:Z1006),$V$1006:$AE$1006,0))&gt;=100000), " ",IF(INDEX($V$2:$AE$1001,MATCH(ROWS($O$2:O975),$O$2:$O$1001,0),MATCH(COLUMNS($V$1006:Z1006),$V$1006:$AE$1006,0)), HYPERLINK("#",""), HYPERLINK(CONCATENATE("#Metadata!", ADDRESS(INDEX($Q$2:$Q$1001,MATCH(ROWS($O$2:O975),$O$2:$O$1001,0),0), INDEX($V$1004:$AE$1004,1,MATCH(COLUMNS($V$1006:Z1006),$V$1006:$AE$1006,0)))),"Fix")))</f>
        <v>0</v>
      </c>
      <c r="G975" s="3">
        <f>IF(OR(INDEX($P$2:$P$1001,MATCH(ROWS($O$2:O975),$O$2:$O$1001,0),1)&gt;=100000,INDEX($V$1005:$AE$1005,1,MATCH(COLUMNS($V$1006:AA1006),$V$1006:$AE$1006,0))&gt;=100000), " ",IF(INDEX($V$2:$AE$1001,MATCH(ROWS($O$2:O975),$O$2:$O$1001,0),MATCH(COLUMNS($V$1006:AA1006),$V$1006:$AE$1006,0)), HYPERLINK("#",""), HYPERLINK(CONCATENATE("#Metadata!", ADDRESS(INDEX($Q$2:$Q$1001,MATCH(ROWS($O$2:O975),$O$2:$O$1001,0),0), INDEX($V$1004:$AE$1004,1,MATCH(COLUMNS($V$1006:AA1006),$V$1006:$AE$1006,0)))),"Fix")))</f>
        <v>0</v>
      </c>
      <c r="H975" s="3">
        <f>IF(OR(INDEX($P$2:$P$1001,MATCH(ROWS($O$2:O975),$O$2:$O$1001,0),1)&gt;=100000,INDEX($V$1005:$AE$1005,1,MATCH(COLUMNS($V$1006:AB1006),$V$1006:$AE$1006,0))&gt;=100000), " ",IF(INDEX($V$2:$AE$1001,MATCH(ROWS($O$2:O975),$O$2:$O$1001,0),MATCH(COLUMNS($V$1006:AB1006),$V$1006:$AE$1006,0)), HYPERLINK("#",""), HYPERLINK(CONCATENATE("#Metadata!", ADDRESS(INDEX($Q$2:$Q$1001,MATCH(ROWS($O$2:O975),$O$2:$O$1001,0),0), INDEX($V$1004:$AE$1004,1,MATCH(COLUMNS($V$1006:AB1006),$V$1006:$AE$1006,0)))),"Fix")))</f>
        <v>0</v>
      </c>
      <c r="I975" s="3">
        <f>IF(OR(INDEX($P$2:$P$1001,MATCH(ROWS($O$2:O975),$O$2:$O$1001,0),1)&gt;=100000,INDEX($V$1005:$AE$1005,1,MATCH(COLUMNS($V$1006:AC1006),$V$1006:$AE$1006,0))&gt;=100000), " ",IF(INDEX($V$2:$AE$1001,MATCH(ROWS($O$2:O975),$O$2:$O$1001,0),MATCH(COLUMNS($V$1006:AC1006),$V$1006:$AE$1006,0)), HYPERLINK("#",""), HYPERLINK(CONCATENATE("#Metadata!", ADDRESS(INDEX($Q$2:$Q$1001,MATCH(ROWS($O$2:O975),$O$2:$O$1001,0),0), INDEX($V$1004:$AE$1004,1,MATCH(COLUMNS($V$1006:AC1006),$V$1006:$AE$1006,0)))),"Fix")))</f>
        <v>0</v>
      </c>
      <c r="J975" s="3">
        <f>IF(OR(INDEX($P$2:$P$1001,MATCH(ROWS($O$2:O975),$O$2:$O$1001,0),1)&gt;=100000,INDEX($V$1005:$AE$1005,1,MATCH(COLUMNS($V$1006:AD1006),$V$1006:$AE$1006,0))&gt;=100000), " ",IF(INDEX($V$2:$AE$1001,MATCH(ROWS($O$2:O975),$O$2:$O$1001,0),MATCH(COLUMNS($V$1006:AD1006),$V$1006:$AE$1006,0)), HYPERLINK("#",""), HYPERLINK(CONCATENATE("#Metadata!", ADDRESS(INDEX($Q$2:$Q$1001,MATCH(ROWS($O$2:O975),$O$2:$O$1001,0),0), INDEX($V$1004:$AE$1004,1,MATCH(COLUMNS($V$1006:AD1006),$V$1006:$AE$1006,0)))),"Fix")))</f>
        <v>0</v>
      </c>
      <c r="K975" s="3">
        <f>IF(OR(INDEX($P$2:$P$1001,MATCH(ROWS($O$2:O975),$O$2:$O$1001,0),1)&gt;=100000,INDEX($V$1005:$AE$1005,1,MATCH(COLUMNS($V$1006:AE1006),$V$1006:$AE$1006,0))&gt;=100000), " ",IF(INDEX($V$2:$AE$1001,MATCH(ROWS($O$2:O975),$O$2:$O$1001,0),MATCH(COLUMNS($V$1006:AE1006),$V$1006:$AE$1006,0)), HYPERLINK("#",""), HYPERLINK(CONCATENATE("#Metadata!", ADDRESS(INDEX($Q$2:$Q$1001,MATCH(ROWS($O$2:O975),$O$2:$O$1001,0),0), INDEX($V$1004:$AE$1004,1,MATCH(COLUMNS($V$1006:AE1006),$V$1006:$AE$1006,0)))),"Fix")))</f>
        <v>0</v>
      </c>
      <c r="O975">
        <v>0</v>
      </c>
      <c r="P975">
        <v>0</v>
      </c>
      <c r="Q975">
        <v>0</v>
      </c>
      <c r="R975">
        <f>IF(S975,TRUE,AND(V975:AE975))</f>
        <v>0</v>
      </c>
      <c r="S975">
        <f>COUNTBLANK(Metadata!B975:K975)=COLUMNS(Metadata!B975:K975)</f>
        <v>0</v>
      </c>
      <c r="T975">
        <v>0</v>
      </c>
      <c r="V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W975">
        <f>AND(IF(Metadata!C975="",FALSE,TRUE),exact(Metadata!C975,"animal secretion"))</f>
        <v>0</v>
      </c>
      <c r="X975">
        <f>AND(IF(Metadata!D975="",FALSE,TRUE),exact(Metadata!D975,"saliva"))</f>
        <v>0</v>
      </c>
      <c r="Y975">
        <f>AND(IF(Metadata!E975="",FALSE,TRUE),exact(Metadata!E975,"human-oral"))</f>
        <v>0</v>
      </c>
      <c r="Z975">
        <f>AND(IF(Metadata!F975="",FALSE,TRUE),exact(Metadata!F975,"UBERON:oral cavity"))</f>
        <v>0</v>
      </c>
      <c r="AA975">
        <f>AND(IF(Metadata!G975="",FALSE,TRUE),exact(Metadata!G975,"UBERON:saliva"))</f>
        <v>0</v>
      </c>
      <c r="AB975">
        <f>AND(IF(Metadata!H975="",FALSE,TRUE),exact(Metadata!H975,"UBERON:tongue"))</f>
        <v>0</v>
      </c>
      <c r="AC975">
        <f>AND(IF(Metadata!I975="",FALSE,TRUE),exact(Metadata!I975,"tongue"))</f>
        <v>0</v>
      </c>
      <c r="AD975">
        <f>AND(IF(Metadata!J975="",FALSE,TRUE),exact(Metadata!J975,"human oral metagenome"))</f>
        <v>0</v>
      </c>
      <c r="AE975">
        <f>AND(IF(Metadata!K975="",FALSE,TRUE),exact(Metadata!K975,"447426"))</f>
        <v>0</v>
      </c>
    </row>
    <row r="976" spans="1:31">
      <c r="A976" s="4">
        <f>IF(B976=" "," ",HYPERLINK(CONCATENATE("#metadata!",ADDRESS(INDEX($Q$2:$Q$1001,MATCH(ROWS($O$2:O976),$O$2:$O$1001,0),0),1)),INDEX($T$2:$T$1001,MATCH(ROWS($O$2:O976),$O$2:$O$1001,0),0)))</f>
        <v>0</v>
      </c>
      <c r="B976" s="3">
        <f>IF(OR(INDEX($P$2:$P$1001,MATCH(ROWS($O$2:O976),$O$2:$O$1001,0),1)&gt;=100000,INDEX($V$1005:$AE$1005,1,MATCH(COLUMNS($V$1006:V1006),$V$1006:$AE$1006,0))&gt;=100000), " ",IF(INDEX($V$2:$AE$1001,MATCH(ROWS($O$2:O976),$O$2:$O$1001,0),MATCH(COLUMNS($V$1006:V1006),$V$1006:$AE$1006,0)), HYPERLINK("#",""), HYPERLINK(CONCATENATE("#Metadata!", ADDRESS(INDEX($Q$2:$Q$1001,MATCH(ROWS($O$2:O976),$O$2:$O$1001,0),0), INDEX($V$1004:$AE$1004,1,MATCH(COLUMNS($V$1006:V1006),$V$1006:$AE$1006,0)))),"Fix")))</f>
        <v>0</v>
      </c>
      <c r="C976" s="3">
        <f>IF(OR(INDEX($P$2:$P$1001,MATCH(ROWS($O$2:O976),$O$2:$O$1001,0),1)&gt;=100000,INDEX($V$1005:$AE$1005,1,MATCH(COLUMNS($V$1006:W1006),$V$1006:$AE$1006,0))&gt;=100000), " ",IF(INDEX($V$2:$AE$1001,MATCH(ROWS($O$2:O976),$O$2:$O$1001,0),MATCH(COLUMNS($V$1006:W1006),$V$1006:$AE$1006,0)), HYPERLINK("#",""), HYPERLINK(CONCATENATE("#Metadata!", ADDRESS(INDEX($Q$2:$Q$1001,MATCH(ROWS($O$2:O976),$O$2:$O$1001,0),0), INDEX($V$1004:$AE$1004,1,MATCH(COLUMNS($V$1006:W1006),$V$1006:$AE$1006,0)))),"Fix")))</f>
        <v>0</v>
      </c>
      <c r="D976" s="3">
        <f>IF(OR(INDEX($P$2:$P$1001,MATCH(ROWS($O$2:O976),$O$2:$O$1001,0),1)&gt;=100000,INDEX($V$1005:$AE$1005,1,MATCH(COLUMNS($V$1006:X1006),$V$1006:$AE$1006,0))&gt;=100000), " ",IF(INDEX($V$2:$AE$1001,MATCH(ROWS($O$2:O976),$O$2:$O$1001,0),MATCH(COLUMNS($V$1006:X1006),$V$1006:$AE$1006,0)), HYPERLINK("#",""), HYPERLINK(CONCATENATE("#Metadata!", ADDRESS(INDEX($Q$2:$Q$1001,MATCH(ROWS($O$2:O976),$O$2:$O$1001,0),0), INDEX($V$1004:$AE$1004,1,MATCH(COLUMNS($V$1006:X1006),$V$1006:$AE$1006,0)))),"Fix")))</f>
        <v>0</v>
      </c>
      <c r="E976" s="3">
        <f>IF(OR(INDEX($P$2:$P$1001,MATCH(ROWS($O$2:O976),$O$2:$O$1001,0),1)&gt;=100000,INDEX($V$1005:$AE$1005,1,MATCH(COLUMNS($V$1006:Y1006),$V$1006:$AE$1006,0))&gt;=100000), " ",IF(INDEX($V$2:$AE$1001,MATCH(ROWS($O$2:O976),$O$2:$O$1001,0),MATCH(COLUMNS($V$1006:Y1006),$V$1006:$AE$1006,0)), HYPERLINK("#",""), HYPERLINK(CONCATENATE("#Metadata!", ADDRESS(INDEX($Q$2:$Q$1001,MATCH(ROWS($O$2:O976),$O$2:$O$1001,0),0), INDEX($V$1004:$AE$1004,1,MATCH(COLUMNS($V$1006:Y1006),$V$1006:$AE$1006,0)))),"Fix")))</f>
        <v>0</v>
      </c>
      <c r="F976" s="3">
        <f>IF(OR(INDEX($P$2:$P$1001,MATCH(ROWS($O$2:O976),$O$2:$O$1001,0),1)&gt;=100000,INDEX($V$1005:$AE$1005,1,MATCH(COLUMNS($V$1006:Z1006),$V$1006:$AE$1006,0))&gt;=100000), " ",IF(INDEX($V$2:$AE$1001,MATCH(ROWS($O$2:O976),$O$2:$O$1001,0),MATCH(COLUMNS($V$1006:Z1006),$V$1006:$AE$1006,0)), HYPERLINK("#",""), HYPERLINK(CONCATENATE("#Metadata!", ADDRESS(INDEX($Q$2:$Q$1001,MATCH(ROWS($O$2:O976),$O$2:$O$1001,0),0), INDEX($V$1004:$AE$1004,1,MATCH(COLUMNS($V$1006:Z1006),$V$1006:$AE$1006,0)))),"Fix")))</f>
        <v>0</v>
      </c>
      <c r="G976" s="3">
        <f>IF(OR(INDEX($P$2:$P$1001,MATCH(ROWS($O$2:O976),$O$2:$O$1001,0),1)&gt;=100000,INDEX($V$1005:$AE$1005,1,MATCH(COLUMNS($V$1006:AA1006),$V$1006:$AE$1006,0))&gt;=100000), " ",IF(INDEX($V$2:$AE$1001,MATCH(ROWS($O$2:O976),$O$2:$O$1001,0),MATCH(COLUMNS($V$1006:AA1006),$V$1006:$AE$1006,0)), HYPERLINK("#",""), HYPERLINK(CONCATENATE("#Metadata!", ADDRESS(INDEX($Q$2:$Q$1001,MATCH(ROWS($O$2:O976),$O$2:$O$1001,0),0), INDEX($V$1004:$AE$1004,1,MATCH(COLUMNS($V$1006:AA1006),$V$1006:$AE$1006,0)))),"Fix")))</f>
        <v>0</v>
      </c>
      <c r="H976" s="3">
        <f>IF(OR(INDEX($P$2:$P$1001,MATCH(ROWS($O$2:O976),$O$2:$O$1001,0),1)&gt;=100000,INDEX($V$1005:$AE$1005,1,MATCH(COLUMNS($V$1006:AB1006),$V$1006:$AE$1006,0))&gt;=100000), " ",IF(INDEX($V$2:$AE$1001,MATCH(ROWS($O$2:O976),$O$2:$O$1001,0),MATCH(COLUMNS($V$1006:AB1006),$V$1006:$AE$1006,0)), HYPERLINK("#",""), HYPERLINK(CONCATENATE("#Metadata!", ADDRESS(INDEX($Q$2:$Q$1001,MATCH(ROWS($O$2:O976),$O$2:$O$1001,0),0), INDEX($V$1004:$AE$1004,1,MATCH(COLUMNS($V$1006:AB1006),$V$1006:$AE$1006,0)))),"Fix")))</f>
        <v>0</v>
      </c>
      <c r="I976" s="3">
        <f>IF(OR(INDEX($P$2:$P$1001,MATCH(ROWS($O$2:O976),$O$2:$O$1001,0),1)&gt;=100000,INDEX($V$1005:$AE$1005,1,MATCH(COLUMNS($V$1006:AC1006),$V$1006:$AE$1006,0))&gt;=100000), " ",IF(INDEX($V$2:$AE$1001,MATCH(ROWS($O$2:O976),$O$2:$O$1001,0),MATCH(COLUMNS($V$1006:AC1006),$V$1006:$AE$1006,0)), HYPERLINK("#",""), HYPERLINK(CONCATENATE("#Metadata!", ADDRESS(INDEX($Q$2:$Q$1001,MATCH(ROWS($O$2:O976),$O$2:$O$1001,0),0), INDEX($V$1004:$AE$1004,1,MATCH(COLUMNS($V$1006:AC1006),$V$1006:$AE$1006,0)))),"Fix")))</f>
        <v>0</v>
      </c>
      <c r="J976" s="3">
        <f>IF(OR(INDEX($P$2:$P$1001,MATCH(ROWS($O$2:O976),$O$2:$O$1001,0),1)&gt;=100000,INDEX($V$1005:$AE$1005,1,MATCH(COLUMNS($V$1006:AD1006),$V$1006:$AE$1006,0))&gt;=100000), " ",IF(INDEX($V$2:$AE$1001,MATCH(ROWS($O$2:O976),$O$2:$O$1001,0),MATCH(COLUMNS($V$1006:AD1006),$V$1006:$AE$1006,0)), HYPERLINK("#",""), HYPERLINK(CONCATENATE("#Metadata!", ADDRESS(INDEX($Q$2:$Q$1001,MATCH(ROWS($O$2:O976),$O$2:$O$1001,0),0), INDEX($V$1004:$AE$1004,1,MATCH(COLUMNS($V$1006:AD1006),$V$1006:$AE$1006,0)))),"Fix")))</f>
        <v>0</v>
      </c>
      <c r="K976" s="3">
        <f>IF(OR(INDEX($P$2:$P$1001,MATCH(ROWS($O$2:O976),$O$2:$O$1001,0),1)&gt;=100000,INDEX($V$1005:$AE$1005,1,MATCH(COLUMNS($V$1006:AE1006),$V$1006:$AE$1006,0))&gt;=100000), " ",IF(INDEX($V$2:$AE$1001,MATCH(ROWS($O$2:O976),$O$2:$O$1001,0),MATCH(COLUMNS($V$1006:AE1006),$V$1006:$AE$1006,0)), HYPERLINK("#",""), HYPERLINK(CONCATENATE("#Metadata!", ADDRESS(INDEX($Q$2:$Q$1001,MATCH(ROWS($O$2:O976),$O$2:$O$1001,0),0), INDEX($V$1004:$AE$1004,1,MATCH(COLUMNS($V$1006:AE1006),$V$1006:$AE$1006,0)))),"Fix")))</f>
        <v>0</v>
      </c>
      <c r="O976">
        <v>0</v>
      </c>
      <c r="P976">
        <v>0</v>
      </c>
      <c r="Q976">
        <v>0</v>
      </c>
      <c r="R976">
        <f>IF(S976,TRUE,AND(V976:AE976))</f>
        <v>0</v>
      </c>
      <c r="S976">
        <f>COUNTBLANK(Metadata!B976:K976)=COLUMNS(Metadata!B976:K976)</f>
        <v>0</v>
      </c>
      <c r="T976">
        <v>0</v>
      </c>
      <c r="V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W976">
        <f>AND(IF(Metadata!C976="",FALSE,TRUE),exact(Metadata!C976,"animal secretion"))</f>
        <v>0</v>
      </c>
      <c r="X976">
        <f>AND(IF(Metadata!D976="",FALSE,TRUE),exact(Metadata!D976,"saliva"))</f>
        <v>0</v>
      </c>
      <c r="Y976">
        <f>AND(IF(Metadata!E976="",FALSE,TRUE),exact(Metadata!E976,"human-oral"))</f>
        <v>0</v>
      </c>
      <c r="Z976">
        <f>AND(IF(Metadata!F976="",FALSE,TRUE),exact(Metadata!F976,"UBERON:oral cavity"))</f>
        <v>0</v>
      </c>
      <c r="AA976">
        <f>AND(IF(Metadata!G976="",FALSE,TRUE),exact(Metadata!G976,"UBERON:saliva"))</f>
        <v>0</v>
      </c>
      <c r="AB976">
        <f>AND(IF(Metadata!H976="",FALSE,TRUE),exact(Metadata!H976,"UBERON:tongue"))</f>
        <v>0</v>
      </c>
      <c r="AC976">
        <f>AND(IF(Metadata!I976="",FALSE,TRUE),exact(Metadata!I976,"tongue"))</f>
        <v>0</v>
      </c>
      <c r="AD976">
        <f>AND(IF(Metadata!J976="",FALSE,TRUE),exact(Metadata!J976,"human oral metagenome"))</f>
        <v>0</v>
      </c>
      <c r="AE976">
        <f>AND(IF(Metadata!K976="",FALSE,TRUE),exact(Metadata!K976,"447426"))</f>
        <v>0</v>
      </c>
    </row>
    <row r="977" spans="1:31">
      <c r="A977" s="4">
        <f>IF(B977=" "," ",HYPERLINK(CONCATENATE("#metadata!",ADDRESS(INDEX($Q$2:$Q$1001,MATCH(ROWS($O$2:O977),$O$2:$O$1001,0),0),1)),INDEX($T$2:$T$1001,MATCH(ROWS($O$2:O977),$O$2:$O$1001,0),0)))</f>
        <v>0</v>
      </c>
      <c r="B977" s="3">
        <f>IF(OR(INDEX($P$2:$P$1001,MATCH(ROWS($O$2:O977),$O$2:$O$1001,0),1)&gt;=100000,INDEX($V$1005:$AE$1005,1,MATCH(COLUMNS($V$1006:V1006),$V$1006:$AE$1006,0))&gt;=100000), " ",IF(INDEX($V$2:$AE$1001,MATCH(ROWS($O$2:O977),$O$2:$O$1001,0),MATCH(COLUMNS($V$1006:V1006),$V$1006:$AE$1006,0)), HYPERLINK("#",""), HYPERLINK(CONCATENATE("#Metadata!", ADDRESS(INDEX($Q$2:$Q$1001,MATCH(ROWS($O$2:O977),$O$2:$O$1001,0),0), INDEX($V$1004:$AE$1004,1,MATCH(COLUMNS($V$1006:V1006),$V$1006:$AE$1006,0)))),"Fix")))</f>
        <v>0</v>
      </c>
      <c r="C977" s="3">
        <f>IF(OR(INDEX($P$2:$P$1001,MATCH(ROWS($O$2:O977),$O$2:$O$1001,0),1)&gt;=100000,INDEX($V$1005:$AE$1005,1,MATCH(COLUMNS($V$1006:W1006),$V$1006:$AE$1006,0))&gt;=100000), " ",IF(INDEX($V$2:$AE$1001,MATCH(ROWS($O$2:O977),$O$2:$O$1001,0),MATCH(COLUMNS($V$1006:W1006),$V$1006:$AE$1006,0)), HYPERLINK("#",""), HYPERLINK(CONCATENATE("#Metadata!", ADDRESS(INDEX($Q$2:$Q$1001,MATCH(ROWS($O$2:O977),$O$2:$O$1001,0),0), INDEX($V$1004:$AE$1004,1,MATCH(COLUMNS($V$1006:W1006),$V$1006:$AE$1006,0)))),"Fix")))</f>
        <v>0</v>
      </c>
      <c r="D977" s="3">
        <f>IF(OR(INDEX($P$2:$P$1001,MATCH(ROWS($O$2:O977),$O$2:$O$1001,0),1)&gt;=100000,INDEX($V$1005:$AE$1005,1,MATCH(COLUMNS($V$1006:X1006),$V$1006:$AE$1006,0))&gt;=100000), " ",IF(INDEX($V$2:$AE$1001,MATCH(ROWS($O$2:O977),$O$2:$O$1001,0),MATCH(COLUMNS($V$1006:X1006),$V$1006:$AE$1006,0)), HYPERLINK("#",""), HYPERLINK(CONCATENATE("#Metadata!", ADDRESS(INDEX($Q$2:$Q$1001,MATCH(ROWS($O$2:O977),$O$2:$O$1001,0),0), INDEX($V$1004:$AE$1004,1,MATCH(COLUMNS($V$1006:X1006),$V$1006:$AE$1006,0)))),"Fix")))</f>
        <v>0</v>
      </c>
      <c r="E977" s="3">
        <f>IF(OR(INDEX($P$2:$P$1001,MATCH(ROWS($O$2:O977),$O$2:$O$1001,0),1)&gt;=100000,INDEX($V$1005:$AE$1005,1,MATCH(COLUMNS($V$1006:Y1006),$V$1006:$AE$1006,0))&gt;=100000), " ",IF(INDEX($V$2:$AE$1001,MATCH(ROWS($O$2:O977),$O$2:$O$1001,0),MATCH(COLUMNS($V$1006:Y1006),$V$1006:$AE$1006,0)), HYPERLINK("#",""), HYPERLINK(CONCATENATE("#Metadata!", ADDRESS(INDEX($Q$2:$Q$1001,MATCH(ROWS($O$2:O977),$O$2:$O$1001,0),0), INDEX($V$1004:$AE$1004,1,MATCH(COLUMNS($V$1006:Y1006),$V$1006:$AE$1006,0)))),"Fix")))</f>
        <v>0</v>
      </c>
      <c r="F977" s="3">
        <f>IF(OR(INDEX($P$2:$P$1001,MATCH(ROWS($O$2:O977),$O$2:$O$1001,0),1)&gt;=100000,INDEX($V$1005:$AE$1005,1,MATCH(COLUMNS($V$1006:Z1006),$V$1006:$AE$1006,0))&gt;=100000), " ",IF(INDEX($V$2:$AE$1001,MATCH(ROWS($O$2:O977),$O$2:$O$1001,0),MATCH(COLUMNS($V$1006:Z1006),$V$1006:$AE$1006,0)), HYPERLINK("#",""), HYPERLINK(CONCATENATE("#Metadata!", ADDRESS(INDEX($Q$2:$Q$1001,MATCH(ROWS($O$2:O977),$O$2:$O$1001,0),0), INDEX($V$1004:$AE$1004,1,MATCH(COLUMNS($V$1006:Z1006),$V$1006:$AE$1006,0)))),"Fix")))</f>
        <v>0</v>
      </c>
      <c r="G977" s="3">
        <f>IF(OR(INDEX($P$2:$P$1001,MATCH(ROWS($O$2:O977),$O$2:$O$1001,0),1)&gt;=100000,INDEX($V$1005:$AE$1005,1,MATCH(COLUMNS($V$1006:AA1006),$V$1006:$AE$1006,0))&gt;=100000), " ",IF(INDEX($V$2:$AE$1001,MATCH(ROWS($O$2:O977),$O$2:$O$1001,0),MATCH(COLUMNS($V$1006:AA1006),$V$1006:$AE$1006,0)), HYPERLINK("#",""), HYPERLINK(CONCATENATE("#Metadata!", ADDRESS(INDEX($Q$2:$Q$1001,MATCH(ROWS($O$2:O977),$O$2:$O$1001,0),0), INDEX($V$1004:$AE$1004,1,MATCH(COLUMNS($V$1006:AA1006),$V$1006:$AE$1006,0)))),"Fix")))</f>
        <v>0</v>
      </c>
      <c r="H977" s="3">
        <f>IF(OR(INDEX($P$2:$P$1001,MATCH(ROWS($O$2:O977),$O$2:$O$1001,0),1)&gt;=100000,INDEX($V$1005:$AE$1005,1,MATCH(COLUMNS($V$1006:AB1006),$V$1006:$AE$1006,0))&gt;=100000), " ",IF(INDEX($V$2:$AE$1001,MATCH(ROWS($O$2:O977),$O$2:$O$1001,0),MATCH(COLUMNS($V$1006:AB1006),$V$1006:$AE$1006,0)), HYPERLINK("#",""), HYPERLINK(CONCATENATE("#Metadata!", ADDRESS(INDEX($Q$2:$Q$1001,MATCH(ROWS($O$2:O977),$O$2:$O$1001,0),0), INDEX($V$1004:$AE$1004,1,MATCH(COLUMNS($V$1006:AB1006),$V$1006:$AE$1006,0)))),"Fix")))</f>
        <v>0</v>
      </c>
      <c r="I977" s="3">
        <f>IF(OR(INDEX($P$2:$P$1001,MATCH(ROWS($O$2:O977),$O$2:$O$1001,0),1)&gt;=100000,INDEX($V$1005:$AE$1005,1,MATCH(COLUMNS($V$1006:AC1006),$V$1006:$AE$1006,0))&gt;=100000), " ",IF(INDEX($V$2:$AE$1001,MATCH(ROWS($O$2:O977),$O$2:$O$1001,0),MATCH(COLUMNS($V$1006:AC1006),$V$1006:$AE$1006,0)), HYPERLINK("#",""), HYPERLINK(CONCATENATE("#Metadata!", ADDRESS(INDEX($Q$2:$Q$1001,MATCH(ROWS($O$2:O977),$O$2:$O$1001,0),0), INDEX($V$1004:$AE$1004,1,MATCH(COLUMNS($V$1006:AC1006),$V$1006:$AE$1006,0)))),"Fix")))</f>
        <v>0</v>
      </c>
      <c r="J977" s="3">
        <f>IF(OR(INDEX($P$2:$P$1001,MATCH(ROWS($O$2:O977),$O$2:$O$1001,0),1)&gt;=100000,INDEX($V$1005:$AE$1005,1,MATCH(COLUMNS($V$1006:AD1006),$V$1006:$AE$1006,0))&gt;=100000), " ",IF(INDEX($V$2:$AE$1001,MATCH(ROWS($O$2:O977),$O$2:$O$1001,0),MATCH(COLUMNS($V$1006:AD1006),$V$1006:$AE$1006,0)), HYPERLINK("#",""), HYPERLINK(CONCATENATE("#Metadata!", ADDRESS(INDEX($Q$2:$Q$1001,MATCH(ROWS($O$2:O977),$O$2:$O$1001,0),0), INDEX($V$1004:$AE$1004,1,MATCH(COLUMNS($V$1006:AD1006),$V$1006:$AE$1006,0)))),"Fix")))</f>
        <v>0</v>
      </c>
      <c r="K977" s="3">
        <f>IF(OR(INDEX($P$2:$P$1001,MATCH(ROWS($O$2:O977),$O$2:$O$1001,0),1)&gt;=100000,INDEX($V$1005:$AE$1005,1,MATCH(COLUMNS($V$1006:AE1006),$V$1006:$AE$1006,0))&gt;=100000), " ",IF(INDEX($V$2:$AE$1001,MATCH(ROWS($O$2:O977),$O$2:$O$1001,0),MATCH(COLUMNS($V$1006:AE1006),$V$1006:$AE$1006,0)), HYPERLINK("#",""), HYPERLINK(CONCATENATE("#Metadata!", ADDRESS(INDEX($Q$2:$Q$1001,MATCH(ROWS($O$2:O977),$O$2:$O$1001,0),0), INDEX($V$1004:$AE$1004,1,MATCH(COLUMNS($V$1006:AE1006),$V$1006:$AE$1006,0)))),"Fix")))</f>
        <v>0</v>
      </c>
      <c r="O977">
        <v>0</v>
      </c>
      <c r="P977">
        <v>0</v>
      </c>
      <c r="Q977">
        <v>0</v>
      </c>
      <c r="R977">
        <f>IF(S977,TRUE,AND(V977:AE977))</f>
        <v>0</v>
      </c>
      <c r="S977">
        <f>COUNTBLANK(Metadata!B977:K977)=COLUMNS(Metadata!B977:K977)</f>
        <v>0</v>
      </c>
      <c r="T977">
        <v>0</v>
      </c>
      <c r="V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W977">
        <f>AND(IF(Metadata!C977="",FALSE,TRUE),exact(Metadata!C977,"animal secretion"))</f>
        <v>0</v>
      </c>
      <c r="X977">
        <f>AND(IF(Metadata!D977="",FALSE,TRUE),exact(Metadata!D977,"saliva"))</f>
        <v>0</v>
      </c>
      <c r="Y977">
        <f>AND(IF(Metadata!E977="",FALSE,TRUE),exact(Metadata!E977,"human-oral"))</f>
        <v>0</v>
      </c>
      <c r="Z977">
        <f>AND(IF(Metadata!F977="",FALSE,TRUE),exact(Metadata!F977,"UBERON:oral cavity"))</f>
        <v>0</v>
      </c>
      <c r="AA977">
        <f>AND(IF(Metadata!G977="",FALSE,TRUE),exact(Metadata!G977,"UBERON:saliva"))</f>
        <v>0</v>
      </c>
      <c r="AB977">
        <f>AND(IF(Metadata!H977="",FALSE,TRUE),exact(Metadata!H977,"UBERON:tongue"))</f>
        <v>0</v>
      </c>
      <c r="AC977">
        <f>AND(IF(Metadata!I977="",FALSE,TRUE),exact(Metadata!I977,"tongue"))</f>
        <v>0</v>
      </c>
      <c r="AD977">
        <f>AND(IF(Metadata!J977="",FALSE,TRUE),exact(Metadata!J977,"human oral metagenome"))</f>
        <v>0</v>
      </c>
      <c r="AE977">
        <f>AND(IF(Metadata!K977="",FALSE,TRUE),exact(Metadata!K977,"447426"))</f>
        <v>0</v>
      </c>
    </row>
    <row r="978" spans="1:31">
      <c r="A978" s="4">
        <f>IF(B978=" "," ",HYPERLINK(CONCATENATE("#metadata!",ADDRESS(INDEX($Q$2:$Q$1001,MATCH(ROWS($O$2:O978),$O$2:$O$1001,0),0),1)),INDEX($T$2:$T$1001,MATCH(ROWS($O$2:O978),$O$2:$O$1001,0),0)))</f>
        <v>0</v>
      </c>
      <c r="B978" s="3">
        <f>IF(OR(INDEX($P$2:$P$1001,MATCH(ROWS($O$2:O978),$O$2:$O$1001,0),1)&gt;=100000,INDEX($V$1005:$AE$1005,1,MATCH(COLUMNS($V$1006:V1006),$V$1006:$AE$1006,0))&gt;=100000), " ",IF(INDEX($V$2:$AE$1001,MATCH(ROWS($O$2:O978),$O$2:$O$1001,0),MATCH(COLUMNS($V$1006:V1006),$V$1006:$AE$1006,0)), HYPERLINK("#",""), HYPERLINK(CONCATENATE("#Metadata!", ADDRESS(INDEX($Q$2:$Q$1001,MATCH(ROWS($O$2:O978),$O$2:$O$1001,0),0), INDEX($V$1004:$AE$1004,1,MATCH(COLUMNS($V$1006:V1006),$V$1006:$AE$1006,0)))),"Fix")))</f>
        <v>0</v>
      </c>
      <c r="C978" s="3">
        <f>IF(OR(INDEX($P$2:$P$1001,MATCH(ROWS($O$2:O978),$O$2:$O$1001,0),1)&gt;=100000,INDEX($V$1005:$AE$1005,1,MATCH(COLUMNS($V$1006:W1006),$V$1006:$AE$1006,0))&gt;=100000), " ",IF(INDEX($V$2:$AE$1001,MATCH(ROWS($O$2:O978),$O$2:$O$1001,0),MATCH(COLUMNS($V$1006:W1006),$V$1006:$AE$1006,0)), HYPERLINK("#",""), HYPERLINK(CONCATENATE("#Metadata!", ADDRESS(INDEX($Q$2:$Q$1001,MATCH(ROWS($O$2:O978),$O$2:$O$1001,0),0), INDEX($V$1004:$AE$1004,1,MATCH(COLUMNS($V$1006:W1006),$V$1006:$AE$1006,0)))),"Fix")))</f>
        <v>0</v>
      </c>
      <c r="D978" s="3">
        <f>IF(OR(INDEX($P$2:$P$1001,MATCH(ROWS($O$2:O978),$O$2:$O$1001,0),1)&gt;=100000,INDEX($V$1005:$AE$1005,1,MATCH(COLUMNS($V$1006:X1006),$V$1006:$AE$1006,0))&gt;=100000), " ",IF(INDEX($V$2:$AE$1001,MATCH(ROWS($O$2:O978),$O$2:$O$1001,0),MATCH(COLUMNS($V$1006:X1006),$V$1006:$AE$1006,0)), HYPERLINK("#",""), HYPERLINK(CONCATENATE("#Metadata!", ADDRESS(INDEX($Q$2:$Q$1001,MATCH(ROWS($O$2:O978),$O$2:$O$1001,0),0), INDEX($V$1004:$AE$1004,1,MATCH(COLUMNS($V$1006:X1006),$V$1006:$AE$1006,0)))),"Fix")))</f>
        <v>0</v>
      </c>
      <c r="E978" s="3">
        <f>IF(OR(INDEX($P$2:$P$1001,MATCH(ROWS($O$2:O978),$O$2:$O$1001,0),1)&gt;=100000,INDEX($V$1005:$AE$1005,1,MATCH(COLUMNS($V$1006:Y1006),$V$1006:$AE$1006,0))&gt;=100000), " ",IF(INDEX($V$2:$AE$1001,MATCH(ROWS($O$2:O978),$O$2:$O$1001,0),MATCH(COLUMNS($V$1006:Y1006),$V$1006:$AE$1006,0)), HYPERLINK("#",""), HYPERLINK(CONCATENATE("#Metadata!", ADDRESS(INDEX($Q$2:$Q$1001,MATCH(ROWS($O$2:O978),$O$2:$O$1001,0),0), INDEX($V$1004:$AE$1004,1,MATCH(COLUMNS($V$1006:Y1006),$V$1006:$AE$1006,0)))),"Fix")))</f>
        <v>0</v>
      </c>
      <c r="F978" s="3">
        <f>IF(OR(INDEX($P$2:$P$1001,MATCH(ROWS($O$2:O978),$O$2:$O$1001,0),1)&gt;=100000,INDEX($V$1005:$AE$1005,1,MATCH(COLUMNS($V$1006:Z1006),$V$1006:$AE$1006,0))&gt;=100000), " ",IF(INDEX($V$2:$AE$1001,MATCH(ROWS($O$2:O978),$O$2:$O$1001,0),MATCH(COLUMNS($V$1006:Z1006),$V$1006:$AE$1006,0)), HYPERLINK("#",""), HYPERLINK(CONCATENATE("#Metadata!", ADDRESS(INDEX($Q$2:$Q$1001,MATCH(ROWS($O$2:O978),$O$2:$O$1001,0),0), INDEX($V$1004:$AE$1004,1,MATCH(COLUMNS($V$1006:Z1006),$V$1006:$AE$1006,0)))),"Fix")))</f>
        <v>0</v>
      </c>
      <c r="G978" s="3">
        <f>IF(OR(INDEX($P$2:$P$1001,MATCH(ROWS($O$2:O978),$O$2:$O$1001,0),1)&gt;=100000,INDEX($V$1005:$AE$1005,1,MATCH(COLUMNS($V$1006:AA1006),$V$1006:$AE$1006,0))&gt;=100000), " ",IF(INDEX($V$2:$AE$1001,MATCH(ROWS($O$2:O978),$O$2:$O$1001,0),MATCH(COLUMNS($V$1006:AA1006),$V$1006:$AE$1006,0)), HYPERLINK("#",""), HYPERLINK(CONCATENATE("#Metadata!", ADDRESS(INDEX($Q$2:$Q$1001,MATCH(ROWS($O$2:O978),$O$2:$O$1001,0),0), INDEX($V$1004:$AE$1004,1,MATCH(COLUMNS($V$1006:AA1006),$V$1006:$AE$1006,0)))),"Fix")))</f>
        <v>0</v>
      </c>
      <c r="H978" s="3">
        <f>IF(OR(INDEX($P$2:$P$1001,MATCH(ROWS($O$2:O978),$O$2:$O$1001,0),1)&gt;=100000,INDEX($V$1005:$AE$1005,1,MATCH(COLUMNS($V$1006:AB1006),$V$1006:$AE$1006,0))&gt;=100000), " ",IF(INDEX($V$2:$AE$1001,MATCH(ROWS($O$2:O978),$O$2:$O$1001,0),MATCH(COLUMNS($V$1006:AB1006),$V$1006:$AE$1006,0)), HYPERLINK("#",""), HYPERLINK(CONCATENATE("#Metadata!", ADDRESS(INDEX($Q$2:$Q$1001,MATCH(ROWS($O$2:O978),$O$2:$O$1001,0),0), INDEX($V$1004:$AE$1004,1,MATCH(COLUMNS($V$1006:AB1006),$V$1006:$AE$1006,0)))),"Fix")))</f>
        <v>0</v>
      </c>
      <c r="I978" s="3">
        <f>IF(OR(INDEX($P$2:$P$1001,MATCH(ROWS($O$2:O978),$O$2:$O$1001,0),1)&gt;=100000,INDEX($V$1005:$AE$1005,1,MATCH(COLUMNS($V$1006:AC1006),$V$1006:$AE$1006,0))&gt;=100000), " ",IF(INDEX($V$2:$AE$1001,MATCH(ROWS($O$2:O978),$O$2:$O$1001,0),MATCH(COLUMNS($V$1006:AC1006),$V$1006:$AE$1006,0)), HYPERLINK("#",""), HYPERLINK(CONCATENATE("#Metadata!", ADDRESS(INDEX($Q$2:$Q$1001,MATCH(ROWS($O$2:O978),$O$2:$O$1001,0),0), INDEX($V$1004:$AE$1004,1,MATCH(COLUMNS($V$1006:AC1006),$V$1006:$AE$1006,0)))),"Fix")))</f>
        <v>0</v>
      </c>
      <c r="J978" s="3">
        <f>IF(OR(INDEX($P$2:$P$1001,MATCH(ROWS($O$2:O978),$O$2:$O$1001,0),1)&gt;=100000,INDEX($V$1005:$AE$1005,1,MATCH(COLUMNS($V$1006:AD1006),$V$1006:$AE$1006,0))&gt;=100000), " ",IF(INDEX($V$2:$AE$1001,MATCH(ROWS($O$2:O978),$O$2:$O$1001,0),MATCH(COLUMNS($V$1006:AD1006),$V$1006:$AE$1006,0)), HYPERLINK("#",""), HYPERLINK(CONCATENATE("#Metadata!", ADDRESS(INDEX($Q$2:$Q$1001,MATCH(ROWS($O$2:O978),$O$2:$O$1001,0),0), INDEX($V$1004:$AE$1004,1,MATCH(COLUMNS($V$1006:AD1006),$V$1006:$AE$1006,0)))),"Fix")))</f>
        <v>0</v>
      </c>
      <c r="K978" s="3">
        <f>IF(OR(INDEX($P$2:$P$1001,MATCH(ROWS($O$2:O978),$O$2:$O$1001,0),1)&gt;=100000,INDEX($V$1005:$AE$1005,1,MATCH(COLUMNS($V$1006:AE1006),$V$1006:$AE$1006,0))&gt;=100000), " ",IF(INDEX($V$2:$AE$1001,MATCH(ROWS($O$2:O978),$O$2:$O$1001,0),MATCH(COLUMNS($V$1006:AE1006),$V$1006:$AE$1006,0)), HYPERLINK("#",""), HYPERLINK(CONCATENATE("#Metadata!", ADDRESS(INDEX($Q$2:$Q$1001,MATCH(ROWS($O$2:O978),$O$2:$O$1001,0),0), INDEX($V$1004:$AE$1004,1,MATCH(COLUMNS($V$1006:AE1006),$V$1006:$AE$1006,0)))),"Fix")))</f>
        <v>0</v>
      </c>
      <c r="O978">
        <v>0</v>
      </c>
      <c r="P978">
        <v>0</v>
      </c>
      <c r="Q978">
        <v>0</v>
      </c>
      <c r="R978">
        <f>IF(S978,TRUE,AND(V978:AE978))</f>
        <v>0</v>
      </c>
      <c r="S978">
        <f>COUNTBLANK(Metadata!B978:K978)=COLUMNS(Metadata!B978:K978)</f>
        <v>0</v>
      </c>
      <c r="T978">
        <v>0</v>
      </c>
      <c r="V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W978">
        <f>AND(IF(Metadata!C978="",FALSE,TRUE),exact(Metadata!C978,"animal secretion"))</f>
        <v>0</v>
      </c>
      <c r="X978">
        <f>AND(IF(Metadata!D978="",FALSE,TRUE),exact(Metadata!D978,"saliva"))</f>
        <v>0</v>
      </c>
      <c r="Y978">
        <f>AND(IF(Metadata!E978="",FALSE,TRUE),exact(Metadata!E978,"human-oral"))</f>
        <v>0</v>
      </c>
      <c r="Z978">
        <f>AND(IF(Metadata!F978="",FALSE,TRUE),exact(Metadata!F978,"UBERON:oral cavity"))</f>
        <v>0</v>
      </c>
      <c r="AA978">
        <f>AND(IF(Metadata!G978="",FALSE,TRUE),exact(Metadata!G978,"UBERON:saliva"))</f>
        <v>0</v>
      </c>
      <c r="AB978">
        <f>AND(IF(Metadata!H978="",FALSE,TRUE),exact(Metadata!H978,"UBERON:tongue"))</f>
        <v>0</v>
      </c>
      <c r="AC978">
        <f>AND(IF(Metadata!I978="",FALSE,TRUE),exact(Metadata!I978,"tongue"))</f>
        <v>0</v>
      </c>
      <c r="AD978">
        <f>AND(IF(Metadata!J978="",FALSE,TRUE),exact(Metadata!J978,"human oral metagenome"))</f>
        <v>0</v>
      </c>
      <c r="AE978">
        <f>AND(IF(Metadata!K978="",FALSE,TRUE),exact(Metadata!K978,"447426"))</f>
        <v>0</v>
      </c>
    </row>
    <row r="979" spans="1:31">
      <c r="A979" s="4">
        <f>IF(B979=" "," ",HYPERLINK(CONCATENATE("#metadata!",ADDRESS(INDEX($Q$2:$Q$1001,MATCH(ROWS($O$2:O979),$O$2:$O$1001,0),0),1)),INDEX($T$2:$T$1001,MATCH(ROWS($O$2:O979),$O$2:$O$1001,0),0)))</f>
        <v>0</v>
      </c>
      <c r="B979" s="3">
        <f>IF(OR(INDEX($P$2:$P$1001,MATCH(ROWS($O$2:O979),$O$2:$O$1001,0),1)&gt;=100000,INDEX($V$1005:$AE$1005,1,MATCH(COLUMNS($V$1006:V1006),$V$1006:$AE$1006,0))&gt;=100000), " ",IF(INDEX($V$2:$AE$1001,MATCH(ROWS($O$2:O979),$O$2:$O$1001,0),MATCH(COLUMNS($V$1006:V1006),$V$1006:$AE$1006,0)), HYPERLINK("#",""), HYPERLINK(CONCATENATE("#Metadata!", ADDRESS(INDEX($Q$2:$Q$1001,MATCH(ROWS($O$2:O979),$O$2:$O$1001,0),0), INDEX($V$1004:$AE$1004,1,MATCH(COLUMNS($V$1006:V1006),$V$1006:$AE$1006,0)))),"Fix")))</f>
        <v>0</v>
      </c>
      <c r="C979" s="3">
        <f>IF(OR(INDEX($P$2:$P$1001,MATCH(ROWS($O$2:O979),$O$2:$O$1001,0),1)&gt;=100000,INDEX($V$1005:$AE$1005,1,MATCH(COLUMNS($V$1006:W1006),$V$1006:$AE$1006,0))&gt;=100000), " ",IF(INDEX($V$2:$AE$1001,MATCH(ROWS($O$2:O979),$O$2:$O$1001,0),MATCH(COLUMNS($V$1006:W1006),$V$1006:$AE$1006,0)), HYPERLINK("#",""), HYPERLINK(CONCATENATE("#Metadata!", ADDRESS(INDEX($Q$2:$Q$1001,MATCH(ROWS($O$2:O979),$O$2:$O$1001,0),0), INDEX($V$1004:$AE$1004,1,MATCH(COLUMNS($V$1006:W1006),$V$1006:$AE$1006,0)))),"Fix")))</f>
        <v>0</v>
      </c>
      <c r="D979" s="3">
        <f>IF(OR(INDEX($P$2:$P$1001,MATCH(ROWS($O$2:O979),$O$2:$O$1001,0),1)&gt;=100000,INDEX($V$1005:$AE$1005,1,MATCH(COLUMNS($V$1006:X1006),$V$1006:$AE$1006,0))&gt;=100000), " ",IF(INDEX($V$2:$AE$1001,MATCH(ROWS($O$2:O979),$O$2:$O$1001,0),MATCH(COLUMNS($V$1006:X1006),$V$1006:$AE$1006,0)), HYPERLINK("#",""), HYPERLINK(CONCATENATE("#Metadata!", ADDRESS(INDEX($Q$2:$Q$1001,MATCH(ROWS($O$2:O979),$O$2:$O$1001,0),0), INDEX($V$1004:$AE$1004,1,MATCH(COLUMNS($V$1006:X1006),$V$1006:$AE$1006,0)))),"Fix")))</f>
        <v>0</v>
      </c>
      <c r="E979" s="3">
        <f>IF(OR(INDEX($P$2:$P$1001,MATCH(ROWS($O$2:O979),$O$2:$O$1001,0),1)&gt;=100000,INDEX($V$1005:$AE$1005,1,MATCH(COLUMNS($V$1006:Y1006),$V$1006:$AE$1006,0))&gt;=100000), " ",IF(INDEX($V$2:$AE$1001,MATCH(ROWS($O$2:O979),$O$2:$O$1001,0),MATCH(COLUMNS($V$1006:Y1006),$V$1006:$AE$1006,0)), HYPERLINK("#",""), HYPERLINK(CONCATENATE("#Metadata!", ADDRESS(INDEX($Q$2:$Q$1001,MATCH(ROWS($O$2:O979),$O$2:$O$1001,0),0), INDEX($V$1004:$AE$1004,1,MATCH(COLUMNS($V$1006:Y1006),$V$1006:$AE$1006,0)))),"Fix")))</f>
        <v>0</v>
      </c>
      <c r="F979" s="3">
        <f>IF(OR(INDEX($P$2:$P$1001,MATCH(ROWS($O$2:O979),$O$2:$O$1001,0),1)&gt;=100000,INDEX($V$1005:$AE$1005,1,MATCH(COLUMNS($V$1006:Z1006),$V$1006:$AE$1006,0))&gt;=100000), " ",IF(INDEX($V$2:$AE$1001,MATCH(ROWS($O$2:O979),$O$2:$O$1001,0),MATCH(COLUMNS($V$1006:Z1006),$V$1006:$AE$1006,0)), HYPERLINK("#",""), HYPERLINK(CONCATENATE("#Metadata!", ADDRESS(INDEX($Q$2:$Q$1001,MATCH(ROWS($O$2:O979),$O$2:$O$1001,0),0), INDEX($V$1004:$AE$1004,1,MATCH(COLUMNS($V$1006:Z1006),$V$1006:$AE$1006,0)))),"Fix")))</f>
        <v>0</v>
      </c>
      <c r="G979" s="3">
        <f>IF(OR(INDEX($P$2:$P$1001,MATCH(ROWS($O$2:O979),$O$2:$O$1001,0),1)&gt;=100000,INDEX($V$1005:$AE$1005,1,MATCH(COLUMNS($V$1006:AA1006),$V$1006:$AE$1006,0))&gt;=100000), " ",IF(INDEX($V$2:$AE$1001,MATCH(ROWS($O$2:O979),$O$2:$O$1001,0),MATCH(COLUMNS($V$1006:AA1006),$V$1006:$AE$1006,0)), HYPERLINK("#",""), HYPERLINK(CONCATENATE("#Metadata!", ADDRESS(INDEX($Q$2:$Q$1001,MATCH(ROWS($O$2:O979),$O$2:$O$1001,0),0), INDEX($V$1004:$AE$1004,1,MATCH(COLUMNS($V$1006:AA1006),$V$1006:$AE$1006,0)))),"Fix")))</f>
        <v>0</v>
      </c>
      <c r="H979" s="3">
        <f>IF(OR(INDEX($P$2:$P$1001,MATCH(ROWS($O$2:O979),$O$2:$O$1001,0),1)&gt;=100000,INDEX($V$1005:$AE$1005,1,MATCH(COLUMNS($V$1006:AB1006),$V$1006:$AE$1006,0))&gt;=100000), " ",IF(INDEX($V$2:$AE$1001,MATCH(ROWS($O$2:O979),$O$2:$O$1001,0),MATCH(COLUMNS($V$1006:AB1006),$V$1006:$AE$1006,0)), HYPERLINK("#",""), HYPERLINK(CONCATENATE("#Metadata!", ADDRESS(INDEX($Q$2:$Q$1001,MATCH(ROWS($O$2:O979),$O$2:$O$1001,0),0), INDEX($V$1004:$AE$1004,1,MATCH(COLUMNS($V$1006:AB1006),$V$1006:$AE$1006,0)))),"Fix")))</f>
        <v>0</v>
      </c>
      <c r="I979" s="3">
        <f>IF(OR(INDEX($P$2:$P$1001,MATCH(ROWS($O$2:O979),$O$2:$O$1001,0),1)&gt;=100000,INDEX($V$1005:$AE$1005,1,MATCH(COLUMNS($V$1006:AC1006),$V$1006:$AE$1006,0))&gt;=100000), " ",IF(INDEX($V$2:$AE$1001,MATCH(ROWS($O$2:O979),$O$2:$O$1001,0),MATCH(COLUMNS($V$1006:AC1006),$V$1006:$AE$1006,0)), HYPERLINK("#",""), HYPERLINK(CONCATENATE("#Metadata!", ADDRESS(INDEX($Q$2:$Q$1001,MATCH(ROWS($O$2:O979),$O$2:$O$1001,0),0), INDEX($V$1004:$AE$1004,1,MATCH(COLUMNS($V$1006:AC1006),$V$1006:$AE$1006,0)))),"Fix")))</f>
        <v>0</v>
      </c>
      <c r="J979" s="3">
        <f>IF(OR(INDEX($P$2:$P$1001,MATCH(ROWS($O$2:O979),$O$2:$O$1001,0),1)&gt;=100000,INDEX($V$1005:$AE$1005,1,MATCH(COLUMNS($V$1006:AD1006),$V$1006:$AE$1006,0))&gt;=100000), " ",IF(INDEX($V$2:$AE$1001,MATCH(ROWS($O$2:O979),$O$2:$O$1001,0),MATCH(COLUMNS($V$1006:AD1006),$V$1006:$AE$1006,0)), HYPERLINK("#",""), HYPERLINK(CONCATENATE("#Metadata!", ADDRESS(INDEX($Q$2:$Q$1001,MATCH(ROWS($O$2:O979),$O$2:$O$1001,0),0), INDEX($V$1004:$AE$1004,1,MATCH(COLUMNS($V$1006:AD1006),$V$1006:$AE$1006,0)))),"Fix")))</f>
        <v>0</v>
      </c>
      <c r="K979" s="3">
        <f>IF(OR(INDEX($P$2:$P$1001,MATCH(ROWS($O$2:O979),$O$2:$O$1001,0),1)&gt;=100000,INDEX($V$1005:$AE$1005,1,MATCH(COLUMNS($V$1006:AE1006),$V$1006:$AE$1006,0))&gt;=100000), " ",IF(INDEX($V$2:$AE$1001,MATCH(ROWS($O$2:O979),$O$2:$O$1001,0),MATCH(COLUMNS($V$1006:AE1006),$V$1006:$AE$1006,0)), HYPERLINK("#",""), HYPERLINK(CONCATENATE("#Metadata!", ADDRESS(INDEX($Q$2:$Q$1001,MATCH(ROWS($O$2:O979),$O$2:$O$1001,0),0), INDEX($V$1004:$AE$1004,1,MATCH(COLUMNS($V$1006:AE1006),$V$1006:$AE$1006,0)))),"Fix")))</f>
        <v>0</v>
      </c>
      <c r="O979">
        <v>0</v>
      </c>
      <c r="P979">
        <v>0</v>
      </c>
      <c r="Q979">
        <v>0</v>
      </c>
      <c r="R979">
        <f>IF(S979,TRUE,AND(V979:AE979))</f>
        <v>0</v>
      </c>
      <c r="S979">
        <f>COUNTBLANK(Metadata!B979:K979)=COLUMNS(Metadata!B979:K979)</f>
        <v>0</v>
      </c>
      <c r="T979">
        <v>0</v>
      </c>
      <c r="V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W979">
        <f>AND(IF(Metadata!C979="",FALSE,TRUE),exact(Metadata!C979,"animal secretion"))</f>
        <v>0</v>
      </c>
      <c r="X979">
        <f>AND(IF(Metadata!D979="",FALSE,TRUE),exact(Metadata!D979,"saliva"))</f>
        <v>0</v>
      </c>
      <c r="Y979">
        <f>AND(IF(Metadata!E979="",FALSE,TRUE),exact(Metadata!E979,"human-oral"))</f>
        <v>0</v>
      </c>
      <c r="Z979">
        <f>AND(IF(Metadata!F979="",FALSE,TRUE),exact(Metadata!F979,"UBERON:oral cavity"))</f>
        <v>0</v>
      </c>
      <c r="AA979">
        <f>AND(IF(Metadata!G979="",FALSE,TRUE),exact(Metadata!G979,"UBERON:saliva"))</f>
        <v>0</v>
      </c>
      <c r="AB979">
        <f>AND(IF(Metadata!H979="",FALSE,TRUE),exact(Metadata!H979,"UBERON:tongue"))</f>
        <v>0</v>
      </c>
      <c r="AC979">
        <f>AND(IF(Metadata!I979="",FALSE,TRUE),exact(Metadata!I979,"tongue"))</f>
        <v>0</v>
      </c>
      <c r="AD979">
        <f>AND(IF(Metadata!J979="",FALSE,TRUE),exact(Metadata!J979,"human oral metagenome"))</f>
        <v>0</v>
      </c>
      <c r="AE979">
        <f>AND(IF(Metadata!K979="",FALSE,TRUE),exact(Metadata!K979,"447426"))</f>
        <v>0</v>
      </c>
    </row>
    <row r="980" spans="1:31">
      <c r="A980" s="4">
        <f>IF(B980=" "," ",HYPERLINK(CONCATENATE("#metadata!",ADDRESS(INDEX($Q$2:$Q$1001,MATCH(ROWS($O$2:O980),$O$2:$O$1001,0),0),1)),INDEX($T$2:$T$1001,MATCH(ROWS($O$2:O980),$O$2:$O$1001,0),0)))</f>
        <v>0</v>
      </c>
      <c r="B980" s="3">
        <f>IF(OR(INDEX($P$2:$P$1001,MATCH(ROWS($O$2:O980),$O$2:$O$1001,0),1)&gt;=100000,INDEX($V$1005:$AE$1005,1,MATCH(COLUMNS($V$1006:V1006),$V$1006:$AE$1006,0))&gt;=100000), " ",IF(INDEX($V$2:$AE$1001,MATCH(ROWS($O$2:O980),$O$2:$O$1001,0),MATCH(COLUMNS($V$1006:V1006),$V$1006:$AE$1006,0)), HYPERLINK("#",""), HYPERLINK(CONCATENATE("#Metadata!", ADDRESS(INDEX($Q$2:$Q$1001,MATCH(ROWS($O$2:O980),$O$2:$O$1001,0),0), INDEX($V$1004:$AE$1004,1,MATCH(COLUMNS($V$1006:V1006),$V$1006:$AE$1006,0)))),"Fix")))</f>
        <v>0</v>
      </c>
      <c r="C980" s="3">
        <f>IF(OR(INDEX($P$2:$P$1001,MATCH(ROWS($O$2:O980),$O$2:$O$1001,0),1)&gt;=100000,INDEX($V$1005:$AE$1005,1,MATCH(COLUMNS($V$1006:W1006),$V$1006:$AE$1006,0))&gt;=100000), " ",IF(INDEX($V$2:$AE$1001,MATCH(ROWS($O$2:O980),$O$2:$O$1001,0),MATCH(COLUMNS($V$1006:W1006),$V$1006:$AE$1006,0)), HYPERLINK("#",""), HYPERLINK(CONCATENATE("#Metadata!", ADDRESS(INDEX($Q$2:$Q$1001,MATCH(ROWS($O$2:O980),$O$2:$O$1001,0),0), INDEX($V$1004:$AE$1004,1,MATCH(COLUMNS($V$1006:W1006),$V$1006:$AE$1006,0)))),"Fix")))</f>
        <v>0</v>
      </c>
      <c r="D980" s="3">
        <f>IF(OR(INDEX($P$2:$P$1001,MATCH(ROWS($O$2:O980),$O$2:$O$1001,0),1)&gt;=100000,INDEX($V$1005:$AE$1005,1,MATCH(COLUMNS($V$1006:X1006),$V$1006:$AE$1006,0))&gt;=100000), " ",IF(INDEX($V$2:$AE$1001,MATCH(ROWS($O$2:O980),$O$2:$O$1001,0),MATCH(COLUMNS($V$1006:X1006),$V$1006:$AE$1006,0)), HYPERLINK("#",""), HYPERLINK(CONCATENATE("#Metadata!", ADDRESS(INDEX($Q$2:$Q$1001,MATCH(ROWS($O$2:O980),$O$2:$O$1001,0),0), INDEX($V$1004:$AE$1004,1,MATCH(COLUMNS($V$1006:X1006),$V$1006:$AE$1006,0)))),"Fix")))</f>
        <v>0</v>
      </c>
      <c r="E980" s="3">
        <f>IF(OR(INDEX($P$2:$P$1001,MATCH(ROWS($O$2:O980),$O$2:$O$1001,0),1)&gt;=100000,INDEX($V$1005:$AE$1005,1,MATCH(COLUMNS($V$1006:Y1006),$V$1006:$AE$1006,0))&gt;=100000), " ",IF(INDEX($V$2:$AE$1001,MATCH(ROWS($O$2:O980),$O$2:$O$1001,0),MATCH(COLUMNS($V$1006:Y1006),$V$1006:$AE$1006,0)), HYPERLINK("#",""), HYPERLINK(CONCATENATE("#Metadata!", ADDRESS(INDEX($Q$2:$Q$1001,MATCH(ROWS($O$2:O980),$O$2:$O$1001,0),0), INDEX($V$1004:$AE$1004,1,MATCH(COLUMNS($V$1006:Y1006),$V$1006:$AE$1006,0)))),"Fix")))</f>
        <v>0</v>
      </c>
      <c r="F980" s="3">
        <f>IF(OR(INDEX($P$2:$P$1001,MATCH(ROWS($O$2:O980),$O$2:$O$1001,0),1)&gt;=100000,INDEX($V$1005:$AE$1005,1,MATCH(COLUMNS($V$1006:Z1006),$V$1006:$AE$1006,0))&gt;=100000), " ",IF(INDEX($V$2:$AE$1001,MATCH(ROWS($O$2:O980),$O$2:$O$1001,0),MATCH(COLUMNS($V$1006:Z1006),$V$1006:$AE$1006,0)), HYPERLINK("#",""), HYPERLINK(CONCATENATE("#Metadata!", ADDRESS(INDEX($Q$2:$Q$1001,MATCH(ROWS($O$2:O980),$O$2:$O$1001,0),0), INDEX($V$1004:$AE$1004,1,MATCH(COLUMNS($V$1006:Z1006),$V$1006:$AE$1006,0)))),"Fix")))</f>
        <v>0</v>
      </c>
      <c r="G980" s="3">
        <f>IF(OR(INDEX($P$2:$P$1001,MATCH(ROWS($O$2:O980),$O$2:$O$1001,0),1)&gt;=100000,INDEX($V$1005:$AE$1005,1,MATCH(COLUMNS($V$1006:AA1006),$V$1006:$AE$1006,0))&gt;=100000), " ",IF(INDEX($V$2:$AE$1001,MATCH(ROWS($O$2:O980),$O$2:$O$1001,0),MATCH(COLUMNS($V$1006:AA1006),$V$1006:$AE$1006,0)), HYPERLINK("#",""), HYPERLINK(CONCATENATE("#Metadata!", ADDRESS(INDEX($Q$2:$Q$1001,MATCH(ROWS($O$2:O980),$O$2:$O$1001,0),0), INDEX($V$1004:$AE$1004,1,MATCH(COLUMNS($V$1006:AA1006),$V$1006:$AE$1006,0)))),"Fix")))</f>
        <v>0</v>
      </c>
      <c r="H980" s="3">
        <f>IF(OR(INDEX($P$2:$P$1001,MATCH(ROWS($O$2:O980),$O$2:$O$1001,0),1)&gt;=100000,INDEX($V$1005:$AE$1005,1,MATCH(COLUMNS($V$1006:AB1006),$V$1006:$AE$1006,0))&gt;=100000), " ",IF(INDEX($V$2:$AE$1001,MATCH(ROWS($O$2:O980),$O$2:$O$1001,0),MATCH(COLUMNS($V$1006:AB1006),$V$1006:$AE$1006,0)), HYPERLINK("#",""), HYPERLINK(CONCATENATE("#Metadata!", ADDRESS(INDEX($Q$2:$Q$1001,MATCH(ROWS($O$2:O980),$O$2:$O$1001,0),0), INDEX($V$1004:$AE$1004,1,MATCH(COLUMNS($V$1006:AB1006),$V$1006:$AE$1006,0)))),"Fix")))</f>
        <v>0</v>
      </c>
      <c r="I980" s="3">
        <f>IF(OR(INDEX($P$2:$P$1001,MATCH(ROWS($O$2:O980),$O$2:$O$1001,0),1)&gt;=100000,INDEX($V$1005:$AE$1005,1,MATCH(COLUMNS($V$1006:AC1006),$V$1006:$AE$1006,0))&gt;=100000), " ",IF(INDEX($V$2:$AE$1001,MATCH(ROWS($O$2:O980),$O$2:$O$1001,0),MATCH(COLUMNS($V$1006:AC1006),$V$1006:$AE$1006,0)), HYPERLINK("#",""), HYPERLINK(CONCATENATE("#Metadata!", ADDRESS(INDEX($Q$2:$Q$1001,MATCH(ROWS($O$2:O980),$O$2:$O$1001,0),0), INDEX($V$1004:$AE$1004,1,MATCH(COLUMNS($V$1006:AC1006),$V$1006:$AE$1006,0)))),"Fix")))</f>
        <v>0</v>
      </c>
      <c r="J980" s="3">
        <f>IF(OR(INDEX($P$2:$P$1001,MATCH(ROWS($O$2:O980),$O$2:$O$1001,0),1)&gt;=100000,INDEX($V$1005:$AE$1005,1,MATCH(COLUMNS($V$1006:AD1006),$V$1006:$AE$1006,0))&gt;=100000), " ",IF(INDEX($V$2:$AE$1001,MATCH(ROWS($O$2:O980),$O$2:$O$1001,0),MATCH(COLUMNS($V$1006:AD1006),$V$1006:$AE$1006,0)), HYPERLINK("#",""), HYPERLINK(CONCATENATE("#Metadata!", ADDRESS(INDEX($Q$2:$Q$1001,MATCH(ROWS($O$2:O980),$O$2:$O$1001,0),0), INDEX($V$1004:$AE$1004,1,MATCH(COLUMNS($V$1006:AD1006),$V$1006:$AE$1006,0)))),"Fix")))</f>
        <v>0</v>
      </c>
      <c r="K980" s="3">
        <f>IF(OR(INDEX($P$2:$P$1001,MATCH(ROWS($O$2:O980),$O$2:$O$1001,0),1)&gt;=100000,INDEX($V$1005:$AE$1005,1,MATCH(COLUMNS($V$1006:AE1006),$V$1006:$AE$1006,0))&gt;=100000), " ",IF(INDEX($V$2:$AE$1001,MATCH(ROWS($O$2:O980),$O$2:$O$1001,0),MATCH(COLUMNS($V$1006:AE1006),$V$1006:$AE$1006,0)), HYPERLINK("#",""), HYPERLINK(CONCATENATE("#Metadata!", ADDRESS(INDEX($Q$2:$Q$1001,MATCH(ROWS($O$2:O980),$O$2:$O$1001,0),0), INDEX($V$1004:$AE$1004,1,MATCH(COLUMNS($V$1006:AE1006),$V$1006:$AE$1006,0)))),"Fix")))</f>
        <v>0</v>
      </c>
      <c r="O980">
        <v>0</v>
      </c>
      <c r="P980">
        <v>0</v>
      </c>
      <c r="Q980">
        <v>0</v>
      </c>
      <c r="R980">
        <f>IF(S980,TRUE,AND(V980:AE980))</f>
        <v>0</v>
      </c>
      <c r="S980">
        <f>COUNTBLANK(Metadata!B980:K980)=COLUMNS(Metadata!B980:K980)</f>
        <v>0</v>
      </c>
      <c r="T980">
        <v>0</v>
      </c>
      <c r="V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W980">
        <f>AND(IF(Metadata!C980="",FALSE,TRUE),exact(Metadata!C980,"animal secretion"))</f>
        <v>0</v>
      </c>
      <c r="X980">
        <f>AND(IF(Metadata!D980="",FALSE,TRUE),exact(Metadata!D980,"saliva"))</f>
        <v>0</v>
      </c>
      <c r="Y980">
        <f>AND(IF(Metadata!E980="",FALSE,TRUE),exact(Metadata!E980,"human-oral"))</f>
        <v>0</v>
      </c>
      <c r="Z980">
        <f>AND(IF(Metadata!F980="",FALSE,TRUE),exact(Metadata!F980,"UBERON:oral cavity"))</f>
        <v>0</v>
      </c>
      <c r="AA980">
        <f>AND(IF(Metadata!G980="",FALSE,TRUE),exact(Metadata!G980,"UBERON:saliva"))</f>
        <v>0</v>
      </c>
      <c r="AB980">
        <f>AND(IF(Metadata!H980="",FALSE,TRUE),exact(Metadata!H980,"UBERON:tongue"))</f>
        <v>0</v>
      </c>
      <c r="AC980">
        <f>AND(IF(Metadata!I980="",FALSE,TRUE),exact(Metadata!I980,"tongue"))</f>
        <v>0</v>
      </c>
      <c r="AD980">
        <f>AND(IF(Metadata!J980="",FALSE,TRUE),exact(Metadata!J980,"human oral metagenome"))</f>
        <v>0</v>
      </c>
      <c r="AE980">
        <f>AND(IF(Metadata!K980="",FALSE,TRUE),exact(Metadata!K980,"447426"))</f>
        <v>0</v>
      </c>
    </row>
    <row r="981" spans="1:31">
      <c r="A981" s="4">
        <f>IF(B981=" "," ",HYPERLINK(CONCATENATE("#metadata!",ADDRESS(INDEX($Q$2:$Q$1001,MATCH(ROWS($O$2:O981),$O$2:$O$1001,0),0),1)),INDEX($T$2:$T$1001,MATCH(ROWS($O$2:O981),$O$2:$O$1001,0),0)))</f>
        <v>0</v>
      </c>
      <c r="B981" s="3">
        <f>IF(OR(INDEX($P$2:$P$1001,MATCH(ROWS($O$2:O981),$O$2:$O$1001,0),1)&gt;=100000,INDEX($V$1005:$AE$1005,1,MATCH(COLUMNS($V$1006:V1006),$V$1006:$AE$1006,0))&gt;=100000), " ",IF(INDEX($V$2:$AE$1001,MATCH(ROWS($O$2:O981),$O$2:$O$1001,0),MATCH(COLUMNS($V$1006:V1006),$V$1006:$AE$1006,0)), HYPERLINK("#",""), HYPERLINK(CONCATENATE("#Metadata!", ADDRESS(INDEX($Q$2:$Q$1001,MATCH(ROWS($O$2:O981),$O$2:$O$1001,0),0), INDEX($V$1004:$AE$1004,1,MATCH(COLUMNS($V$1006:V1006),$V$1006:$AE$1006,0)))),"Fix")))</f>
        <v>0</v>
      </c>
      <c r="C981" s="3">
        <f>IF(OR(INDEX($P$2:$P$1001,MATCH(ROWS($O$2:O981),$O$2:$O$1001,0),1)&gt;=100000,INDEX($V$1005:$AE$1005,1,MATCH(COLUMNS($V$1006:W1006),$V$1006:$AE$1006,0))&gt;=100000), " ",IF(INDEX($V$2:$AE$1001,MATCH(ROWS($O$2:O981),$O$2:$O$1001,0),MATCH(COLUMNS($V$1006:W1006),$V$1006:$AE$1006,0)), HYPERLINK("#",""), HYPERLINK(CONCATENATE("#Metadata!", ADDRESS(INDEX($Q$2:$Q$1001,MATCH(ROWS($O$2:O981),$O$2:$O$1001,0),0), INDEX($V$1004:$AE$1004,1,MATCH(COLUMNS($V$1006:W1006),$V$1006:$AE$1006,0)))),"Fix")))</f>
        <v>0</v>
      </c>
      <c r="D981" s="3">
        <f>IF(OR(INDEX($P$2:$P$1001,MATCH(ROWS($O$2:O981),$O$2:$O$1001,0),1)&gt;=100000,INDEX($V$1005:$AE$1005,1,MATCH(COLUMNS($V$1006:X1006),$V$1006:$AE$1006,0))&gt;=100000), " ",IF(INDEX($V$2:$AE$1001,MATCH(ROWS($O$2:O981),$O$2:$O$1001,0),MATCH(COLUMNS($V$1006:X1006),$V$1006:$AE$1006,0)), HYPERLINK("#",""), HYPERLINK(CONCATENATE("#Metadata!", ADDRESS(INDEX($Q$2:$Q$1001,MATCH(ROWS($O$2:O981),$O$2:$O$1001,0),0), INDEX($V$1004:$AE$1004,1,MATCH(COLUMNS($V$1006:X1006),$V$1006:$AE$1006,0)))),"Fix")))</f>
        <v>0</v>
      </c>
      <c r="E981" s="3">
        <f>IF(OR(INDEX($P$2:$P$1001,MATCH(ROWS($O$2:O981),$O$2:$O$1001,0),1)&gt;=100000,INDEX($V$1005:$AE$1005,1,MATCH(COLUMNS($V$1006:Y1006),$V$1006:$AE$1006,0))&gt;=100000), " ",IF(INDEX($V$2:$AE$1001,MATCH(ROWS($O$2:O981),$O$2:$O$1001,0),MATCH(COLUMNS($V$1006:Y1006),$V$1006:$AE$1006,0)), HYPERLINK("#",""), HYPERLINK(CONCATENATE("#Metadata!", ADDRESS(INDEX($Q$2:$Q$1001,MATCH(ROWS($O$2:O981),$O$2:$O$1001,0),0), INDEX($V$1004:$AE$1004,1,MATCH(COLUMNS($V$1006:Y1006),$V$1006:$AE$1006,0)))),"Fix")))</f>
        <v>0</v>
      </c>
      <c r="F981" s="3">
        <f>IF(OR(INDEX($P$2:$P$1001,MATCH(ROWS($O$2:O981),$O$2:$O$1001,0),1)&gt;=100000,INDEX($V$1005:$AE$1005,1,MATCH(COLUMNS($V$1006:Z1006),$V$1006:$AE$1006,0))&gt;=100000), " ",IF(INDEX($V$2:$AE$1001,MATCH(ROWS($O$2:O981),$O$2:$O$1001,0),MATCH(COLUMNS($V$1006:Z1006),$V$1006:$AE$1006,0)), HYPERLINK("#",""), HYPERLINK(CONCATENATE("#Metadata!", ADDRESS(INDEX($Q$2:$Q$1001,MATCH(ROWS($O$2:O981),$O$2:$O$1001,0),0), INDEX($V$1004:$AE$1004,1,MATCH(COLUMNS($V$1006:Z1006),$V$1006:$AE$1006,0)))),"Fix")))</f>
        <v>0</v>
      </c>
      <c r="G981" s="3">
        <f>IF(OR(INDEX($P$2:$P$1001,MATCH(ROWS($O$2:O981),$O$2:$O$1001,0),1)&gt;=100000,INDEX($V$1005:$AE$1005,1,MATCH(COLUMNS($V$1006:AA1006),$V$1006:$AE$1006,0))&gt;=100000), " ",IF(INDEX($V$2:$AE$1001,MATCH(ROWS($O$2:O981),$O$2:$O$1001,0),MATCH(COLUMNS($V$1006:AA1006),$V$1006:$AE$1006,0)), HYPERLINK("#",""), HYPERLINK(CONCATENATE("#Metadata!", ADDRESS(INDEX($Q$2:$Q$1001,MATCH(ROWS($O$2:O981),$O$2:$O$1001,0),0), INDEX($V$1004:$AE$1004,1,MATCH(COLUMNS($V$1006:AA1006),$V$1006:$AE$1006,0)))),"Fix")))</f>
        <v>0</v>
      </c>
      <c r="H981" s="3">
        <f>IF(OR(INDEX($P$2:$P$1001,MATCH(ROWS($O$2:O981),$O$2:$O$1001,0),1)&gt;=100000,INDEX($V$1005:$AE$1005,1,MATCH(COLUMNS($V$1006:AB1006),$V$1006:$AE$1006,0))&gt;=100000), " ",IF(INDEX($V$2:$AE$1001,MATCH(ROWS($O$2:O981),$O$2:$O$1001,0),MATCH(COLUMNS($V$1006:AB1006),$V$1006:$AE$1006,0)), HYPERLINK("#",""), HYPERLINK(CONCATENATE("#Metadata!", ADDRESS(INDEX($Q$2:$Q$1001,MATCH(ROWS($O$2:O981),$O$2:$O$1001,0),0), INDEX($V$1004:$AE$1004,1,MATCH(COLUMNS($V$1006:AB1006),$V$1006:$AE$1006,0)))),"Fix")))</f>
        <v>0</v>
      </c>
      <c r="I981" s="3">
        <f>IF(OR(INDEX($P$2:$P$1001,MATCH(ROWS($O$2:O981),$O$2:$O$1001,0),1)&gt;=100000,INDEX($V$1005:$AE$1005,1,MATCH(COLUMNS($V$1006:AC1006),$V$1006:$AE$1006,0))&gt;=100000), " ",IF(INDEX($V$2:$AE$1001,MATCH(ROWS($O$2:O981),$O$2:$O$1001,0),MATCH(COLUMNS($V$1006:AC1006),$V$1006:$AE$1006,0)), HYPERLINK("#",""), HYPERLINK(CONCATENATE("#Metadata!", ADDRESS(INDEX($Q$2:$Q$1001,MATCH(ROWS($O$2:O981),$O$2:$O$1001,0),0), INDEX($V$1004:$AE$1004,1,MATCH(COLUMNS($V$1006:AC1006),$V$1006:$AE$1006,0)))),"Fix")))</f>
        <v>0</v>
      </c>
      <c r="J981" s="3">
        <f>IF(OR(INDEX($P$2:$P$1001,MATCH(ROWS($O$2:O981),$O$2:$O$1001,0),1)&gt;=100000,INDEX($V$1005:$AE$1005,1,MATCH(COLUMNS($V$1006:AD1006),$V$1006:$AE$1006,0))&gt;=100000), " ",IF(INDEX($V$2:$AE$1001,MATCH(ROWS($O$2:O981),$O$2:$O$1001,0),MATCH(COLUMNS($V$1006:AD1006),$V$1006:$AE$1006,0)), HYPERLINK("#",""), HYPERLINK(CONCATENATE("#Metadata!", ADDRESS(INDEX($Q$2:$Q$1001,MATCH(ROWS($O$2:O981),$O$2:$O$1001,0),0), INDEX($V$1004:$AE$1004,1,MATCH(COLUMNS($V$1006:AD1006),$V$1006:$AE$1006,0)))),"Fix")))</f>
        <v>0</v>
      </c>
      <c r="K981" s="3">
        <f>IF(OR(INDEX($P$2:$P$1001,MATCH(ROWS($O$2:O981),$O$2:$O$1001,0),1)&gt;=100000,INDEX($V$1005:$AE$1005,1,MATCH(COLUMNS($V$1006:AE1006),$V$1006:$AE$1006,0))&gt;=100000), " ",IF(INDEX($V$2:$AE$1001,MATCH(ROWS($O$2:O981),$O$2:$O$1001,0),MATCH(COLUMNS($V$1006:AE1006),$V$1006:$AE$1006,0)), HYPERLINK("#",""), HYPERLINK(CONCATENATE("#Metadata!", ADDRESS(INDEX($Q$2:$Q$1001,MATCH(ROWS($O$2:O981),$O$2:$O$1001,0),0), INDEX($V$1004:$AE$1004,1,MATCH(COLUMNS($V$1006:AE1006),$V$1006:$AE$1006,0)))),"Fix")))</f>
        <v>0</v>
      </c>
      <c r="O981">
        <v>0</v>
      </c>
      <c r="P981">
        <v>0</v>
      </c>
      <c r="Q981">
        <v>0</v>
      </c>
      <c r="R981">
        <f>IF(S981,TRUE,AND(V981:AE981))</f>
        <v>0</v>
      </c>
      <c r="S981">
        <f>COUNTBLANK(Metadata!B981:K981)=COLUMNS(Metadata!B981:K981)</f>
        <v>0</v>
      </c>
      <c r="T981">
        <v>0</v>
      </c>
      <c r="V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W981">
        <f>AND(IF(Metadata!C981="",FALSE,TRUE),exact(Metadata!C981,"animal secretion"))</f>
        <v>0</v>
      </c>
      <c r="X981">
        <f>AND(IF(Metadata!D981="",FALSE,TRUE),exact(Metadata!D981,"saliva"))</f>
        <v>0</v>
      </c>
      <c r="Y981">
        <f>AND(IF(Metadata!E981="",FALSE,TRUE),exact(Metadata!E981,"human-oral"))</f>
        <v>0</v>
      </c>
      <c r="Z981">
        <f>AND(IF(Metadata!F981="",FALSE,TRUE),exact(Metadata!F981,"UBERON:oral cavity"))</f>
        <v>0</v>
      </c>
      <c r="AA981">
        <f>AND(IF(Metadata!G981="",FALSE,TRUE),exact(Metadata!G981,"UBERON:saliva"))</f>
        <v>0</v>
      </c>
      <c r="AB981">
        <f>AND(IF(Metadata!H981="",FALSE,TRUE),exact(Metadata!H981,"UBERON:tongue"))</f>
        <v>0</v>
      </c>
      <c r="AC981">
        <f>AND(IF(Metadata!I981="",FALSE,TRUE),exact(Metadata!I981,"tongue"))</f>
        <v>0</v>
      </c>
      <c r="AD981">
        <f>AND(IF(Metadata!J981="",FALSE,TRUE),exact(Metadata!J981,"human oral metagenome"))</f>
        <v>0</v>
      </c>
      <c r="AE981">
        <f>AND(IF(Metadata!K981="",FALSE,TRUE),exact(Metadata!K981,"447426"))</f>
        <v>0</v>
      </c>
    </row>
    <row r="982" spans="1:31">
      <c r="A982" s="4">
        <f>IF(B982=" "," ",HYPERLINK(CONCATENATE("#metadata!",ADDRESS(INDEX($Q$2:$Q$1001,MATCH(ROWS($O$2:O982),$O$2:$O$1001,0),0),1)),INDEX($T$2:$T$1001,MATCH(ROWS($O$2:O982),$O$2:$O$1001,0),0)))</f>
        <v>0</v>
      </c>
      <c r="B982" s="3">
        <f>IF(OR(INDEX($P$2:$P$1001,MATCH(ROWS($O$2:O982),$O$2:$O$1001,0),1)&gt;=100000,INDEX($V$1005:$AE$1005,1,MATCH(COLUMNS($V$1006:V1006),$V$1006:$AE$1006,0))&gt;=100000), " ",IF(INDEX($V$2:$AE$1001,MATCH(ROWS($O$2:O982),$O$2:$O$1001,0),MATCH(COLUMNS($V$1006:V1006),$V$1006:$AE$1006,0)), HYPERLINK("#",""), HYPERLINK(CONCATENATE("#Metadata!", ADDRESS(INDEX($Q$2:$Q$1001,MATCH(ROWS($O$2:O982),$O$2:$O$1001,0),0), INDEX($V$1004:$AE$1004,1,MATCH(COLUMNS($V$1006:V1006),$V$1006:$AE$1006,0)))),"Fix")))</f>
        <v>0</v>
      </c>
      <c r="C982" s="3">
        <f>IF(OR(INDEX($P$2:$P$1001,MATCH(ROWS($O$2:O982),$O$2:$O$1001,0),1)&gt;=100000,INDEX($V$1005:$AE$1005,1,MATCH(COLUMNS($V$1006:W1006),$V$1006:$AE$1006,0))&gt;=100000), " ",IF(INDEX($V$2:$AE$1001,MATCH(ROWS($O$2:O982),$O$2:$O$1001,0),MATCH(COLUMNS($V$1006:W1006),$V$1006:$AE$1006,0)), HYPERLINK("#",""), HYPERLINK(CONCATENATE("#Metadata!", ADDRESS(INDEX($Q$2:$Q$1001,MATCH(ROWS($O$2:O982),$O$2:$O$1001,0),0), INDEX($V$1004:$AE$1004,1,MATCH(COLUMNS($V$1006:W1006),$V$1006:$AE$1006,0)))),"Fix")))</f>
        <v>0</v>
      </c>
      <c r="D982" s="3">
        <f>IF(OR(INDEX($P$2:$P$1001,MATCH(ROWS($O$2:O982),$O$2:$O$1001,0),1)&gt;=100000,INDEX($V$1005:$AE$1005,1,MATCH(COLUMNS($V$1006:X1006),$V$1006:$AE$1006,0))&gt;=100000), " ",IF(INDEX($V$2:$AE$1001,MATCH(ROWS($O$2:O982),$O$2:$O$1001,0),MATCH(COLUMNS($V$1006:X1006),$V$1006:$AE$1006,0)), HYPERLINK("#",""), HYPERLINK(CONCATENATE("#Metadata!", ADDRESS(INDEX($Q$2:$Q$1001,MATCH(ROWS($O$2:O982),$O$2:$O$1001,0),0), INDEX($V$1004:$AE$1004,1,MATCH(COLUMNS($V$1006:X1006),$V$1006:$AE$1006,0)))),"Fix")))</f>
        <v>0</v>
      </c>
      <c r="E982" s="3">
        <f>IF(OR(INDEX($P$2:$P$1001,MATCH(ROWS($O$2:O982),$O$2:$O$1001,0),1)&gt;=100000,INDEX($V$1005:$AE$1005,1,MATCH(COLUMNS($V$1006:Y1006),$V$1006:$AE$1006,0))&gt;=100000), " ",IF(INDEX($V$2:$AE$1001,MATCH(ROWS($O$2:O982),$O$2:$O$1001,0),MATCH(COLUMNS($V$1006:Y1006),$V$1006:$AE$1006,0)), HYPERLINK("#",""), HYPERLINK(CONCATENATE("#Metadata!", ADDRESS(INDEX($Q$2:$Q$1001,MATCH(ROWS($O$2:O982),$O$2:$O$1001,0),0), INDEX($V$1004:$AE$1004,1,MATCH(COLUMNS($V$1006:Y1006),$V$1006:$AE$1006,0)))),"Fix")))</f>
        <v>0</v>
      </c>
      <c r="F982" s="3">
        <f>IF(OR(INDEX($P$2:$P$1001,MATCH(ROWS($O$2:O982),$O$2:$O$1001,0),1)&gt;=100000,INDEX($V$1005:$AE$1005,1,MATCH(COLUMNS($V$1006:Z1006),$V$1006:$AE$1006,0))&gt;=100000), " ",IF(INDEX($V$2:$AE$1001,MATCH(ROWS($O$2:O982),$O$2:$O$1001,0),MATCH(COLUMNS($V$1006:Z1006),$V$1006:$AE$1006,0)), HYPERLINK("#",""), HYPERLINK(CONCATENATE("#Metadata!", ADDRESS(INDEX($Q$2:$Q$1001,MATCH(ROWS($O$2:O982),$O$2:$O$1001,0),0), INDEX($V$1004:$AE$1004,1,MATCH(COLUMNS($V$1006:Z1006),$V$1006:$AE$1006,0)))),"Fix")))</f>
        <v>0</v>
      </c>
      <c r="G982" s="3">
        <f>IF(OR(INDEX($P$2:$P$1001,MATCH(ROWS($O$2:O982),$O$2:$O$1001,0),1)&gt;=100000,INDEX($V$1005:$AE$1005,1,MATCH(COLUMNS($V$1006:AA1006),$V$1006:$AE$1006,0))&gt;=100000), " ",IF(INDEX($V$2:$AE$1001,MATCH(ROWS($O$2:O982),$O$2:$O$1001,0),MATCH(COLUMNS($V$1006:AA1006),$V$1006:$AE$1006,0)), HYPERLINK("#",""), HYPERLINK(CONCATENATE("#Metadata!", ADDRESS(INDEX($Q$2:$Q$1001,MATCH(ROWS($O$2:O982),$O$2:$O$1001,0),0), INDEX($V$1004:$AE$1004,1,MATCH(COLUMNS($V$1006:AA1006),$V$1006:$AE$1006,0)))),"Fix")))</f>
        <v>0</v>
      </c>
      <c r="H982" s="3">
        <f>IF(OR(INDEX($P$2:$P$1001,MATCH(ROWS($O$2:O982),$O$2:$O$1001,0),1)&gt;=100000,INDEX($V$1005:$AE$1005,1,MATCH(COLUMNS($V$1006:AB1006),$V$1006:$AE$1006,0))&gt;=100000), " ",IF(INDEX($V$2:$AE$1001,MATCH(ROWS($O$2:O982),$O$2:$O$1001,0),MATCH(COLUMNS($V$1006:AB1006),$V$1006:$AE$1006,0)), HYPERLINK("#",""), HYPERLINK(CONCATENATE("#Metadata!", ADDRESS(INDEX($Q$2:$Q$1001,MATCH(ROWS($O$2:O982),$O$2:$O$1001,0),0), INDEX($V$1004:$AE$1004,1,MATCH(COLUMNS($V$1006:AB1006),$V$1006:$AE$1006,0)))),"Fix")))</f>
        <v>0</v>
      </c>
      <c r="I982" s="3">
        <f>IF(OR(INDEX($P$2:$P$1001,MATCH(ROWS($O$2:O982),$O$2:$O$1001,0),1)&gt;=100000,INDEX($V$1005:$AE$1005,1,MATCH(COLUMNS($V$1006:AC1006),$V$1006:$AE$1006,0))&gt;=100000), " ",IF(INDEX($V$2:$AE$1001,MATCH(ROWS($O$2:O982),$O$2:$O$1001,0),MATCH(COLUMNS($V$1006:AC1006),$V$1006:$AE$1006,0)), HYPERLINK("#",""), HYPERLINK(CONCATENATE("#Metadata!", ADDRESS(INDEX($Q$2:$Q$1001,MATCH(ROWS($O$2:O982),$O$2:$O$1001,0),0), INDEX($V$1004:$AE$1004,1,MATCH(COLUMNS($V$1006:AC1006),$V$1006:$AE$1006,0)))),"Fix")))</f>
        <v>0</v>
      </c>
      <c r="J982" s="3">
        <f>IF(OR(INDEX($P$2:$P$1001,MATCH(ROWS($O$2:O982),$O$2:$O$1001,0),1)&gt;=100000,INDEX($V$1005:$AE$1005,1,MATCH(COLUMNS($V$1006:AD1006),$V$1006:$AE$1006,0))&gt;=100000), " ",IF(INDEX($V$2:$AE$1001,MATCH(ROWS($O$2:O982),$O$2:$O$1001,0),MATCH(COLUMNS($V$1006:AD1006),$V$1006:$AE$1006,0)), HYPERLINK("#",""), HYPERLINK(CONCATENATE("#Metadata!", ADDRESS(INDEX($Q$2:$Q$1001,MATCH(ROWS($O$2:O982),$O$2:$O$1001,0),0), INDEX($V$1004:$AE$1004,1,MATCH(COLUMNS($V$1006:AD1006),$V$1006:$AE$1006,0)))),"Fix")))</f>
        <v>0</v>
      </c>
      <c r="K982" s="3">
        <f>IF(OR(INDEX($P$2:$P$1001,MATCH(ROWS($O$2:O982),$O$2:$O$1001,0),1)&gt;=100000,INDEX($V$1005:$AE$1005,1,MATCH(COLUMNS($V$1006:AE1006),$V$1006:$AE$1006,0))&gt;=100000), " ",IF(INDEX($V$2:$AE$1001,MATCH(ROWS($O$2:O982),$O$2:$O$1001,0),MATCH(COLUMNS($V$1006:AE1006),$V$1006:$AE$1006,0)), HYPERLINK("#",""), HYPERLINK(CONCATENATE("#Metadata!", ADDRESS(INDEX($Q$2:$Q$1001,MATCH(ROWS($O$2:O982),$O$2:$O$1001,0),0), INDEX($V$1004:$AE$1004,1,MATCH(COLUMNS($V$1006:AE1006),$V$1006:$AE$1006,0)))),"Fix")))</f>
        <v>0</v>
      </c>
      <c r="O982">
        <v>0</v>
      </c>
      <c r="P982">
        <v>0</v>
      </c>
      <c r="Q982">
        <v>0</v>
      </c>
      <c r="R982">
        <f>IF(S982,TRUE,AND(V982:AE982))</f>
        <v>0</v>
      </c>
      <c r="S982">
        <f>COUNTBLANK(Metadata!B982:K982)=COLUMNS(Metadata!B982:K982)</f>
        <v>0</v>
      </c>
      <c r="T982">
        <v>0</v>
      </c>
      <c r="V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W982">
        <f>AND(IF(Metadata!C982="",FALSE,TRUE),exact(Metadata!C982,"animal secretion"))</f>
        <v>0</v>
      </c>
      <c r="X982">
        <f>AND(IF(Metadata!D982="",FALSE,TRUE),exact(Metadata!D982,"saliva"))</f>
        <v>0</v>
      </c>
      <c r="Y982">
        <f>AND(IF(Metadata!E982="",FALSE,TRUE),exact(Metadata!E982,"human-oral"))</f>
        <v>0</v>
      </c>
      <c r="Z982">
        <f>AND(IF(Metadata!F982="",FALSE,TRUE),exact(Metadata!F982,"UBERON:oral cavity"))</f>
        <v>0</v>
      </c>
      <c r="AA982">
        <f>AND(IF(Metadata!G982="",FALSE,TRUE),exact(Metadata!G982,"UBERON:saliva"))</f>
        <v>0</v>
      </c>
      <c r="AB982">
        <f>AND(IF(Metadata!H982="",FALSE,TRUE),exact(Metadata!H982,"UBERON:tongue"))</f>
        <v>0</v>
      </c>
      <c r="AC982">
        <f>AND(IF(Metadata!I982="",FALSE,TRUE),exact(Metadata!I982,"tongue"))</f>
        <v>0</v>
      </c>
      <c r="AD982">
        <f>AND(IF(Metadata!J982="",FALSE,TRUE),exact(Metadata!J982,"human oral metagenome"))</f>
        <v>0</v>
      </c>
      <c r="AE982">
        <f>AND(IF(Metadata!K982="",FALSE,TRUE),exact(Metadata!K982,"447426"))</f>
        <v>0</v>
      </c>
    </row>
    <row r="983" spans="1:31">
      <c r="A983" s="4">
        <f>IF(B983=" "," ",HYPERLINK(CONCATENATE("#metadata!",ADDRESS(INDEX($Q$2:$Q$1001,MATCH(ROWS($O$2:O983),$O$2:$O$1001,0),0),1)),INDEX($T$2:$T$1001,MATCH(ROWS($O$2:O983),$O$2:$O$1001,0),0)))</f>
        <v>0</v>
      </c>
      <c r="B983" s="3">
        <f>IF(OR(INDEX($P$2:$P$1001,MATCH(ROWS($O$2:O983),$O$2:$O$1001,0),1)&gt;=100000,INDEX($V$1005:$AE$1005,1,MATCH(COLUMNS($V$1006:V1006),$V$1006:$AE$1006,0))&gt;=100000), " ",IF(INDEX($V$2:$AE$1001,MATCH(ROWS($O$2:O983),$O$2:$O$1001,0),MATCH(COLUMNS($V$1006:V1006),$V$1006:$AE$1006,0)), HYPERLINK("#",""), HYPERLINK(CONCATENATE("#Metadata!", ADDRESS(INDEX($Q$2:$Q$1001,MATCH(ROWS($O$2:O983),$O$2:$O$1001,0),0), INDEX($V$1004:$AE$1004,1,MATCH(COLUMNS($V$1006:V1006),$V$1006:$AE$1006,0)))),"Fix")))</f>
        <v>0</v>
      </c>
      <c r="C983" s="3">
        <f>IF(OR(INDEX($P$2:$P$1001,MATCH(ROWS($O$2:O983),$O$2:$O$1001,0),1)&gt;=100000,INDEX($V$1005:$AE$1005,1,MATCH(COLUMNS($V$1006:W1006),$V$1006:$AE$1006,0))&gt;=100000), " ",IF(INDEX($V$2:$AE$1001,MATCH(ROWS($O$2:O983),$O$2:$O$1001,0),MATCH(COLUMNS($V$1006:W1006),$V$1006:$AE$1006,0)), HYPERLINK("#",""), HYPERLINK(CONCATENATE("#Metadata!", ADDRESS(INDEX($Q$2:$Q$1001,MATCH(ROWS($O$2:O983),$O$2:$O$1001,0),0), INDEX($V$1004:$AE$1004,1,MATCH(COLUMNS($V$1006:W1006),$V$1006:$AE$1006,0)))),"Fix")))</f>
        <v>0</v>
      </c>
      <c r="D983" s="3">
        <f>IF(OR(INDEX($P$2:$P$1001,MATCH(ROWS($O$2:O983),$O$2:$O$1001,0),1)&gt;=100000,INDEX($V$1005:$AE$1005,1,MATCH(COLUMNS($V$1006:X1006),$V$1006:$AE$1006,0))&gt;=100000), " ",IF(INDEX($V$2:$AE$1001,MATCH(ROWS($O$2:O983),$O$2:$O$1001,0),MATCH(COLUMNS($V$1006:X1006),$V$1006:$AE$1006,0)), HYPERLINK("#",""), HYPERLINK(CONCATENATE("#Metadata!", ADDRESS(INDEX($Q$2:$Q$1001,MATCH(ROWS($O$2:O983),$O$2:$O$1001,0),0), INDEX($V$1004:$AE$1004,1,MATCH(COLUMNS($V$1006:X1006),$V$1006:$AE$1006,0)))),"Fix")))</f>
        <v>0</v>
      </c>
      <c r="E983" s="3">
        <f>IF(OR(INDEX($P$2:$P$1001,MATCH(ROWS($O$2:O983),$O$2:$O$1001,0),1)&gt;=100000,INDEX($V$1005:$AE$1005,1,MATCH(COLUMNS($V$1006:Y1006),$V$1006:$AE$1006,0))&gt;=100000), " ",IF(INDEX($V$2:$AE$1001,MATCH(ROWS($O$2:O983),$O$2:$O$1001,0),MATCH(COLUMNS($V$1006:Y1006),$V$1006:$AE$1006,0)), HYPERLINK("#",""), HYPERLINK(CONCATENATE("#Metadata!", ADDRESS(INDEX($Q$2:$Q$1001,MATCH(ROWS($O$2:O983),$O$2:$O$1001,0),0), INDEX($V$1004:$AE$1004,1,MATCH(COLUMNS($V$1006:Y1006),$V$1006:$AE$1006,0)))),"Fix")))</f>
        <v>0</v>
      </c>
      <c r="F983" s="3">
        <f>IF(OR(INDEX($P$2:$P$1001,MATCH(ROWS($O$2:O983),$O$2:$O$1001,0),1)&gt;=100000,INDEX($V$1005:$AE$1005,1,MATCH(COLUMNS($V$1006:Z1006),$V$1006:$AE$1006,0))&gt;=100000), " ",IF(INDEX($V$2:$AE$1001,MATCH(ROWS($O$2:O983),$O$2:$O$1001,0),MATCH(COLUMNS($V$1006:Z1006),$V$1006:$AE$1006,0)), HYPERLINK("#",""), HYPERLINK(CONCATENATE("#Metadata!", ADDRESS(INDEX($Q$2:$Q$1001,MATCH(ROWS($O$2:O983),$O$2:$O$1001,0),0), INDEX($V$1004:$AE$1004,1,MATCH(COLUMNS($V$1006:Z1006),$V$1006:$AE$1006,0)))),"Fix")))</f>
        <v>0</v>
      </c>
      <c r="G983" s="3">
        <f>IF(OR(INDEX($P$2:$P$1001,MATCH(ROWS($O$2:O983),$O$2:$O$1001,0),1)&gt;=100000,INDEX($V$1005:$AE$1005,1,MATCH(COLUMNS($V$1006:AA1006),$V$1006:$AE$1006,0))&gt;=100000), " ",IF(INDEX($V$2:$AE$1001,MATCH(ROWS($O$2:O983),$O$2:$O$1001,0),MATCH(COLUMNS($V$1006:AA1006),$V$1006:$AE$1006,0)), HYPERLINK("#",""), HYPERLINK(CONCATENATE("#Metadata!", ADDRESS(INDEX($Q$2:$Q$1001,MATCH(ROWS($O$2:O983),$O$2:$O$1001,0),0), INDEX($V$1004:$AE$1004,1,MATCH(COLUMNS($V$1006:AA1006),$V$1006:$AE$1006,0)))),"Fix")))</f>
        <v>0</v>
      </c>
      <c r="H983" s="3">
        <f>IF(OR(INDEX($P$2:$P$1001,MATCH(ROWS($O$2:O983),$O$2:$O$1001,0),1)&gt;=100000,INDEX($V$1005:$AE$1005,1,MATCH(COLUMNS($V$1006:AB1006),$V$1006:$AE$1006,0))&gt;=100000), " ",IF(INDEX($V$2:$AE$1001,MATCH(ROWS($O$2:O983),$O$2:$O$1001,0),MATCH(COLUMNS($V$1006:AB1006),$V$1006:$AE$1006,0)), HYPERLINK("#",""), HYPERLINK(CONCATENATE("#Metadata!", ADDRESS(INDEX($Q$2:$Q$1001,MATCH(ROWS($O$2:O983),$O$2:$O$1001,0),0), INDEX($V$1004:$AE$1004,1,MATCH(COLUMNS($V$1006:AB1006),$V$1006:$AE$1006,0)))),"Fix")))</f>
        <v>0</v>
      </c>
      <c r="I983" s="3">
        <f>IF(OR(INDEX($P$2:$P$1001,MATCH(ROWS($O$2:O983),$O$2:$O$1001,0),1)&gt;=100000,INDEX($V$1005:$AE$1005,1,MATCH(COLUMNS($V$1006:AC1006),$V$1006:$AE$1006,0))&gt;=100000), " ",IF(INDEX($V$2:$AE$1001,MATCH(ROWS($O$2:O983),$O$2:$O$1001,0),MATCH(COLUMNS($V$1006:AC1006),$V$1006:$AE$1006,0)), HYPERLINK("#",""), HYPERLINK(CONCATENATE("#Metadata!", ADDRESS(INDEX($Q$2:$Q$1001,MATCH(ROWS($O$2:O983),$O$2:$O$1001,0),0), INDEX($V$1004:$AE$1004,1,MATCH(COLUMNS($V$1006:AC1006),$V$1006:$AE$1006,0)))),"Fix")))</f>
        <v>0</v>
      </c>
      <c r="J983" s="3">
        <f>IF(OR(INDEX($P$2:$P$1001,MATCH(ROWS($O$2:O983),$O$2:$O$1001,0),1)&gt;=100000,INDEX($V$1005:$AE$1005,1,MATCH(COLUMNS($V$1006:AD1006),$V$1006:$AE$1006,0))&gt;=100000), " ",IF(INDEX($V$2:$AE$1001,MATCH(ROWS($O$2:O983),$O$2:$O$1001,0),MATCH(COLUMNS($V$1006:AD1006),$V$1006:$AE$1006,0)), HYPERLINK("#",""), HYPERLINK(CONCATENATE("#Metadata!", ADDRESS(INDEX($Q$2:$Q$1001,MATCH(ROWS($O$2:O983),$O$2:$O$1001,0),0), INDEX($V$1004:$AE$1004,1,MATCH(COLUMNS($V$1006:AD1006),$V$1006:$AE$1006,0)))),"Fix")))</f>
        <v>0</v>
      </c>
      <c r="K983" s="3">
        <f>IF(OR(INDEX($P$2:$P$1001,MATCH(ROWS($O$2:O983),$O$2:$O$1001,0),1)&gt;=100000,INDEX($V$1005:$AE$1005,1,MATCH(COLUMNS($V$1006:AE1006),$V$1006:$AE$1006,0))&gt;=100000), " ",IF(INDEX($V$2:$AE$1001,MATCH(ROWS($O$2:O983),$O$2:$O$1001,0),MATCH(COLUMNS($V$1006:AE1006),$V$1006:$AE$1006,0)), HYPERLINK("#",""), HYPERLINK(CONCATENATE("#Metadata!", ADDRESS(INDEX($Q$2:$Q$1001,MATCH(ROWS($O$2:O983),$O$2:$O$1001,0),0), INDEX($V$1004:$AE$1004,1,MATCH(COLUMNS($V$1006:AE1006),$V$1006:$AE$1006,0)))),"Fix")))</f>
        <v>0</v>
      </c>
      <c r="O983">
        <v>0</v>
      </c>
      <c r="P983">
        <v>0</v>
      </c>
      <c r="Q983">
        <v>0</v>
      </c>
      <c r="R983">
        <f>IF(S983,TRUE,AND(V983:AE983))</f>
        <v>0</v>
      </c>
      <c r="S983">
        <f>COUNTBLANK(Metadata!B983:K983)=COLUMNS(Metadata!B983:K983)</f>
        <v>0</v>
      </c>
      <c r="T983">
        <v>0</v>
      </c>
      <c r="V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W983">
        <f>AND(IF(Metadata!C983="",FALSE,TRUE),exact(Metadata!C983,"animal secretion"))</f>
        <v>0</v>
      </c>
      <c r="X983">
        <f>AND(IF(Metadata!D983="",FALSE,TRUE),exact(Metadata!D983,"saliva"))</f>
        <v>0</v>
      </c>
      <c r="Y983">
        <f>AND(IF(Metadata!E983="",FALSE,TRUE),exact(Metadata!E983,"human-oral"))</f>
        <v>0</v>
      </c>
      <c r="Z983">
        <f>AND(IF(Metadata!F983="",FALSE,TRUE),exact(Metadata!F983,"UBERON:oral cavity"))</f>
        <v>0</v>
      </c>
      <c r="AA983">
        <f>AND(IF(Metadata!G983="",FALSE,TRUE),exact(Metadata!G983,"UBERON:saliva"))</f>
        <v>0</v>
      </c>
      <c r="AB983">
        <f>AND(IF(Metadata!H983="",FALSE,TRUE),exact(Metadata!H983,"UBERON:tongue"))</f>
        <v>0</v>
      </c>
      <c r="AC983">
        <f>AND(IF(Metadata!I983="",FALSE,TRUE),exact(Metadata!I983,"tongue"))</f>
        <v>0</v>
      </c>
      <c r="AD983">
        <f>AND(IF(Metadata!J983="",FALSE,TRUE),exact(Metadata!J983,"human oral metagenome"))</f>
        <v>0</v>
      </c>
      <c r="AE983">
        <f>AND(IF(Metadata!K983="",FALSE,TRUE),exact(Metadata!K983,"447426"))</f>
        <v>0</v>
      </c>
    </row>
    <row r="984" spans="1:31">
      <c r="A984" s="4">
        <f>IF(B984=" "," ",HYPERLINK(CONCATENATE("#metadata!",ADDRESS(INDEX($Q$2:$Q$1001,MATCH(ROWS($O$2:O984),$O$2:$O$1001,0),0),1)),INDEX($T$2:$T$1001,MATCH(ROWS($O$2:O984),$O$2:$O$1001,0),0)))</f>
        <v>0</v>
      </c>
      <c r="B984" s="3">
        <f>IF(OR(INDEX($P$2:$P$1001,MATCH(ROWS($O$2:O984),$O$2:$O$1001,0),1)&gt;=100000,INDEX($V$1005:$AE$1005,1,MATCH(COLUMNS($V$1006:V1006),$V$1006:$AE$1006,0))&gt;=100000), " ",IF(INDEX($V$2:$AE$1001,MATCH(ROWS($O$2:O984),$O$2:$O$1001,0),MATCH(COLUMNS($V$1006:V1006),$V$1006:$AE$1006,0)), HYPERLINK("#",""), HYPERLINK(CONCATENATE("#Metadata!", ADDRESS(INDEX($Q$2:$Q$1001,MATCH(ROWS($O$2:O984),$O$2:$O$1001,0),0), INDEX($V$1004:$AE$1004,1,MATCH(COLUMNS($V$1006:V1006),$V$1006:$AE$1006,0)))),"Fix")))</f>
        <v>0</v>
      </c>
      <c r="C984" s="3">
        <f>IF(OR(INDEX($P$2:$P$1001,MATCH(ROWS($O$2:O984),$O$2:$O$1001,0),1)&gt;=100000,INDEX($V$1005:$AE$1005,1,MATCH(COLUMNS($V$1006:W1006),$V$1006:$AE$1006,0))&gt;=100000), " ",IF(INDEX($V$2:$AE$1001,MATCH(ROWS($O$2:O984),$O$2:$O$1001,0),MATCH(COLUMNS($V$1006:W1006),$V$1006:$AE$1006,0)), HYPERLINK("#",""), HYPERLINK(CONCATENATE("#Metadata!", ADDRESS(INDEX($Q$2:$Q$1001,MATCH(ROWS($O$2:O984),$O$2:$O$1001,0),0), INDEX($V$1004:$AE$1004,1,MATCH(COLUMNS($V$1006:W1006),$V$1006:$AE$1006,0)))),"Fix")))</f>
        <v>0</v>
      </c>
      <c r="D984" s="3">
        <f>IF(OR(INDEX($P$2:$P$1001,MATCH(ROWS($O$2:O984),$O$2:$O$1001,0),1)&gt;=100000,INDEX($V$1005:$AE$1005,1,MATCH(COLUMNS($V$1006:X1006),$V$1006:$AE$1006,0))&gt;=100000), " ",IF(INDEX($V$2:$AE$1001,MATCH(ROWS($O$2:O984),$O$2:$O$1001,0),MATCH(COLUMNS($V$1006:X1006),$V$1006:$AE$1006,0)), HYPERLINK("#",""), HYPERLINK(CONCATENATE("#Metadata!", ADDRESS(INDEX($Q$2:$Q$1001,MATCH(ROWS($O$2:O984),$O$2:$O$1001,0),0), INDEX($V$1004:$AE$1004,1,MATCH(COLUMNS($V$1006:X1006),$V$1006:$AE$1006,0)))),"Fix")))</f>
        <v>0</v>
      </c>
      <c r="E984" s="3">
        <f>IF(OR(INDEX($P$2:$P$1001,MATCH(ROWS($O$2:O984),$O$2:$O$1001,0),1)&gt;=100000,INDEX($V$1005:$AE$1005,1,MATCH(COLUMNS($V$1006:Y1006),$V$1006:$AE$1006,0))&gt;=100000), " ",IF(INDEX($V$2:$AE$1001,MATCH(ROWS($O$2:O984),$O$2:$O$1001,0),MATCH(COLUMNS($V$1006:Y1006),$V$1006:$AE$1006,0)), HYPERLINK("#",""), HYPERLINK(CONCATENATE("#Metadata!", ADDRESS(INDEX($Q$2:$Q$1001,MATCH(ROWS($O$2:O984),$O$2:$O$1001,0),0), INDEX($V$1004:$AE$1004,1,MATCH(COLUMNS($V$1006:Y1006),$V$1006:$AE$1006,0)))),"Fix")))</f>
        <v>0</v>
      </c>
      <c r="F984" s="3">
        <f>IF(OR(INDEX($P$2:$P$1001,MATCH(ROWS($O$2:O984),$O$2:$O$1001,0),1)&gt;=100000,INDEX($V$1005:$AE$1005,1,MATCH(COLUMNS($V$1006:Z1006),$V$1006:$AE$1006,0))&gt;=100000), " ",IF(INDEX($V$2:$AE$1001,MATCH(ROWS($O$2:O984),$O$2:$O$1001,0),MATCH(COLUMNS($V$1006:Z1006),$V$1006:$AE$1006,0)), HYPERLINK("#",""), HYPERLINK(CONCATENATE("#Metadata!", ADDRESS(INDEX($Q$2:$Q$1001,MATCH(ROWS($O$2:O984),$O$2:$O$1001,0),0), INDEX($V$1004:$AE$1004,1,MATCH(COLUMNS($V$1006:Z1006),$V$1006:$AE$1006,0)))),"Fix")))</f>
        <v>0</v>
      </c>
      <c r="G984" s="3">
        <f>IF(OR(INDEX($P$2:$P$1001,MATCH(ROWS($O$2:O984),$O$2:$O$1001,0),1)&gt;=100000,INDEX($V$1005:$AE$1005,1,MATCH(COLUMNS($V$1006:AA1006),$V$1006:$AE$1006,0))&gt;=100000), " ",IF(INDEX($V$2:$AE$1001,MATCH(ROWS($O$2:O984),$O$2:$O$1001,0),MATCH(COLUMNS($V$1006:AA1006),$V$1006:$AE$1006,0)), HYPERLINK("#",""), HYPERLINK(CONCATENATE("#Metadata!", ADDRESS(INDEX($Q$2:$Q$1001,MATCH(ROWS($O$2:O984),$O$2:$O$1001,0),0), INDEX($V$1004:$AE$1004,1,MATCH(COLUMNS($V$1006:AA1006),$V$1006:$AE$1006,0)))),"Fix")))</f>
        <v>0</v>
      </c>
      <c r="H984" s="3">
        <f>IF(OR(INDEX($P$2:$P$1001,MATCH(ROWS($O$2:O984),$O$2:$O$1001,0),1)&gt;=100000,INDEX($V$1005:$AE$1005,1,MATCH(COLUMNS($V$1006:AB1006),$V$1006:$AE$1006,0))&gt;=100000), " ",IF(INDEX($V$2:$AE$1001,MATCH(ROWS($O$2:O984),$O$2:$O$1001,0),MATCH(COLUMNS($V$1006:AB1006),$V$1006:$AE$1006,0)), HYPERLINK("#",""), HYPERLINK(CONCATENATE("#Metadata!", ADDRESS(INDEX($Q$2:$Q$1001,MATCH(ROWS($O$2:O984),$O$2:$O$1001,0),0), INDEX($V$1004:$AE$1004,1,MATCH(COLUMNS($V$1006:AB1006),$V$1006:$AE$1006,0)))),"Fix")))</f>
        <v>0</v>
      </c>
      <c r="I984" s="3">
        <f>IF(OR(INDEX($P$2:$P$1001,MATCH(ROWS($O$2:O984),$O$2:$O$1001,0),1)&gt;=100000,INDEX($V$1005:$AE$1005,1,MATCH(COLUMNS($V$1006:AC1006),$V$1006:$AE$1006,0))&gt;=100000), " ",IF(INDEX($V$2:$AE$1001,MATCH(ROWS($O$2:O984),$O$2:$O$1001,0),MATCH(COLUMNS($V$1006:AC1006),$V$1006:$AE$1006,0)), HYPERLINK("#",""), HYPERLINK(CONCATENATE("#Metadata!", ADDRESS(INDEX($Q$2:$Q$1001,MATCH(ROWS($O$2:O984),$O$2:$O$1001,0),0), INDEX($V$1004:$AE$1004,1,MATCH(COLUMNS($V$1006:AC1006),$V$1006:$AE$1006,0)))),"Fix")))</f>
        <v>0</v>
      </c>
      <c r="J984" s="3">
        <f>IF(OR(INDEX($P$2:$P$1001,MATCH(ROWS($O$2:O984),$O$2:$O$1001,0),1)&gt;=100000,INDEX($V$1005:$AE$1005,1,MATCH(COLUMNS($V$1006:AD1006),$V$1006:$AE$1006,0))&gt;=100000), " ",IF(INDEX($V$2:$AE$1001,MATCH(ROWS($O$2:O984),$O$2:$O$1001,0),MATCH(COLUMNS($V$1006:AD1006),$V$1006:$AE$1006,0)), HYPERLINK("#",""), HYPERLINK(CONCATENATE("#Metadata!", ADDRESS(INDEX($Q$2:$Q$1001,MATCH(ROWS($O$2:O984),$O$2:$O$1001,0),0), INDEX($V$1004:$AE$1004,1,MATCH(COLUMNS($V$1006:AD1006),$V$1006:$AE$1006,0)))),"Fix")))</f>
        <v>0</v>
      </c>
      <c r="K984" s="3">
        <f>IF(OR(INDEX($P$2:$P$1001,MATCH(ROWS($O$2:O984),$O$2:$O$1001,0),1)&gt;=100000,INDEX($V$1005:$AE$1005,1,MATCH(COLUMNS($V$1006:AE1006),$V$1006:$AE$1006,0))&gt;=100000), " ",IF(INDEX($V$2:$AE$1001,MATCH(ROWS($O$2:O984),$O$2:$O$1001,0),MATCH(COLUMNS($V$1006:AE1006),$V$1006:$AE$1006,0)), HYPERLINK("#",""), HYPERLINK(CONCATENATE("#Metadata!", ADDRESS(INDEX($Q$2:$Q$1001,MATCH(ROWS($O$2:O984),$O$2:$O$1001,0),0), INDEX($V$1004:$AE$1004,1,MATCH(COLUMNS($V$1006:AE1006),$V$1006:$AE$1006,0)))),"Fix")))</f>
        <v>0</v>
      </c>
      <c r="O984">
        <v>0</v>
      </c>
      <c r="P984">
        <v>0</v>
      </c>
      <c r="Q984">
        <v>0</v>
      </c>
      <c r="R984">
        <f>IF(S984,TRUE,AND(V984:AE984))</f>
        <v>0</v>
      </c>
      <c r="S984">
        <f>COUNTBLANK(Metadata!B984:K984)=COLUMNS(Metadata!B984:K984)</f>
        <v>0</v>
      </c>
      <c r="T984">
        <v>0</v>
      </c>
      <c r="V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W984">
        <f>AND(IF(Metadata!C984="",FALSE,TRUE),exact(Metadata!C984,"animal secretion"))</f>
        <v>0</v>
      </c>
      <c r="X984">
        <f>AND(IF(Metadata!D984="",FALSE,TRUE),exact(Metadata!D984,"saliva"))</f>
        <v>0</v>
      </c>
      <c r="Y984">
        <f>AND(IF(Metadata!E984="",FALSE,TRUE),exact(Metadata!E984,"human-oral"))</f>
        <v>0</v>
      </c>
      <c r="Z984">
        <f>AND(IF(Metadata!F984="",FALSE,TRUE),exact(Metadata!F984,"UBERON:oral cavity"))</f>
        <v>0</v>
      </c>
      <c r="AA984">
        <f>AND(IF(Metadata!G984="",FALSE,TRUE),exact(Metadata!G984,"UBERON:saliva"))</f>
        <v>0</v>
      </c>
      <c r="AB984">
        <f>AND(IF(Metadata!H984="",FALSE,TRUE),exact(Metadata!H984,"UBERON:tongue"))</f>
        <v>0</v>
      </c>
      <c r="AC984">
        <f>AND(IF(Metadata!I984="",FALSE,TRUE),exact(Metadata!I984,"tongue"))</f>
        <v>0</v>
      </c>
      <c r="AD984">
        <f>AND(IF(Metadata!J984="",FALSE,TRUE),exact(Metadata!J984,"human oral metagenome"))</f>
        <v>0</v>
      </c>
      <c r="AE984">
        <f>AND(IF(Metadata!K984="",FALSE,TRUE),exact(Metadata!K984,"447426"))</f>
        <v>0</v>
      </c>
    </row>
    <row r="985" spans="1:31">
      <c r="A985" s="4">
        <f>IF(B985=" "," ",HYPERLINK(CONCATENATE("#metadata!",ADDRESS(INDEX($Q$2:$Q$1001,MATCH(ROWS($O$2:O985),$O$2:$O$1001,0),0),1)),INDEX($T$2:$T$1001,MATCH(ROWS($O$2:O985),$O$2:$O$1001,0),0)))</f>
        <v>0</v>
      </c>
      <c r="B985" s="3">
        <f>IF(OR(INDEX($P$2:$P$1001,MATCH(ROWS($O$2:O985),$O$2:$O$1001,0),1)&gt;=100000,INDEX($V$1005:$AE$1005,1,MATCH(COLUMNS($V$1006:V1006),$V$1006:$AE$1006,0))&gt;=100000), " ",IF(INDEX($V$2:$AE$1001,MATCH(ROWS($O$2:O985),$O$2:$O$1001,0),MATCH(COLUMNS($V$1006:V1006),$V$1006:$AE$1006,0)), HYPERLINK("#",""), HYPERLINK(CONCATENATE("#Metadata!", ADDRESS(INDEX($Q$2:$Q$1001,MATCH(ROWS($O$2:O985),$O$2:$O$1001,0),0), INDEX($V$1004:$AE$1004,1,MATCH(COLUMNS($V$1006:V1006),$V$1006:$AE$1006,0)))),"Fix")))</f>
        <v>0</v>
      </c>
      <c r="C985" s="3">
        <f>IF(OR(INDEX($P$2:$P$1001,MATCH(ROWS($O$2:O985),$O$2:$O$1001,0),1)&gt;=100000,INDEX($V$1005:$AE$1005,1,MATCH(COLUMNS($V$1006:W1006),$V$1006:$AE$1006,0))&gt;=100000), " ",IF(INDEX($V$2:$AE$1001,MATCH(ROWS($O$2:O985),$O$2:$O$1001,0),MATCH(COLUMNS($V$1006:W1006),$V$1006:$AE$1006,0)), HYPERLINK("#",""), HYPERLINK(CONCATENATE("#Metadata!", ADDRESS(INDEX($Q$2:$Q$1001,MATCH(ROWS($O$2:O985),$O$2:$O$1001,0),0), INDEX($V$1004:$AE$1004,1,MATCH(COLUMNS($V$1006:W1006),$V$1006:$AE$1006,0)))),"Fix")))</f>
        <v>0</v>
      </c>
      <c r="D985" s="3">
        <f>IF(OR(INDEX($P$2:$P$1001,MATCH(ROWS($O$2:O985),$O$2:$O$1001,0),1)&gt;=100000,INDEX($V$1005:$AE$1005,1,MATCH(COLUMNS($V$1006:X1006),$V$1006:$AE$1006,0))&gt;=100000), " ",IF(INDEX($V$2:$AE$1001,MATCH(ROWS($O$2:O985),$O$2:$O$1001,0),MATCH(COLUMNS($V$1006:X1006),$V$1006:$AE$1006,0)), HYPERLINK("#",""), HYPERLINK(CONCATENATE("#Metadata!", ADDRESS(INDEX($Q$2:$Q$1001,MATCH(ROWS($O$2:O985),$O$2:$O$1001,0),0), INDEX($V$1004:$AE$1004,1,MATCH(COLUMNS($V$1006:X1006),$V$1006:$AE$1006,0)))),"Fix")))</f>
        <v>0</v>
      </c>
      <c r="E985" s="3">
        <f>IF(OR(INDEX($P$2:$P$1001,MATCH(ROWS($O$2:O985),$O$2:$O$1001,0),1)&gt;=100000,INDEX($V$1005:$AE$1005,1,MATCH(COLUMNS($V$1006:Y1006),$V$1006:$AE$1006,0))&gt;=100000), " ",IF(INDEX($V$2:$AE$1001,MATCH(ROWS($O$2:O985),$O$2:$O$1001,0),MATCH(COLUMNS($V$1006:Y1006),$V$1006:$AE$1006,0)), HYPERLINK("#",""), HYPERLINK(CONCATENATE("#Metadata!", ADDRESS(INDEX($Q$2:$Q$1001,MATCH(ROWS($O$2:O985),$O$2:$O$1001,0),0), INDEX($V$1004:$AE$1004,1,MATCH(COLUMNS($V$1006:Y1006),$V$1006:$AE$1006,0)))),"Fix")))</f>
        <v>0</v>
      </c>
      <c r="F985" s="3">
        <f>IF(OR(INDEX($P$2:$P$1001,MATCH(ROWS($O$2:O985),$O$2:$O$1001,0),1)&gt;=100000,INDEX($V$1005:$AE$1005,1,MATCH(COLUMNS($V$1006:Z1006),$V$1006:$AE$1006,0))&gt;=100000), " ",IF(INDEX($V$2:$AE$1001,MATCH(ROWS($O$2:O985),$O$2:$O$1001,0),MATCH(COLUMNS($V$1006:Z1006),$V$1006:$AE$1006,0)), HYPERLINK("#",""), HYPERLINK(CONCATENATE("#Metadata!", ADDRESS(INDEX($Q$2:$Q$1001,MATCH(ROWS($O$2:O985),$O$2:$O$1001,0),0), INDEX($V$1004:$AE$1004,1,MATCH(COLUMNS($V$1006:Z1006),$V$1006:$AE$1006,0)))),"Fix")))</f>
        <v>0</v>
      </c>
      <c r="G985" s="3">
        <f>IF(OR(INDEX($P$2:$P$1001,MATCH(ROWS($O$2:O985),$O$2:$O$1001,0),1)&gt;=100000,INDEX($V$1005:$AE$1005,1,MATCH(COLUMNS($V$1006:AA1006),$V$1006:$AE$1006,0))&gt;=100000), " ",IF(INDEX($V$2:$AE$1001,MATCH(ROWS($O$2:O985),$O$2:$O$1001,0),MATCH(COLUMNS($V$1006:AA1006),$V$1006:$AE$1006,0)), HYPERLINK("#",""), HYPERLINK(CONCATENATE("#Metadata!", ADDRESS(INDEX($Q$2:$Q$1001,MATCH(ROWS($O$2:O985),$O$2:$O$1001,0),0), INDEX($V$1004:$AE$1004,1,MATCH(COLUMNS($V$1006:AA1006),$V$1006:$AE$1006,0)))),"Fix")))</f>
        <v>0</v>
      </c>
      <c r="H985" s="3">
        <f>IF(OR(INDEX($P$2:$P$1001,MATCH(ROWS($O$2:O985),$O$2:$O$1001,0),1)&gt;=100000,INDEX($V$1005:$AE$1005,1,MATCH(COLUMNS($V$1006:AB1006),$V$1006:$AE$1006,0))&gt;=100000), " ",IF(INDEX($V$2:$AE$1001,MATCH(ROWS($O$2:O985),$O$2:$O$1001,0),MATCH(COLUMNS($V$1006:AB1006),$V$1006:$AE$1006,0)), HYPERLINK("#",""), HYPERLINK(CONCATENATE("#Metadata!", ADDRESS(INDEX($Q$2:$Q$1001,MATCH(ROWS($O$2:O985),$O$2:$O$1001,0),0), INDEX($V$1004:$AE$1004,1,MATCH(COLUMNS($V$1006:AB1006),$V$1006:$AE$1006,0)))),"Fix")))</f>
        <v>0</v>
      </c>
      <c r="I985" s="3">
        <f>IF(OR(INDEX($P$2:$P$1001,MATCH(ROWS($O$2:O985),$O$2:$O$1001,0),1)&gt;=100000,INDEX($V$1005:$AE$1005,1,MATCH(COLUMNS($V$1006:AC1006),$V$1006:$AE$1006,0))&gt;=100000), " ",IF(INDEX($V$2:$AE$1001,MATCH(ROWS($O$2:O985),$O$2:$O$1001,0),MATCH(COLUMNS($V$1006:AC1006),$V$1006:$AE$1006,0)), HYPERLINK("#",""), HYPERLINK(CONCATENATE("#Metadata!", ADDRESS(INDEX($Q$2:$Q$1001,MATCH(ROWS($O$2:O985),$O$2:$O$1001,0),0), INDEX($V$1004:$AE$1004,1,MATCH(COLUMNS($V$1006:AC1006),$V$1006:$AE$1006,0)))),"Fix")))</f>
        <v>0</v>
      </c>
      <c r="J985" s="3">
        <f>IF(OR(INDEX($P$2:$P$1001,MATCH(ROWS($O$2:O985),$O$2:$O$1001,0),1)&gt;=100000,INDEX($V$1005:$AE$1005,1,MATCH(COLUMNS($V$1006:AD1006),$V$1006:$AE$1006,0))&gt;=100000), " ",IF(INDEX($V$2:$AE$1001,MATCH(ROWS($O$2:O985),$O$2:$O$1001,0),MATCH(COLUMNS($V$1006:AD1006),$V$1006:$AE$1006,0)), HYPERLINK("#",""), HYPERLINK(CONCATENATE("#Metadata!", ADDRESS(INDEX($Q$2:$Q$1001,MATCH(ROWS($O$2:O985),$O$2:$O$1001,0),0), INDEX($V$1004:$AE$1004,1,MATCH(COLUMNS($V$1006:AD1006),$V$1006:$AE$1006,0)))),"Fix")))</f>
        <v>0</v>
      </c>
      <c r="K985" s="3">
        <f>IF(OR(INDEX($P$2:$P$1001,MATCH(ROWS($O$2:O985),$O$2:$O$1001,0),1)&gt;=100000,INDEX($V$1005:$AE$1005,1,MATCH(COLUMNS($V$1006:AE1006),$V$1006:$AE$1006,0))&gt;=100000), " ",IF(INDEX($V$2:$AE$1001,MATCH(ROWS($O$2:O985),$O$2:$O$1001,0),MATCH(COLUMNS($V$1006:AE1006),$V$1006:$AE$1006,0)), HYPERLINK("#",""), HYPERLINK(CONCATENATE("#Metadata!", ADDRESS(INDEX($Q$2:$Q$1001,MATCH(ROWS($O$2:O985),$O$2:$O$1001,0),0), INDEX($V$1004:$AE$1004,1,MATCH(COLUMNS($V$1006:AE1006),$V$1006:$AE$1006,0)))),"Fix")))</f>
        <v>0</v>
      </c>
      <c r="O985">
        <v>0</v>
      </c>
      <c r="P985">
        <v>0</v>
      </c>
      <c r="Q985">
        <v>0</v>
      </c>
      <c r="R985">
        <f>IF(S985,TRUE,AND(V985:AE985))</f>
        <v>0</v>
      </c>
      <c r="S985">
        <f>COUNTBLANK(Metadata!B985:K985)=COLUMNS(Metadata!B985:K985)</f>
        <v>0</v>
      </c>
      <c r="T985">
        <v>0</v>
      </c>
      <c r="V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W985">
        <f>AND(IF(Metadata!C985="",FALSE,TRUE),exact(Metadata!C985,"animal secretion"))</f>
        <v>0</v>
      </c>
      <c r="X985">
        <f>AND(IF(Metadata!D985="",FALSE,TRUE),exact(Metadata!D985,"saliva"))</f>
        <v>0</v>
      </c>
      <c r="Y985">
        <f>AND(IF(Metadata!E985="",FALSE,TRUE),exact(Metadata!E985,"human-oral"))</f>
        <v>0</v>
      </c>
      <c r="Z985">
        <f>AND(IF(Metadata!F985="",FALSE,TRUE),exact(Metadata!F985,"UBERON:oral cavity"))</f>
        <v>0</v>
      </c>
      <c r="AA985">
        <f>AND(IF(Metadata!G985="",FALSE,TRUE),exact(Metadata!G985,"UBERON:saliva"))</f>
        <v>0</v>
      </c>
      <c r="AB985">
        <f>AND(IF(Metadata!H985="",FALSE,TRUE),exact(Metadata!H985,"UBERON:tongue"))</f>
        <v>0</v>
      </c>
      <c r="AC985">
        <f>AND(IF(Metadata!I985="",FALSE,TRUE),exact(Metadata!I985,"tongue"))</f>
        <v>0</v>
      </c>
      <c r="AD985">
        <f>AND(IF(Metadata!J985="",FALSE,TRUE),exact(Metadata!J985,"human oral metagenome"))</f>
        <v>0</v>
      </c>
      <c r="AE985">
        <f>AND(IF(Metadata!K985="",FALSE,TRUE),exact(Metadata!K985,"447426"))</f>
        <v>0</v>
      </c>
    </row>
    <row r="986" spans="1:31">
      <c r="A986" s="4">
        <f>IF(B986=" "," ",HYPERLINK(CONCATENATE("#metadata!",ADDRESS(INDEX($Q$2:$Q$1001,MATCH(ROWS($O$2:O986),$O$2:$O$1001,0),0),1)),INDEX($T$2:$T$1001,MATCH(ROWS($O$2:O986),$O$2:$O$1001,0),0)))</f>
        <v>0</v>
      </c>
      <c r="B986" s="3">
        <f>IF(OR(INDEX($P$2:$P$1001,MATCH(ROWS($O$2:O986),$O$2:$O$1001,0),1)&gt;=100000,INDEX($V$1005:$AE$1005,1,MATCH(COLUMNS($V$1006:V1006),$V$1006:$AE$1006,0))&gt;=100000), " ",IF(INDEX($V$2:$AE$1001,MATCH(ROWS($O$2:O986),$O$2:$O$1001,0),MATCH(COLUMNS($V$1006:V1006),$V$1006:$AE$1006,0)), HYPERLINK("#",""), HYPERLINK(CONCATENATE("#Metadata!", ADDRESS(INDEX($Q$2:$Q$1001,MATCH(ROWS($O$2:O986),$O$2:$O$1001,0),0), INDEX($V$1004:$AE$1004,1,MATCH(COLUMNS($V$1006:V1006),$V$1006:$AE$1006,0)))),"Fix")))</f>
        <v>0</v>
      </c>
      <c r="C986" s="3">
        <f>IF(OR(INDEX($P$2:$P$1001,MATCH(ROWS($O$2:O986),$O$2:$O$1001,0),1)&gt;=100000,INDEX($V$1005:$AE$1005,1,MATCH(COLUMNS($V$1006:W1006),$V$1006:$AE$1006,0))&gt;=100000), " ",IF(INDEX($V$2:$AE$1001,MATCH(ROWS($O$2:O986),$O$2:$O$1001,0),MATCH(COLUMNS($V$1006:W1006),$V$1006:$AE$1006,0)), HYPERLINK("#",""), HYPERLINK(CONCATENATE("#Metadata!", ADDRESS(INDEX($Q$2:$Q$1001,MATCH(ROWS($O$2:O986),$O$2:$O$1001,0),0), INDEX($V$1004:$AE$1004,1,MATCH(COLUMNS($V$1006:W1006),$V$1006:$AE$1006,0)))),"Fix")))</f>
        <v>0</v>
      </c>
      <c r="D986" s="3">
        <f>IF(OR(INDEX($P$2:$P$1001,MATCH(ROWS($O$2:O986),$O$2:$O$1001,0),1)&gt;=100000,INDEX($V$1005:$AE$1005,1,MATCH(COLUMNS($V$1006:X1006),$V$1006:$AE$1006,0))&gt;=100000), " ",IF(INDEX($V$2:$AE$1001,MATCH(ROWS($O$2:O986),$O$2:$O$1001,0),MATCH(COLUMNS($V$1006:X1006),$V$1006:$AE$1006,0)), HYPERLINK("#",""), HYPERLINK(CONCATENATE("#Metadata!", ADDRESS(INDEX($Q$2:$Q$1001,MATCH(ROWS($O$2:O986),$O$2:$O$1001,0),0), INDEX($V$1004:$AE$1004,1,MATCH(COLUMNS($V$1006:X1006),$V$1006:$AE$1006,0)))),"Fix")))</f>
        <v>0</v>
      </c>
      <c r="E986" s="3">
        <f>IF(OR(INDEX($P$2:$P$1001,MATCH(ROWS($O$2:O986),$O$2:$O$1001,0),1)&gt;=100000,INDEX($V$1005:$AE$1005,1,MATCH(COLUMNS($V$1006:Y1006),$V$1006:$AE$1006,0))&gt;=100000), " ",IF(INDEX($V$2:$AE$1001,MATCH(ROWS($O$2:O986),$O$2:$O$1001,0),MATCH(COLUMNS($V$1006:Y1006),$V$1006:$AE$1006,0)), HYPERLINK("#",""), HYPERLINK(CONCATENATE("#Metadata!", ADDRESS(INDEX($Q$2:$Q$1001,MATCH(ROWS($O$2:O986),$O$2:$O$1001,0),0), INDEX($V$1004:$AE$1004,1,MATCH(COLUMNS($V$1006:Y1006),$V$1006:$AE$1006,0)))),"Fix")))</f>
        <v>0</v>
      </c>
      <c r="F986" s="3">
        <f>IF(OR(INDEX($P$2:$P$1001,MATCH(ROWS($O$2:O986),$O$2:$O$1001,0),1)&gt;=100000,INDEX($V$1005:$AE$1005,1,MATCH(COLUMNS($V$1006:Z1006),$V$1006:$AE$1006,0))&gt;=100000), " ",IF(INDEX($V$2:$AE$1001,MATCH(ROWS($O$2:O986),$O$2:$O$1001,0),MATCH(COLUMNS($V$1006:Z1006),$V$1006:$AE$1006,0)), HYPERLINK("#",""), HYPERLINK(CONCATENATE("#Metadata!", ADDRESS(INDEX($Q$2:$Q$1001,MATCH(ROWS($O$2:O986),$O$2:$O$1001,0),0), INDEX($V$1004:$AE$1004,1,MATCH(COLUMNS($V$1006:Z1006),$V$1006:$AE$1006,0)))),"Fix")))</f>
        <v>0</v>
      </c>
      <c r="G986" s="3">
        <f>IF(OR(INDEX($P$2:$P$1001,MATCH(ROWS($O$2:O986),$O$2:$O$1001,0),1)&gt;=100000,INDEX($V$1005:$AE$1005,1,MATCH(COLUMNS($V$1006:AA1006),$V$1006:$AE$1006,0))&gt;=100000), " ",IF(INDEX($V$2:$AE$1001,MATCH(ROWS($O$2:O986),$O$2:$O$1001,0),MATCH(COLUMNS($V$1006:AA1006),$V$1006:$AE$1006,0)), HYPERLINK("#",""), HYPERLINK(CONCATENATE("#Metadata!", ADDRESS(INDEX($Q$2:$Q$1001,MATCH(ROWS($O$2:O986),$O$2:$O$1001,0),0), INDEX($V$1004:$AE$1004,1,MATCH(COLUMNS($V$1006:AA1006),$V$1006:$AE$1006,0)))),"Fix")))</f>
        <v>0</v>
      </c>
      <c r="H986" s="3">
        <f>IF(OR(INDEX($P$2:$P$1001,MATCH(ROWS($O$2:O986),$O$2:$O$1001,0),1)&gt;=100000,INDEX($V$1005:$AE$1005,1,MATCH(COLUMNS($V$1006:AB1006),$V$1006:$AE$1006,0))&gt;=100000), " ",IF(INDEX($V$2:$AE$1001,MATCH(ROWS($O$2:O986),$O$2:$O$1001,0),MATCH(COLUMNS($V$1006:AB1006),$V$1006:$AE$1006,0)), HYPERLINK("#",""), HYPERLINK(CONCATENATE("#Metadata!", ADDRESS(INDEX($Q$2:$Q$1001,MATCH(ROWS($O$2:O986),$O$2:$O$1001,0),0), INDEX($V$1004:$AE$1004,1,MATCH(COLUMNS($V$1006:AB1006),$V$1006:$AE$1006,0)))),"Fix")))</f>
        <v>0</v>
      </c>
      <c r="I986" s="3">
        <f>IF(OR(INDEX($P$2:$P$1001,MATCH(ROWS($O$2:O986),$O$2:$O$1001,0),1)&gt;=100000,INDEX($V$1005:$AE$1005,1,MATCH(COLUMNS($V$1006:AC1006),$V$1006:$AE$1006,0))&gt;=100000), " ",IF(INDEX($V$2:$AE$1001,MATCH(ROWS($O$2:O986),$O$2:$O$1001,0),MATCH(COLUMNS($V$1006:AC1006),$V$1006:$AE$1006,0)), HYPERLINK("#",""), HYPERLINK(CONCATENATE("#Metadata!", ADDRESS(INDEX($Q$2:$Q$1001,MATCH(ROWS($O$2:O986),$O$2:$O$1001,0),0), INDEX($V$1004:$AE$1004,1,MATCH(COLUMNS($V$1006:AC1006),$V$1006:$AE$1006,0)))),"Fix")))</f>
        <v>0</v>
      </c>
      <c r="J986" s="3">
        <f>IF(OR(INDEX($P$2:$P$1001,MATCH(ROWS($O$2:O986),$O$2:$O$1001,0),1)&gt;=100000,INDEX($V$1005:$AE$1005,1,MATCH(COLUMNS($V$1006:AD1006),$V$1006:$AE$1006,0))&gt;=100000), " ",IF(INDEX($V$2:$AE$1001,MATCH(ROWS($O$2:O986),$O$2:$O$1001,0),MATCH(COLUMNS($V$1006:AD1006),$V$1006:$AE$1006,0)), HYPERLINK("#",""), HYPERLINK(CONCATENATE("#Metadata!", ADDRESS(INDEX($Q$2:$Q$1001,MATCH(ROWS($O$2:O986),$O$2:$O$1001,0),0), INDEX($V$1004:$AE$1004,1,MATCH(COLUMNS($V$1006:AD1006),$V$1006:$AE$1006,0)))),"Fix")))</f>
        <v>0</v>
      </c>
      <c r="K986" s="3">
        <f>IF(OR(INDEX($P$2:$P$1001,MATCH(ROWS($O$2:O986),$O$2:$O$1001,0),1)&gt;=100000,INDEX($V$1005:$AE$1005,1,MATCH(COLUMNS($V$1006:AE1006),$V$1006:$AE$1006,0))&gt;=100000), " ",IF(INDEX($V$2:$AE$1001,MATCH(ROWS($O$2:O986),$O$2:$O$1001,0),MATCH(COLUMNS($V$1006:AE1006),$V$1006:$AE$1006,0)), HYPERLINK("#",""), HYPERLINK(CONCATENATE("#Metadata!", ADDRESS(INDEX($Q$2:$Q$1001,MATCH(ROWS($O$2:O986),$O$2:$O$1001,0),0), INDEX($V$1004:$AE$1004,1,MATCH(COLUMNS($V$1006:AE1006),$V$1006:$AE$1006,0)))),"Fix")))</f>
        <v>0</v>
      </c>
      <c r="O986">
        <v>0</v>
      </c>
      <c r="P986">
        <v>0</v>
      </c>
      <c r="Q986">
        <v>0</v>
      </c>
      <c r="R986">
        <f>IF(S986,TRUE,AND(V986:AE986))</f>
        <v>0</v>
      </c>
      <c r="S986">
        <f>COUNTBLANK(Metadata!B986:K986)=COLUMNS(Metadata!B986:K986)</f>
        <v>0</v>
      </c>
      <c r="T986">
        <v>0</v>
      </c>
      <c r="V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W986">
        <f>AND(IF(Metadata!C986="",FALSE,TRUE),exact(Metadata!C986,"animal secretion"))</f>
        <v>0</v>
      </c>
      <c r="X986">
        <f>AND(IF(Metadata!D986="",FALSE,TRUE),exact(Metadata!D986,"saliva"))</f>
        <v>0</v>
      </c>
      <c r="Y986">
        <f>AND(IF(Metadata!E986="",FALSE,TRUE),exact(Metadata!E986,"human-oral"))</f>
        <v>0</v>
      </c>
      <c r="Z986">
        <f>AND(IF(Metadata!F986="",FALSE,TRUE),exact(Metadata!F986,"UBERON:oral cavity"))</f>
        <v>0</v>
      </c>
      <c r="AA986">
        <f>AND(IF(Metadata!G986="",FALSE,TRUE),exact(Metadata!G986,"UBERON:saliva"))</f>
        <v>0</v>
      </c>
      <c r="AB986">
        <f>AND(IF(Metadata!H986="",FALSE,TRUE),exact(Metadata!H986,"UBERON:tongue"))</f>
        <v>0</v>
      </c>
      <c r="AC986">
        <f>AND(IF(Metadata!I986="",FALSE,TRUE),exact(Metadata!I986,"tongue"))</f>
        <v>0</v>
      </c>
      <c r="AD986">
        <f>AND(IF(Metadata!J986="",FALSE,TRUE),exact(Metadata!J986,"human oral metagenome"))</f>
        <v>0</v>
      </c>
      <c r="AE986">
        <f>AND(IF(Metadata!K986="",FALSE,TRUE),exact(Metadata!K986,"447426"))</f>
        <v>0</v>
      </c>
    </row>
    <row r="987" spans="1:31">
      <c r="A987" s="4">
        <f>IF(B987=" "," ",HYPERLINK(CONCATENATE("#metadata!",ADDRESS(INDEX($Q$2:$Q$1001,MATCH(ROWS($O$2:O987),$O$2:$O$1001,0),0),1)),INDEX($T$2:$T$1001,MATCH(ROWS($O$2:O987),$O$2:$O$1001,0),0)))</f>
        <v>0</v>
      </c>
      <c r="B987" s="3">
        <f>IF(OR(INDEX($P$2:$P$1001,MATCH(ROWS($O$2:O987),$O$2:$O$1001,0),1)&gt;=100000,INDEX($V$1005:$AE$1005,1,MATCH(COLUMNS($V$1006:V1006),$V$1006:$AE$1006,0))&gt;=100000), " ",IF(INDEX($V$2:$AE$1001,MATCH(ROWS($O$2:O987),$O$2:$O$1001,0),MATCH(COLUMNS($V$1006:V1006),$V$1006:$AE$1006,0)), HYPERLINK("#",""), HYPERLINK(CONCATENATE("#Metadata!", ADDRESS(INDEX($Q$2:$Q$1001,MATCH(ROWS($O$2:O987),$O$2:$O$1001,0),0), INDEX($V$1004:$AE$1004,1,MATCH(COLUMNS($V$1006:V1006),$V$1006:$AE$1006,0)))),"Fix")))</f>
        <v>0</v>
      </c>
      <c r="C987" s="3">
        <f>IF(OR(INDEX($P$2:$P$1001,MATCH(ROWS($O$2:O987),$O$2:$O$1001,0),1)&gt;=100000,INDEX($V$1005:$AE$1005,1,MATCH(COLUMNS($V$1006:W1006),$V$1006:$AE$1006,0))&gt;=100000), " ",IF(INDEX($V$2:$AE$1001,MATCH(ROWS($O$2:O987),$O$2:$O$1001,0),MATCH(COLUMNS($V$1006:W1006),$V$1006:$AE$1006,0)), HYPERLINK("#",""), HYPERLINK(CONCATENATE("#Metadata!", ADDRESS(INDEX($Q$2:$Q$1001,MATCH(ROWS($O$2:O987),$O$2:$O$1001,0),0), INDEX($V$1004:$AE$1004,1,MATCH(COLUMNS($V$1006:W1006),$V$1006:$AE$1006,0)))),"Fix")))</f>
        <v>0</v>
      </c>
      <c r="D987" s="3">
        <f>IF(OR(INDEX($P$2:$P$1001,MATCH(ROWS($O$2:O987),$O$2:$O$1001,0),1)&gt;=100000,INDEX($V$1005:$AE$1005,1,MATCH(COLUMNS($V$1006:X1006),$V$1006:$AE$1006,0))&gt;=100000), " ",IF(INDEX($V$2:$AE$1001,MATCH(ROWS($O$2:O987),$O$2:$O$1001,0),MATCH(COLUMNS($V$1006:X1006),$V$1006:$AE$1006,0)), HYPERLINK("#",""), HYPERLINK(CONCATENATE("#Metadata!", ADDRESS(INDEX($Q$2:$Q$1001,MATCH(ROWS($O$2:O987),$O$2:$O$1001,0),0), INDEX($V$1004:$AE$1004,1,MATCH(COLUMNS($V$1006:X1006),$V$1006:$AE$1006,0)))),"Fix")))</f>
        <v>0</v>
      </c>
      <c r="E987" s="3">
        <f>IF(OR(INDEX($P$2:$P$1001,MATCH(ROWS($O$2:O987),$O$2:$O$1001,0),1)&gt;=100000,INDEX($V$1005:$AE$1005,1,MATCH(COLUMNS($V$1006:Y1006),$V$1006:$AE$1006,0))&gt;=100000), " ",IF(INDEX($V$2:$AE$1001,MATCH(ROWS($O$2:O987),$O$2:$O$1001,0),MATCH(COLUMNS($V$1006:Y1006),$V$1006:$AE$1006,0)), HYPERLINK("#",""), HYPERLINK(CONCATENATE("#Metadata!", ADDRESS(INDEX($Q$2:$Q$1001,MATCH(ROWS($O$2:O987),$O$2:$O$1001,0),0), INDEX($V$1004:$AE$1004,1,MATCH(COLUMNS($V$1006:Y1006),$V$1006:$AE$1006,0)))),"Fix")))</f>
        <v>0</v>
      </c>
      <c r="F987" s="3">
        <f>IF(OR(INDEX($P$2:$P$1001,MATCH(ROWS($O$2:O987),$O$2:$O$1001,0),1)&gt;=100000,INDEX($V$1005:$AE$1005,1,MATCH(COLUMNS($V$1006:Z1006),$V$1006:$AE$1006,0))&gt;=100000), " ",IF(INDEX($V$2:$AE$1001,MATCH(ROWS($O$2:O987),$O$2:$O$1001,0),MATCH(COLUMNS($V$1006:Z1006),$V$1006:$AE$1006,0)), HYPERLINK("#",""), HYPERLINK(CONCATENATE("#Metadata!", ADDRESS(INDEX($Q$2:$Q$1001,MATCH(ROWS($O$2:O987),$O$2:$O$1001,0),0), INDEX($V$1004:$AE$1004,1,MATCH(COLUMNS($V$1006:Z1006),$V$1006:$AE$1006,0)))),"Fix")))</f>
        <v>0</v>
      </c>
      <c r="G987" s="3">
        <f>IF(OR(INDEX($P$2:$P$1001,MATCH(ROWS($O$2:O987),$O$2:$O$1001,0),1)&gt;=100000,INDEX($V$1005:$AE$1005,1,MATCH(COLUMNS($V$1006:AA1006),$V$1006:$AE$1006,0))&gt;=100000), " ",IF(INDEX($V$2:$AE$1001,MATCH(ROWS($O$2:O987),$O$2:$O$1001,0),MATCH(COLUMNS($V$1006:AA1006),$V$1006:$AE$1006,0)), HYPERLINK("#",""), HYPERLINK(CONCATENATE("#Metadata!", ADDRESS(INDEX($Q$2:$Q$1001,MATCH(ROWS($O$2:O987),$O$2:$O$1001,0),0), INDEX($V$1004:$AE$1004,1,MATCH(COLUMNS($V$1006:AA1006),$V$1006:$AE$1006,0)))),"Fix")))</f>
        <v>0</v>
      </c>
      <c r="H987" s="3">
        <f>IF(OR(INDEX($P$2:$P$1001,MATCH(ROWS($O$2:O987),$O$2:$O$1001,0),1)&gt;=100000,INDEX($V$1005:$AE$1005,1,MATCH(COLUMNS($V$1006:AB1006),$V$1006:$AE$1006,0))&gt;=100000), " ",IF(INDEX($V$2:$AE$1001,MATCH(ROWS($O$2:O987),$O$2:$O$1001,0),MATCH(COLUMNS($V$1006:AB1006),$V$1006:$AE$1006,0)), HYPERLINK("#",""), HYPERLINK(CONCATENATE("#Metadata!", ADDRESS(INDEX($Q$2:$Q$1001,MATCH(ROWS($O$2:O987),$O$2:$O$1001,0),0), INDEX($V$1004:$AE$1004,1,MATCH(COLUMNS($V$1006:AB1006),$V$1006:$AE$1006,0)))),"Fix")))</f>
        <v>0</v>
      </c>
      <c r="I987" s="3">
        <f>IF(OR(INDEX($P$2:$P$1001,MATCH(ROWS($O$2:O987),$O$2:$O$1001,0),1)&gt;=100000,INDEX($V$1005:$AE$1005,1,MATCH(COLUMNS($V$1006:AC1006),$V$1006:$AE$1006,0))&gt;=100000), " ",IF(INDEX($V$2:$AE$1001,MATCH(ROWS($O$2:O987),$O$2:$O$1001,0),MATCH(COLUMNS($V$1006:AC1006),$V$1006:$AE$1006,0)), HYPERLINK("#",""), HYPERLINK(CONCATENATE("#Metadata!", ADDRESS(INDEX($Q$2:$Q$1001,MATCH(ROWS($O$2:O987),$O$2:$O$1001,0),0), INDEX($V$1004:$AE$1004,1,MATCH(COLUMNS($V$1006:AC1006),$V$1006:$AE$1006,0)))),"Fix")))</f>
        <v>0</v>
      </c>
      <c r="J987" s="3">
        <f>IF(OR(INDEX($P$2:$P$1001,MATCH(ROWS($O$2:O987),$O$2:$O$1001,0),1)&gt;=100000,INDEX($V$1005:$AE$1005,1,MATCH(COLUMNS($V$1006:AD1006),$V$1006:$AE$1006,0))&gt;=100000), " ",IF(INDEX($V$2:$AE$1001,MATCH(ROWS($O$2:O987),$O$2:$O$1001,0),MATCH(COLUMNS($V$1006:AD1006),$V$1006:$AE$1006,0)), HYPERLINK("#",""), HYPERLINK(CONCATENATE("#Metadata!", ADDRESS(INDEX($Q$2:$Q$1001,MATCH(ROWS($O$2:O987),$O$2:$O$1001,0),0), INDEX($V$1004:$AE$1004,1,MATCH(COLUMNS($V$1006:AD1006),$V$1006:$AE$1006,0)))),"Fix")))</f>
        <v>0</v>
      </c>
      <c r="K987" s="3">
        <f>IF(OR(INDEX($P$2:$P$1001,MATCH(ROWS($O$2:O987),$O$2:$O$1001,0),1)&gt;=100000,INDEX($V$1005:$AE$1005,1,MATCH(COLUMNS($V$1006:AE1006),$V$1006:$AE$1006,0))&gt;=100000), " ",IF(INDEX($V$2:$AE$1001,MATCH(ROWS($O$2:O987),$O$2:$O$1001,0),MATCH(COLUMNS($V$1006:AE1006),$V$1006:$AE$1006,0)), HYPERLINK("#",""), HYPERLINK(CONCATENATE("#Metadata!", ADDRESS(INDEX($Q$2:$Q$1001,MATCH(ROWS($O$2:O987),$O$2:$O$1001,0),0), INDEX($V$1004:$AE$1004,1,MATCH(COLUMNS($V$1006:AE1006),$V$1006:$AE$1006,0)))),"Fix")))</f>
        <v>0</v>
      </c>
      <c r="O987">
        <v>0</v>
      </c>
      <c r="P987">
        <v>0</v>
      </c>
      <c r="Q987">
        <v>0</v>
      </c>
      <c r="R987">
        <f>IF(S987,TRUE,AND(V987:AE987))</f>
        <v>0</v>
      </c>
      <c r="S987">
        <f>COUNTBLANK(Metadata!B987:K987)=COLUMNS(Metadata!B987:K987)</f>
        <v>0</v>
      </c>
      <c r="T987">
        <v>0</v>
      </c>
      <c r="V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W987">
        <f>AND(IF(Metadata!C987="",FALSE,TRUE),exact(Metadata!C987,"animal secretion"))</f>
        <v>0</v>
      </c>
      <c r="X987">
        <f>AND(IF(Metadata!D987="",FALSE,TRUE),exact(Metadata!D987,"saliva"))</f>
        <v>0</v>
      </c>
      <c r="Y987">
        <f>AND(IF(Metadata!E987="",FALSE,TRUE),exact(Metadata!E987,"human-oral"))</f>
        <v>0</v>
      </c>
      <c r="Z987">
        <f>AND(IF(Metadata!F987="",FALSE,TRUE),exact(Metadata!F987,"UBERON:oral cavity"))</f>
        <v>0</v>
      </c>
      <c r="AA987">
        <f>AND(IF(Metadata!G987="",FALSE,TRUE),exact(Metadata!G987,"UBERON:saliva"))</f>
        <v>0</v>
      </c>
      <c r="AB987">
        <f>AND(IF(Metadata!H987="",FALSE,TRUE),exact(Metadata!H987,"UBERON:tongue"))</f>
        <v>0</v>
      </c>
      <c r="AC987">
        <f>AND(IF(Metadata!I987="",FALSE,TRUE),exact(Metadata!I987,"tongue"))</f>
        <v>0</v>
      </c>
      <c r="AD987">
        <f>AND(IF(Metadata!J987="",FALSE,TRUE),exact(Metadata!J987,"human oral metagenome"))</f>
        <v>0</v>
      </c>
      <c r="AE987">
        <f>AND(IF(Metadata!K987="",FALSE,TRUE),exact(Metadata!K987,"447426"))</f>
        <v>0</v>
      </c>
    </row>
    <row r="988" spans="1:31">
      <c r="A988" s="4">
        <f>IF(B988=" "," ",HYPERLINK(CONCATENATE("#metadata!",ADDRESS(INDEX($Q$2:$Q$1001,MATCH(ROWS($O$2:O988),$O$2:$O$1001,0),0),1)),INDEX($T$2:$T$1001,MATCH(ROWS($O$2:O988),$O$2:$O$1001,0),0)))</f>
        <v>0</v>
      </c>
      <c r="B988" s="3">
        <f>IF(OR(INDEX($P$2:$P$1001,MATCH(ROWS($O$2:O988),$O$2:$O$1001,0),1)&gt;=100000,INDEX($V$1005:$AE$1005,1,MATCH(COLUMNS($V$1006:V1006),$V$1006:$AE$1006,0))&gt;=100000), " ",IF(INDEX($V$2:$AE$1001,MATCH(ROWS($O$2:O988),$O$2:$O$1001,0),MATCH(COLUMNS($V$1006:V1006),$V$1006:$AE$1006,0)), HYPERLINK("#",""), HYPERLINK(CONCATENATE("#Metadata!", ADDRESS(INDEX($Q$2:$Q$1001,MATCH(ROWS($O$2:O988),$O$2:$O$1001,0),0), INDEX($V$1004:$AE$1004,1,MATCH(COLUMNS($V$1006:V1006),$V$1006:$AE$1006,0)))),"Fix")))</f>
        <v>0</v>
      </c>
      <c r="C988" s="3">
        <f>IF(OR(INDEX($P$2:$P$1001,MATCH(ROWS($O$2:O988),$O$2:$O$1001,0),1)&gt;=100000,INDEX($V$1005:$AE$1005,1,MATCH(COLUMNS($V$1006:W1006),$V$1006:$AE$1006,0))&gt;=100000), " ",IF(INDEX($V$2:$AE$1001,MATCH(ROWS($O$2:O988),$O$2:$O$1001,0),MATCH(COLUMNS($V$1006:W1006),$V$1006:$AE$1006,0)), HYPERLINK("#",""), HYPERLINK(CONCATENATE("#Metadata!", ADDRESS(INDEX($Q$2:$Q$1001,MATCH(ROWS($O$2:O988),$O$2:$O$1001,0),0), INDEX($V$1004:$AE$1004,1,MATCH(COLUMNS($V$1006:W1006),$V$1006:$AE$1006,0)))),"Fix")))</f>
        <v>0</v>
      </c>
      <c r="D988" s="3">
        <f>IF(OR(INDEX($P$2:$P$1001,MATCH(ROWS($O$2:O988),$O$2:$O$1001,0),1)&gt;=100000,INDEX($V$1005:$AE$1005,1,MATCH(COLUMNS($V$1006:X1006),$V$1006:$AE$1006,0))&gt;=100000), " ",IF(INDEX($V$2:$AE$1001,MATCH(ROWS($O$2:O988),$O$2:$O$1001,0),MATCH(COLUMNS($V$1006:X1006),$V$1006:$AE$1006,0)), HYPERLINK("#",""), HYPERLINK(CONCATENATE("#Metadata!", ADDRESS(INDEX($Q$2:$Q$1001,MATCH(ROWS($O$2:O988),$O$2:$O$1001,0),0), INDEX($V$1004:$AE$1004,1,MATCH(COLUMNS($V$1006:X1006),$V$1006:$AE$1006,0)))),"Fix")))</f>
        <v>0</v>
      </c>
      <c r="E988" s="3">
        <f>IF(OR(INDEX($P$2:$P$1001,MATCH(ROWS($O$2:O988),$O$2:$O$1001,0),1)&gt;=100000,INDEX($V$1005:$AE$1005,1,MATCH(COLUMNS($V$1006:Y1006),$V$1006:$AE$1006,0))&gt;=100000), " ",IF(INDEX($V$2:$AE$1001,MATCH(ROWS($O$2:O988),$O$2:$O$1001,0),MATCH(COLUMNS($V$1006:Y1006),$V$1006:$AE$1006,0)), HYPERLINK("#",""), HYPERLINK(CONCATENATE("#Metadata!", ADDRESS(INDEX($Q$2:$Q$1001,MATCH(ROWS($O$2:O988),$O$2:$O$1001,0),0), INDEX($V$1004:$AE$1004,1,MATCH(COLUMNS($V$1006:Y1006),$V$1006:$AE$1006,0)))),"Fix")))</f>
        <v>0</v>
      </c>
      <c r="F988" s="3">
        <f>IF(OR(INDEX($P$2:$P$1001,MATCH(ROWS($O$2:O988),$O$2:$O$1001,0),1)&gt;=100000,INDEX($V$1005:$AE$1005,1,MATCH(COLUMNS($V$1006:Z1006),$V$1006:$AE$1006,0))&gt;=100000), " ",IF(INDEX($V$2:$AE$1001,MATCH(ROWS($O$2:O988),$O$2:$O$1001,0),MATCH(COLUMNS($V$1006:Z1006),$V$1006:$AE$1006,0)), HYPERLINK("#",""), HYPERLINK(CONCATENATE("#Metadata!", ADDRESS(INDEX($Q$2:$Q$1001,MATCH(ROWS($O$2:O988),$O$2:$O$1001,0),0), INDEX($V$1004:$AE$1004,1,MATCH(COLUMNS($V$1006:Z1006),$V$1006:$AE$1006,0)))),"Fix")))</f>
        <v>0</v>
      </c>
      <c r="G988" s="3">
        <f>IF(OR(INDEX($P$2:$P$1001,MATCH(ROWS($O$2:O988),$O$2:$O$1001,0),1)&gt;=100000,INDEX($V$1005:$AE$1005,1,MATCH(COLUMNS($V$1006:AA1006),$V$1006:$AE$1006,0))&gt;=100000), " ",IF(INDEX($V$2:$AE$1001,MATCH(ROWS($O$2:O988),$O$2:$O$1001,0),MATCH(COLUMNS($V$1006:AA1006),$V$1006:$AE$1006,0)), HYPERLINK("#",""), HYPERLINK(CONCATENATE("#Metadata!", ADDRESS(INDEX($Q$2:$Q$1001,MATCH(ROWS($O$2:O988),$O$2:$O$1001,0),0), INDEX($V$1004:$AE$1004,1,MATCH(COLUMNS($V$1006:AA1006),$V$1006:$AE$1006,0)))),"Fix")))</f>
        <v>0</v>
      </c>
      <c r="H988" s="3">
        <f>IF(OR(INDEX($P$2:$P$1001,MATCH(ROWS($O$2:O988),$O$2:$O$1001,0),1)&gt;=100000,INDEX($V$1005:$AE$1005,1,MATCH(COLUMNS($V$1006:AB1006),$V$1006:$AE$1006,0))&gt;=100000), " ",IF(INDEX($V$2:$AE$1001,MATCH(ROWS($O$2:O988),$O$2:$O$1001,0),MATCH(COLUMNS($V$1006:AB1006),$V$1006:$AE$1006,0)), HYPERLINK("#",""), HYPERLINK(CONCATENATE("#Metadata!", ADDRESS(INDEX($Q$2:$Q$1001,MATCH(ROWS($O$2:O988),$O$2:$O$1001,0),0), INDEX($V$1004:$AE$1004,1,MATCH(COLUMNS($V$1006:AB1006),$V$1006:$AE$1006,0)))),"Fix")))</f>
        <v>0</v>
      </c>
      <c r="I988" s="3">
        <f>IF(OR(INDEX($P$2:$P$1001,MATCH(ROWS($O$2:O988),$O$2:$O$1001,0),1)&gt;=100000,INDEX($V$1005:$AE$1005,1,MATCH(COLUMNS($V$1006:AC1006),$V$1006:$AE$1006,0))&gt;=100000), " ",IF(INDEX($V$2:$AE$1001,MATCH(ROWS($O$2:O988),$O$2:$O$1001,0),MATCH(COLUMNS($V$1006:AC1006),$V$1006:$AE$1006,0)), HYPERLINK("#",""), HYPERLINK(CONCATENATE("#Metadata!", ADDRESS(INDEX($Q$2:$Q$1001,MATCH(ROWS($O$2:O988),$O$2:$O$1001,0),0), INDEX($V$1004:$AE$1004,1,MATCH(COLUMNS($V$1006:AC1006),$V$1006:$AE$1006,0)))),"Fix")))</f>
        <v>0</v>
      </c>
      <c r="J988" s="3">
        <f>IF(OR(INDEX($P$2:$P$1001,MATCH(ROWS($O$2:O988),$O$2:$O$1001,0),1)&gt;=100000,INDEX($V$1005:$AE$1005,1,MATCH(COLUMNS($V$1006:AD1006),$V$1006:$AE$1006,0))&gt;=100000), " ",IF(INDEX($V$2:$AE$1001,MATCH(ROWS($O$2:O988),$O$2:$O$1001,0),MATCH(COLUMNS($V$1006:AD1006),$V$1006:$AE$1006,0)), HYPERLINK("#",""), HYPERLINK(CONCATENATE("#Metadata!", ADDRESS(INDEX($Q$2:$Q$1001,MATCH(ROWS($O$2:O988),$O$2:$O$1001,0),0), INDEX($V$1004:$AE$1004,1,MATCH(COLUMNS($V$1006:AD1006),$V$1006:$AE$1006,0)))),"Fix")))</f>
        <v>0</v>
      </c>
      <c r="K988" s="3">
        <f>IF(OR(INDEX($P$2:$P$1001,MATCH(ROWS($O$2:O988),$O$2:$O$1001,0),1)&gt;=100000,INDEX($V$1005:$AE$1005,1,MATCH(COLUMNS($V$1006:AE1006),$V$1006:$AE$1006,0))&gt;=100000), " ",IF(INDEX($V$2:$AE$1001,MATCH(ROWS($O$2:O988),$O$2:$O$1001,0),MATCH(COLUMNS($V$1006:AE1006),$V$1006:$AE$1006,0)), HYPERLINK("#",""), HYPERLINK(CONCATENATE("#Metadata!", ADDRESS(INDEX($Q$2:$Q$1001,MATCH(ROWS($O$2:O988),$O$2:$O$1001,0),0), INDEX($V$1004:$AE$1004,1,MATCH(COLUMNS($V$1006:AE1006),$V$1006:$AE$1006,0)))),"Fix")))</f>
        <v>0</v>
      </c>
      <c r="O988">
        <v>0</v>
      </c>
      <c r="P988">
        <v>0</v>
      </c>
      <c r="Q988">
        <v>0</v>
      </c>
      <c r="R988">
        <f>IF(S988,TRUE,AND(V988:AE988))</f>
        <v>0</v>
      </c>
      <c r="S988">
        <f>COUNTBLANK(Metadata!B988:K988)=COLUMNS(Metadata!B988:K988)</f>
        <v>0</v>
      </c>
      <c r="T988">
        <v>0</v>
      </c>
      <c r="V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W988">
        <f>AND(IF(Metadata!C988="",FALSE,TRUE),exact(Metadata!C988,"animal secretion"))</f>
        <v>0</v>
      </c>
      <c r="X988">
        <f>AND(IF(Metadata!D988="",FALSE,TRUE),exact(Metadata!D988,"saliva"))</f>
        <v>0</v>
      </c>
      <c r="Y988">
        <f>AND(IF(Metadata!E988="",FALSE,TRUE),exact(Metadata!E988,"human-oral"))</f>
        <v>0</v>
      </c>
      <c r="Z988">
        <f>AND(IF(Metadata!F988="",FALSE,TRUE),exact(Metadata!F988,"UBERON:oral cavity"))</f>
        <v>0</v>
      </c>
      <c r="AA988">
        <f>AND(IF(Metadata!G988="",FALSE,TRUE),exact(Metadata!G988,"UBERON:saliva"))</f>
        <v>0</v>
      </c>
      <c r="AB988">
        <f>AND(IF(Metadata!H988="",FALSE,TRUE),exact(Metadata!H988,"UBERON:tongue"))</f>
        <v>0</v>
      </c>
      <c r="AC988">
        <f>AND(IF(Metadata!I988="",FALSE,TRUE),exact(Metadata!I988,"tongue"))</f>
        <v>0</v>
      </c>
      <c r="AD988">
        <f>AND(IF(Metadata!J988="",FALSE,TRUE),exact(Metadata!J988,"human oral metagenome"))</f>
        <v>0</v>
      </c>
      <c r="AE988">
        <f>AND(IF(Metadata!K988="",FALSE,TRUE),exact(Metadata!K988,"447426"))</f>
        <v>0</v>
      </c>
    </row>
    <row r="989" spans="1:31">
      <c r="A989" s="4">
        <f>IF(B989=" "," ",HYPERLINK(CONCATENATE("#metadata!",ADDRESS(INDEX($Q$2:$Q$1001,MATCH(ROWS($O$2:O989),$O$2:$O$1001,0),0),1)),INDEX($T$2:$T$1001,MATCH(ROWS($O$2:O989),$O$2:$O$1001,0),0)))</f>
        <v>0</v>
      </c>
      <c r="B989" s="3">
        <f>IF(OR(INDEX($P$2:$P$1001,MATCH(ROWS($O$2:O989),$O$2:$O$1001,0),1)&gt;=100000,INDEX($V$1005:$AE$1005,1,MATCH(COLUMNS($V$1006:V1006),$V$1006:$AE$1006,0))&gt;=100000), " ",IF(INDEX($V$2:$AE$1001,MATCH(ROWS($O$2:O989),$O$2:$O$1001,0),MATCH(COLUMNS($V$1006:V1006),$V$1006:$AE$1006,0)), HYPERLINK("#",""), HYPERLINK(CONCATENATE("#Metadata!", ADDRESS(INDEX($Q$2:$Q$1001,MATCH(ROWS($O$2:O989),$O$2:$O$1001,0),0), INDEX($V$1004:$AE$1004,1,MATCH(COLUMNS($V$1006:V1006),$V$1006:$AE$1006,0)))),"Fix")))</f>
        <v>0</v>
      </c>
      <c r="C989" s="3">
        <f>IF(OR(INDEX($P$2:$P$1001,MATCH(ROWS($O$2:O989),$O$2:$O$1001,0),1)&gt;=100000,INDEX($V$1005:$AE$1005,1,MATCH(COLUMNS($V$1006:W1006),$V$1006:$AE$1006,0))&gt;=100000), " ",IF(INDEX($V$2:$AE$1001,MATCH(ROWS($O$2:O989),$O$2:$O$1001,0),MATCH(COLUMNS($V$1006:W1006),$V$1006:$AE$1006,0)), HYPERLINK("#",""), HYPERLINK(CONCATENATE("#Metadata!", ADDRESS(INDEX($Q$2:$Q$1001,MATCH(ROWS($O$2:O989),$O$2:$O$1001,0),0), INDEX($V$1004:$AE$1004,1,MATCH(COLUMNS($V$1006:W1006),$V$1006:$AE$1006,0)))),"Fix")))</f>
        <v>0</v>
      </c>
      <c r="D989" s="3">
        <f>IF(OR(INDEX($P$2:$P$1001,MATCH(ROWS($O$2:O989),$O$2:$O$1001,0),1)&gt;=100000,INDEX($V$1005:$AE$1005,1,MATCH(COLUMNS($V$1006:X1006),$V$1006:$AE$1006,0))&gt;=100000), " ",IF(INDEX($V$2:$AE$1001,MATCH(ROWS($O$2:O989),$O$2:$O$1001,0),MATCH(COLUMNS($V$1006:X1006),$V$1006:$AE$1006,0)), HYPERLINK("#",""), HYPERLINK(CONCATENATE("#Metadata!", ADDRESS(INDEX($Q$2:$Q$1001,MATCH(ROWS($O$2:O989),$O$2:$O$1001,0),0), INDEX($V$1004:$AE$1004,1,MATCH(COLUMNS($V$1006:X1006),$V$1006:$AE$1006,0)))),"Fix")))</f>
        <v>0</v>
      </c>
      <c r="E989" s="3">
        <f>IF(OR(INDEX($P$2:$P$1001,MATCH(ROWS($O$2:O989),$O$2:$O$1001,0),1)&gt;=100000,INDEX($V$1005:$AE$1005,1,MATCH(COLUMNS($V$1006:Y1006),$V$1006:$AE$1006,0))&gt;=100000), " ",IF(INDEX($V$2:$AE$1001,MATCH(ROWS($O$2:O989),$O$2:$O$1001,0),MATCH(COLUMNS($V$1006:Y1006),$V$1006:$AE$1006,0)), HYPERLINK("#",""), HYPERLINK(CONCATENATE("#Metadata!", ADDRESS(INDEX($Q$2:$Q$1001,MATCH(ROWS($O$2:O989),$O$2:$O$1001,0),0), INDEX($V$1004:$AE$1004,1,MATCH(COLUMNS($V$1006:Y1006),$V$1006:$AE$1006,0)))),"Fix")))</f>
        <v>0</v>
      </c>
      <c r="F989" s="3">
        <f>IF(OR(INDEX($P$2:$P$1001,MATCH(ROWS($O$2:O989),$O$2:$O$1001,0),1)&gt;=100000,INDEX($V$1005:$AE$1005,1,MATCH(COLUMNS($V$1006:Z1006),$V$1006:$AE$1006,0))&gt;=100000), " ",IF(INDEX($V$2:$AE$1001,MATCH(ROWS($O$2:O989),$O$2:$O$1001,0),MATCH(COLUMNS($V$1006:Z1006),$V$1006:$AE$1006,0)), HYPERLINK("#",""), HYPERLINK(CONCATENATE("#Metadata!", ADDRESS(INDEX($Q$2:$Q$1001,MATCH(ROWS($O$2:O989),$O$2:$O$1001,0),0), INDEX($V$1004:$AE$1004,1,MATCH(COLUMNS($V$1006:Z1006),$V$1006:$AE$1006,0)))),"Fix")))</f>
        <v>0</v>
      </c>
      <c r="G989" s="3">
        <f>IF(OR(INDEX($P$2:$P$1001,MATCH(ROWS($O$2:O989),$O$2:$O$1001,0),1)&gt;=100000,INDEX($V$1005:$AE$1005,1,MATCH(COLUMNS($V$1006:AA1006),$V$1006:$AE$1006,0))&gt;=100000), " ",IF(INDEX($V$2:$AE$1001,MATCH(ROWS($O$2:O989),$O$2:$O$1001,0),MATCH(COLUMNS($V$1006:AA1006),$V$1006:$AE$1006,0)), HYPERLINK("#",""), HYPERLINK(CONCATENATE("#Metadata!", ADDRESS(INDEX($Q$2:$Q$1001,MATCH(ROWS($O$2:O989),$O$2:$O$1001,0),0), INDEX($V$1004:$AE$1004,1,MATCH(COLUMNS($V$1006:AA1006),$V$1006:$AE$1006,0)))),"Fix")))</f>
        <v>0</v>
      </c>
      <c r="H989" s="3">
        <f>IF(OR(INDEX($P$2:$P$1001,MATCH(ROWS($O$2:O989),$O$2:$O$1001,0),1)&gt;=100000,INDEX($V$1005:$AE$1005,1,MATCH(COLUMNS($V$1006:AB1006),$V$1006:$AE$1006,0))&gt;=100000), " ",IF(INDEX($V$2:$AE$1001,MATCH(ROWS($O$2:O989),$O$2:$O$1001,0),MATCH(COLUMNS($V$1006:AB1006),$V$1006:$AE$1006,0)), HYPERLINK("#",""), HYPERLINK(CONCATENATE("#Metadata!", ADDRESS(INDEX($Q$2:$Q$1001,MATCH(ROWS($O$2:O989),$O$2:$O$1001,0),0), INDEX($V$1004:$AE$1004,1,MATCH(COLUMNS($V$1006:AB1006),$V$1006:$AE$1006,0)))),"Fix")))</f>
        <v>0</v>
      </c>
      <c r="I989" s="3">
        <f>IF(OR(INDEX($P$2:$P$1001,MATCH(ROWS($O$2:O989),$O$2:$O$1001,0),1)&gt;=100000,INDEX($V$1005:$AE$1005,1,MATCH(COLUMNS($V$1006:AC1006),$V$1006:$AE$1006,0))&gt;=100000), " ",IF(INDEX($V$2:$AE$1001,MATCH(ROWS($O$2:O989),$O$2:$O$1001,0),MATCH(COLUMNS($V$1006:AC1006),$V$1006:$AE$1006,0)), HYPERLINK("#",""), HYPERLINK(CONCATENATE("#Metadata!", ADDRESS(INDEX($Q$2:$Q$1001,MATCH(ROWS($O$2:O989),$O$2:$O$1001,0),0), INDEX($V$1004:$AE$1004,1,MATCH(COLUMNS($V$1006:AC1006),$V$1006:$AE$1006,0)))),"Fix")))</f>
        <v>0</v>
      </c>
      <c r="J989" s="3">
        <f>IF(OR(INDEX($P$2:$P$1001,MATCH(ROWS($O$2:O989),$O$2:$O$1001,0),1)&gt;=100000,INDEX($V$1005:$AE$1005,1,MATCH(COLUMNS($V$1006:AD1006),$V$1006:$AE$1006,0))&gt;=100000), " ",IF(INDEX($V$2:$AE$1001,MATCH(ROWS($O$2:O989),$O$2:$O$1001,0),MATCH(COLUMNS($V$1006:AD1006),$V$1006:$AE$1006,0)), HYPERLINK("#",""), HYPERLINK(CONCATENATE("#Metadata!", ADDRESS(INDEX($Q$2:$Q$1001,MATCH(ROWS($O$2:O989),$O$2:$O$1001,0),0), INDEX($V$1004:$AE$1004,1,MATCH(COLUMNS($V$1006:AD1006),$V$1006:$AE$1006,0)))),"Fix")))</f>
        <v>0</v>
      </c>
      <c r="K989" s="3">
        <f>IF(OR(INDEX($P$2:$P$1001,MATCH(ROWS($O$2:O989),$O$2:$O$1001,0),1)&gt;=100000,INDEX($V$1005:$AE$1005,1,MATCH(COLUMNS($V$1006:AE1006),$V$1006:$AE$1006,0))&gt;=100000), " ",IF(INDEX($V$2:$AE$1001,MATCH(ROWS($O$2:O989),$O$2:$O$1001,0),MATCH(COLUMNS($V$1006:AE1006),$V$1006:$AE$1006,0)), HYPERLINK("#",""), HYPERLINK(CONCATENATE("#Metadata!", ADDRESS(INDEX($Q$2:$Q$1001,MATCH(ROWS($O$2:O989),$O$2:$O$1001,0),0), INDEX($V$1004:$AE$1004,1,MATCH(COLUMNS($V$1006:AE1006),$V$1006:$AE$1006,0)))),"Fix")))</f>
        <v>0</v>
      </c>
      <c r="O989">
        <v>0</v>
      </c>
      <c r="P989">
        <v>0</v>
      </c>
      <c r="Q989">
        <v>0</v>
      </c>
      <c r="R989">
        <f>IF(S989,TRUE,AND(V989:AE989))</f>
        <v>0</v>
      </c>
      <c r="S989">
        <f>COUNTBLANK(Metadata!B989:K989)=COLUMNS(Metadata!B989:K989)</f>
        <v>0</v>
      </c>
      <c r="T989">
        <v>0</v>
      </c>
      <c r="V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W989">
        <f>AND(IF(Metadata!C989="",FALSE,TRUE),exact(Metadata!C989,"animal secretion"))</f>
        <v>0</v>
      </c>
      <c r="X989">
        <f>AND(IF(Metadata!D989="",FALSE,TRUE),exact(Metadata!D989,"saliva"))</f>
        <v>0</v>
      </c>
      <c r="Y989">
        <f>AND(IF(Metadata!E989="",FALSE,TRUE),exact(Metadata!E989,"human-oral"))</f>
        <v>0</v>
      </c>
      <c r="Z989">
        <f>AND(IF(Metadata!F989="",FALSE,TRUE),exact(Metadata!F989,"UBERON:oral cavity"))</f>
        <v>0</v>
      </c>
      <c r="AA989">
        <f>AND(IF(Metadata!G989="",FALSE,TRUE),exact(Metadata!G989,"UBERON:saliva"))</f>
        <v>0</v>
      </c>
      <c r="AB989">
        <f>AND(IF(Metadata!H989="",FALSE,TRUE),exact(Metadata!H989,"UBERON:tongue"))</f>
        <v>0</v>
      </c>
      <c r="AC989">
        <f>AND(IF(Metadata!I989="",FALSE,TRUE),exact(Metadata!I989,"tongue"))</f>
        <v>0</v>
      </c>
      <c r="AD989">
        <f>AND(IF(Metadata!J989="",FALSE,TRUE),exact(Metadata!J989,"human oral metagenome"))</f>
        <v>0</v>
      </c>
      <c r="AE989">
        <f>AND(IF(Metadata!K989="",FALSE,TRUE),exact(Metadata!K989,"447426"))</f>
        <v>0</v>
      </c>
    </row>
    <row r="990" spans="1:31">
      <c r="A990" s="4">
        <f>IF(B990=" "," ",HYPERLINK(CONCATENATE("#metadata!",ADDRESS(INDEX($Q$2:$Q$1001,MATCH(ROWS($O$2:O990),$O$2:$O$1001,0),0),1)),INDEX($T$2:$T$1001,MATCH(ROWS($O$2:O990),$O$2:$O$1001,0),0)))</f>
        <v>0</v>
      </c>
      <c r="B990" s="3">
        <f>IF(OR(INDEX($P$2:$P$1001,MATCH(ROWS($O$2:O990),$O$2:$O$1001,0),1)&gt;=100000,INDEX($V$1005:$AE$1005,1,MATCH(COLUMNS($V$1006:V1006),$V$1006:$AE$1006,0))&gt;=100000), " ",IF(INDEX($V$2:$AE$1001,MATCH(ROWS($O$2:O990),$O$2:$O$1001,0),MATCH(COLUMNS($V$1006:V1006),$V$1006:$AE$1006,0)), HYPERLINK("#",""), HYPERLINK(CONCATENATE("#Metadata!", ADDRESS(INDEX($Q$2:$Q$1001,MATCH(ROWS($O$2:O990),$O$2:$O$1001,0),0), INDEX($V$1004:$AE$1004,1,MATCH(COLUMNS($V$1006:V1006),$V$1006:$AE$1006,0)))),"Fix")))</f>
        <v>0</v>
      </c>
      <c r="C990" s="3">
        <f>IF(OR(INDEX($P$2:$P$1001,MATCH(ROWS($O$2:O990),$O$2:$O$1001,0),1)&gt;=100000,INDEX($V$1005:$AE$1005,1,MATCH(COLUMNS($V$1006:W1006),$V$1006:$AE$1006,0))&gt;=100000), " ",IF(INDEX($V$2:$AE$1001,MATCH(ROWS($O$2:O990),$O$2:$O$1001,0),MATCH(COLUMNS($V$1006:W1006),$V$1006:$AE$1006,0)), HYPERLINK("#",""), HYPERLINK(CONCATENATE("#Metadata!", ADDRESS(INDEX($Q$2:$Q$1001,MATCH(ROWS($O$2:O990),$O$2:$O$1001,0),0), INDEX($V$1004:$AE$1004,1,MATCH(COLUMNS($V$1006:W1006),$V$1006:$AE$1006,0)))),"Fix")))</f>
        <v>0</v>
      </c>
      <c r="D990" s="3">
        <f>IF(OR(INDEX($P$2:$P$1001,MATCH(ROWS($O$2:O990),$O$2:$O$1001,0),1)&gt;=100000,INDEX($V$1005:$AE$1005,1,MATCH(COLUMNS($V$1006:X1006),$V$1006:$AE$1006,0))&gt;=100000), " ",IF(INDEX($V$2:$AE$1001,MATCH(ROWS($O$2:O990),$O$2:$O$1001,0),MATCH(COLUMNS($V$1006:X1006),$V$1006:$AE$1006,0)), HYPERLINK("#",""), HYPERLINK(CONCATENATE("#Metadata!", ADDRESS(INDEX($Q$2:$Q$1001,MATCH(ROWS($O$2:O990),$O$2:$O$1001,0),0), INDEX($V$1004:$AE$1004,1,MATCH(COLUMNS($V$1006:X1006),$V$1006:$AE$1006,0)))),"Fix")))</f>
        <v>0</v>
      </c>
      <c r="E990" s="3">
        <f>IF(OR(INDEX($P$2:$P$1001,MATCH(ROWS($O$2:O990),$O$2:$O$1001,0),1)&gt;=100000,INDEX($V$1005:$AE$1005,1,MATCH(COLUMNS($V$1006:Y1006),$V$1006:$AE$1006,0))&gt;=100000), " ",IF(INDEX($V$2:$AE$1001,MATCH(ROWS($O$2:O990),$O$2:$O$1001,0),MATCH(COLUMNS($V$1006:Y1006),$V$1006:$AE$1006,0)), HYPERLINK("#",""), HYPERLINK(CONCATENATE("#Metadata!", ADDRESS(INDEX($Q$2:$Q$1001,MATCH(ROWS($O$2:O990),$O$2:$O$1001,0),0), INDEX($V$1004:$AE$1004,1,MATCH(COLUMNS($V$1006:Y1006),$V$1006:$AE$1006,0)))),"Fix")))</f>
        <v>0</v>
      </c>
      <c r="F990" s="3">
        <f>IF(OR(INDEX($P$2:$P$1001,MATCH(ROWS($O$2:O990),$O$2:$O$1001,0),1)&gt;=100000,INDEX($V$1005:$AE$1005,1,MATCH(COLUMNS($V$1006:Z1006),$V$1006:$AE$1006,0))&gt;=100000), " ",IF(INDEX($V$2:$AE$1001,MATCH(ROWS($O$2:O990),$O$2:$O$1001,0),MATCH(COLUMNS($V$1006:Z1006),$V$1006:$AE$1006,0)), HYPERLINK("#",""), HYPERLINK(CONCATENATE("#Metadata!", ADDRESS(INDEX($Q$2:$Q$1001,MATCH(ROWS($O$2:O990),$O$2:$O$1001,0),0), INDEX($V$1004:$AE$1004,1,MATCH(COLUMNS($V$1006:Z1006),$V$1006:$AE$1006,0)))),"Fix")))</f>
        <v>0</v>
      </c>
      <c r="G990" s="3">
        <f>IF(OR(INDEX($P$2:$P$1001,MATCH(ROWS($O$2:O990),$O$2:$O$1001,0),1)&gt;=100000,INDEX($V$1005:$AE$1005,1,MATCH(COLUMNS($V$1006:AA1006),$V$1006:$AE$1006,0))&gt;=100000), " ",IF(INDEX($V$2:$AE$1001,MATCH(ROWS($O$2:O990),$O$2:$O$1001,0),MATCH(COLUMNS($V$1006:AA1006),$V$1006:$AE$1006,0)), HYPERLINK("#",""), HYPERLINK(CONCATENATE("#Metadata!", ADDRESS(INDEX($Q$2:$Q$1001,MATCH(ROWS($O$2:O990),$O$2:$O$1001,0),0), INDEX($V$1004:$AE$1004,1,MATCH(COLUMNS($V$1006:AA1006),$V$1006:$AE$1006,0)))),"Fix")))</f>
        <v>0</v>
      </c>
      <c r="H990" s="3">
        <f>IF(OR(INDEX($P$2:$P$1001,MATCH(ROWS($O$2:O990),$O$2:$O$1001,0),1)&gt;=100000,INDEX($V$1005:$AE$1005,1,MATCH(COLUMNS($V$1006:AB1006),$V$1006:$AE$1006,0))&gt;=100000), " ",IF(INDEX($V$2:$AE$1001,MATCH(ROWS($O$2:O990),$O$2:$O$1001,0),MATCH(COLUMNS($V$1006:AB1006),$V$1006:$AE$1006,0)), HYPERLINK("#",""), HYPERLINK(CONCATENATE("#Metadata!", ADDRESS(INDEX($Q$2:$Q$1001,MATCH(ROWS($O$2:O990),$O$2:$O$1001,0),0), INDEX($V$1004:$AE$1004,1,MATCH(COLUMNS($V$1006:AB1006),$V$1006:$AE$1006,0)))),"Fix")))</f>
        <v>0</v>
      </c>
      <c r="I990" s="3">
        <f>IF(OR(INDEX($P$2:$P$1001,MATCH(ROWS($O$2:O990),$O$2:$O$1001,0),1)&gt;=100000,INDEX($V$1005:$AE$1005,1,MATCH(COLUMNS($V$1006:AC1006),$V$1006:$AE$1006,0))&gt;=100000), " ",IF(INDEX($V$2:$AE$1001,MATCH(ROWS($O$2:O990),$O$2:$O$1001,0),MATCH(COLUMNS($V$1006:AC1006),$V$1006:$AE$1006,0)), HYPERLINK("#",""), HYPERLINK(CONCATENATE("#Metadata!", ADDRESS(INDEX($Q$2:$Q$1001,MATCH(ROWS($O$2:O990),$O$2:$O$1001,0),0), INDEX($V$1004:$AE$1004,1,MATCH(COLUMNS($V$1006:AC1006),$V$1006:$AE$1006,0)))),"Fix")))</f>
        <v>0</v>
      </c>
      <c r="J990" s="3">
        <f>IF(OR(INDEX($P$2:$P$1001,MATCH(ROWS($O$2:O990),$O$2:$O$1001,0),1)&gt;=100000,INDEX($V$1005:$AE$1005,1,MATCH(COLUMNS($V$1006:AD1006),$V$1006:$AE$1006,0))&gt;=100000), " ",IF(INDEX($V$2:$AE$1001,MATCH(ROWS($O$2:O990),$O$2:$O$1001,0),MATCH(COLUMNS($V$1006:AD1006),$V$1006:$AE$1006,0)), HYPERLINK("#",""), HYPERLINK(CONCATENATE("#Metadata!", ADDRESS(INDEX($Q$2:$Q$1001,MATCH(ROWS($O$2:O990),$O$2:$O$1001,0),0), INDEX($V$1004:$AE$1004,1,MATCH(COLUMNS($V$1006:AD1006),$V$1006:$AE$1006,0)))),"Fix")))</f>
        <v>0</v>
      </c>
      <c r="K990" s="3">
        <f>IF(OR(INDEX($P$2:$P$1001,MATCH(ROWS($O$2:O990),$O$2:$O$1001,0),1)&gt;=100000,INDEX($V$1005:$AE$1005,1,MATCH(COLUMNS($V$1006:AE1006),$V$1006:$AE$1006,0))&gt;=100000), " ",IF(INDEX($V$2:$AE$1001,MATCH(ROWS($O$2:O990),$O$2:$O$1001,0),MATCH(COLUMNS($V$1006:AE1006),$V$1006:$AE$1006,0)), HYPERLINK("#",""), HYPERLINK(CONCATENATE("#Metadata!", ADDRESS(INDEX($Q$2:$Q$1001,MATCH(ROWS($O$2:O990),$O$2:$O$1001,0),0), INDEX($V$1004:$AE$1004,1,MATCH(COLUMNS($V$1006:AE1006),$V$1006:$AE$1006,0)))),"Fix")))</f>
        <v>0</v>
      </c>
      <c r="O990">
        <v>0</v>
      </c>
      <c r="P990">
        <v>0</v>
      </c>
      <c r="Q990">
        <v>0</v>
      </c>
      <c r="R990">
        <f>IF(S990,TRUE,AND(V990:AE990))</f>
        <v>0</v>
      </c>
      <c r="S990">
        <f>COUNTBLANK(Metadata!B990:K990)=COLUMNS(Metadata!B990:K990)</f>
        <v>0</v>
      </c>
      <c r="T990">
        <v>0</v>
      </c>
      <c r="V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W990">
        <f>AND(IF(Metadata!C990="",FALSE,TRUE),exact(Metadata!C990,"animal secretion"))</f>
        <v>0</v>
      </c>
      <c r="X990">
        <f>AND(IF(Metadata!D990="",FALSE,TRUE),exact(Metadata!D990,"saliva"))</f>
        <v>0</v>
      </c>
      <c r="Y990">
        <f>AND(IF(Metadata!E990="",FALSE,TRUE),exact(Metadata!E990,"human-oral"))</f>
        <v>0</v>
      </c>
      <c r="Z990">
        <f>AND(IF(Metadata!F990="",FALSE,TRUE),exact(Metadata!F990,"UBERON:oral cavity"))</f>
        <v>0</v>
      </c>
      <c r="AA990">
        <f>AND(IF(Metadata!G990="",FALSE,TRUE),exact(Metadata!G990,"UBERON:saliva"))</f>
        <v>0</v>
      </c>
      <c r="AB990">
        <f>AND(IF(Metadata!H990="",FALSE,TRUE),exact(Metadata!H990,"UBERON:tongue"))</f>
        <v>0</v>
      </c>
      <c r="AC990">
        <f>AND(IF(Metadata!I990="",FALSE,TRUE),exact(Metadata!I990,"tongue"))</f>
        <v>0</v>
      </c>
      <c r="AD990">
        <f>AND(IF(Metadata!J990="",FALSE,TRUE),exact(Metadata!J990,"human oral metagenome"))</f>
        <v>0</v>
      </c>
      <c r="AE990">
        <f>AND(IF(Metadata!K990="",FALSE,TRUE),exact(Metadata!K990,"447426"))</f>
        <v>0</v>
      </c>
    </row>
    <row r="991" spans="1:31">
      <c r="A991" s="4">
        <f>IF(B991=" "," ",HYPERLINK(CONCATENATE("#metadata!",ADDRESS(INDEX($Q$2:$Q$1001,MATCH(ROWS($O$2:O991),$O$2:$O$1001,0),0),1)),INDEX($T$2:$T$1001,MATCH(ROWS($O$2:O991),$O$2:$O$1001,0),0)))</f>
        <v>0</v>
      </c>
      <c r="B991" s="3">
        <f>IF(OR(INDEX($P$2:$P$1001,MATCH(ROWS($O$2:O991),$O$2:$O$1001,0),1)&gt;=100000,INDEX($V$1005:$AE$1005,1,MATCH(COLUMNS($V$1006:V1006),$V$1006:$AE$1006,0))&gt;=100000), " ",IF(INDEX($V$2:$AE$1001,MATCH(ROWS($O$2:O991),$O$2:$O$1001,0),MATCH(COLUMNS($V$1006:V1006),$V$1006:$AE$1006,0)), HYPERLINK("#",""), HYPERLINK(CONCATENATE("#Metadata!", ADDRESS(INDEX($Q$2:$Q$1001,MATCH(ROWS($O$2:O991),$O$2:$O$1001,0),0), INDEX($V$1004:$AE$1004,1,MATCH(COLUMNS($V$1006:V1006),$V$1006:$AE$1006,0)))),"Fix")))</f>
        <v>0</v>
      </c>
      <c r="C991" s="3">
        <f>IF(OR(INDEX($P$2:$P$1001,MATCH(ROWS($O$2:O991),$O$2:$O$1001,0),1)&gt;=100000,INDEX($V$1005:$AE$1005,1,MATCH(COLUMNS($V$1006:W1006),$V$1006:$AE$1006,0))&gt;=100000), " ",IF(INDEX($V$2:$AE$1001,MATCH(ROWS($O$2:O991),$O$2:$O$1001,0),MATCH(COLUMNS($V$1006:W1006),$V$1006:$AE$1006,0)), HYPERLINK("#",""), HYPERLINK(CONCATENATE("#Metadata!", ADDRESS(INDEX($Q$2:$Q$1001,MATCH(ROWS($O$2:O991),$O$2:$O$1001,0),0), INDEX($V$1004:$AE$1004,1,MATCH(COLUMNS($V$1006:W1006),$V$1006:$AE$1006,0)))),"Fix")))</f>
        <v>0</v>
      </c>
      <c r="D991" s="3">
        <f>IF(OR(INDEX($P$2:$P$1001,MATCH(ROWS($O$2:O991),$O$2:$O$1001,0),1)&gt;=100000,INDEX($V$1005:$AE$1005,1,MATCH(COLUMNS($V$1006:X1006),$V$1006:$AE$1006,0))&gt;=100000), " ",IF(INDEX($V$2:$AE$1001,MATCH(ROWS($O$2:O991),$O$2:$O$1001,0),MATCH(COLUMNS($V$1006:X1006),$V$1006:$AE$1006,0)), HYPERLINK("#",""), HYPERLINK(CONCATENATE("#Metadata!", ADDRESS(INDEX($Q$2:$Q$1001,MATCH(ROWS($O$2:O991),$O$2:$O$1001,0),0), INDEX($V$1004:$AE$1004,1,MATCH(COLUMNS($V$1006:X1006),$V$1006:$AE$1006,0)))),"Fix")))</f>
        <v>0</v>
      </c>
      <c r="E991" s="3">
        <f>IF(OR(INDEX($P$2:$P$1001,MATCH(ROWS($O$2:O991),$O$2:$O$1001,0),1)&gt;=100000,INDEX($V$1005:$AE$1005,1,MATCH(COLUMNS($V$1006:Y1006),$V$1006:$AE$1006,0))&gt;=100000), " ",IF(INDEX($V$2:$AE$1001,MATCH(ROWS($O$2:O991),$O$2:$O$1001,0),MATCH(COLUMNS($V$1006:Y1006),$V$1006:$AE$1006,0)), HYPERLINK("#",""), HYPERLINK(CONCATENATE("#Metadata!", ADDRESS(INDEX($Q$2:$Q$1001,MATCH(ROWS($O$2:O991),$O$2:$O$1001,0),0), INDEX($V$1004:$AE$1004,1,MATCH(COLUMNS($V$1006:Y1006),$V$1006:$AE$1006,0)))),"Fix")))</f>
        <v>0</v>
      </c>
      <c r="F991" s="3">
        <f>IF(OR(INDEX($P$2:$P$1001,MATCH(ROWS($O$2:O991),$O$2:$O$1001,0),1)&gt;=100000,INDEX($V$1005:$AE$1005,1,MATCH(COLUMNS($V$1006:Z1006),$V$1006:$AE$1006,0))&gt;=100000), " ",IF(INDEX($V$2:$AE$1001,MATCH(ROWS($O$2:O991),$O$2:$O$1001,0),MATCH(COLUMNS($V$1006:Z1006),$V$1006:$AE$1006,0)), HYPERLINK("#",""), HYPERLINK(CONCATENATE("#Metadata!", ADDRESS(INDEX($Q$2:$Q$1001,MATCH(ROWS($O$2:O991),$O$2:$O$1001,0),0), INDEX($V$1004:$AE$1004,1,MATCH(COLUMNS($V$1006:Z1006),$V$1006:$AE$1006,0)))),"Fix")))</f>
        <v>0</v>
      </c>
      <c r="G991" s="3">
        <f>IF(OR(INDEX($P$2:$P$1001,MATCH(ROWS($O$2:O991),$O$2:$O$1001,0),1)&gt;=100000,INDEX($V$1005:$AE$1005,1,MATCH(COLUMNS($V$1006:AA1006),$V$1006:$AE$1006,0))&gt;=100000), " ",IF(INDEX($V$2:$AE$1001,MATCH(ROWS($O$2:O991),$O$2:$O$1001,0),MATCH(COLUMNS($V$1006:AA1006),$V$1006:$AE$1006,0)), HYPERLINK("#",""), HYPERLINK(CONCATENATE("#Metadata!", ADDRESS(INDEX($Q$2:$Q$1001,MATCH(ROWS($O$2:O991),$O$2:$O$1001,0),0), INDEX($V$1004:$AE$1004,1,MATCH(COLUMNS($V$1006:AA1006),$V$1006:$AE$1006,0)))),"Fix")))</f>
        <v>0</v>
      </c>
      <c r="H991" s="3">
        <f>IF(OR(INDEX($P$2:$P$1001,MATCH(ROWS($O$2:O991),$O$2:$O$1001,0),1)&gt;=100000,INDEX($V$1005:$AE$1005,1,MATCH(COLUMNS($V$1006:AB1006),$V$1006:$AE$1006,0))&gt;=100000), " ",IF(INDEX($V$2:$AE$1001,MATCH(ROWS($O$2:O991),$O$2:$O$1001,0),MATCH(COLUMNS($V$1006:AB1006),$V$1006:$AE$1006,0)), HYPERLINK("#",""), HYPERLINK(CONCATENATE("#Metadata!", ADDRESS(INDEX($Q$2:$Q$1001,MATCH(ROWS($O$2:O991),$O$2:$O$1001,0),0), INDEX($V$1004:$AE$1004,1,MATCH(COLUMNS($V$1006:AB1006),$V$1006:$AE$1006,0)))),"Fix")))</f>
        <v>0</v>
      </c>
      <c r="I991" s="3">
        <f>IF(OR(INDEX($P$2:$P$1001,MATCH(ROWS($O$2:O991),$O$2:$O$1001,0),1)&gt;=100000,INDEX($V$1005:$AE$1005,1,MATCH(COLUMNS($V$1006:AC1006),$V$1006:$AE$1006,0))&gt;=100000), " ",IF(INDEX($V$2:$AE$1001,MATCH(ROWS($O$2:O991),$O$2:$O$1001,0),MATCH(COLUMNS($V$1006:AC1006),$V$1006:$AE$1006,0)), HYPERLINK("#",""), HYPERLINK(CONCATENATE("#Metadata!", ADDRESS(INDEX($Q$2:$Q$1001,MATCH(ROWS($O$2:O991),$O$2:$O$1001,0),0), INDEX($V$1004:$AE$1004,1,MATCH(COLUMNS($V$1006:AC1006),$V$1006:$AE$1006,0)))),"Fix")))</f>
        <v>0</v>
      </c>
      <c r="J991" s="3">
        <f>IF(OR(INDEX($P$2:$P$1001,MATCH(ROWS($O$2:O991),$O$2:$O$1001,0),1)&gt;=100000,INDEX($V$1005:$AE$1005,1,MATCH(COLUMNS($V$1006:AD1006),$V$1006:$AE$1006,0))&gt;=100000), " ",IF(INDEX($V$2:$AE$1001,MATCH(ROWS($O$2:O991),$O$2:$O$1001,0),MATCH(COLUMNS($V$1006:AD1006),$V$1006:$AE$1006,0)), HYPERLINK("#",""), HYPERLINK(CONCATENATE("#Metadata!", ADDRESS(INDEX($Q$2:$Q$1001,MATCH(ROWS($O$2:O991),$O$2:$O$1001,0),0), INDEX($V$1004:$AE$1004,1,MATCH(COLUMNS($V$1006:AD1006),$V$1006:$AE$1006,0)))),"Fix")))</f>
        <v>0</v>
      </c>
      <c r="K991" s="3">
        <f>IF(OR(INDEX($P$2:$P$1001,MATCH(ROWS($O$2:O991),$O$2:$O$1001,0),1)&gt;=100000,INDEX($V$1005:$AE$1005,1,MATCH(COLUMNS($V$1006:AE1006),$V$1006:$AE$1006,0))&gt;=100000), " ",IF(INDEX($V$2:$AE$1001,MATCH(ROWS($O$2:O991),$O$2:$O$1001,0),MATCH(COLUMNS($V$1006:AE1006),$V$1006:$AE$1006,0)), HYPERLINK("#",""), HYPERLINK(CONCATENATE("#Metadata!", ADDRESS(INDEX($Q$2:$Q$1001,MATCH(ROWS($O$2:O991),$O$2:$O$1001,0),0), INDEX($V$1004:$AE$1004,1,MATCH(COLUMNS($V$1006:AE1006),$V$1006:$AE$1006,0)))),"Fix")))</f>
        <v>0</v>
      </c>
      <c r="O991">
        <v>0</v>
      </c>
      <c r="P991">
        <v>0</v>
      </c>
      <c r="Q991">
        <v>0</v>
      </c>
      <c r="R991">
        <f>IF(S991,TRUE,AND(V991:AE991))</f>
        <v>0</v>
      </c>
      <c r="S991">
        <f>COUNTBLANK(Metadata!B991:K991)=COLUMNS(Metadata!B991:K991)</f>
        <v>0</v>
      </c>
      <c r="T991">
        <v>0</v>
      </c>
      <c r="V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W991">
        <f>AND(IF(Metadata!C991="",FALSE,TRUE),exact(Metadata!C991,"animal secretion"))</f>
        <v>0</v>
      </c>
      <c r="X991">
        <f>AND(IF(Metadata!D991="",FALSE,TRUE),exact(Metadata!D991,"saliva"))</f>
        <v>0</v>
      </c>
      <c r="Y991">
        <f>AND(IF(Metadata!E991="",FALSE,TRUE),exact(Metadata!E991,"human-oral"))</f>
        <v>0</v>
      </c>
      <c r="Z991">
        <f>AND(IF(Metadata!F991="",FALSE,TRUE),exact(Metadata!F991,"UBERON:oral cavity"))</f>
        <v>0</v>
      </c>
      <c r="AA991">
        <f>AND(IF(Metadata!G991="",FALSE,TRUE),exact(Metadata!G991,"UBERON:saliva"))</f>
        <v>0</v>
      </c>
      <c r="AB991">
        <f>AND(IF(Metadata!H991="",FALSE,TRUE),exact(Metadata!H991,"UBERON:tongue"))</f>
        <v>0</v>
      </c>
      <c r="AC991">
        <f>AND(IF(Metadata!I991="",FALSE,TRUE),exact(Metadata!I991,"tongue"))</f>
        <v>0</v>
      </c>
      <c r="AD991">
        <f>AND(IF(Metadata!J991="",FALSE,TRUE),exact(Metadata!J991,"human oral metagenome"))</f>
        <v>0</v>
      </c>
      <c r="AE991">
        <f>AND(IF(Metadata!K991="",FALSE,TRUE),exact(Metadata!K991,"447426"))</f>
        <v>0</v>
      </c>
    </row>
    <row r="992" spans="1:31">
      <c r="A992" s="4">
        <f>IF(B992=" "," ",HYPERLINK(CONCATENATE("#metadata!",ADDRESS(INDEX($Q$2:$Q$1001,MATCH(ROWS($O$2:O992),$O$2:$O$1001,0),0),1)),INDEX($T$2:$T$1001,MATCH(ROWS($O$2:O992),$O$2:$O$1001,0),0)))</f>
        <v>0</v>
      </c>
      <c r="B992" s="3">
        <f>IF(OR(INDEX($P$2:$P$1001,MATCH(ROWS($O$2:O992),$O$2:$O$1001,0),1)&gt;=100000,INDEX($V$1005:$AE$1005,1,MATCH(COLUMNS($V$1006:V1006),$V$1006:$AE$1006,0))&gt;=100000), " ",IF(INDEX($V$2:$AE$1001,MATCH(ROWS($O$2:O992),$O$2:$O$1001,0),MATCH(COLUMNS($V$1006:V1006),$V$1006:$AE$1006,0)), HYPERLINK("#",""), HYPERLINK(CONCATENATE("#Metadata!", ADDRESS(INDEX($Q$2:$Q$1001,MATCH(ROWS($O$2:O992),$O$2:$O$1001,0),0), INDEX($V$1004:$AE$1004,1,MATCH(COLUMNS($V$1006:V1006),$V$1006:$AE$1006,0)))),"Fix")))</f>
        <v>0</v>
      </c>
      <c r="C992" s="3">
        <f>IF(OR(INDEX($P$2:$P$1001,MATCH(ROWS($O$2:O992),$O$2:$O$1001,0),1)&gt;=100000,INDEX($V$1005:$AE$1005,1,MATCH(COLUMNS($V$1006:W1006),$V$1006:$AE$1006,0))&gt;=100000), " ",IF(INDEX($V$2:$AE$1001,MATCH(ROWS($O$2:O992),$O$2:$O$1001,0),MATCH(COLUMNS($V$1006:W1006),$V$1006:$AE$1006,0)), HYPERLINK("#",""), HYPERLINK(CONCATENATE("#Metadata!", ADDRESS(INDEX($Q$2:$Q$1001,MATCH(ROWS($O$2:O992),$O$2:$O$1001,0),0), INDEX($V$1004:$AE$1004,1,MATCH(COLUMNS($V$1006:W1006),$V$1006:$AE$1006,0)))),"Fix")))</f>
        <v>0</v>
      </c>
      <c r="D992" s="3">
        <f>IF(OR(INDEX($P$2:$P$1001,MATCH(ROWS($O$2:O992),$O$2:$O$1001,0),1)&gt;=100000,INDEX($V$1005:$AE$1005,1,MATCH(COLUMNS($V$1006:X1006),$V$1006:$AE$1006,0))&gt;=100000), " ",IF(INDEX($V$2:$AE$1001,MATCH(ROWS($O$2:O992),$O$2:$O$1001,0),MATCH(COLUMNS($V$1006:X1006),$V$1006:$AE$1006,0)), HYPERLINK("#",""), HYPERLINK(CONCATENATE("#Metadata!", ADDRESS(INDEX($Q$2:$Q$1001,MATCH(ROWS($O$2:O992),$O$2:$O$1001,0),0), INDEX($V$1004:$AE$1004,1,MATCH(COLUMNS($V$1006:X1006),$V$1006:$AE$1006,0)))),"Fix")))</f>
        <v>0</v>
      </c>
      <c r="E992" s="3">
        <f>IF(OR(INDEX($P$2:$P$1001,MATCH(ROWS($O$2:O992),$O$2:$O$1001,0),1)&gt;=100000,INDEX($V$1005:$AE$1005,1,MATCH(COLUMNS($V$1006:Y1006),$V$1006:$AE$1006,0))&gt;=100000), " ",IF(INDEX($V$2:$AE$1001,MATCH(ROWS($O$2:O992),$O$2:$O$1001,0),MATCH(COLUMNS($V$1006:Y1006),$V$1006:$AE$1006,0)), HYPERLINK("#",""), HYPERLINK(CONCATENATE("#Metadata!", ADDRESS(INDEX($Q$2:$Q$1001,MATCH(ROWS($O$2:O992),$O$2:$O$1001,0),0), INDEX($V$1004:$AE$1004,1,MATCH(COLUMNS($V$1006:Y1006),$V$1006:$AE$1006,0)))),"Fix")))</f>
        <v>0</v>
      </c>
      <c r="F992" s="3">
        <f>IF(OR(INDEX($P$2:$P$1001,MATCH(ROWS($O$2:O992),$O$2:$O$1001,0),1)&gt;=100000,INDEX($V$1005:$AE$1005,1,MATCH(COLUMNS($V$1006:Z1006),$V$1006:$AE$1006,0))&gt;=100000), " ",IF(INDEX($V$2:$AE$1001,MATCH(ROWS($O$2:O992),$O$2:$O$1001,0),MATCH(COLUMNS($V$1006:Z1006),$V$1006:$AE$1006,0)), HYPERLINK("#",""), HYPERLINK(CONCATENATE("#Metadata!", ADDRESS(INDEX($Q$2:$Q$1001,MATCH(ROWS($O$2:O992),$O$2:$O$1001,0),0), INDEX($V$1004:$AE$1004,1,MATCH(COLUMNS($V$1006:Z1006),$V$1006:$AE$1006,0)))),"Fix")))</f>
        <v>0</v>
      </c>
      <c r="G992" s="3">
        <f>IF(OR(INDEX($P$2:$P$1001,MATCH(ROWS($O$2:O992),$O$2:$O$1001,0),1)&gt;=100000,INDEX($V$1005:$AE$1005,1,MATCH(COLUMNS($V$1006:AA1006),$V$1006:$AE$1006,0))&gt;=100000), " ",IF(INDEX($V$2:$AE$1001,MATCH(ROWS($O$2:O992),$O$2:$O$1001,0),MATCH(COLUMNS($V$1006:AA1006),$V$1006:$AE$1006,0)), HYPERLINK("#",""), HYPERLINK(CONCATENATE("#Metadata!", ADDRESS(INDEX($Q$2:$Q$1001,MATCH(ROWS($O$2:O992),$O$2:$O$1001,0),0), INDEX($V$1004:$AE$1004,1,MATCH(COLUMNS($V$1006:AA1006),$V$1006:$AE$1006,0)))),"Fix")))</f>
        <v>0</v>
      </c>
      <c r="H992" s="3">
        <f>IF(OR(INDEX($P$2:$P$1001,MATCH(ROWS($O$2:O992),$O$2:$O$1001,0),1)&gt;=100000,INDEX($V$1005:$AE$1005,1,MATCH(COLUMNS($V$1006:AB1006),$V$1006:$AE$1006,0))&gt;=100000), " ",IF(INDEX($V$2:$AE$1001,MATCH(ROWS($O$2:O992),$O$2:$O$1001,0),MATCH(COLUMNS($V$1006:AB1006),$V$1006:$AE$1006,0)), HYPERLINK("#",""), HYPERLINK(CONCATENATE("#Metadata!", ADDRESS(INDEX($Q$2:$Q$1001,MATCH(ROWS($O$2:O992),$O$2:$O$1001,0),0), INDEX($V$1004:$AE$1004,1,MATCH(COLUMNS($V$1006:AB1006),$V$1006:$AE$1006,0)))),"Fix")))</f>
        <v>0</v>
      </c>
      <c r="I992" s="3">
        <f>IF(OR(INDEX($P$2:$P$1001,MATCH(ROWS($O$2:O992),$O$2:$O$1001,0),1)&gt;=100000,INDEX($V$1005:$AE$1005,1,MATCH(COLUMNS($V$1006:AC1006),$V$1006:$AE$1006,0))&gt;=100000), " ",IF(INDEX($V$2:$AE$1001,MATCH(ROWS($O$2:O992),$O$2:$O$1001,0),MATCH(COLUMNS($V$1006:AC1006),$V$1006:$AE$1006,0)), HYPERLINK("#",""), HYPERLINK(CONCATENATE("#Metadata!", ADDRESS(INDEX($Q$2:$Q$1001,MATCH(ROWS($O$2:O992),$O$2:$O$1001,0),0), INDEX($V$1004:$AE$1004,1,MATCH(COLUMNS($V$1006:AC1006),$V$1006:$AE$1006,0)))),"Fix")))</f>
        <v>0</v>
      </c>
      <c r="J992" s="3">
        <f>IF(OR(INDEX($P$2:$P$1001,MATCH(ROWS($O$2:O992),$O$2:$O$1001,0),1)&gt;=100000,INDEX($V$1005:$AE$1005,1,MATCH(COLUMNS($V$1006:AD1006),$V$1006:$AE$1006,0))&gt;=100000), " ",IF(INDEX($V$2:$AE$1001,MATCH(ROWS($O$2:O992),$O$2:$O$1001,0),MATCH(COLUMNS($V$1006:AD1006),$V$1006:$AE$1006,0)), HYPERLINK("#",""), HYPERLINK(CONCATENATE("#Metadata!", ADDRESS(INDEX($Q$2:$Q$1001,MATCH(ROWS($O$2:O992),$O$2:$O$1001,0),0), INDEX($V$1004:$AE$1004,1,MATCH(COLUMNS($V$1006:AD1006),$V$1006:$AE$1006,0)))),"Fix")))</f>
        <v>0</v>
      </c>
      <c r="K992" s="3">
        <f>IF(OR(INDEX($P$2:$P$1001,MATCH(ROWS($O$2:O992),$O$2:$O$1001,0),1)&gt;=100000,INDEX($V$1005:$AE$1005,1,MATCH(COLUMNS($V$1006:AE1006),$V$1006:$AE$1006,0))&gt;=100000), " ",IF(INDEX($V$2:$AE$1001,MATCH(ROWS($O$2:O992),$O$2:$O$1001,0),MATCH(COLUMNS($V$1006:AE1006),$V$1006:$AE$1006,0)), HYPERLINK("#",""), HYPERLINK(CONCATENATE("#Metadata!", ADDRESS(INDEX($Q$2:$Q$1001,MATCH(ROWS($O$2:O992),$O$2:$O$1001,0),0), INDEX($V$1004:$AE$1004,1,MATCH(COLUMNS($V$1006:AE1006),$V$1006:$AE$1006,0)))),"Fix")))</f>
        <v>0</v>
      </c>
      <c r="O992">
        <v>0</v>
      </c>
      <c r="P992">
        <v>0</v>
      </c>
      <c r="Q992">
        <v>0</v>
      </c>
      <c r="R992">
        <f>IF(S992,TRUE,AND(V992:AE992))</f>
        <v>0</v>
      </c>
      <c r="S992">
        <f>COUNTBLANK(Metadata!B992:K992)=COLUMNS(Metadata!B992:K992)</f>
        <v>0</v>
      </c>
      <c r="T992">
        <v>0</v>
      </c>
      <c r="V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W992">
        <f>AND(IF(Metadata!C992="",FALSE,TRUE),exact(Metadata!C992,"animal secretion"))</f>
        <v>0</v>
      </c>
      <c r="X992">
        <f>AND(IF(Metadata!D992="",FALSE,TRUE),exact(Metadata!D992,"saliva"))</f>
        <v>0</v>
      </c>
      <c r="Y992">
        <f>AND(IF(Metadata!E992="",FALSE,TRUE),exact(Metadata!E992,"human-oral"))</f>
        <v>0</v>
      </c>
      <c r="Z992">
        <f>AND(IF(Metadata!F992="",FALSE,TRUE),exact(Metadata!F992,"UBERON:oral cavity"))</f>
        <v>0</v>
      </c>
      <c r="AA992">
        <f>AND(IF(Metadata!G992="",FALSE,TRUE),exact(Metadata!G992,"UBERON:saliva"))</f>
        <v>0</v>
      </c>
      <c r="AB992">
        <f>AND(IF(Metadata!H992="",FALSE,TRUE),exact(Metadata!H992,"UBERON:tongue"))</f>
        <v>0</v>
      </c>
      <c r="AC992">
        <f>AND(IF(Metadata!I992="",FALSE,TRUE),exact(Metadata!I992,"tongue"))</f>
        <v>0</v>
      </c>
      <c r="AD992">
        <f>AND(IF(Metadata!J992="",FALSE,TRUE),exact(Metadata!J992,"human oral metagenome"))</f>
        <v>0</v>
      </c>
      <c r="AE992">
        <f>AND(IF(Metadata!K992="",FALSE,TRUE),exact(Metadata!K992,"447426"))</f>
        <v>0</v>
      </c>
    </row>
    <row r="993" spans="1:31">
      <c r="A993" s="4">
        <f>IF(B993=" "," ",HYPERLINK(CONCATENATE("#metadata!",ADDRESS(INDEX($Q$2:$Q$1001,MATCH(ROWS($O$2:O993),$O$2:$O$1001,0),0),1)),INDEX($T$2:$T$1001,MATCH(ROWS($O$2:O993),$O$2:$O$1001,0),0)))</f>
        <v>0</v>
      </c>
      <c r="B993" s="3">
        <f>IF(OR(INDEX($P$2:$P$1001,MATCH(ROWS($O$2:O993),$O$2:$O$1001,0),1)&gt;=100000,INDEX($V$1005:$AE$1005,1,MATCH(COLUMNS($V$1006:V1006),$V$1006:$AE$1006,0))&gt;=100000), " ",IF(INDEX($V$2:$AE$1001,MATCH(ROWS($O$2:O993),$O$2:$O$1001,0),MATCH(COLUMNS($V$1006:V1006),$V$1006:$AE$1006,0)), HYPERLINK("#",""), HYPERLINK(CONCATENATE("#Metadata!", ADDRESS(INDEX($Q$2:$Q$1001,MATCH(ROWS($O$2:O993),$O$2:$O$1001,0),0), INDEX($V$1004:$AE$1004,1,MATCH(COLUMNS($V$1006:V1006),$V$1006:$AE$1006,0)))),"Fix")))</f>
        <v>0</v>
      </c>
      <c r="C993" s="3">
        <f>IF(OR(INDEX($P$2:$P$1001,MATCH(ROWS($O$2:O993),$O$2:$O$1001,0),1)&gt;=100000,INDEX($V$1005:$AE$1005,1,MATCH(COLUMNS($V$1006:W1006),$V$1006:$AE$1006,0))&gt;=100000), " ",IF(INDEX($V$2:$AE$1001,MATCH(ROWS($O$2:O993),$O$2:$O$1001,0),MATCH(COLUMNS($V$1006:W1006),$V$1006:$AE$1006,0)), HYPERLINK("#",""), HYPERLINK(CONCATENATE("#Metadata!", ADDRESS(INDEX($Q$2:$Q$1001,MATCH(ROWS($O$2:O993),$O$2:$O$1001,0),0), INDEX($V$1004:$AE$1004,1,MATCH(COLUMNS($V$1006:W1006),$V$1006:$AE$1006,0)))),"Fix")))</f>
        <v>0</v>
      </c>
      <c r="D993" s="3">
        <f>IF(OR(INDEX($P$2:$P$1001,MATCH(ROWS($O$2:O993),$O$2:$O$1001,0),1)&gt;=100000,INDEX($V$1005:$AE$1005,1,MATCH(COLUMNS($V$1006:X1006),$V$1006:$AE$1006,0))&gt;=100000), " ",IF(INDEX($V$2:$AE$1001,MATCH(ROWS($O$2:O993),$O$2:$O$1001,0),MATCH(COLUMNS($V$1006:X1006),$V$1006:$AE$1006,0)), HYPERLINK("#",""), HYPERLINK(CONCATENATE("#Metadata!", ADDRESS(INDEX($Q$2:$Q$1001,MATCH(ROWS($O$2:O993),$O$2:$O$1001,0),0), INDEX($V$1004:$AE$1004,1,MATCH(COLUMNS($V$1006:X1006),$V$1006:$AE$1006,0)))),"Fix")))</f>
        <v>0</v>
      </c>
      <c r="E993" s="3">
        <f>IF(OR(INDEX($P$2:$P$1001,MATCH(ROWS($O$2:O993),$O$2:$O$1001,0),1)&gt;=100000,INDEX($V$1005:$AE$1005,1,MATCH(COLUMNS($V$1006:Y1006),$V$1006:$AE$1006,0))&gt;=100000), " ",IF(INDEX($V$2:$AE$1001,MATCH(ROWS($O$2:O993),$O$2:$O$1001,0),MATCH(COLUMNS($V$1006:Y1006),$V$1006:$AE$1006,0)), HYPERLINK("#",""), HYPERLINK(CONCATENATE("#Metadata!", ADDRESS(INDEX($Q$2:$Q$1001,MATCH(ROWS($O$2:O993),$O$2:$O$1001,0),0), INDEX($V$1004:$AE$1004,1,MATCH(COLUMNS($V$1006:Y1006),$V$1006:$AE$1006,0)))),"Fix")))</f>
        <v>0</v>
      </c>
      <c r="F993" s="3">
        <f>IF(OR(INDEX($P$2:$P$1001,MATCH(ROWS($O$2:O993),$O$2:$O$1001,0),1)&gt;=100000,INDEX($V$1005:$AE$1005,1,MATCH(COLUMNS($V$1006:Z1006),$V$1006:$AE$1006,0))&gt;=100000), " ",IF(INDEX($V$2:$AE$1001,MATCH(ROWS($O$2:O993),$O$2:$O$1001,0),MATCH(COLUMNS($V$1006:Z1006),$V$1006:$AE$1006,0)), HYPERLINK("#",""), HYPERLINK(CONCATENATE("#Metadata!", ADDRESS(INDEX($Q$2:$Q$1001,MATCH(ROWS($O$2:O993),$O$2:$O$1001,0),0), INDEX($V$1004:$AE$1004,1,MATCH(COLUMNS($V$1006:Z1006),$V$1006:$AE$1006,0)))),"Fix")))</f>
        <v>0</v>
      </c>
      <c r="G993" s="3">
        <f>IF(OR(INDEX($P$2:$P$1001,MATCH(ROWS($O$2:O993),$O$2:$O$1001,0),1)&gt;=100000,INDEX($V$1005:$AE$1005,1,MATCH(COLUMNS($V$1006:AA1006),$V$1006:$AE$1006,0))&gt;=100000), " ",IF(INDEX($V$2:$AE$1001,MATCH(ROWS($O$2:O993),$O$2:$O$1001,0),MATCH(COLUMNS($V$1006:AA1006),$V$1006:$AE$1006,0)), HYPERLINK("#",""), HYPERLINK(CONCATENATE("#Metadata!", ADDRESS(INDEX($Q$2:$Q$1001,MATCH(ROWS($O$2:O993),$O$2:$O$1001,0),0), INDEX($V$1004:$AE$1004,1,MATCH(COLUMNS($V$1006:AA1006),$V$1006:$AE$1006,0)))),"Fix")))</f>
        <v>0</v>
      </c>
      <c r="H993" s="3">
        <f>IF(OR(INDEX($P$2:$P$1001,MATCH(ROWS($O$2:O993),$O$2:$O$1001,0),1)&gt;=100000,INDEX($V$1005:$AE$1005,1,MATCH(COLUMNS($V$1006:AB1006),$V$1006:$AE$1006,0))&gt;=100000), " ",IF(INDEX($V$2:$AE$1001,MATCH(ROWS($O$2:O993),$O$2:$O$1001,0),MATCH(COLUMNS($V$1006:AB1006),$V$1006:$AE$1006,0)), HYPERLINK("#",""), HYPERLINK(CONCATENATE("#Metadata!", ADDRESS(INDEX($Q$2:$Q$1001,MATCH(ROWS($O$2:O993),$O$2:$O$1001,0),0), INDEX($V$1004:$AE$1004,1,MATCH(COLUMNS($V$1006:AB1006),$V$1006:$AE$1006,0)))),"Fix")))</f>
        <v>0</v>
      </c>
      <c r="I993" s="3">
        <f>IF(OR(INDEX($P$2:$P$1001,MATCH(ROWS($O$2:O993),$O$2:$O$1001,0),1)&gt;=100000,INDEX($V$1005:$AE$1005,1,MATCH(COLUMNS($V$1006:AC1006),$V$1006:$AE$1006,0))&gt;=100000), " ",IF(INDEX($V$2:$AE$1001,MATCH(ROWS($O$2:O993),$O$2:$O$1001,0),MATCH(COLUMNS($V$1006:AC1006),$V$1006:$AE$1006,0)), HYPERLINK("#",""), HYPERLINK(CONCATENATE("#Metadata!", ADDRESS(INDEX($Q$2:$Q$1001,MATCH(ROWS($O$2:O993),$O$2:$O$1001,0),0), INDEX($V$1004:$AE$1004,1,MATCH(COLUMNS($V$1006:AC1006),$V$1006:$AE$1006,0)))),"Fix")))</f>
        <v>0</v>
      </c>
      <c r="J993" s="3">
        <f>IF(OR(INDEX($P$2:$P$1001,MATCH(ROWS($O$2:O993),$O$2:$O$1001,0),1)&gt;=100000,INDEX($V$1005:$AE$1005,1,MATCH(COLUMNS($V$1006:AD1006),$V$1006:$AE$1006,0))&gt;=100000), " ",IF(INDEX($V$2:$AE$1001,MATCH(ROWS($O$2:O993),$O$2:$O$1001,0),MATCH(COLUMNS($V$1006:AD1006),$V$1006:$AE$1006,0)), HYPERLINK("#",""), HYPERLINK(CONCATENATE("#Metadata!", ADDRESS(INDEX($Q$2:$Q$1001,MATCH(ROWS($O$2:O993),$O$2:$O$1001,0),0), INDEX($V$1004:$AE$1004,1,MATCH(COLUMNS($V$1006:AD1006),$V$1006:$AE$1006,0)))),"Fix")))</f>
        <v>0</v>
      </c>
      <c r="K993" s="3">
        <f>IF(OR(INDEX($P$2:$P$1001,MATCH(ROWS($O$2:O993),$O$2:$O$1001,0),1)&gt;=100000,INDEX($V$1005:$AE$1005,1,MATCH(COLUMNS($V$1006:AE1006),$V$1006:$AE$1006,0))&gt;=100000), " ",IF(INDEX($V$2:$AE$1001,MATCH(ROWS($O$2:O993),$O$2:$O$1001,0),MATCH(COLUMNS($V$1006:AE1006),$V$1006:$AE$1006,0)), HYPERLINK("#",""), HYPERLINK(CONCATENATE("#Metadata!", ADDRESS(INDEX($Q$2:$Q$1001,MATCH(ROWS($O$2:O993),$O$2:$O$1001,0),0), INDEX($V$1004:$AE$1004,1,MATCH(COLUMNS($V$1006:AE1006),$V$1006:$AE$1006,0)))),"Fix")))</f>
        <v>0</v>
      </c>
      <c r="O993">
        <v>0</v>
      </c>
      <c r="P993">
        <v>0</v>
      </c>
      <c r="Q993">
        <v>0</v>
      </c>
      <c r="R993">
        <f>IF(S993,TRUE,AND(V993:AE993))</f>
        <v>0</v>
      </c>
      <c r="S993">
        <f>COUNTBLANK(Metadata!B993:K993)=COLUMNS(Metadata!B993:K993)</f>
        <v>0</v>
      </c>
      <c r="T993">
        <v>0</v>
      </c>
      <c r="V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W993">
        <f>AND(IF(Metadata!C993="",FALSE,TRUE),exact(Metadata!C993,"animal secretion"))</f>
        <v>0</v>
      </c>
      <c r="X993">
        <f>AND(IF(Metadata!D993="",FALSE,TRUE),exact(Metadata!D993,"saliva"))</f>
        <v>0</v>
      </c>
      <c r="Y993">
        <f>AND(IF(Metadata!E993="",FALSE,TRUE),exact(Metadata!E993,"human-oral"))</f>
        <v>0</v>
      </c>
      <c r="Z993">
        <f>AND(IF(Metadata!F993="",FALSE,TRUE),exact(Metadata!F993,"UBERON:oral cavity"))</f>
        <v>0</v>
      </c>
      <c r="AA993">
        <f>AND(IF(Metadata!G993="",FALSE,TRUE),exact(Metadata!G993,"UBERON:saliva"))</f>
        <v>0</v>
      </c>
      <c r="AB993">
        <f>AND(IF(Metadata!H993="",FALSE,TRUE),exact(Metadata!H993,"UBERON:tongue"))</f>
        <v>0</v>
      </c>
      <c r="AC993">
        <f>AND(IF(Metadata!I993="",FALSE,TRUE),exact(Metadata!I993,"tongue"))</f>
        <v>0</v>
      </c>
      <c r="AD993">
        <f>AND(IF(Metadata!J993="",FALSE,TRUE),exact(Metadata!J993,"human oral metagenome"))</f>
        <v>0</v>
      </c>
      <c r="AE993">
        <f>AND(IF(Metadata!K993="",FALSE,TRUE),exact(Metadata!K993,"447426"))</f>
        <v>0</v>
      </c>
    </row>
    <row r="994" spans="1:31">
      <c r="A994" s="4">
        <f>IF(B994=" "," ",HYPERLINK(CONCATENATE("#metadata!",ADDRESS(INDEX($Q$2:$Q$1001,MATCH(ROWS($O$2:O994),$O$2:$O$1001,0),0),1)),INDEX($T$2:$T$1001,MATCH(ROWS($O$2:O994),$O$2:$O$1001,0),0)))</f>
        <v>0</v>
      </c>
      <c r="B994" s="3">
        <f>IF(OR(INDEX($P$2:$P$1001,MATCH(ROWS($O$2:O994),$O$2:$O$1001,0),1)&gt;=100000,INDEX($V$1005:$AE$1005,1,MATCH(COLUMNS($V$1006:V1006),$V$1006:$AE$1006,0))&gt;=100000), " ",IF(INDEX($V$2:$AE$1001,MATCH(ROWS($O$2:O994),$O$2:$O$1001,0),MATCH(COLUMNS($V$1006:V1006),$V$1006:$AE$1006,0)), HYPERLINK("#",""), HYPERLINK(CONCATENATE("#Metadata!", ADDRESS(INDEX($Q$2:$Q$1001,MATCH(ROWS($O$2:O994),$O$2:$O$1001,0),0), INDEX($V$1004:$AE$1004,1,MATCH(COLUMNS($V$1006:V1006),$V$1006:$AE$1006,0)))),"Fix")))</f>
        <v>0</v>
      </c>
      <c r="C994" s="3">
        <f>IF(OR(INDEX($P$2:$P$1001,MATCH(ROWS($O$2:O994),$O$2:$O$1001,0),1)&gt;=100000,INDEX($V$1005:$AE$1005,1,MATCH(COLUMNS($V$1006:W1006),$V$1006:$AE$1006,0))&gt;=100000), " ",IF(INDEX($V$2:$AE$1001,MATCH(ROWS($O$2:O994),$O$2:$O$1001,0),MATCH(COLUMNS($V$1006:W1006),$V$1006:$AE$1006,0)), HYPERLINK("#",""), HYPERLINK(CONCATENATE("#Metadata!", ADDRESS(INDEX($Q$2:$Q$1001,MATCH(ROWS($O$2:O994),$O$2:$O$1001,0),0), INDEX($V$1004:$AE$1004,1,MATCH(COLUMNS($V$1006:W1006),$V$1006:$AE$1006,0)))),"Fix")))</f>
        <v>0</v>
      </c>
      <c r="D994" s="3">
        <f>IF(OR(INDEX($P$2:$P$1001,MATCH(ROWS($O$2:O994),$O$2:$O$1001,0),1)&gt;=100000,INDEX($V$1005:$AE$1005,1,MATCH(COLUMNS($V$1006:X1006),$V$1006:$AE$1006,0))&gt;=100000), " ",IF(INDEX($V$2:$AE$1001,MATCH(ROWS($O$2:O994),$O$2:$O$1001,0),MATCH(COLUMNS($V$1006:X1006),$V$1006:$AE$1006,0)), HYPERLINK("#",""), HYPERLINK(CONCATENATE("#Metadata!", ADDRESS(INDEX($Q$2:$Q$1001,MATCH(ROWS($O$2:O994),$O$2:$O$1001,0),0), INDEX($V$1004:$AE$1004,1,MATCH(COLUMNS($V$1006:X1006),$V$1006:$AE$1006,0)))),"Fix")))</f>
        <v>0</v>
      </c>
      <c r="E994" s="3">
        <f>IF(OR(INDEX($P$2:$P$1001,MATCH(ROWS($O$2:O994),$O$2:$O$1001,0),1)&gt;=100000,INDEX($V$1005:$AE$1005,1,MATCH(COLUMNS($V$1006:Y1006),$V$1006:$AE$1006,0))&gt;=100000), " ",IF(INDEX($V$2:$AE$1001,MATCH(ROWS($O$2:O994),$O$2:$O$1001,0),MATCH(COLUMNS($V$1006:Y1006),$V$1006:$AE$1006,0)), HYPERLINK("#",""), HYPERLINK(CONCATENATE("#Metadata!", ADDRESS(INDEX($Q$2:$Q$1001,MATCH(ROWS($O$2:O994),$O$2:$O$1001,0),0), INDEX($V$1004:$AE$1004,1,MATCH(COLUMNS($V$1006:Y1006),$V$1006:$AE$1006,0)))),"Fix")))</f>
        <v>0</v>
      </c>
      <c r="F994" s="3">
        <f>IF(OR(INDEX($P$2:$P$1001,MATCH(ROWS($O$2:O994),$O$2:$O$1001,0),1)&gt;=100000,INDEX($V$1005:$AE$1005,1,MATCH(COLUMNS($V$1006:Z1006),$V$1006:$AE$1006,0))&gt;=100000), " ",IF(INDEX($V$2:$AE$1001,MATCH(ROWS($O$2:O994),$O$2:$O$1001,0),MATCH(COLUMNS($V$1006:Z1006),$V$1006:$AE$1006,0)), HYPERLINK("#",""), HYPERLINK(CONCATENATE("#Metadata!", ADDRESS(INDEX($Q$2:$Q$1001,MATCH(ROWS($O$2:O994),$O$2:$O$1001,0),0), INDEX($V$1004:$AE$1004,1,MATCH(COLUMNS($V$1006:Z1006),$V$1006:$AE$1006,0)))),"Fix")))</f>
        <v>0</v>
      </c>
      <c r="G994" s="3">
        <f>IF(OR(INDEX($P$2:$P$1001,MATCH(ROWS($O$2:O994),$O$2:$O$1001,0),1)&gt;=100000,INDEX($V$1005:$AE$1005,1,MATCH(COLUMNS($V$1006:AA1006),$V$1006:$AE$1006,0))&gt;=100000), " ",IF(INDEX($V$2:$AE$1001,MATCH(ROWS($O$2:O994),$O$2:$O$1001,0),MATCH(COLUMNS($V$1006:AA1006),$V$1006:$AE$1006,0)), HYPERLINK("#",""), HYPERLINK(CONCATENATE("#Metadata!", ADDRESS(INDEX($Q$2:$Q$1001,MATCH(ROWS($O$2:O994),$O$2:$O$1001,0),0), INDEX($V$1004:$AE$1004,1,MATCH(COLUMNS($V$1006:AA1006),$V$1006:$AE$1006,0)))),"Fix")))</f>
        <v>0</v>
      </c>
      <c r="H994" s="3">
        <f>IF(OR(INDEX($P$2:$P$1001,MATCH(ROWS($O$2:O994),$O$2:$O$1001,0),1)&gt;=100000,INDEX($V$1005:$AE$1005,1,MATCH(COLUMNS($V$1006:AB1006),$V$1006:$AE$1006,0))&gt;=100000), " ",IF(INDEX($V$2:$AE$1001,MATCH(ROWS($O$2:O994),$O$2:$O$1001,0),MATCH(COLUMNS($V$1006:AB1006),$V$1006:$AE$1006,0)), HYPERLINK("#",""), HYPERLINK(CONCATENATE("#Metadata!", ADDRESS(INDEX($Q$2:$Q$1001,MATCH(ROWS($O$2:O994),$O$2:$O$1001,0),0), INDEX($V$1004:$AE$1004,1,MATCH(COLUMNS($V$1006:AB1006),$V$1006:$AE$1006,0)))),"Fix")))</f>
        <v>0</v>
      </c>
      <c r="I994" s="3">
        <f>IF(OR(INDEX($P$2:$P$1001,MATCH(ROWS($O$2:O994),$O$2:$O$1001,0),1)&gt;=100000,INDEX($V$1005:$AE$1005,1,MATCH(COLUMNS($V$1006:AC1006),$V$1006:$AE$1006,0))&gt;=100000), " ",IF(INDEX($V$2:$AE$1001,MATCH(ROWS($O$2:O994),$O$2:$O$1001,0),MATCH(COLUMNS($V$1006:AC1006),$V$1006:$AE$1006,0)), HYPERLINK("#",""), HYPERLINK(CONCATENATE("#Metadata!", ADDRESS(INDEX($Q$2:$Q$1001,MATCH(ROWS($O$2:O994),$O$2:$O$1001,0),0), INDEX($V$1004:$AE$1004,1,MATCH(COLUMNS($V$1006:AC1006),$V$1006:$AE$1006,0)))),"Fix")))</f>
        <v>0</v>
      </c>
      <c r="J994" s="3">
        <f>IF(OR(INDEX($P$2:$P$1001,MATCH(ROWS($O$2:O994),$O$2:$O$1001,0),1)&gt;=100000,INDEX($V$1005:$AE$1005,1,MATCH(COLUMNS($V$1006:AD1006),$V$1006:$AE$1006,0))&gt;=100000), " ",IF(INDEX($V$2:$AE$1001,MATCH(ROWS($O$2:O994),$O$2:$O$1001,0),MATCH(COLUMNS($V$1006:AD1006),$V$1006:$AE$1006,0)), HYPERLINK("#",""), HYPERLINK(CONCATENATE("#Metadata!", ADDRESS(INDEX($Q$2:$Q$1001,MATCH(ROWS($O$2:O994),$O$2:$O$1001,0),0), INDEX($V$1004:$AE$1004,1,MATCH(COLUMNS($V$1006:AD1006),$V$1006:$AE$1006,0)))),"Fix")))</f>
        <v>0</v>
      </c>
      <c r="K994" s="3">
        <f>IF(OR(INDEX($P$2:$P$1001,MATCH(ROWS($O$2:O994),$O$2:$O$1001,0),1)&gt;=100000,INDEX($V$1005:$AE$1005,1,MATCH(COLUMNS($V$1006:AE1006),$V$1006:$AE$1006,0))&gt;=100000), " ",IF(INDEX($V$2:$AE$1001,MATCH(ROWS($O$2:O994),$O$2:$O$1001,0),MATCH(COLUMNS($V$1006:AE1006),$V$1006:$AE$1006,0)), HYPERLINK("#",""), HYPERLINK(CONCATENATE("#Metadata!", ADDRESS(INDEX($Q$2:$Q$1001,MATCH(ROWS($O$2:O994),$O$2:$O$1001,0),0), INDEX($V$1004:$AE$1004,1,MATCH(COLUMNS($V$1006:AE1006),$V$1006:$AE$1006,0)))),"Fix")))</f>
        <v>0</v>
      </c>
      <c r="O994">
        <v>0</v>
      </c>
      <c r="P994">
        <v>0</v>
      </c>
      <c r="Q994">
        <v>0</v>
      </c>
      <c r="R994">
        <f>IF(S994,TRUE,AND(V994:AE994))</f>
        <v>0</v>
      </c>
      <c r="S994">
        <f>COUNTBLANK(Metadata!B994:K994)=COLUMNS(Metadata!B994:K994)</f>
        <v>0</v>
      </c>
      <c r="T994">
        <v>0</v>
      </c>
      <c r="V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W994">
        <f>AND(IF(Metadata!C994="",FALSE,TRUE),exact(Metadata!C994,"animal secretion"))</f>
        <v>0</v>
      </c>
      <c r="X994">
        <f>AND(IF(Metadata!D994="",FALSE,TRUE),exact(Metadata!D994,"saliva"))</f>
        <v>0</v>
      </c>
      <c r="Y994">
        <f>AND(IF(Metadata!E994="",FALSE,TRUE),exact(Metadata!E994,"human-oral"))</f>
        <v>0</v>
      </c>
      <c r="Z994">
        <f>AND(IF(Metadata!F994="",FALSE,TRUE),exact(Metadata!F994,"UBERON:oral cavity"))</f>
        <v>0</v>
      </c>
      <c r="AA994">
        <f>AND(IF(Metadata!G994="",FALSE,TRUE),exact(Metadata!G994,"UBERON:saliva"))</f>
        <v>0</v>
      </c>
      <c r="AB994">
        <f>AND(IF(Metadata!H994="",FALSE,TRUE),exact(Metadata!H994,"UBERON:tongue"))</f>
        <v>0</v>
      </c>
      <c r="AC994">
        <f>AND(IF(Metadata!I994="",FALSE,TRUE),exact(Metadata!I994,"tongue"))</f>
        <v>0</v>
      </c>
      <c r="AD994">
        <f>AND(IF(Metadata!J994="",FALSE,TRUE),exact(Metadata!J994,"human oral metagenome"))</f>
        <v>0</v>
      </c>
      <c r="AE994">
        <f>AND(IF(Metadata!K994="",FALSE,TRUE),exact(Metadata!K994,"447426"))</f>
        <v>0</v>
      </c>
    </row>
    <row r="995" spans="1:31">
      <c r="A995" s="4">
        <f>IF(B995=" "," ",HYPERLINK(CONCATENATE("#metadata!",ADDRESS(INDEX($Q$2:$Q$1001,MATCH(ROWS($O$2:O995),$O$2:$O$1001,0),0),1)),INDEX($T$2:$T$1001,MATCH(ROWS($O$2:O995),$O$2:$O$1001,0),0)))</f>
        <v>0</v>
      </c>
      <c r="B995" s="3">
        <f>IF(OR(INDEX($P$2:$P$1001,MATCH(ROWS($O$2:O995),$O$2:$O$1001,0),1)&gt;=100000,INDEX($V$1005:$AE$1005,1,MATCH(COLUMNS($V$1006:V1006),$V$1006:$AE$1006,0))&gt;=100000), " ",IF(INDEX($V$2:$AE$1001,MATCH(ROWS($O$2:O995),$O$2:$O$1001,0),MATCH(COLUMNS($V$1006:V1006),$V$1006:$AE$1006,0)), HYPERLINK("#",""), HYPERLINK(CONCATENATE("#Metadata!", ADDRESS(INDEX($Q$2:$Q$1001,MATCH(ROWS($O$2:O995),$O$2:$O$1001,0),0), INDEX($V$1004:$AE$1004,1,MATCH(COLUMNS($V$1006:V1006),$V$1006:$AE$1006,0)))),"Fix")))</f>
        <v>0</v>
      </c>
      <c r="C995" s="3">
        <f>IF(OR(INDEX($P$2:$P$1001,MATCH(ROWS($O$2:O995),$O$2:$O$1001,0),1)&gt;=100000,INDEX($V$1005:$AE$1005,1,MATCH(COLUMNS($V$1006:W1006),$V$1006:$AE$1006,0))&gt;=100000), " ",IF(INDEX($V$2:$AE$1001,MATCH(ROWS($O$2:O995),$O$2:$O$1001,0),MATCH(COLUMNS($V$1006:W1006),$V$1006:$AE$1006,0)), HYPERLINK("#",""), HYPERLINK(CONCATENATE("#Metadata!", ADDRESS(INDEX($Q$2:$Q$1001,MATCH(ROWS($O$2:O995),$O$2:$O$1001,0),0), INDEX($V$1004:$AE$1004,1,MATCH(COLUMNS($V$1006:W1006),$V$1006:$AE$1006,0)))),"Fix")))</f>
        <v>0</v>
      </c>
      <c r="D995" s="3">
        <f>IF(OR(INDEX($P$2:$P$1001,MATCH(ROWS($O$2:O995),$O$2:$O$1001,0),1)&gt;=100000,INDEX($V$1005:$AE$1005,1,MATCH(COLUMNS($V$1006:X1006),$V$1006:$AE$1006,0))&gt;=100000), " ",IF(INDEX($V$2:$AE$1001,MATCH(ROWS($O$2:O995),$O$2:$O$1001,0),MATCH(COLUMNS($V$1006:X1006),$V$1006:$AE$1006,0)), HYPERLINK("#",""), HYPERLINK(CONCATENATE("#Metadata!", ADDRESS(INDEX($Q$2:$Q$1001,MATCH(ROWS($O$2:O995),$O$2:$O$1001,0),0), INDEX($V$1004:$AE$1004,1,MATCH(COLUMNS($V$1006:X1006),$V$1006:$AE$1006,0)))),"Fix")))</f>
        <v>0</v>
      </c>
      <c r="E995" s="3">
        <f>IF(OR(INDEX($P$2:$P$1001,MATCH(ROWS($O$2:O995),$O$2:$O$1001,0),1)&gt;=100000,INDEX($V$1005:$AE$1005,1,MATCH(COLUMNS($V$1006:Y1006),$V$1006:$AE$1006,0))&gt;=100000), " ",IF(INDEX($V$2:$AE$1001,MATCH(ROWS($O$2:O995),$O$2:$O$1001,0),MATCH(COLUMNS($V$1006:Y1006),$V$1006:$AE$1006,0)), HYPERLINK("#",""), HYPERLINK(CONCATENATE("#Metadata!", ADDRESS(INDEX($Q$2:$Q$1001,MATCH(ROWS($O$2:O995),$O$2:$O$1001,0),0), INDEX($V$1004:$AE$1004,1,MATCH(COLUMNS($V$1006:Y1006),$V$1006:$AE$1006,0)))),"Fix")))</f>
        <v>0</v>
      </c>
      <c r="F995" s="3">
        <f>IF(OR(INDEX($P$2:$P$1001,MATCH(ROWS($O$2:O995),$O$2:$O$1001,0),1)&gt;=100000,INDEX($V$1005:$AE$1005,1,MATCH(COLUMNS($V$1006:Z1006),$V$1006:$AE$1006,0))&gt;=100000), " ",IF(INDEX($V$2:$AE$1001,MATCH(ROWS($O$2:O995),$O$2:$O$1001,0),MATCH(COLUMNS($V$1006:Z1006),$V$1006:$AE$1006,0)), HYPERLINK("#",""), HYPERLINK(CONCATENATE("#Metadata!", ADDRESS(INDEX($Q$2:$Q$1001,MATCH(ROWS($O$2:O995),$O$2:$O$1001,0),0), INDEX($V$1004:$AE$1004,1,MATCH(COLUMNS($V$1006:Z1006),$V$1006:$AE$1006,0)))),"Fix")))</f>
        <v>0</v>
      </c>
      <c r="G995" s="3">
        <f>IF(OR(INDEX($P$2:$P$1001,MATCH(ROWS($O$2:O995),$O$2:$O$1001,0),1)&gt;=100000,INDEX($V$1005:$AE$1005,1,MATCH(COLUMNS($V$1006:AA1006),$V$1006:$AE$1006,0))&gt;=100000), " ",IF(INDEX($V$2:$AE$1001,MATCH(ROWS($O$2:O995),$O$2:$O$1001,0),MATCH(COLUMNS($V$1006:AA1006),$V$1006:$AE$1006,0)), HYPERLINK("#",""), HYPERLINK(CONCATENATE("#Metadata!", ADDRESS(INDEX($Q$2:$Q$1001,MATCH(ROWS($O$2:O995),$O$2:$O$1001,0),0), INDEX($V$1004:$AE$1004,1,MATCH(COLUMNS($V$1006:AA1006),$V$1006:$AE$1006,0)))),"Fix")))</f>
        <v>0</v>
      </c>
      <c r="H995" s="3">
        <f>IF(OR(INDEX($P$2:$P$1001,MATCH(ROWS($O$2:O995),$O$2:$O$1001,0),1)&gt;=100000,INDEX($V$1005:$AE$1005,1,MATCH(COLUMNS($V$1006:AB1006),$V$1006:$AE$1006,0))&gt;=100000), " ",IF(INDEX($V$2:$AE$1001,MATCH(ROWS($O$2:O995),$O$2:$O$1001,0),MATCH(COLUMNS($V$1006:AB1006),$V$1006:$AE$1006,0)), HYPERLINK("#",""), HYPERLINK(CONCATENATE("#Metadata!", ADDRESS(INDEX($Q$2:$Q$1001,MATCH(ROWS($O$2:O995),$O$2:$O$1001,0),0), INDEX($V$1004:$AE$1004,1,MATCH(COLUMNS($V$1006:AB1006),$V$1006:$AE$1006,0)))),"Fix")))</f>
        <v>0</v>
      </c>
      <c r="I995" s="3">
        <f>IF(OR(INDEX($P$2:$P$1001,MATCH(ROWS($O$2:O995),$O$2:$O$1001,0),1)&gt;=100000,INDEX($V$1005:$AE$1005,1,MATCH(COLUMNS($V$1006:AC1006),$V$1006:$AE$1006,0))&gt;=100000), " ",IF(INDEX($V$2:$AE$1001,MATCH(ROWS($O$2:O995),$O$2:$O$1001,0),MATCH(COLUMNS($V$1006:AC1006),$V$1006:$AE$1006,0)), HYPERLINK("#",""), HYPERLINK(CONCATENATE("#Metadata!", ADDRESS(INDEX($Q$2:$Q$1001,MATCH(ROWS($O$2:O995),$O$2:$O$1001,0),0), INDEX($V$1004:$AE$1004,1,MATCH(COLUMNS($V$1006:AC1006),$V$1006:$AE$1006,0)))),"Fix")))</f>
        <v>0</v>
      </c>
      <c r="J995" s="3">
        <f>IF(OR(INDEX($P$2:$P$1001,MATCH(ROWS($O$2:O995),$O$2:$O$1001,0),1)&gt;=100000,INDEX($V$1005:$AE$1005,1,MATCH(COLUMNS($V$1006:AD1006),$V$1006:$AE$1006,0))&gt;=100000), " ",IF(INDEX($V$2:$AE$1001,MATCH(ROWS($O$2:O995),$O$2:$O$1001,0),MATCH(COLUMNS($V$1006:AD1006),$V$1006:$AE$1006,0)), HYPERLINK("#",""), HYPERLINK(CONCATENATE("#Metadata!", ADDRESS(INDEX($Q$2:$Q$1001,MATCH(ROWS($O$2:O995),$O$2:$O$1001,0),0), INDEX($V$1004:$AE$1004,1,MATCH(COLUMNS($V$1006:AD1006),$V$1006:$AE$1006,0)))),"Fix")))</f>
        <v>0</v>
      </c>
      <c r="K995" s="3">
        <f>IF(OR(INDEX($P$2:$P$1001,MATCH(ROWS($O$2:O995),$O$2:$O$1001,0),1)&gt;=100000,INDEX($V$1005:$AE$1005,1,MATCH(COLUMNS($V$1006:AE1006),$V$1006:$AE$1006,0))&gt;=100000), " ",IF(INDEX($V$2:$AE$1001,MATCH(ROWS($O$2:O995),$O$2:$O$1001,0),MATCH(COLUMNS($V$1006:AE1006),$V$1006:$AE$1006,0)), HYPERLINK("#",""), HYPERLINK(CONCATENATE("#Metadata!", ADDRESS(INDEX($Q$2:$Q$1001,MATCH(ROWS($O$2:O995),$O$2:$O$1001,0),0), INDEX($V$1004:$AE$1004,1,MATCH(COLUMNS($V$1006:AE1006),$V$1006:$AE$1006,0)))),"Fix")))</f>
        <v>0</v>
      </c>
      <c r="O995">
        <v>0</v>
      </c>
      <c r="P995">
        <v>0</v>
      </c>
      <c r="Q995">
        <v>0</v>
      </c>
      <c r="R995">
        <f>IF(S995,TRUE,AND(V995:AE995))</f>
        <v>0</v>
      </c>
      <c r="S995">
        <f>COUNTBLANK(Metadata!B995:K995)=COLUMNS(Metadata!B995:K995)</f>
        <v>0</v>
      </c>
      <c r="T995">
        <v>0</v>
      </c>
      <c r="V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W995">
        <f>AND(IF(Metadata!C995="",FALSE,TRUE),exact(Metadata!C995,"animal secretion"))</f>
        <v>0</v>
      </c>
      <c r="X995">
        <f>AND(IF(Metadata!D995="",FALSE,TRUE),exact(Metadata!D995,"saliva"))</f>
        <v>0</v>
      </c>
      <c r="Y995">
        <f>AND(IF(Metadata!E995="",FALSE,TRUE),exact(Metadata!E995,"human-oral"))</f>
        <v>0</v>
      </c>
      <c r="Z995">
        <f>AND(IF(Metadata!F995="",FALSE,TRUE),exact(Metadata!F995,"UBERON:oral cavity"))</f>
        <v>0</v>
      </c>
      <c r="AA995">
        <f>AND(IF(Metadata!G995="",FALSE,TRUE),exact(Metadata!G995,"UBERON:saliva"))</f>
        <v>0</v>
      </c>
      <c r="AB995">
        <f>AND(IF(Metadata!H995="",FALSE,TRUE),exact(Metadata!H995,"UBERON:tongue"))</f>
        <v>0</v>
      </c>
      <c r="AC995">
        <f>AND(IF(Metadata!I995="",FALSE,TRUE),exact(Metadata!I995,"tongue"))</f>
        <v>0</v>
      </c>
      <c r="AD995">
        <f>AND(IF(Metadata!J995="",FALSE,TRUE),exact(Metadata!J995,"human oral metagenome"))</f>
        <v>0</v>
      </c>
      <c r="AE995">
        <f>AND(IF(Metadata!K995="",FALSE,TRUE),exact(Metadata!K995,"447426"))</f>
        <v>0</v>
      </c>
    </row>
    <row r="996" spans="1:31">
      <c r="A996" s="4">
        <f>IF(B996=" "," ",HYPERLINK(CONCATENATE("#metadata!",ADDRESS(INDEX($Q$2:$Q$1001,MATCH(ROWS($O$2:O996),$O$2:$O$1001,0),0),1)),INDEX($T$2:$T$1001,MATCH(ROWS($O$2:O996),$O$2:$O$1001,0),0)))</f>
        <v>0</v>
      </c>
      <c r="B996" s="3">
        <f>IF(OR(INDEX($P$2:$P$1001,MATCH(ROWS($O$2:O996),$O$2:$O$1001,0),1)&gt;=100000,INDEX($V$1005:$AE$1005,1,MATCH(COLUMNS($V$1006:V1006),$V$1006:$AE$1006,0))&gt;=100000), " ",IF(INDEX($V$2:$AE$1001,MATCH(ROWS($O$2:O996),$O$2:$O$1001,0),MATCH(COLUMNS($V$1006:V1006),$V$1006:$AE$1006,0)), HYPERLINK("#",""), HYPERLINK(CONCATENATE("#Metadata!", ADDRESS(INDEX($Q$2:$Q$1001,MATCH(ROWS($O$2:O996),$O$2:$O$1001,0),0), INDEX($V$1004:$AE$1004,1,MATCH(COLUMNS($V$1006:V1006),$V$1006:$AE$1006,0)))),"Fix")))</f>
        <v>0</v>
      </c>
      <c r="C996" s="3">
        <f>IF(OR(INDEX($P$2:$P$1001,MATCH(ROWS($O$2:O996),$O$2:$O$1001,0),1)&gt;=100000,INDEX($V$1005:$AE$1005,1,MATCH(COLUMNS($V$1006:W1006),$V$1006:$AE$1006,0))&gt;=100000), " ",IF(INDEX($V$2:$AE$1001,MATCH(ROWS($O$2:O996),$O$2:$O$1001,0),MATCH(COLUMNS($V$1006:W1006),$V$1006:$AE$1006,0)), HYPERLINK("#",""), HYPERLINK(CONCATENATE("#Metadata!", ADDRESS(INDEX($Q$2:$Q$1001,MATCH(ROWS($O$2:O996),$O$2:$O$1001,0),0), INDEX($V$1004:$AE$1004,1,MATCH(COLUMNS($V$1006:W1006),$V$1006:$AE$1006,0)))),"Fix")))</f>
        <v>0</v>
      </c>
      <c r="D996" s="3">
        <f>IF(OR(INDEX($P$2:$P$1001,MATCH(ROWS($O$2:O996),$O$2:$O$1001,0),1)&gt;=100000,INDEX($V$1005:$AE$1005,1,MATCH(COLUMNS($V$1006:X1006),$V$1006:$AE$1006,0))&gt;=100000), " ",IF(INDEX($V$2:$AE$1001,MATCH(ROWS($O$2:O996),$O$2:$O$1001,0),MATCH(COLUMNS($V$1006:X1006),$V$1006:$AE$1006,0)), HYPERLINK("#",""), HYPERLINK(CONCATENATE("#Metadata!", ADDRESS(INDEX($Q$2:$Q$1001,MATCH(ROWS($O$2:O996),$O$2:$O$1001,0),0), INDEX($V$1004:$AE$1004,1,MATCH(COLUMNS($V$1006:X1006),$V$1006:$AE$1006,0)))),"Fix")))</f>
        <v>0</v>
      </c>
      <c r="E996" s="3">
        <f>IF(OR(INDEX($P$2:$P$1001,MATCH(ROWS($O$2:O996),$O$2:$O$1001,0),1)&gt;=100000,INDEX($V$1005:$AE$1005,1,MATCH(COLUMNS($V$1006:Y1006),$V$1006:$AE$1006,0))&gt;=100000), " ",IF(INDEX($V$2:$AE$1001,MATCH(ROWS($O$2:O996),$O$2:$O$1001,0),MATCH(COLUMNS($V$1006:Y1006),$V$1006:$AE$1006,0)), HYPERLINK("#",""), HYPERLINK(CONCATENATE("#Metadata!", ADDRESS(INDEX($Q$2:$Q$1001,MATCH(ROWS($O$2:O996),$O$2:$O$1001,0),0), INDEX($V$1004:$AE$1004,1,MATCH(COLUMNS($V$1006:Y1006),$V$1006:$AE$1006,0)))),"Fix")))</f>
        <v>0</v>
      </c>
      <c r="F996" s="3">
        <f>IF(OR(INDEX($P$2:$P$1001,MATCH(ROWS($O$2:O996),$O$2:$O$1001,0),1)&gt;=100000,INDEX($V$1005:$AE$1005,1,MATCH(COLUMNS($V$1006:Z1006),$V$1006:$AE$1006,0))&gt;=100000), " ",IF(INDEX($V$2:$AE$1001,MATCH(ROWS($O$2:O996),$O$2:$O$1001,0),MATCH(COLUMNS($V$1006:Z1006),$V$1006:$AE$1006,0)), HYPERLINK("#",""), HYPERLINK(CONCATENATE("#Metadata!", ADDRESS(INDEX($Q$2:$Q$1001,MATCH(ROWS($O$2:O996),$O$2:$O$1001,0),0), INDEX($V$1004:$AE$1004,1,MATCH(COLUMNS($V$1006:Z1006),$V$1006:$AE$1006,0)))),"Fix")))</f>
        <v>0</v>
      </c>
      <c r="G996" s="3">
        <f>IF(OR(INDEX($P$2:$P$1001,MATCH(ROWS($O$2:O996),$O$2:$O$1001,0),1)&gt;=100000,INDEX($V$1005:$AE$1005,1,MATCH(COLUMNS($V$1006:AA1006),$V$1006:$AE$1006,0))&gt;=100000), " ",IF(INDEX($V$2:$AE$1001,MATCH(ROWS($O$2:O996),$O$2:$O$1001,0),MATCH(COLUMNS($V$1006:AA1006),$V$1006:$AE$1006,0)), HYPERLINK("#",""), HYPERLINK(CONCATENATE("#Metadata!", ADDRESS(INDEX($Q$2:$Q$1001,MATCH(ROWS($O$2:O996),$O$2:$O$1001,0),0), INDEX($V$1004:$AE$1004,1,MATCH(COLUMNS($V$1006:AA1006),$V$1006:$AE$1006,0)))),"Fix")))</f>
        <v>0</v>
      </c>
      <c r="H996" s="3">
        <f>IF(OR(INDEX($P$2:$P$1001,MATCH(ROWS($O$2:O996),$O$2:$O$1001,0),1)&gt;=100000,INDEX($V$1005:$AE$1005,1,MATCH(COLUMNS($V$1006:AB1006),$V$1006:$AE$1006,0))&gt;=100000), " ",IF(INDEX($V$2:$AE$1001,MATCH(ROWS($O$2:O996),$O$2:$O$1001,0),MATCH(COLUMNS($V$1006:AB1006),$V$1006:$AE$1006,0)), HYPERLINK("#",""), HYPERLINK(CONCATENATE("#Metadata!", ADDRESS(INDEX($Q$2:$Q$1001,MATCH(ROWS($O$2:O996),$O$2:$O$1001,0),0), INDEX($V$1004:$AE$1004,1,MATCH(COLUMNS($V$1006:AB1006),$V$1006:$AE$1006,0)))),"Fix")))</f>
        <v>0</v>
      </c>
      <c r="I996" s="3">
        <f>IF(OR(INDEX($P$2:$P$1001,MATCH(ROWS($O$2:O996),$O$2:$O$1001,0),1)&gt;=100000,INDEX($V$1005:$AE$1005,1,MATCH(COLUMNS($V$1006:AC1006),$V$1006:$AE$1006,0))&gt;=100000), " ",IF(INDEX($V$2:$AE$1001,MATCH(ROWS($O$2:O996),$O$2:$O$1001,0),MATCH(COLUMNS($V$1006:AC1006),$V$1006:$AE$1006,0)), HYPERLINK("#",""), HYPERLINK(CONCATENATE("#Metadata!", ADDRESS(INDEX($Q$2:$Q$1001,MATCH(ROWS($O$2:O996),$O$2:$O$1001,0),0), INDEX($V$1004:$AE$1004,1,MATCH(COLUMNS($V$1006:AC1006),$V$1006:$AE$1006,0)))),"Fix")))</f>
        <v>0</v>
      </c>
      <c r="J996" s="3">
        <f>IF(OR(INDEX($P$2:$P$1001,MATCH(ROWS($O$2:O996),$O$2:$O$1001,0),1)&gt;=100000,INDEX($V$1005:$AE$1005,1,MATCH(COLUMNS($V$1006:AD1006),$V$1006:$AE$1006,0))&gt;=100000), " ",IF(INDEX($V$2:$AE$1001,MATCH(ROWS($O$2:O996),$O$2:$O$1001,0),MATCH(COLUMNS($V$1006:AD1006),$V$1006:$AE$1006,0)), HYPERLINK("#",""), HYPERLINK(CONCATENATE("#Metadata!", ADDRESS(INDEX($Q$2:$Q$1001,MATCH(ROWS($O$2:O996),$O$2:$O$1001,0),0), INDEX($V$1004:$AE$1004,1,MATCH(COLUMNS($V$1006:AD1006),$V$1006:$AE$1006,0)))),"Fix")))</f>
        <v>0</v>
      </c>
      <c r="K996" s="3">
        <f>IF(OR(INDEX($P$2:$P$1001,MATCH(ROWS($O$2:O996),$O$2:$O$1001,0),1)&gt;=100000,INDEX($V$1005:$AE$1005,1,MATCH(COLUMNS($V$1006:AE1006),$V$1006:$AE$1006,0))&gt;=100000), " ",IF(INDEX($V$2:$AE$1001,MATCH(ROWS($O$2:O996),$O$2:$O$1001,0),MATCH(COLUMNS($V$1006:AE1006),$V$1006:$AE$1006,0)), HYPERLINK("#",""), HYPERLINK(CONCATENATE("#Metadata!", ADDRESS(INDEX($Q$2:$Q$1001,MATCH(ROWS($O$2:O996),$O$2:$O$1001,0),0), INDEX($V$1004:$AE$1004,1,MATCH(COLUMNS($V$1006:AE1006),$V$1006:$AE$1006,0)))),"Fix")))</f>
        <v>0</v>
      </c>
      <c r="O996">
        <v>0</v>
      </c>
      <c r="P996">
        <v>0</v>
      </c>
      <c r="Q996">
        <v>0</v>
      </c>
      <c r="R996">
        <f>IF(S996,TRUE,AND(V996:AE996))</f>
        <v>0</v>
      </c>
      <c r="S996">
        <f>COUNTBLANK(Metadata!B996:K996)=COLUMNS(Metadata!B996:K996)</f>
        <v>0</v>
      </c>
      <c r="T996">
        <v>0</v>
      </c>
      <c r="V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W996">
        <f>AND(IF(Metadata!C996="",FALSE,TRUE),exact(Metadata!C996,"animal secretion"))</f>
        <v>0</v>
      </c>
      <c r="X996">
        <f>AND(IF(Metadata!D996="",FALSE,TRUE),exact(Metadata!D996,"saliva"))</f>
        <v>0</v>
      </c>
      <c r="Y996">
        <f>AND(IF(Metadata!E996="",FALSE,TRUE),exact(Metadata!E996,"human-oral"))</f>
        <v>0</v>
      </c>
      <c r="Z996">
        <f>AND(IF(Metadata!F996="",FALSE,TRUE),exact(Metadata!F996,"UBERON:oral cavity"))</f>
        <v>0</v>
      </c>
      <c r="AA996">
        <f>AND(IF(Metadata!G996="",FALSE,TRUE),exact(Metadata!G996,"UBERON:saliva"))</f>
        <v>0</v>
      </c>
      <c r="AB996">
        <f>AND(IF(Metadata!H996="",FALSE,TRUE),exact(Metadata!H996,"UBERON:tongue"))</f>
        <v>0</v>
      </c>
      <c r="AC996">
        <f>AND(IF(Metadata!I996="",FALSE,TRUE),exact(Metadata!I996,"tongue"))</f>
        <v>0</v>
      </c>
      <c r="AD996">
        <f>AND(IF(Metadata!J996="",FALSE,TRUE),exact(Metadata!J996,"human oral metagenome"))</f>
        <v>0</v>
      </c>
      <c r="AE996">
        <f>AND(IF(Metadata!K996="",FALSE,TRUE),exact(Metadata!K996,"447426"))</f>
        <v>0</v>
      </c>
    </row>
    <row r="997" spans="1:31">
      <c r="A997" s="4">
        <f>IF(B997=" "," ",HYPERLINK(CONCATENATE("#metadata!",ADDRESS(INDEX($Q$2:$Q$1001,MATCH(ROWS($O$2:O997),$O$2:$O$1001,0),0),1)),INDEX($T$2:$T$1001,MATCH(ROWS($O$2:O997),$O$2:$O$1001,0),0)))</f>
        <v>0</v>
      </c>
      <c r="B997" s="3">
        <f>IF(OR(INDEX($P$2:$P$1001,MATCH(ROWS($O$2:O997),$O$2:$O$1001,0),1)&gt;=100000,INDEX($V$1005:$AE$1005,1,MATCH(COLUMNS($V$1006:V1006),$V$1006:$AE$1006,0))&gt;=100000), " ",IF(INDEX($V$2:$AE$1001,MATCH(ROWS($O$2:O997),$O$2:$O$1001,0),MATCH(COLUMNS($V$1006:V1006),$V$1006:$AE$1006,0)), HYPERLINK("#",""), HYPERLINK(CONCATENATE("#Metadata!", ADDRESS(INDEX($Q$2:$Q$1001,MATCH(ROWS($O$2:O997),$O$2:$O$1001,0),0), INDEX($V$1004:$AE$1004,1,MATCH(COLUMNS($V$1006:V1006),$V$1006:$AE$1006,0)))),"Fix")))</f>
        <v>0</v>
      </c>
      <c r="C997" s="3">
        <f>IF(OR(INDEX($P$2:$P$1001,MATCH(ROWS($O$2:O997),$O$2:$O$1001,0),1)&gt;=100000,INDEX($V$1005:$AE$1005,1,MATCH(COLUMNS($V$1006:W1006),$V$1006:$AE$1006,0))&gt;=100000), " ",IF(INDEX($V$2:$AE$1001,MATCH(ROWS($O$2:O997),$O$2:$O$1001,0),MATCH(COLUMNS($V$1006:W1006),$V$1006:$AE$1006,0)), HYPERLINK("#",""), HYPERLINK(CONCATENATE("#Metadata!", ADDRESS(INDEX($Q$2:$Q$1001,MATCH(ROWS($O$2:O997),$O$2:$O$1001,0),0), INDEX($V$1004:$AE$1004,1,MATCH(COLUMNS($V$1006:W1006),$V$1006:$AE$1006,0)))),"Fix")))</f>
        <v>0</v>
      </c>
      <c r="D997" s="3">
        <f>IF(OR(INDEX($P$2:$P$1001,MATCH(ROWS($O$2:O997),$O$2:$O$1001,0),1)&gt;=100000,INDEX($V$1005:$AE$1005,1,MATCH(COLUMNS($V$1006:X1006),$V$1006:$AE$1006,0))&gt;=100000), " ",IF(INDEX($V$2:$AE$1001,MATCH(ROWS($O$2:O997),$O$2:$O$1001,0),MATCH(COLUMNS($V$1006:X1006),$V$1006:$AE$1006,0)), HYPERLINK("#",""), HYPERLINK(CONCATENATE("#Metadata!", ADDRESS(INDEX($Q$2:$Q$1001,MATCH(ROWS($O$2:O997),$O$2:$O$1001,0),0), INDEX($V$1004:$AE$1004,1,MATCH(COLUMNS($V$1006:X1006),$V$1006:$AE$1006,0)))),"Fix")))</f>
        <v>0</v>
      </c>
      <c r="E997" s="3">
        <f>IF(OR(INDEX($P$2:$P$1001,MATCH(ROWS($O$2:O997),$O$2:$O$1001,0),1)&gt;=100000,INDEX($V$1005:$AE$1005,1,MATCH(COLUMNS($V$1006:Y1006),$V$1006:$AE$1006,0))&gt;=100000), " ",IF(INDEX($V$2:$AE$1001,MATCH(ROWS($O$2:O997),$O$2:$O$1001,0),MATCH(COLUMNS($V$1006:Y1006),$V$1006:$AE$1006,0)), HYPERLINK("#",""), HYPERLINK(CONCATENATE("#Metadata!", ADDRESS(INDEX($Q$2:$Q$1001,MATCH(ROWS($O$2:O997),$O$2:$O$1001,0),0), INDEX($V$1004:$AE$1004,1,MATCH(COLUMNS($V$1006:Y1006),$V$1006:$AE$1006,0)))),"Fix")))</f>
        <v>0</v>
      </c>
      <c r="F997" s="3">
        <f>IF(OR(INDEX($P$2:$P$1001,MATCH(ROWS($O$2:O997),$O$2:$O$1001,0),1)&gt;=100000,INDEX($V$1005:$AE$1005,1,MATCH(COLUMNS($V$1006:Z1006),$V$1006:$AE$1006,0))&gt;=100000), " ",IF(INDEX($V$2:$AE$1001,MATCH(ROWS($O$2:O997),$O$2:$O$1001,0),MATCH(COLUMNS($V$1006:Z1006),$V$1006:$AE$1006,0)), HYPERLINK("#",""), HYPERLINK(CONCATENATE("#Metadata!", ADDRESS(INDEX($Q$2:$Q$1001,MATCH(ROWS($O$2:O997),$O$2:$O$1001,0),0), INDEX($V$1004:$AE$1004,1,MATCH(COLUMNS($V$1006:Z1006),$V$1006:$AE$1006,0)))),"Fix")))</f>
        <v>0</v>
      </c>
      <c r="G997" s="3">
        <f>IF(OR(INDEX($P$2:$P$1001,MATCH(ROWS($O$2:O997),$O$2:$O$1001,0),1)&gt;=100000,INDEX($V$1005:$AE$1005,1,MATCH(COLUMNS($V$1006:AA1006),$V$1006:$AE$1006,0))&gt;=100000), " ",IF(INDEX($V$2:$AE$1001,MATCH(ROWS($O$2:O997),$O$2:$O$1001,0),MATCH(COLUMNS($V$1006:AA1006),$V$1006:$AE$1006,0)), HYPERLINK("#",""), HYPERLINK(CONCATENATE("#Metadata!", ADDRESS(INDEX($Q$2:$Q$1001,MATCH(ROWS($O$2:O997),$O$2:$O$1001,0),0), INDEX($V$1004:$AE$1004,1,MATCH(COLUMNS($V$1006:AA1006),$V$1006:$AE$1006,0)))),"Fix")))</f>
        <v>0</v>
      </c>
      <c r="H997" s="3">
        <f>IF(OR(INDEX($P$2:$P$1001,MATCH(ROWS($O$2:O997),$O$2:$O$1001,0),1)&gt;=100000,INDEX($V$1005:$AE$1005,1,MATCH(COLUMNS($V$1006:AB1006),$V$1006:$AE$1006,0))&gt;=100000), " ",IF(INDEX($V$2:$AE$1001,MATCH(ROWS($O$2:O997),$O$2:$O$1001,0),MATCH(COLUMNS($V$1006:AB1006),$V$1006:$AE$1006,0)), HYPERLINK("#",""), HYPERLINK(CONCATENATE("#Metadata!", ADDRESS(INDEX($Q$2:$Q$1001,MATCH(ROWS($O$2:O997),$O$2:$O$1001,0),0), INDEX($V$1004:$AE$1004,1,MATCH(COLUMNS($V$1006:AB1006),$V$1006:$AE$1006,0)))),"Fix")))</f>
        <v>0</v>
      </c>
      <c r="I997" s="3">
        <f>IF(OR(INDEX($P$2:$P$1001,MATCH(ROWS($O$2:O997),$O$2:$O$1001,0),1)&gt;=100000,INDEX($V$1005:$AE$1005,1,MATCH(COLUMNS($V$1006:AC1006),$V$1006:$AE$1006,0))&gt;=100000), " ",IF(INDEX($V$2:$AE$1001,MATCH(ROWS($O$2:O997),$O$2:$O$1001,0),MATCH(COLUMNS($V$1006:AC1006),$V$1006:$AE$1006,0)), HYPERLINK("#",""), HYPERLINK(CONCATENATE("#Metadata!", ADDRESS(INDEX($Q$2:$Q$1001,MATCH(ROWS($O$2:O997),$O$2:$O$1001,0),0), INDEX($V$1004:$AE$1004,1,MATCH(COLUMNS($V$1006:AC1006),$V$1006:$AE$1006,0)))),"Fix")))</f>
        <v>0</v>
      </c>
      <c r="J997" s="3">
        <f>IF(OR(INDEX($P$2:$P$1001,MATCH(ROWS($O$2:O997),$O$2:$O$1001,0),1)&gt;=100000,INDEX($V$1005:$AE$1005,1,MATCH(COLUMNS($V$1006:AD1006),$V$1006:$AE$1006,0))&gt;=100000), " ",IF(INDEX($V$2:$AE$1001,MATCH(ROWS($O$2:O997),$O$2:$O$1001,0),MATCH(COLUMNS($V$1006:AD1006),$V$1006:$AE$1006,0)), HYPERLINK("#",""), HYPERLINK(CONCATENATE("#Metadata!", ADDRESS(INDEX($Q$2:$Q$1001,MATCH(ROWS($O$2:O997),$O$2:$O$1001,0),0), INDEX($V$1004:$AE$1004,1,MATCH(COLUMNS($V$1006:AD1006),$V$1006:$AE$1006,0)))),"Fix")))</f>
        <v>0</v>
      </c>
      <c r="K997" s="3">
        <f>IF(OR(INDEX($P$2:$P$1001,MATCH(ROWS($O$2:O997),$O$2:$O$1001,0),1)&gt;=100000,INDEX($V$1005:$AE$1005,1,MATCH(COLUMNS($V$1006:AE1006),$V$1006:$AE$1006,0))&gt;=100000), " ",IF(INDEX($V$2:$AE$1001,MATCH(ROWS($O$2:O997),$O$2:$O$1001,0),MATCH(COLUMNS($V$1006:AE1006),$V$1006:$AE$1006,0)), HYPERLINK("#",""), HYPERLINK(CONCATENATE("#Metadata!", ADDRESS(INDEX($Q$2:$Q$1001,MATCH(ROWS($O$2:O997),$O$2:$O$1001,0),0), INDEX($V$1004:$AE$1004,1,MATCH(COLUMNS($V$1006:AE1006),$V$1006:$AE$1006,0)))),"Fix")))</f>
        <v>0</v>
      </c>
      <c r="O997">
        <v>0</v>
      </c>
      <c r="P997">
        <v>0</v>
      </c>
      <c r="Q997">
        <v>0</v>
      </c>
      <c r="R997">
        <f>IF(S997,TRUE,AND(V997:AE997))</f>
        <v>0</v>
      </c>
      <c r="S997">
        <f>COUNTBLANK(Metadata!B997:K997)=COLUMNS(Metadata!B997:K997)</f>
        <v>0</v>
      </c>
      <c r="T997">
        <v>0</v>
      </c>
      <c r="V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W997">
        <f>AND(IF(Metadata!C997="",FALSE,TRUE),exact(Metadata!C997,"animal secretion"))</f>
        <v>0</v>
      </c>
      <c r="X997">
        <f>AND(IF(Metadata!D997="",FALSE,TRUE),exact(Metadata!D997,"saliva"))</f>
        <v>0</v>
      </c>
      <c r="Y997">
        <f>AND(IF(Metadata!E997="",FALSE,TRUE),exact(Metadata!E997,"human-oral"))</f>
        <v>0</v>
      </c>
      <c r="Z997">
        <f>AND(IF(Metadata!F997="",FALSE,TRUE),exact(Metadata!F997,"UBERON:oral cavity"))</f>
        <v>0</v>
      </c>
      <c r="AA997">
        <f>AND(IF(Metadata!G997="",FALSE,TRUE),exact(Metadata!G997,"UBERON:saliva"))</f>
        <v>0</v>
      </c>
      <c r="AB997">
        <f>AND(IF(Metadata!H997="",FALSE,TRUE),exact(Metadata!H997,"UBERON:tongue"))</f>
        <v>0</v>
      </c>
      <c r="AC997">
        <f>AND(IF(Metadata!I997="",FALSE,TRUE),exact(Metadata!I997,"tongue"))</f>
        <v>0</v>
      </c>
      <c r="AD997">
        <f>AND(IF(Metadata!J997="",FALSE,TRUE),exact(Metadata!J997,"human oral metagenome"))</f>
        <v>0</v>
      </c>
      <c r="AE997">
        <f>AND(IF(Metadata!K997="",FALSE,TRUE),exact(Metadata!K997,"447426"))</f>
        <v>0</v>
      </c>
    </row>
    <row r="998" spans="1:31">
      <c r="A998" s="4">
        <f>IF(B998=" "," ",HYPERLINK(CONCATENATE("#metadata!",ADDRESS(INDEX($Q$2:$Q$1001,MATCH(ROWS($O$2:O998),$O$2:$O$1001,0),0),1)),INDEX($T$2:$T$1001,MATCH(ROWS($O$2:O998),$O$2:$O$1001,0),0)))</f>
        <v>0</v>
      </c>
      <c r="B998" s="3">
        <f>IF(OR(INDEX($P$2:$P$1001,MATCH(ROWS($O$2:O998),$O$2:$O$1001,0),1)&gt;=100000,INDEX($V$1005:$AE$1005,1,MATCH(COLUMNS($V$1006:V1006),$V$1006:$AE$1006,0))&gt;=100000), " ",IF(INDEX($V$2:$AE$1001,MATCH(ROWS($O$2:O998),$O$2:$O$1001,0),MATCH(COLUMNS($V$1006:V1006),$V$1006:$AE$1006,0)), HYPERLINK("#",""), HYPERLINK(CONCATENATE("#Metadata!", ADDRESS(INDEX($Q$2:$Q$1001,MATCH(ROWS($O$2:O998),$O$2:$O$1001,0),0), INDEX($V$1004:$AE$1004,1,MATCH(COLUMNS($V$1006:V1006),$V$1006:$AE$1006,0)))),"Fix")))</f>
        <v>0</v>
      </c>
      <c r="C998" s="3">
        <f>IF(OR(INDEX($P$2:$P$1001,MATCH(ROWS($O$2:O998),$O$2:$O$1001,0),1)&gt;=100000,INDEX($V$1005:$AE$1005,1,MATCH(COLUMNS($V$1006:W1006),$V$1006:$AE$1006,0))&gt;=100000), " ",IF(INDEX($V$2:$AE$1001,MATCH(ROWS($O$2:O998),$O$2:$O$1001,0),MATCH(COLUMNS($V$1006:W1006),$V$1006:$AE$1006,0)), HYPERLINK("#",""), HYPERLINK(CONCATENATE("#Metadata!", ADDRESS(INDEX($Q$2:$Q$1001,MATCH(ROWS($O$2:O998),$O$2:$O$1001,0),0), INDEX($V$1004:$AE$1004,1,MATCH(COLUMNS($V$1006:W1006),$V$1006:$AE$1006,0)))),"Fix")))</f>
        <v>0</v>
      </c>
      <c r="D998" s="3">
        <f>IF(OR(INDEX($P$2:$P$1001,MATCH(ROWS($O$2:O998),$O$2:$O$1001,0),1)&gt;=100000,INDEX($V$1005:$AE$1005,1,MATCH(COLUMNS($V$1006:X1006),$V$1006:$AE$1006,0))&gt;=100000), " ",IF(INDEX($V$2:$AE$1001,MATCH(ROWS($O$2:O998),$O$2:$O$1001,0),MATCH(COLUMNS($V$1006:X1006),$V$1006:$AE$1006,0)), HYPERLINK("#",""), HYPERLINK(CONCATENATE("#Metadata!", ADDRESS(INDEX($Q$2:$Q$1001,MATCH(ROWS($O$2:O998),$O$2:$O$1001,0),0), INDEX($V$1004:$AE$1004,1,MATCH(COLUMNS($V$1006:X1006),$V$1006:$AE$1006,0)))),"Fix")))</f>
        <v>0</v>
      </c>
      <c r="E998" s="3">
        <f>IF(OR(INDEX($P$2:$P$1001,MATCH(ROWS($O$2:O998),$O$2:$O$1001,0),1)&gt;=100000,INDEX($V$1005:$AE$1005,1,MATCH(COLUMNS($V$1006:Y1006),$V$1006:$AE$1006,0))&gt;=100000), " ",IF(INDEX($V$2:$AE$1001,MATCH(ROWS($O$2:O998),$O$2:$O$1001,0),MATCH(COLUMNS($V$1006:Y1006),$V$1006:$AE$1006,0)), HYPERLINK("#",""), HYPERLINK(CONCATENATE("#Metadata!", ADDRESS(INDEX($Q$2:$Q$1001,MATCH(ROWS($O$2:O998),$O$2:$O$1001,0),0), INDEX($V$1004:$AE$1004,1,MATCH(COLUMNS($V$1006:Y1006),$V$1006:$AE$1006,0)))),"Fix")))</f>
        <v>0</v>
      </c>
      <c r="F998" s="3">
        <f>IF(OR(INDEX($P$2:$P$1001,MATCH(ROWS($O$2:O998),$O$2:$O$1001,0),1)&gt;=100000,INDEX($V$1005:$AE$1005,1,MATCH(COLUMNS($V$1006:Z1006),$V$1006:$AE$1006,0))&gt;=100000), " ",IF(INDEX($V$2:$AE$1001,MATCH(ROWS($O$2:O998),$O$2:$O$1001,0),MATCH(COLUMNS($V$1006:Z1006),$V$1006:$AE$1006,0)), HYPERLINK("#",""), HYPERLINK(CONCATENATE("#Metadata!", ADDRESS(INDEX($Q$2:$Q$1001,MATCH(ROWS($O$2:O998),$O$2:$O$1001,0),0), INDEX($V$1004:$AE$1004,1,MATCH(COLUMNS($V$1006:Z1006),$V$1006:$AE$1006,0)))),"Fix")))</f>
        <v>0</v>
      </c>
      <c r="G998" s="3">
        <f>IF(OR(INDEX($P$2:$P$1001,MATCH(ROWS($O$2:O998),$O$2:$O$1001,0),1)&gt;=100000,INDEX($V$1005:$AE$1005,1,MATCH(COLUMNS($V$1006:AA1006),$V$1006:$AE$1006,0))&gt;=100000), " ",IF(INDEX($V$2:$AE$1001,MATCH(ROWS($O$2:O998),$O$2:$O$1001,0),MATCH(COLUMNS($V$1006:AA1006),$V$1006:$AE$1006,0)), HYPERLINK("#",""), HYPERLINK(CONCATENATE("#Metadata!", ADDRESS(INDEX($Q$2:$Q$1001,MATCH(ROWS($O$2:O998),$O$2:$O$1001,0),0), INDEX($V$1004:$AE$1004,1,MATCH(COLUMNS($V$1006:AA1006),$V$1006:$AE$1006,0)))),"Fix")))</f>
        <v>0</v>
      </c>
      <c r="H998" s="3">
        <f>IF(OR(INDEX($P$2:$P$1001,MATCH(ROWS($O$2:O998),$O$2:$O$1001,0),1)&gt;=100000,INDEX($V$1005:$AE$1005,1,MATCH(COLUMNS($V$1006:AB1006),$V$1006:$AE$1006,0))&gt;=100000), " ",IF(INDEX($V$2:$AE$1001,MATCH(ROWS($O$2:O998),$O$2:$O$1001,0),MATCH(COLUMNS($V$1006:AB1006),$V$1006:$AE$1006,0)), HYPERLINK("#",""), HYPERLINK(CONCATENATE("#Metadata!", ADDRESS(INDEX($Q$2:$Q$1001,MATCH(ROWS($O$2:O998),$O$2:$O$1001,0),0), INDEX($V$1004:$AE$1004,1,MATCH(COLUMNS($V$1006:AB1006),$V$1006:$AE$1006,0)))),"Fix")))</f>
        <v>0</v>
      </c>
      <c r="I998" s="3">
        <f>IF(OR(INDEX($P$2:$P$1001,MATCH(ROWS($O$2:O998),$O$2:$O$1001,0),1)&gt;=100000,INDEX($V$1005:$AE$1005,1,MATCH(COLUMNS($V$1006:AC1006),$V$1006:$AE$1006,0))&gt;=100000), " ",IF(INDEX($V$2:$AE$1001,MATCH(ROWS($O$2:O998),$O$2:$O$1001,0),MATCH(COLUMNS($V$1006:AC1006),$V$1006:$AE$1006,0)), HYPERLINK("#",""), HYPERLINK(CONCATENATE("#Metadata!", ADDRESS(INDEX($Q$2:$Q$1001,MATCH(ROWS($O$2:O998),$O$2:$O$1001,0),0), INDEX($V$1004:$AE$1004,1,MATCH(COLUMNS($V$1006:AC1006),$V$1006:$AE$1006,0)))),"Fix")))</f>
        <v>0</v>
      </c>
      <c r="J998" s="3">
        <f>IF(OR(INDEX($P$2:$P$1001,MATCH(ROWS($O$2:O998),$O$2:$O$1001,0),1)&gt;=100000,INDEX($V$1005:$AE$1005,1,MATCH(COLUMNS($V$1006:AD1006),$V$1006:$AE$1006,0))&gt;=100000), " ",IF(INDEX($V$2:$AE$1001,MATCH(ROWS($O$2:O998),$O$2:$O$1001,0),MATCH(COLUMNS($V$1006:AD1006),$V$1006:$AE$1006,0)), HYPERLINK("#",""), HYPERLINK(CONCATENATE("#Metadata!", ADDRESS(INDEX($Q$2:$Q$1001,MATCH(ROWS($O$2:O998),$O$2:$O$1001,0),0), INDEX($V$1004:$AE$1004,1,MATCH(COLUMNS($V$1006:AD1006),$V$1006:$AE$1006,0)))),"Fix")))</f>
        <v>0</v>
      </c>
      <c r="K998" s="3">
        <f>IF(OR(INDEX($P$2:$P$1001,MATCH(ROWS($O$2:O998),$O$2:$O$1001,0),1)&gt;=100000,INDEX($V$1005:$AE$1005,1,MATCH(COLUMNS($V$1006:AE1006),$V$1006:$AE$1006,0))&gt;=100000), " ",IF(INDEX($V$2:$AE$1001,MATCH(ROWS($O$2:O998),$O$2:$O$1001,0),MATCH(COLUMNS($V$1006:AE1006),$V$1006:$AE$1006,0)), HYPERLINK("#",""), HYPERLINK(CONCATENATE("#Metadata!", ADDRESS(INDEX($Q$2:$Q$1001,MATCH(ROWS($O$2:O998),$O$2:$O$1001,0),0), INDEX($V$1004:$AE$1004,1,MATCH(COLUMNS($V$1006:AE1006),$V$1006:$AE$1006,0)))),"Fix")))</f>
        <v>0</v>
      </c>
      <c r="O998">
        <v>0</v>
      </c>
      <c r="P998">
        <v>0</v>
      </c>
      <c r="Q998">
        <v>0</v>
      </c>
      <c r="R998">
        <f>IF(S998,TRUE,AND(V998:AE998))</f>
        <v>0</v>
      </c>
      <c r="S998">
        <f>COUNTBLANK(Metadata!B998:K998)=COLUMNS(Metadata!B998:K998)</f>
        <v>0</v>
      </c>
      <c r="T998">
        <v>0</v>
      </c>
      <c r="V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W998">
        <f>AND(IF(Metadata!C998="",FALSE,TRUE),exact(Metadata!C998,"animal secretion"))</f>
        <v>0</v>
      </c>
      <c r="X998">
        <f>AND(IF(Metadata!D998="",FALSE,TRUE),exact(Metadata!D998,"saliva"))</f>
        <v>0</v>
      </c>
      <c r="Y998">
        <f>AND(IF(Metadata!E998="",FALSE,TRUE),exact(Metadata!E998,"human-oral"))</f>
        <v>0</v>
      </c>
      <c r="Z998">
        <f>AND(IF(Metadata!F998="",FALSE,TRUE),exact(Metadata!F998,"UBERON:oral cavity"))</f>
        <v>0</v>
      </c>
      <c r="AA998">
        <f>AND(IF(Metadata!G998="",FALSE,TRUE),exact(Metadata!G998,"UBERON:saliva"))</f>
        <v>0</v>
      </c>
      <c r="AB998">
        <f>AND(IF(Metadata!H998="",FALSE,TRUE),exact(Metadata!H998,"UBERON:tongue"))</f>
        <v>0</v>
      </c>
      <c r="AC998">
        <f>AND(IF(Metadata!I998="",FALSE,TRUE),exact(Metadata!I998,"tongue"))</f>
        <v>0</v>
      </c>
      <c r="AD998">
        <f>AND(IF(Metadata!J998="",FALSE,TRUE),exact(Metadata!J998,"human oral metagenome"))</f>
        <v>0</v>
      </c>
      <c r="AE998">
        <f>AND(IF(Metadata!K998="",FALSE,TRUE),exact(Metadata!K998,"447426"))</f>
        <v>0</v>
      </c>
    </row>
    <row r="999" spans="1:31">
      <c r="A999" s="4">
        <f>IF(B999=" "," ",HYPERLINK(CONCATENATE("#metadata!",ADDRESS(INDEX($Q$2:$Q$1001,MATCH(ROWS($O$2:O999),$O$2:$O$1001,0),0),1)),INDEX($T$2:$T$1001,MATCH(ROWS($O$2:O999),$O$2:$O$1001,0),0)))</f>
        <v>0</v>
      </c>
      <c r="B999" s="3">
        <f>IF(OR(INDEX($P$2:$P$1001,MATCH(ROWS($O$2:O999),$O$2:$O$1001,0),1)&gt;=100000,INDEX($V$1005:$AE$1005,1,MATCH(COLUMNS($V$1006:V1006),$V$1006:$AE$1006,0))&gt;=100000), " ",IF(INDEX($V$2:$AE$1001,MATCH(ROWS($O$2:O999),$O$2:$O$1001,0),MATCH(COLUMNS($V$1006:V1006),$V$1006:$AE$1006,0)), HYPERLINK("#",""), HYPERLINK(CONCATENATE("#Metadata!", ADDRESS(INDEX($Q$2:$Q$1001,MATCH(ROWS($O$2:O999),$O$2:$O$1001,0),0), INDEX($V$1004:$AE$1004,1,MATCH(COLUMNS($V$1006:V1006),$V$1006:$AE$1006,0)))),"Fix")))</f>
        <v>0</v>
      </c>
      <c r="C999" s="3">
        <f>IF(OR(INDEX($P$2:$P$1001,MATCH(ROWS($O$2:O999),$O$2:$O$1001,0),1)&gt;=100000,INDEX($V$1005:$AE$1005,1,MATCH(COLUMNS($V$1006:W1006),$V$1006:$AE$1006,0))&gt;=100000), " ",IF(INDEX($V$2:$AE$1001,MATCH(ROWS($O$2:O999),$O$2:$O$1001,0),MATCH(COLUMNS($V$1006:W1006),$V$1006:$AE$1006,0)), HYPERLINK("#",""), HYPERLINK(CONCATENATE("#Metadata!", ADDRESS(INDEX($Q$2:$Q$1001,MATCH(ROWS($O$2:O999),$O$2:$O$1001,0),0), INDEX($V$1004:$AE$1004,1,MATCH(COLUMNS($V$1006:W1006),$V$1006:$AE$1006,0)))),"Fix")))</f>
        <v>0</v>
      </c>
      <c r="D999" s="3">
        <f>IF(OR(INDEX($P$2:$P$1001,MATCH(ROWS($O$2:O999),$O$2:$O$1001,0),1)&gt;=100000,INDEX($V$1005:$AE$1005,1,MATCH(COLUMNS($V$1006:X1006),$V$1006:$AE$1006,0))&gt;=100000), " ",IF(INDEX($V$2:$AE$1001,MATCH(ROWS($O$2:O999),$O$2:$O$1001,0),MATCH(COLUMNS($V$1006:X1006),$V$1006:$AE$1006,0)), HYPERLINK("#",""), HYPERLINK(CONCATENATE("#Metadata!", ADDRESS(INDEX($Q$2:$Q$1001,MATCH(ROWS($O$2:O999),$O$2:$O$1001,0),0), INDEX($V$1004:$AE$1004,1,MATCH(COLUMNS($V$1006:X1006),$V$1006:$AE$1006,0)))),"Fix")))</f>
        <v>0</v>
      </c>
      <c r="E999" s="3">
        <f>IF(OR(INDEX($P$2:$P$1001,MATCH(ROWS($O$2:O999),$O$2:$O$1001,0),1)&gt;=100000,INDEX($V$1005:$AE$1005,1,MATCH(COLUMNS($V$1006:Y1006),$V$1006:$AE$1006,0))&gt;=100000), " ",IF(INDEX($V$2:$AE$1001,MATCH(ROWS($O$2:O999),$O$2:$O$1001,0),MATCH(COLUMNS($V$1006:Y1006),$V$1006:$AE$1006,0)), HYPERLINK("#",""), HYPERLINK(CONCATENATE("#Metadata!", ADDRESS(INDEX($Q$2:$Q$1001,MATCH(ROWS($O$2:O999),$O$2:$O$1001,0),0), INDEX($V$1004:$AE$1004,1,MATCH(COLUMNS($V$1006:Y1006),$V$1006:$AE$1006,0)))),"Fix")))</f>
        <v>0</v>
      </c>
      <c r="F999" s="3">
        <f>IF(OR(INDEX($P$2:$P$1001,MATCH(ROWS($O$2:O999),$O$2:$O$1001,0),1)&gt;=100000,INDEX($V$1005:$AE$1005,1,MATCH(COLUMNS($V$1006:Z1006),$V$1006:$AE$1006,0))&gt;=100000), " ",IF(INDEX($V$2:$AE$1001,MATCH(ROWS($O$2:O999),$O$2:$O$1001,0),MATCH(COLUMNS($V$1006:Z1006),$V$1006:$AE$1006,0)), HYPERLINK("#",""), HYPERLINK(CONCATENATE("#Metadata!", ADDRESS(INDEX($Q$2:$Q$1001,MATCH(ROWS($O$2:O999),$O$2:$O$1001,0),0), INDEX($V$1004:$AE$1004,1,MATCH(COLUMNS($V$1006:Z1006),$V$1006:$AE$1006,0)))),"Fix")))</f>
        <v>0</v>
      </c>
      <c r="G999" s="3">
        <f>IF(OR(INDEX($P$2:$P$1001,MATCH(ROWS($O$2:O999),$O$2:$O$1001,0),1)&gt;=100000,INDEX($V$1005:$AE$1005,1,MATCH(COLUMNS($V$1006:AA1006),$V$1006:$AE$1006,0))&gt;=100000), " ",IF(INDEX($V$2:$AE$1001,MATCH(ROWS($O$2:O999),$O$2:$O$1001,0),MATCH(COLUMNS($V$1006:AA1006),$V$1006:$AE$1006,0)), HYPERLINK("#",""), HYPERLINK(CONCATENATE("#Metadata!", ADDRESS(INDEX($Q$2:$Q$1001,MATCH(ROWS($O$2:O999),$O$2:$O$1001,0),0), INDEX($V$1004:$AE$1004,1,MATCH(COLUMNS($V$1006:AA1006),$V$1006:$AE$1006,0)))),"Fix")))</f>
        <v>0</v>
      </c>
      <c r="H999" s="3">
        <f>IF(OR(INDEX($P$2:$P$1001,MATCH(ROWS($O$2:O999),$O$2:$O$1001,0),1)&gt;=100000,INDEX($V$1005:$AE$1005,1,MATCH(COLUMNS($V$1006:AB1006),$V$1006:$AE$1006,0))&gt;=100000), " ",IF(INDEX($V$2:$AE$1001,MATCH(ROWS($O$2:O999),$O$2:$O$1001,0),MATCH(COLUMNS($V$1006:AB1006),$V$1006:$AE$1006,0)), HYPERLINK("#",""), HYPERLINK(CONCATENATE("#Metadata!", ADDRESS(INDEX($Q$2:$Q$1001,MATCH(ROWS($O$2:O999),$O$2:$O$1001,0),0), INDEX($V$1004:$AE$1004,1,MATCH(COLUMNS($V$1006:AB1006),$V$1006:$AE$1006,0)))),"Fix")))</f>
        <v>0</v>
      </c>
      <c r="I999" s="3">
        <f>IF(OR(INDEX($P$2:$P$1001,MATCH(ROWS($O$2:O999),$O$2:$O$1001,0),1)&gt;=100000,INDEX($V$1005:$AE$1005,1,MATCH(COLUMNS($V$1006:AC1006),$V$1006:$AE$1006,0))&gt;=100000), " ",IF(INDEX($V$2:$AE$1001,MATCH(ROWS($O$2:O999),$O$2:$O$1001,0),MATCH(COLUMNS($V$1006:AC1006),$V$1006:$AE$1006,0)), HYPERLINK("#",""), HYPERLINK(CONCATENATE("#Metadata!", ADDRESS(INDEX($Q$2:$Q$1001,MATCH(ROWS($O$2:O999),$O$2:$O$1001,0),0), INDEX($V$1004:$AE$1004,1,MATCH(COLUMNS($V$1006:AC1006),$V$1006:$AE$1006,0)))),"Fix")))</f>
        <v>0</v>
      </c>
      <c r="J999" s="3">
        <f>IF(OR(INDEX($P$2:$P$1001,MATCH(ROWS($O$2:O999),$O$2:$O$1001,0),1)&gt;=100000,INDEX($V$1005:$AE$1005,1,MATCH(COLUMNS($V$1006:AD1006),$V$1006:$AE$1006,0))&gt;=100000), " ",IF(INDEX($V$2:$AE$1001,MATCH(ROWS($O$2:O999),$O$2:$O$1001,0),MATCH(COLUMNS($V$1006:AD1006),$V$1006:$AE$1006,0)), HYPERLINK("#",""), HYPERLINK(CONCATENATE("#Metadata!", ADDRESS(INDEX($Q$2:$Q$1001,MATCH(ROWS($O$2:O999),$O$2:$O$1001,0),0), INDEX($V$1004:$AE$1004,1,MATCH(COLUMNS($V$1006:AD1006),$V$1006:$AE$1006,0)))),"Fix")))</f>
        <v>0</v>
      </c>
      <c r="K999" s="3">
        <f>IF(OR(INDEX($P$2:$P$1001,MATCH(ROWS($O$2:O999),$O$2:$O$1001,0),1)&gt;=100000,INDEX($V$1005:$AE$1005,1,MATCH(COLUMNS($V$1006:AE1006),$V$1006:$AE$1006,0))&gt;=100000), " ",IF(INDEX($V$2:$AE$1001,MATCH(ROWS($O$2:O999),$O$2:$O$1001,0),MATCH(COLUMNS($V$1006:AE1006),$V$1006:$AE$1006,0)), HYPERLINK("#",""), HYPERLINK(CONCATENATE("#Metadata!", ADDRESS(INDEX($Q$2:$Q$1001,MATCH(ROWS($O$2:O999),$O$2:$O$1001,0),0), INDEX($V$1004:$AE$1004,1,MATCH(COLUMNS($V$1006:AE1006),$V$1006:$AE$1006,0)))),"Fix")))</f>
        <v>0</v>
      </c>
      <c r="O999">
        <v>0</v>
      </c>
      <c r="P999">
        <v>0</v>
      </c>
      <c r="Q999">
        <v>0</v>
      </c>
      <c r="R999">
        <f>IF(S999,TRUE,AND(V999:AE999))</f>
        <v>0</v>
      </c>
      <c r="S999">
        <f>COUNTBLANK(Metadata!B999:K999)=COLUMNS(Metadata!B999:K999)</f>
        <v>0</v>
      </c>
      <c r="T999">
        <v>0</v>
      </c>
      <c r="V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W999">
        <f>AND(IF(Metadata!C999="",FALSE,TRUE),exact(Metadata!C999,"animal secretion"))</f>
        <v>0</v>
      </c>
      <c r="X999">
        <f>AND(IF(Metadata!D999="",FALSE,TRUE),exact(Metadata!D999,"saliva"))</f>
        <v>0</v>
      </c>
      <c r="Y999">
        <f>AND(IF(Metadata!E999="",FALSE,TRUE),exact(Metadata!E999,"human-oral"))</f>
        <v>0</v>
      </c>
      <c r="Z999">
        <f>AND(IF(Metadata!F999="",FALSE,TRUE),exact(Metadata!F999,"UBERON:oral cavity"))</f>
        <v>0</v>
      </c>
      <c r="AA999">
        <f>AND(IF(Metadata!G999="",FALSE,TRUE),exact(Metadata!G999,"UBERON:saliva"))</f>
        <v>0</v>
      </c>
      <c r="AB999">
        <f>AND(IF(Metadata!H999="",FALSE,TRUE),exact(Metadata!H999,"UBERON:tongue"))</f>
        <v>0</v>
      </c>
      <c r="AC999">
        <f>AND(IF(Metadata!I999="",FALSE,TRUE),exact(Metadata!I999,"tongue"))</f>
        <v>0</v>
      </c>
      <c r="AD999">
        <f>AND(IF(Metadata!J999="",FALSE,TRUE),exact(Metadata!J999,"human oral metagenome"))</f>
        <v>0</v>
      </c>
      <c r="AE999">
        <f>AND(IF(Metadata!K999="",FALSE,TRUE),exact(Metadata!K999,"447426"))</f>
        <v>0</v>
      </c>
    </row>
    <row r="1000" spans="1:31">
      <c r="A1000" s="4">
        <f>IF(B1000=" "," ",HYPERLINK(CONCATENATE("#metadata!",ADDRESS(INDEX($Q$2:$Q$1001,MATCH(ROWS($O$2:O1000),$O$2:$O$1001,0),0),1)),INDEX($T$2:$T$1001,MATCH(ROWS($O$2:O1000),$O$2:$O$1001,0),0)))</f>
        <v>0</v>
      </c>
      <c r="B1000" s="3">
        <f>IF(OR(INDEX($P$2:$P$1001,MATCH(ROWS($O$2:O1000),$O$2:$O$1001,0),1)&gt;=100000,INDEX($V$1005:$AE$1005,1,MATCH(COLUMNS($V$1006:V1006),$V$1006:$AE$1006,0))&gt;=100000), " ",IF(INDEX($V$2:$AE$1001,MATCH(ROWS($O$2:O1000),$O$2:$O$1001,0),MATCH(COLUMNS($V$1006:V1006),$V$1006:$AE$1006,0)), HYPERLINK("#",""), HYPERLINK(CONCATENATE("#Metadata!", ADDRESS(INDEX($Q$2:$Q$1001,MATCH(ROWS($O$2:O1000),$O$2:$O$1001,0),0), INDEX($V$1004:$AE$1004,1,MATCH(COLUMNS($V$1006:V1006),$V$1006:$AE$1006,0)))),"Fix")))</f>
        <v>0</v>
      </c>
      <c r="C1000" s="3">
        <f>IF(OR(INDEX($P$2:$P$1001,MATCH(ROWS($O$2:O1000),$O$2:$O$1001,0),1)&gt;=100000,INDEX($V$1005:$AE$1005,1,MATCH(COLUMNS($V$1006:W1006),$V$1006:$AE$1006,0))&gt;=100000), " ",IF(INDEX($V$2:$AE$1001,MATCH(ROWS($O$2:O1000),$O$2:$O$1001,0),MATCH(COLUMNS($V$1006:W1006),$V$1006:$AE$1006,0)), HYPERLINK("#",""), HYPERLINK(CONCATENATE("#Metadata!", ADDRESS(INDEX($Q$2:$Q$1001,MATCH(ROWS($O$2:O1000),$O$2:$O$1001,0),0), INDEX($V$1004:$AE$1004,1,MATCH(COLUMNS($V$1006:W1006),$V$1006:$AE$1006,0)))),"Fix")))</f>
        <v>0</v>
      </c>
      <c r="D1000" s="3">
        <f>IF(OR(INDEX($P$2:$P$1001,MATCH(ROWS($O$2:O1000),$O$2:$O$1001,0),1)&gt;=100000,INDEX($V$1005:$AE$1005,1,MATCH(COLUMNS($V$1006:X1006),$V$1006:$AE$1006,0))&gt;=100000), " ",IF(INDEX($V$2:$AE$1001,MATCH(ROWS($O$2:O1000),$O$2:$O$1001,0),MATCH(COLUMNS($V$1006:X1006),$V$1006:$AE$1006,0)), HYPERLINK("#",""), HYPERLINK(CONCATENATE("#Metadata!", ADDRESS(INDEX($Q$2:$Q$1001,MATCH(ROWS($O$2:O1000),$O$2:$O$1001,0),0), INDEX($V$1004:$AE$1004,1,MATCH(COLUMNS($V$1006:X1006),$V$1006:$AE$1006,0)))),"Fix")))</f>
        <v>0</v>
      </c>
      <c r="E1000" s="3">
        <f>IF(OR(INDEX($P$2:$P$1001,MATCH(ROWS($O$2:O1000),$O$2:$O$1001,0),1)&gt;=100000,INDEX($V$1005:$AE$1005,1,MATCH(COLUMNS($V$1006:Y1006),$V$1006:$AE$1006,0))&gt;=100000), " ",IF(INDEX($V$2:$AE$1001,MATCH(ROWS($O$2:O1000),$O$2:$O$1001,0),MATCH(COLUMNS($V$1006:Y1006),$V$1006:$AE$1006,0)), HYPERLINK("#",""), HYPERLINK(CONCATENATE("#Metadata!", ADDRESS(INDEX($Q$2:$Q$1001,MATCH(ROWS($O$2:O1000),$O$2:$O$1001,0),0), INDEX($V$1004:$AE$1004,1,MATCH(COLUMNS($V$1006:Y1006),$V$1006:$AE$1006,0)))),"Fix")))</f>
        <v>0</v>
      </c>
      <c r="F1000" s="3">
        <f>IF(OR(INDEX($P$2:$P$1001,MATCH(ROWS($O$2:O1000),$O$2:$O$1001,0),1)&gt;=100000,INDEX($V$1005:$AE$1005,1,MATCH(COLUMNS($V$1006:Z1006),$V$1006:$AE$1006,0))&gt;=100000), " ",IF(INDEX($V$2:$AE$1001,MATCH(ROWS($O$2:O1000),$O$2:$O$1001,0),MATCH(COLUMNS($V$1006:Z1006),$V$1006:$AE$1006,0)), HYPERLINK("#",""), HYPERLINK(CONCATENATE("#Metadata!", ADDRESS(INDEX($Q$2:$Q$1001,MATCH(ROWS($O$2:O1000),$O$2:$O$1001,0),0), INDEX($V$1004:$AE$1004,1,MATCH(COLUMNS($V$1006:Z1006),$V$1006:$AE$1006,0)))),"Fix")))</f>
        <v>0</v>
      </c>
      <c r="G1000" s="3">
        <f>IF(OR(INDEX($P$2:$P$1001,MATCH(ROWS($O$2:O1000),$O$2:$O$1001,0),1)&gt;=100000,INDEX($V$1005:$AE$1005,1,MATCH(COLUMNS($V$1006:AA1006),$V$1006:$AE$1006,0))&gt;=100000), " ",IF(INDEX($V$2:$AE$1001,MATCH(ROWS($O$2:O1000),$O$2:$O$1001,0),MATCH(COLUMNS($V$1006:AA1006),$V$1006:$AE$1006,0)), HYPERLINK("#",""), HYPERLINK(CONCATENATE("#Metadata!", ADDRESS(INDEX($Q$2:$Q$1001,MATCH(ROWS($O$2:O1000),$O$2:$O$1001,0),0), INDEX($V$1004:$AE$1004,1,MATCH(COLUMNS($V$1006:AA1006),$V$1006:$AE$1006,0)))),"Fix")))</f>
        <v>0</v>
      </c>
      <c r="H1000" s="3">
        <f>IF(OR(INDEX($P$2:$P$1001,MATCH(ROWS($O$2:O1000),$O$2:$O$1001,0),1)&gt;=100000,INDEX($V$1005:$AE$1005,1,MATCH(COLUMNS($V$1006:AB1006),$V$1006:$AE$1006,0))&gt;=100000), " ",IF(INDEX($V$2:$AE$1001,MATCH(ROWS($O$2:O1000),$O$2:$O$1001,0),MATCH(COLUMNS($V$1006:AB1006),$V$1006:$AE$1006,0)), HYPERLINK("#",""), HYPERLINK(CONCATENATE("#Metadata!", ADDRESS(INDEX($Q$2:$Q$1001,MATCH(ROWS($O$2:O1000),$O$2:$O$1001,0),0), INDEX($V$1004:$AE$1004,1,MATCH(COLUMNS($V$1006:AB1006),$V$1006:$AE$1006,0)))),"Fix")))</f>
        <v>0</v>
      </c>
      <c r="I1000" s="3">
        <f>IF(OR(INDEX($P$2:$P$1001,MATCH(ROWS($O$2:O1000),$O$2:$O$1001,0),1)&gt;=100000,INDEX($V$1005:$AE$1005,1,MATCH(COLUMNS($V$1006:AC1006),$V$1006:$AE$1006,0))&gt;=100000), " ",IF(INDEX($V$2:$AE$1001,MATCH(ROWS($O$2:O1000),$O$2:$O$1001,0),MATCH(COLUMNS($V$1006:AC1006),$V$1006:$AE$1006,0)), HYPERLINK("#",""), HYPERLINK(CONCATENATE("#Metadata!", ADDRESS(INDEX($Q$2:$Q$1001,MATCH(ROWS($O$2:O1000),$O$2:$O$1001,0),0), INDEX($V$1004:$AE$1004,1,MATCH(COLUMNS($V$1006:AC1006),$V$1006:$AE$1006,0)))),"Fix")))</f>
        <v>0</v>
      </c>
      <c r="J1000" s="3">
        <f>IF(OR(INDEX($P$2:$P$1001,MATCH(ROWS($O$2:O1000),$O$2:$O$1001,0),1)&gt;=100000,INDEX($V$1005:$AE$1005,1,MATCH(COLUMNS($V$1006:AD1006),$V$1006:$AE$1006,0))&gt;=100000), " ",IF(INDEX($V$2:$AE$1001,MATCH(ROWS($O$2:O1000),$O$2:$O$1001,0),MATCH(COLUMNS($V$1006:AD1006),$V$1006:$AE$1006,0)), HYPERLINK("#",""), HYPERLINK(CONCATENATE("#Metadata!", ADDRESS(INDEX($Q$2:$Q$1001,MATCH(ROWS($O$2:O1000),$O$2:$O$1001,0),0), INDEX($V$1004:$AE$1004,1,MATCH(COLUMNS($V$1006:AD1006),$V$1006:$AE$1006,0)))),"Fix")))</f>
        <v>0</v>
      </c>
      <c r="K1000" s="3">
        <f>IF(OR(INDEX($P$2:$P$1001,MATCH(ROWS($O$2:O1000),$O$2:$O$1001,0),1)&gt;=100000,INDEX($V$1005:$AE$1005,1,MATCH(COLUMNS($V$1006:AE1006),$V$1006:$AE$1006,0))&gt;=100000), " ",IF(INDEX($V$2:$AE$1001,MATCH(ROWS($O$2:O1000),$O$2:$O$1001,0),MATCH(COLUMNS($V$1006:AE1006),$V$1006:$AE$1006,0)), HYPERLINK("#",""), HYPERLINK(CONCATENATE("#Metadata!", ADDRESS(INDEX($Q$2:$Q$1001,MATCH(ROWS($O$2:O1000),$O$2:$O$1001,0),0), INDEX($V$1004:$AE$1004,1,MATCH(COLUMNS($V$1006:AE1006),$V$1006:$AE$1006,0)))),"Fix")))</f>
        <v>0</v>
      </c>
      <c r="O1000">
        <v>0</v>
      </c>
      <c r="P1000">
        <v>0</v>
      </c>
      <c r="Q1000">
        <v>0</v>
      </c>
      <c r="R1000">
        <f>IF(S1000,TRUE,AND(V1000:AE1000))</f>
        <v>0</v>
      </c>
      <c r="S1000">
        <f>COUNTBLANK(Metadata!B1000:K1000)=COLUMNS(Metadata!B1000:K1000)</f>
        <v>0</v>
      </c>
      <c r="T1000">
        <v>0</v>
      </c>
      <c r="V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W1000">
        <f>AND(IF(Metadata!C1000="",FALSE,TRUE),exact(Metadata!C1000,"animal secretion"))</f>
        <v>0</v>
      </c>
      <c r="X1000">
        <f>AND(IF(Metadata!D1000="",FALSE,TRUE),exact(Metadata!D1000,"saliva"))</f>
        <v>0</v>
      </c>
      <c r="Y1000">
        <f>AND(IF(Metadata!E1000="",FALSE,TRUE),exact(Metadata!E1000,"human-oral"))</f>
        <v>0</v>
      </c>
      <c r="Z1000">
        <f>AND(IF(Metadata!F1000="",FALSE,TRUE),exact(Metadata!F1000,"UBERON:oral cavity"))</f>
        <v>0</v>
      </c>
      <c r="AA1000">
        <f>AND(IF(Metadata!G1000="",FALSE,TRUE),exact(Metadata!G1000,"UBERON:saliva"))</f>
        <v>0</v>
      </c>
      <c r="AB1000">
        <f>AND(IF(Metadata!H1000="",FALSE,TRUE),exact(Metadata!H1000,"UBERON:tongue"))</f>
        <v>0</v>
      </c>
      <c r="AC1000">
        <f>AND(IF(Metadata!I1000="",FALSE,TRUE),exact(Metadata!I1000,"tongue"))</f>
        <v>0</v>
      </c>
      <c r="AD1000">
        <f>AND(IF(Metadata!J1000="",FALSE,TRUE),exact(Metadata!J1000,"human oral metagenome"))</f>
        <v>0</v>
      </c>
      <c r="AE1000">
        <f>AND(IF(Metadata!K1000="",FALSE,TRUE),exact(Metadata!K1000,"447426"))</f>
        <v>0</v>
      </c>
    </row>
    <row r="1001" spans="1:31">
      <c r="A1001" s="4">
        <f>IF(B1001=" "," ",HYPERLINK(CONCATENATE("#metadata!",ADDRESS(INDEX($Q$2:$Q$1001,MATCH(ROWS($O$2:O1001),$O$2:$O$1001,0),0),1)),INDEX($T$2:$T$1001,MATCH(ROWS($O$2:O1001),$O$2:$O$1001,0),0)))</f>
        <v>0</v>
      </c>
      <c r="B1001" s="3">
        <f>IF(OR(INDEX($P$2:$P$1001,MATCH(ROWS($O$2:O1001),$O$2:$O$1001,0),1)&gt;=100000,INDEX($V$1005:$AE$1005,1,MATCH(COLUMNS($V$1006:V1006),$V$1006:$AE$1006,0))&gt;=100000), " ",IF(INDEX($V$2:$AE$1001,MATCH(ROWS($O$2:O1001),$O$2:$O$1001,0),MATCH(COLUMNS($V$1006:V1006),$V$1006:$AE$1006,0)), HYPERLINK("#",""), HYPERLINK(CONCATENATE("#Metadata!", ADDRESS(INDEX($Q$2:$Q$1001,MATCH(ROWS($O$2:O1001),$O$2:$O$1001,0),0), INDEX($V$1004:$AE$1004,1,MATCH(COLUMNS($V$1006:V1006),$V$1006:$AE$1006,0)))),"Fix")))</f>
        <v>0</v>
      </c>
      <c r="C1001" s="3">
        <f>IF(OR(INDEX($P$2:$P$1001,MATCH(ROWS($O$2:O1001),$O$2:$O$1001,0),1)&gt;=100000,INDEX($V$1005:$AE$1005,1,MATCH(COLUMNS($V$1006:W1006),$V$1006:$AE$1006,0))&gt;=100000), " ",IF(INDEX($V$2:$AE$1001,MATCH(ROWS($O$2:O1001),$O$2:$O$1001,0),MATCH(COLUMNS($V$1006:W1006),$V$1006:$AE$1006,0)), HYPERLINK("#",""), HYPERLINK(CONCATENATE("#Metadata!", ADDRESS(INDEX($Q$2:$Q$1001,MATCH(ROWS($O$2:O1001),$O$2:$O$1001,0),0), INDEX($V$1004:$AE$1004,1,MATCH(COLUMNS($V$1006:W1006),$V$1006:$AE$1006,0)))),"Fix")))</f>
        <v>0</v>
      </c>
      <c r="D1001" s="3">
        <f>IF(OR(INDEX($P$2:$P$1001,MATCH(ROWS($O$2:O1001),$O$2:$O$1001,0),1)&gt;=100000,INDEX($V$1005:$AE$1005,1,MATCH(COLUMNS($V$1006:X1006),$V$1006:$AE$1006,0))&gt;=100000), " ",IF(INDEX($V$2:$AE$1001,MATCH(ROWS($O$2:O1001),$O$2:$O$1001,0),MATCH(COLUMNS($V$1006:X1006),$V$1006:$AE$1006,0)), HYPERLINK("#",""), HYPERLINK(CONCATENATE("#Metadata!", ADDRESS(INDEX($Q$2:$Q$1001,MATCH(ROWS($O$2:O1001),$O$2:$O$1001,0),0), INDEX($V$1004:$AE$1004,1,MATCH(COLUMNS($V$1006:X1006),$V$1006:$AE$1006,0)))),"Fix")))</f>
        <v>0</v>
      </c>
      <c r="E1001" s="3">
        <f>IF(OR(INDEX($P$2:$P$1001,MATCH(ROWS($O$2:O1001),$O$2:$O$1001,0),1)&gt;=100000,INDEX($V$1005:$AE$1005,1,MATCH(COLUMNS($V$1006:Y1006),$V$1006:$AE$1006,0))&gt;=100000), " ",IF(INDEX($V$2:$AE$1001,MATCH(ROWS($O$2:O1001),$O$2:$O$1001,0),MATCH(COLUMNS($V$1006:Y1006),$V$1006:$AE$1006,0)), HYPERLINK("#",""), HYPERLINK(CONCATENATE("#Metadata!", ADDRESS(INDEX($Q$2:$Q$1001,MATCH(ROWS($O$2:O1001),$O$2:$O$1001,0),0), INDEX($V$1004:$AE$1004,1,MATCH(COLUMNS($V$1006:Y1006),$V$1006:$AE$1006,0)))),"Fix")))</f>
        <v>0</v>
      </c>
      <c r="F1001" s="3">
        <f>IF(OR(INDEX($P$2:$P$1001,MATCH(ROWS($O$2:O1001),$O$2:$O$1001,0),1)&gt;=100000,INDEX($V$1005:$AE$1005,1,MATCH(COLUMNS($V$1006:Z1006),$V$1006:$AE$1006,0))&gt;=100000), " ",IF(INDEX($V$2:$AE$1001,MATCH(ROWS($O$2:O1001),$O$2:$O$1001,0),MATCH(COLUMNS($V$1006:Z1006),$V$1006:$AE$1006,0)), HYPERLINK("#",""), HYPERLINK(CONCATENATE("#Metadata!", ADDRESS(INDEX($Q$2:$Q$1001,MATCH(ROWS($O$2:O1001),$O$2:$O$1001,0),0), INDEX($V$1004:$AE$1004,1,MATCH(COLUMNS($V$1006:Z1006),$V$1006:$AE$1006,0)))),"Fix")))</f>
        <v>0</v>
      </c>
      <c r="G1001" s="3">
        <f>IF(OR(INDEX($P$2:$P$1001,MATCH(ROWS($O$2:O1001),$O$2:$O$1001,0),1)&gt;=100000,INDEX($V$1005:$AE$1005,1,MATCH(COLUMNS($V$1006:AA1006),$V$1006:$AE$1006,0))&gt;=100000), " ",IF(INDEX($V$2:$AE$1001,MATCH(ROWS($O$2:O1001),$O$2:$O$1001,0),MATCH(COLUMNS($V$1006:AA1006),$V$1006:$AE$1006,0)), HYPERLINK("#",""), HYPERLINK(CONCATENATE("#Metadata!", ADDRESS(INDEX($Q$2:$Q$1001,MATCH(ROWS($O$2:O1001),$O$2:$O$1001,0),0), INDEX($V$1004:$AE$1004,1,MATCH(COLUMNS($V$1006:AA1006),$V$1006:$AE$1006,0)))),"Fix")))</f>
        <v>0</v>
      </c>
      <c r="H1001" s="3">
        <f>IF(OR(INDEX($P$2:$P$1001,MATCH(ROWS($O$2:O1001),$O$2:$O$1001,0),1)&gt;=100000,INDEX($V$1005:$AE$1005,1,MATCH(COLUMNS($V$1006:AB1006),$V$1006:$AE$1006,0))&gt;=100000), " ",IF(INDEX($V$2:$AE$1001,MATCH(ROWS($O$2:O1001),$O$2:$O$1001,0),MATCH(COLUMNS($V$1006:AB1006),$V$1006:$AE$1006,0)), HYPERLINK("#",""), HYPERLINK(CONCATENATE("#Metadata!", ADDRESS(INDEX($Q$2:$Q$1001,MATCH(ROWS($O$2:O1001),$O$2:$O$1001,0),0), INDEX($V$1004:$AE$1004,1,MATCH(COLUMNS($V$1006:AB1006),$V$1006:$AE$1006,0)))),"Fix")))</f>
        <v>0</v>
      </c>
      <c r="I1001" s="3">
        <f>IF(OR(INDEX($P$2:$P$1001,MATCH(ROWS($O$2:O1001),$O$2:$O$1001,0),1)&gt;=100000,INDEX($V$1005:$AE$1005,1,MATCH(COLUMNS($V$1006:AC1006),$V$1006:$AE$1006,0))&gt;=100000), " ",IF(INDEX($V$2:$AE$1001,MATCH(ROWS($O$2:O1001),$O$2:$O$1001,0),MATCH(COLUMNS($V$1006:AC1006),$V$1006:$AE$1006,0)), HYPERLINK("#",""), HYPERLINK(CONCATENATE("#Metadata!", ADDRESS(INDEX($Q$2:$Q$1001,MATCH(ROWS($O$2:O1001),$O$2:$O$1001,0),0), INDEX($V$1004:$AE$1004,1,MATCH(COLUMNS($V$1006:AC1006),$V$1006:$AE$1006,0)))),"Fix")))</f>
        <v>0</v>
      </c>
      <c r="J1001" s="3">
        <f>IF(OR(INDEX($P$2:$P$1001,MATCH(ROWS($O$2:O1001),$O$2:$O$1001,0),1)&gt;=100000,INDEX($V$1005:$AE$1005,1,MATCH(COLUMNS($V$1006:AD1006),$V$1006:$AE$1006,0))&gt;=100000), " ",IF(INDEX($V$2:$AE$1001,MATCH(ROWS($O$2:O1001),$O$2:$O$1001,0),MATCH(COLUMNS($V$1006:AD1006),$V$1006:$AE$1006,0)), HYPERLINK("#",""), HYPERLINK(CONCATENATE("#Metadata!", ADDRESS(INDEX($Q$2:$Q$1001,MATCH(ROWS($O$2:O1001),$O$2:$O$1001,0),0), INDEX($V$1004:$AE$1004,1,MATCH(COLUMNS($V$1006:AD1006),$V$1006:$AE$1006,0)))),"Fix")))</f>
        <v>0</v>
      </c>
      <c r="K1001" s="3">
        <f>IF(OR(INDEX($P$2:$P$1001,MATCH(ROWS($O$2:O1001),$O$2:$O$1001,0),1)&gt;=100000,INDEX($V$1005:$AE$1005,1,MATCH(COLUMNS($V$1006:AE1006),$V$1006:$AE$1006,0))&gt;=100000), " ",IF(INDEX($V$2:$AE$1001,MATCH(ROWS($O$2:O1001),$O$2:$O$1001,0),MATCH(COLUMNS($V$1006:AE1006),$V$1006:$AE$1006,0)), HYPERLINK("#",""), HYPERLINK(CONCATENATE("#Metadata!", ADDRESS(INDEX($Q$2:$Q$1001,MATCH(ROWS($O$2:O1001),$O$2:$O$1001,0),0), INDEX($V$1004:$AE$1004,1,MATCH(COLUMNS($V$1006:AE1006),$V$1006:$AE$1006,0)))),"Fix")))</f>
        <v>0</v>
      </c>
      <c r="O1001">
        <v>0</v>
      </c>
      <c r="P1001">
        <v>0</v>
      </c>
      <c r="Q1001">
        <v>0</v>
      </c>
      <c r="R1001">
        <f>IF(S1001,TRUE,AND(V1001:AE1001))</f>
        <v>0</v>
      </c>
      <c r="S1001">
        <f>COUNTBLANK(Metadata!B1001:K1001)=COLUMNS(Metadata!B1001:K1001)</f>
        <v>0</v>
      </c>
      <c r="T1001">
        <v>0</v>
      </c>
      <c r="V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W1001">
        <f>AND(IF(Metadata!C1001="",FALSE,TRUE),exact(Metadata!C1001,"animal secretion"))</f>
        <v>0</v>
      </c>
      <c r="X1001">
        <f>AND(IF(Metadata!D1001="",FALSE,TRUE),exact(Metadata!D1001,"saliva"))</f>
        <v>0</v>
      </c>
      <c r="Y1001">
        <f>AND(IF(Metadata!E1001="",FALSE,TRUE),exact(Metadata!E1001,"human-oral"))</f>
        <v>0</v>
      </c>
      <c r="Z1001">
        <f>AND(IF(Metadata!F1001="",FALSE,TRUE),exact(Metadata!F1001,"UBERON:oral cavity"))</f>
        <v>0</v>
      </c>
      <c r="AA1001">
        <f>AND(IF(Metadata!G1001="",FALSE,TRUE),exact(Metadata!G1001,"UBERON:saliva"))</f>
        <v>0</v>
      </c>
      <c r="AB1001">
        <f>AND(IF(Metadata!H1001="",FALSE,TRUE),exact(Metadata!H1001,"UBERON:tongue"))</f>
        <v>0</v>
      </c>
      <c r="AC1001">
        <f>AND(IF(Metadata!I1001="",FALSE,TRUE),exact(Metadata!I1001,"tongue"))</f>
        <v>0</v>
      </c>
      <c r="AD1001">
        <f>AND(IF(Metadata!J1001="",FALSE,TRUE),exact(Metadata!J1001,"human oral metagenome"))</f>
        <v>0</v>
      </c>
      <c r="AE1001">
        <f>AND(IF(Metadata!K1001="",FALSE,TRUE),exact(Metadata!K1001,"447426"))</f>
        <v>0</v>
      </c>
    </row>
    <row r="1003" spans="1:31">
      <c r="U1003" s="2" t="s">
        <v>17</v>
      </c>
      <c r="V1003">
        <f t="array" ref="V1003">AND(IF($S2:$S1001,TRUE,V2:V1001))</f>
        <v>0</v>
      </c>
      <c r="W1003">
        <f t="array" ref="W1003">AND(IF($S2:$S1001,TRUE,W2:W1001))</f>
        <v>0</v>
      </c>
      <c r="X1003">
        <f t="array" ref="X1003">AND(IF($S2:$S1001,TRUE,X2:X1001))</f>
        <v>0</v>
      </c>
      <c r="Y1003">
        <f t="array" ref="Y1003">AND(IF($S2:$S1001,TRUE,Y2:Y1001))</f>
        <v>0</v>
      </c>
      <c r="Z1003">
        <f t="array" ref="Z1003">AND(IF($S2:$S1001,TRUE,Z2:Z1001))</f>
        <v>0</v>
      </c>
      <c r="AA1003">
        <f t="array" ref="AA1003">AND(IF($S2:$S1001,TRUE,AA2:AA1001))</f>
        <v>0</v>
      </c>
      <c r="AB1003">
        <f t="array" ref="AB1003">AND(IF($S2:$S1001,TRUE,AB2:AB1001))</f>
        <v>0</v>
      </c>
      <c r="AC1003">
        <f t="array" ref="AC1003">AND(IF($S2:$S1001,TRUE,AC2:AC1001))</f>
        <v>0</v>
      </c>
      <c r="AD1003">
        <f t="array" ref="AD1003">AND(IF($S2:$S1001,TRUE,AD2:AD1001))</f>
        <v>0</v>
      </c>
      <c r="AE1003">
        <f t="array" ref="AE1003">AND(IF($S2:$S1001,TRUE,AE2:AE1001))</f>
        <v>0</v>
      </c>
    </row>
    <row r="1004" spans="1:31">
      <c r="U1004" s="2" t="s">
        <v>18</v>
      </c>
      <c r="V1004">
        <f t="array" ref="V1004:AE1004">COLUMN(Metadata!B1004:K1004)</f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U1005" s="2" t="s">
        <v>19</v>
      </c>
      <c r="V1005">
        <f t="array" ref="V1005:AE1005">INT(V1003:AE1003)*100000+$V$1004:$AE$1004</f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U1006" s="2" t="s">
        <v>20</v>
      </c>
      <c r="V1006">
        <f t="array" ref="V1006:AE1006">COUNTIF($V1005:$AE1005,"&lt;="&amp;V$1005:AE1005)</f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</sheetData>
  <sheetProtection sheet="1" objects="1" scenarios="1"/>
  <conditionalFormatting sqref="B2:K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21</v>
      </c>
      <c r="B1" s="2" t="s">
        <v>22</v>
      </c>
    </row>
    <row r="2" spans="1:2">
      <c r="A2" s="2" t="s">
        <v>1</v>
      </c>
      <c r="B2" t="s">
        <v>23</v>
      </c>
    </row>
    <row r="3" spans="1:2">
      <c r="A3" s="2" t="s">
        <v>3</v>
      </c>
      <c r="B3" t="s">
        <v>24</v>
      </c>
    </row>
    <row r="4" spans="1:2">
      <c r="A4" s="2" t="s">
        <v>4</v>
      </c>
      <c r="B4" t="s">
        <v>25</v>
      </c>
    </row>
    <row r="5" spans="1:2">
      <c r="A5" s="2" t="s">
        <v>5</v>
      </c>
      <c r="B5" t="s">
        <v>26</v>
      </c>
    </row>
    <row r="6" spans="1:2">
      <c r="A6" s="2" t="s">
        <v>6</v>
      </c>
      <c r="B6" t="s">
        <v>27</v>
      </c>
    </row>
    <row r="7" spans="1:2">
      <c r="A7" s="2" t="s">
        <v>7</v>
      </c>
      <c r="B7" t="s">
        <v>28</v>
      </c>
    </row>
    <row r="8" spans="1:2">
      <c r="A8" s="2" t="s">
        <v>8</v>
      </c>
      <c r="B8" t="s">
        <v>29</v>
      </c>
    </row>
    <row r="9" spans="1:2">
      <c r="A9" s="2" t="s">
        <v>9</v>
      </c>
      <c r="B9" t="s">
        <v>30</v>
      </c>
    </row>
    <row r="10" spans="1:2">
      <c r="A10" s="2" t="s">
        <v>10</v>
      </c>
      <c r="B10" t="s">
        <v>31</v>
      </c>
    </row>
    <row r="11" spans="1:2">
      <c r="A11" s="2" t="s">
        <v>11</v>
      </c>
      <c r="B11" t="s">
        <v>32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33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34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2018-04-25T18:37:23Z</dcterms:created>
  <dcterms:modified xsi:type="dcterms:W3CDTF">2018-04-25T18:37:23Z</dcterms:modified>
</cp:coreProperties>
</file>