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cc58e7eff78da6/Escritorio/"/>
    </mc:Choice>
  </mc:AlternateContent>
  <xr:revisionPtr revIDLastSave="128" documentId="114_{C188C314-EC59-4F05-A493-768D039329FD}" xr6:coauthVersionLast="47" xr6:coauthVersionMax="47" xr10:uidLastSave="{70CB8BC5-6B9D-4AEB-9674-C2E403ED1A10}"/>
  <bookViews>
    <workbookView xWindow="-108" yWindow="-108" windowWidth="23256" windowHeight="12576" activeTab="1" xr2:uid="{10F9F140-0C7B-4D31-BC3A-81C57B61BE6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" l="1"/>
  <c r="A2" i="2"/>
  <c r="C2" i="2"/>
  <c r="D35" i="1"/>
  <c r="D34" i="1"/>
  <c r="M36" i="1"/>
  <c r="M37" i="1"/>
  <c r="M35" i="1"/>
  <c r="M34" i="1"/>
  <c r="M33" i="1"/>
  <c r="M32" i="1"/>
  <c r="M31" i="1"/>
  <c r="M30" i="1"/>
  <c r="M38" i="1" l="1"/>
  <c r="D33" i="1"/>
  <c r="L46" i="1"/>
  <c r="B3" i="1" l="1"/>
  <c r="B4" i="1" s="1"/>
  <c r="B5" i="1" s="1"/>
  <c r="B9" i="1"/>
  <c r="F8" i="1" s="1"/>
  <c r="E13" i="1"/>
  <c r="K47" i="1"/>
  <c r="K48" i="1" s="1"/>
  <c r="K49" i="1" s="1"/>
  <c r="M46" i="1"/>
  <c r="J46" i="1"/>
  <c r="J47" i="1" s="1"/>
  <c r="J48" i="1" s="1"/>
  <c r="J49" i="1" s="1"/>
  <c r="F22" i="1"/>
  <c r="G22" i="1"/>
  <c r="H22" i="1"/>
  <c r="E22" i="1"/>
  <c r="M18" i="1"/>
  <c r="Q18" i="1" s="1"/>
  <c r="R18" i="1" s="1"/>
  <c r="S18" i="1" s="1"/>
  <c r="T18" i="1" s="1"/>
  <c r="M19" i="1"/>
  <c r="Q19" i="1" s="1"/>
  <c r="R19" i="1" s="1"/>
  <c r="S19" i="1" s="1"/>
  <c r="T19" i="1" s="1"/>
  <c r="M20" i="1"/>
  <c r="Q20" i="1" s="1"/>
  <c r="R20" i="1" s="1"/>
  <c r="S20" i="1" s="1"/>
  <c r="T20" i="1" s="1"/>
  <c r="M22" i="1"/>
  <c r="Q22" i="1" s="1"/>
  <c r="R22" i="1" s="1"/>
  <c r="S22" i="1" s="1"/>
  <c r="T22" i="1" s="1"/>
  <c r="M23" i="1"/>
  <c r="Q23" i="1" s="1"/>
  <c r="R23" i="1" s="1"/>
  <c r="S23" i="1" s="1"/>
  <c r="T23" i="1" s="1"/>
  <c r="M24" i="1"/>
  <c r="Q24" i="1" s="1"/>
  <c r="R24" i="1" s="1"/>
  <c r="S24" i="1" s="1"/>
  <c r="T24" i="1" s="1"/>
  <c r="H13" i="1"/>
  <c r="G13" i="1"/>
  <c r="F15" i="1"/>
  <c r="K13" i="1"/>
  <c r="L13" i="1" s="1"/>
  <c r="M13" i="1" s="1"/>
  <c r="N13" i="1" s="1"/>
  <c r="H23" i="1" s="1"/>
  <c r="F13" i="1"/>
  <c r="E7" i="1" l="1"/>
  <c r="E10" i="1" s="1"/>
  <c r="E12" i="1" s="1"/>
  <c r="B6" i="1"/>
  <c r="N46" i="1"/>
  <c r="L47" i="1" s="1"/>
  <c r="M47" i="1" s="1"/>
  <c r="N47" i="1" s="1"/>
  <c r="L48" i="1" s="1"/>
  <c r="P23" i="1"/>
  <c r="P22" i="1"/>
  <c r="P24" i="1"/>
  <c r="P18" i="1"/>
  <c r="P19" i="1"/>
  <c r="P20" i="1"/>
  <c r="E23" i="1"/>
  <c r="G23" i="1"/>
  <c r="F23" i="1"/>
  <c r="B17" i="1"/>
  <c r="Q25" i="1"/>
  <c r="E24" i="1" s="1"/>
  <c r="M25" i="1"/>
  <c r="G15" i="1"/>
  <c r="H14" i="1"/>
  <c r="E14" i="1"/>
  <c r="F14" i="1"/>
  <c r="G14" i="1"/>
  <c r="H7" i="1"/>
  <c r="H10" i="1" s="1"/>
  <c r="G7" i="1"/>
  <c r="G10" i="1" s="1"/>
  <c r="G12" i="1" s="1"/>
  <c r="F7" i="1"/>
  <c r="F10" i="1" s="1"/>
  <c r="F12" i="1" s="1"/>
  <c r="G8" i="1"/>
  <c r="H8" i="1" s="1"/>
  <c r="E16" i="1" l="1"/>
  <c r="M48" i="1"/>
  <c r="N48" i="1" s="1"/>
  <c r="L49" i="1" s="1"/>
  <c r="M49" i="1" s="1"/>
  <c r="N49" i="1" s="1"/>
  <c r="D32" i="1"/>
  <c r="G17" i="1"/>
  <c r="F17" i="1"/>
  <c r="H17" i="1"/>
  <c r="E17" i="1"/>
  <c r="R25" i="1"/>
  <c r="E31" i="1"/>
  <c r="H15" i="1"/>
  <c r="H16" i="1" s="1"/>
  <c r="G16" i="1"/>
  <c r="F16" i="1"/>
  <c r="E18" i="1" l="1"/>
  <c r="E19" i="1" s="1"/>
  <c r="H18" i="1"/>
  <c r="G18" i="1"/>
  <c r="G19" i="1" s="1"/>
  <c r="F18" i="1"/>
  <c r="F19" i="1" s="1"/>
  <c r="S25" i="1"/>
  <c r="F24" i="1"/>
  <c r="F31" i="1" s="1"/>
  <c r="E25" i="1" l="1"/>
  <c r="E27" i="1" s="1"/>
  <c r="F25" i="1"/>
  <c r="T25" i="1"/>
  <c r="G24" i="1"/>
  <c r="G31" i="1" s="1"/>
  <c r="E28" i="1" l="1"/>
  <c r="E29" i="1" s="1"/>
  <c r="E35" i="1" s="1"/>
  <c r="F27" i="1"/>
  <c r="F28" i="1" s="1"/>
  <c r="G25" i="1"/>
  <c r="H24" i="1"/>
  <c r="H31" i="1" s="1"/>
  <c r="P25" i="1"/>
  <c r="H11" i="1" s="1"/>
  <c r="H12" i="1" s="1"/>
  <c r="H19" i="1" s="1"/>
  <c r="H25" i="1" l="1"/>
  <c r="F29" i="1"/>
  <c r="F35" i="1" s="1"/>
  <c r="G27" i="1"/>
  <c r="G28" i="1" s="1"/>
  <c r="G29" i="1" l="1"/>
  <c r="G35" i="1" s="1"/>
  <c r="H27" i="1"/>
  <c r="H28" i="1" l="1"/>
  <c r="H29" i="1" s="1"/>
  <c r="H35" i="1" s="1"/>
  <c r="I35" i="1" l="1"/>
</calcChain>
</file>

<file path=xl/sharedStrings.xml><?xml version="1.0" encoding="utf-8"?>
<sst xmlns="http://schemas.openxmlformats.org/spreadsheetml/2006/main" count="85" uniqueCount="79">
  <si>
    <t>Unidades</t>
  </si>
  <si>
    <t>Precio</t>
  </si>
  <si>
    <t>Ingresos Ventas</t>
  </si>
  <si>
    <t>Otros Ingresos</t>
  </si>
  <si>
    <t>TOTAL INGRESOS</t>
  </si>
  <si>
    <t>TOTAL COSTOS</t>
  </si>
  <si>
    <t>UTILIDAD OPERATIVA</t>
  </si>
  <si>
    <t xml:space="preserve"> </t>
  </si>
  <si>
    <t>Gastos Fijos</t>
  </si>
  <si>
    <t>UAII</t>
  </si>
  <si>
    <t>Interes</t>
  </si>
  <si>
    <t>UAI</t>
  </si>
  <si>
    <t>Impuestos</t>
  </si>
  <si>
    <t>Utilidad Neta</t>
  </si>
  <si>
    <t>Inv. Maquinaria</t>
  </si>
  <si>
    <t>FCL</t>
  </si>
  <si>
    <t>Demanda anual</t>
  </si>
  <si>
    <t>Aumento de precio del producto</t>
  </si>
  <si>
    <t>Salario minimo + auxilio de transporte 2020</t>
  </si>
  <si>
    <t>Incremento aproximado del salario minimo</t>
  </si>
  <si>
    <t>Insumos Unitario</t>
  </si>
  <si>
    <t>Insumos</t>
  </si>
  <si>
    <t>Mano Obra</t>
  </si>
  <si>
    <t>Nombre maquina</t>
  </si>
  <si>
    <t>Valor unidad</t>
  </si>
  <si>
    <t>Total</t>
  </si>
  <si>
    <t>Depreciación Maq</t>
  </si>
  <si>
    <t>Depreciaciones</t>
  </si>
  <si>
    <t>Costo de acarreo</t>
  </si>
  <si>
    <t>Acarreos</t>
  </si>
  <si>
    <t>Gastos de legales y administrativos</t>
  </si>
  <si>
    <t>Precio finalizado el proyecto</t>
  </si>
  <si>
    <t>C</t>
  </si>
  <si>
    <t>n</t>
  </si>
  <si>
    <t>Cuota</t>
  </si>
  <si>
    <t>Abono k</t>
  </si>
  <si>
    <t>Saldo</t>
  </si>
  <si>
    <t>Flujo de caja libre de Las Fritas</t>
  </si>
  <si>
    <t>Tamaño del proyecto (Productos/mes)</t>
  </si>
  <si>
    <t xml:space="preserve">Núm. meses que el restaurante abre </t>
  </si>
  <si>
    <t>Precio (Ajustado)</t>
  </si>
  <si>
    <t>Número de empleados</t>
  </si>
  <si>
    <t>SMLV</t>
  </si>
  <si>
    <t>Año</t>
  </si>
  <si>
    <t>EA</t>
  </si>
  <si>
    <t>Cantidad</t>
  </si>
  <si>
    <t xml:space="preserve">SMLV para los 4 años </t>
  </si>
  <si>
    <t>Maquinaria necesaria para el proyecto</t>
  </si>
  <si>
    <t xml:space="preserve">Freidora </t>
  </si>
  <si>
    <t>Peladora de papas</t>
  </si>
  <si>
    <t>Cortador de papas</t>
  </si>
  <si>
    <t>Campana de extraccion</t>
  </si>
  <si>
    <t>Refrigeradora de insumos</t>
  </si>
  <si>
    <t>Tabla de amortización</t>
  </si>
  <si>
    <t>Vida Util (Años)</t>
  </si>
  <si>
    <t>Depreciación de la maquinaria</t>
  </si>
  <si>
    <t>Tasa</t>
  </si>
  <si>
    <t>Núm. semanas que estudian los estudiantes al año</t>
  </si>
  <si>
    <t>Núm. días que estudian los estudiantes al año</t>
  </si>
  <si>
    <t>Aumento anual alimentos aprox.</t>
  </si>
  <si>
    <t>Núm. veces al mes que se hace acarreo</t>
  </si>
  <si>
    <t>Núm. de acarreos al año</t>
  </si>
  <si>
    <t>Arriendo</t>
  </si>
  <si>
    <t>Mueble de cubiertos y bandejas</t>
  </si>
  <si>
    <t>Mesas de preparación de alimentos</t>
  </si>
  <si>
    <t>Muebles necesarios para el proyecto</t>
  </si>
  <si>
    <t>Nombre mueble</t>
  </si>
  <si>
    <t>Estantería</t>
  </si>
  <si>
    <t>Carrito para transporte a la bodega</t>
  </si>
  <si>
    <t>Inv. Muebles</t>
  </si>
  <si>
    <t>Tarros para salsas</t>
  </si>
  <si>
    <t>Set de cuchillos</t>
  </si>
  <si>
    <t>Pinzas</t>
  </si>
  <si>
    <t>Espatula</t>
  </si>
  <si>
    <t xml:space="preserve">Valor neto actual </t>
  </si>
  <si>
    <t>Costo de oportunidad</t>
  </si>
  <si>
    <t>Punto de venta (registradora)</t>
  </si>
  <si>
    <t>Gasto entrenamiento 2 dias empleado</t>
  </si>
  <si>
    <t>Inv papeles licencias.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</si>
</sst>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0.000%"/>
    <numFmt numFmtId="165" formatCode="&quot;$&quot;#,##0"/>
    <numFmt numFmtId="166" formatCode="_-[$$-240A]\ * #,##0.00_-;\-[$$-240A]\ * #,##0.00_-;_-[$$-240A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/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1" xfId="0" applyFont="1" applyFill="1" applyBorder="1" applyAlignment="1">
      <alignment horizontal="center"/>
    </xf>
    <xf numFmtId="6" fontId="4" fillId="2" borderId="1" xfId="0" applyNumberFormat="1" applyFont="1" applyFill="1" applyBorder="1" applyAlignment="1">
      <alignment horizontal="center"/>
    </xf>
    <xf numFmtId="6" fontId="4" fillId="2" borderId="1" xfId="0" applyNumberFormat="1" applyFont="1" applyFill="1" applyBorder="1"/>
    <xf numFmtId="44" fontId="4" fillId="2" borderId="1" xfId="0" applyNumberFormat="1" applyFont="1" applyFill="1" applyBorder="1"/>
    <xf numFmtId="6" fontId="5" fillId="2" borderId="1" xfId="0" applyNumberFormat="1" applyFont="1" applyFill="1" applyBorder="1"/>
    <xf numFmtId="0" fontId="0" fillId="0" borderId="1" xfId="0" applyBorder="1"/>
    <xf numFmtId="0" fontId="5" fillId="4" borderId="1" xfId="0" applyFont="1" applyFill="1" applyBorder="1"/>
    <xf numFmtId="0" fontId="4" fillId="4" borderId="1" xfId="0" applyFont="1" applyFill="1" applyBorder="1"/>
    <xf numFmtId="6" fontId="5" fillId="4" borderId="1" xfId="0" applyNumberFormat="1" applyFont="1" applyFill="1" applyBorder="1"/>
    <xf numFmtId="0" fontId="5" fillId="3" borderId="1" xfId="0" applyFont="1" applyFill="1" applyBorder="1"/>
    <xf numFmtId="6" fontId="5" fillId="3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6" fontId="4" fillId="2" borderId="1" xfId="0" applyNumberFormat="1" applyFont="1" applyFill="1" applyBorder="1"/>
    <xf numFmtId="166" fontId="0" fillId="0" borderId="1" xfId="0" applyNumberFormat="1" applyBorder="1"/>
    <xf numFmtId="0" fontId="3" fillId="0" borderId="1" xfId="0" applyFont="1" applyBorder="1"/>
    <xf numFmtId="44" fontId="0" fillId="0" borderId="1" xfId="1" applyFont="1" applyBorder="1"/>
    <xf numFmtId="165" fontId="0" fillId="0" borderId="1" xfId="0" applyNumberFormat="1" applyBorder="1"/>
    <xf numFmtId="0" fontId="0" fillId="0" borderId="0" xfId="0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44" fontId="0" fillId="0" borderId="1" xfId="0" applyNumberFormat="1" applyBorder="1"/>
    <xf numFmtId="0" fontId="0" fillId="7" borderId="1" xfId="0" applyFill="1" applyBorder="1"/>
    <xf numFmtId="0" fontId="3" fillId="8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0" fillId="11" borderId="1" xfId="0" applyFill="1" applyBorder="1"/>
    <xf numFmtId="0" fontId="5" fillId="12" borderId="1" xfId="0" applyFont="1" applyFill="1" applyBorder="1"/>
    <xf numFmtId="0" fontId="0" fillId="11" borderId="1" xfId="0" applyFill="1" applyBorder="1" applyAlignment="1">
      <alignment horizontal="center"/>
    </xf>
    <xf numFmtId="0" fontId="0" fillId="0" borderId="0" xfId="0" applyBorder="1"/>
    <xf numFmtId="9" fontId="0" fillId="0" borderId="0" xfId="0" applyNumberFormat="1" applyAlignment="1">
      <alignment horizontal="right"/>
    </xf>
    <xf numFmtId="0" fontId="5" fillId="15" borderId="1" xfId="0" applyFont="1" applyFill="1" applyBorder="1" applyAlignment="1">
      <alignment horizontal="center"/>
    </xf>
    <xf numFmtId="0" fontId="4" fillId="14" borderId="1" xfId="0" applyFont="1" applyFill="1" applyBorder="1"/>
    <xf numFmtId="6" fontId="4" fillId="14" borderId="1" xfId="0" applyNumberFormat="1" applyFont="1" applyFill="1" applyBorder="1"/>
    <xf numFmtId="0" fontId="5" fillId="16" borderId="1" xfId="0" applyFont="1" applyFill="1" applyBorder="1"/>
    <xf numFmtId="6" fontId="5" fillId="16" borderId="1" xfId="0" applyNumberFormat="1" applyFont="1" applyFill="1" applyBorder="1"/>
    <xf numFmtId="6" fontId="5" fillId="16" borderId="2" xfId="0" applyNumberFormat="1" applyFont="1" applyFill="1" applyBorder="1"/>
    <xf numFmtId="166" fontId="0" fillId="0" borderId="0" xfId="0" applyNumberFormat="1" applyAlignment="1">
      <alignment horizontal="left"/>
    </xf>
    <xf numFmtId="166" fontId="0" fillId="0" borderId="0" xfId="0" applyNumberFormat="1" applyAlignment="1"/>
    <xf numFmtId="0" fontId="0" fillId="0" borderId="1" xfId="0" applyFont="1" applyBorder="1"/>
    <xf numFmtId="0" fontId="4" fillId="2" borderId="1" xfId="0" applyFont="1" applyFill="1" applyBorder="1" applyAlignment="1"/>
    <xf numFmtId="166" fontId="0" fillId="0" borderId="0" xfId="0" applyNumberFormat="1"/>
    <xf numFmtId="6" fontId="5" fillId="16" borderId="6" xfId="0" applyNumberFormat="1" applyFont="1" applyFill="1" applyBorder="1"/>
    <xf numFmtId="0" fontId="3" fillId="0" borderId="7" xfId="0" applyFont="1" applyBorder="1"/>
    <xf numFmtId="165" fontId="0" fillId="0" borderId="7" xfId="0" applyNumberFormat="1" applyBorder="1"/>
    <xf numFmtId="166" fontId="0" fillId="0" borderId="1" xfId="0" applyNumberFormat="1" applyFill="1" applyBorder="1"/>
    <xf numFmtId="0" fontId="0" fillId="0" borderId="1" xfId="0" applyFill="1" applyBorder="1"/>
    <xf numFmtId="44" fontId="0" fillId="0" borderId="1" xfId="1" applyFont="1" applyFill="1" applyBorder="1"/>
    <xf numFmtId="9" fontId="0" fillId="0" borderId="0" xfId="0" applyNumberFormat="1"/>
    <xf numFmtId="0" fontId="4" fillId="2" borderId="5" xfId="0" applyFont="1" applyFill="1" applyBorder="1" applyAlignment="1"/>
    <xf numFmtId="0" fontId="6" fillId="17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6005-1975-4F71-998D-7FE5EF4585F6}">
  <dimension ref="A1:T49"/>
  <sheetViews>
    <sheetView topLeftCell="A13" workbookViewId="0">
      <selection activeCell="A39" sqref="A39"/>
    </sheetView>
  </sheetViews>
  <sheetFormatPr baseColWidth="10" defaultRowHeight="14.4" x14ac:dyDescent="0.3"/>
  <cols>
    <col min="1" max="1" width="42.44140625" bestFit="1" customWidth="1"/>
    <col min="2" max="2" width="14.33203125" bestFit="1" customWidth="1"/>
    <col min="3" max="3" width="32.88671875" customWidth="1"/>
    <col min="4" max="4" width="15.44140625" customWidth="1"/>
    <col min="5" max="5" width="14.33203125" bestFit="1" customWidth="1"/>
    <col min="6" max="6" width="15.33203125" bestFit="1" customWidth="1"/>
    <col min="7" max="7" width="19" customWidth="1"/>
    <col min="8" max="8" width="15.33203125" bestFit="1" customWidth="1"/>
    <col min="9" max="9" width="15.6640625" customWidth="1"/>
    <col min="10" max="10" width="39.88671875" customWidth="1"/>
    <col min="11" max="11" width="16.33203125" bestFit="1" customWidth="1"/>
    <col min="12" max="13" width="14.33203125" bestFit="1" customWidth="1"/>
    <col min="14" max="14" width="15.33203125" bestFit="1" customWidth="1"/>
    <col min="15" max="15" width="14.109375" bestFit="1" customWidth="1"/>
    <col min="16" max="16" width="24.88671875" bestFit="1" customWidth="1"/>
    <col min="17" max="17" width="14.44140625" customWidth="1"/>
    <col min="18" max="18" width="13.5546875" customWidth="1"/>
    <col min="19" max="19" width="13.44140625" customWidth="1"/>
    <col min="20" max="20" width="13.5546875" customWidth="1"/>
  </cols>
  <sheetData>
    <row r="1" spans="1:20" ht="18" x14ac:dyDescent="0.35">
      <c r="A1" s="65" t="s">
        <v>37</v>
      </c>
      <c r="B1" s="65"/>
      <c r="C1" s="65"/>
      <c r="D1" s="65"/>
      <c r="E1" s="65"/>
      <c r="F1" s="65"/>
      <c r="G1" s="65"/>
      <c r="H1" s="65"/>
    </row>
    <row r="2" spans="1:20" x14ac:dyDescent="0.3">
      <c r="A2" s="4" t="s">
        <v>38</v>
      </c>
      <c r="B2" s="5">
        <v>3240</v>
      </c>
      <c r="C2" s="8"/>
      <c r="D2" s="8"/>
    </row>
    <row r="3" spans="1:20" x14ac:dyDescent="0.3">
      <c r="A3" s="4" t="s">
        <v>57</v>
      </c>
      <c r="B3" s="5">
        <f>20*2</f>
        <v>40</v>
      </c>
      <c r="C3" s="2"/>
      <c r="D3" s="2"/>
    </row>
    <row r="4" spans="1:20" x14ac:dyDescent="0.3">
      <c r="A4" s="4" t="s">
        <v>58</v>
      </c>
      <c r="B4" s="5">
        <f>B3*6</f>
        <v>240</v>
      </c>
      <c r="C4" s="2"/>
      <c r="D4" s="2"/>
    </row>
    <row r="5" spans="1:20" x14ac:dyDescent="0.3">
      <c r="A5" s="4" t="s">
        <v>39</v>
      </c>
      <c r="B5" s="5">
        <f>B4/30</f>
        <v>8</v>
      </c>
      <c r="J5" s="56"/>
    </row>
    <row r="6" spans="1:20" x14ac:dyDescent="0.3">
      <c r="A6" s="4" t="s">
        <v>16</v>
      </c>
      <c r="B6" s="5">
        <f>B2*B5</f>
        <v>25920</v>
      </c>
      <c r="C6" s="9"/>
      <c r="D6" s="46">
        <v>0</v>
      </c>
      <c r="E6" s="46">
        <v>1</v>
      </c>
      <c r="F6" s="46">
        <v>2</v>
      </c>
      <c r="G6" s="46">
        <v>3</v>
      </c>
      <c r="H6" s="46">
        <v>4</v>
      </c>
      <c r="J6" s="56"/>
    </row>
    <row r="7" spans="1:20" x14ac:dyDescent="0.3">
      <c r="A7" s="4"/>
      <c r="B7" s="5"/>
      <c r="C7" s="10" t="s">
        <v>0</v>
      </c>
      <c r="D7" s="10"/>
      <c r="E7" s="12">
        <f>$B$6</f>
        <v>25920</v>
      </c>
      <c r="F7" s="12">
        <f t="shared" ref="F7:H7" si="0">$B$6</f>
        <v>25920</v>
      </c>
      <c r="G7" s="12">
        <f t="shared" si="0"/>
        <v>25920</v>
      </c>
      <c r="H7" s="12">
        <f t="shared" si="0"/>
        <v>25920</v>
      </c>
    </row>
    <row r="8" spans="1:20" x14ac:dyDescent="0.3">
      <c r="A8" s="4" t="s">
        <v>59</v>
      </c>
      <c r="B8" s="6">
        <v>0.06</v>
      </c>
      <c r="C8" s="9" t="s">
        <v>1</v>
      </c>
      <c r="D8" s="10"/>
      <c r="E8" s="13">
        <v>10000</v>
      </c>
      <c r="F8" s="13">
        <f>E8*(1+$B$9)</f>
        <v>10800</v>
      </c>
      <c r="G8" s="13">
        <f t="shared" ref="G8:H8" si="1">F8*(1+$B$9)</f>
        <v>11664</v>
      </c>
      <c r="H8" s="13">
        <f t="shared" si="1"/>
        <v>12597.12</v>
      </c>
    </row>
    <row r="9" spans="1:20" x14ac:dyDescent="0.3">
      <c r="A9" s="4" t="s">
        <v>17</v>
      </c>
      <c r="B9" s="7">
        <f>B8+ 2%</f>
        <v>0.08</v>
      </c>
      <c r="C9" s="9" t="s">
        <v>40</v>
      </c>
      <c r="D9" s="10"/>
      <c r="E9" s="13">
        <v>10000</v>
      </c>
      <c r="F9" s="13">
        <v>10800</v>
      </c>
      <c r="G9" s="13">
        <v>11600</v>
      </c>
      <c r="H9" s="13">
        <v>12500</v>
      </c>
    </row>
    <row r="10" spans="1:20" x14ac:dyDescent="0.3">
      <c r="A10" s="4"/>
      <c r="B10" s="5"/>
      <c r="C10" s="9" t="s">
        <v>2</v>
      </c>
      <c r="D10" s="9"/>
      <c r="E10" s="14">
        <f>E9*E7</f>
        <v>259200000</v>
      </c>
      <c r="F10" s="14">
        <f t="shared" ref="F10:H10" si="2">F9*F7</f>
        <v>279936000</v>
      </c>
      <c r="G10" s="14">
        <f t="shared" si="2"/>
        <v>300672000</v>
      </c>
      <c r="H10" s="14">
        <f t="shared" si="2"/>
        <v>324000000</v>
      </c>
      <c r="J10" s="31"/>
      <c r="K10" s="31"/>
      <c r="L10" s="31"/>
      <c r="M10" s="31"/>
      <c r="N10" s="31"/>
    </row>
    <row r="11" spans="1:20" x14ac:dyDescent="0.3">
      <c r="A11" s="4"/>
      <c r="B11" s="5"/>
      <c r="C11" s="9" t="s">
        <v>3</v>
      </c>
      <c r="D11" s="9"/>
      <c r="E11" s="9"/>
      <c r="F11" s="9"/>
      <c r="G11" s="9"/>
      <c r="H11" s="15">
        <f>P25</f>
        <v>14771500</v>
      </c>
      <c r="J11" s="41" t="s">
        <v>18</v>
      </c>
      <c r="K11" s="27">
        <v>980657</v>
      </c>
      <c r="L11" s="70" t="s">
        <v>46</v>
      </c>
      <c r="M11" s="70"/>
      <c r="N11" s="70"/>
    </row>
    <row r="12" spans="1:20" x14ac:dyDescent="0.3">
      <c r="A12" s="4"/>
      <c r="B12" s="5"/>
      <c r="C12" s="11" t="s">
        <v>4</v>
      </c>
      <c r="D12" s="11"/>
      <c r="E12" s="16">
        <f>SUM(E10:E11)</f>
        <v>259200000</v>
      </c>
      <c r="F12" s="16">
        <f>SUM(F10:F11)</f>
        <v>279936000</v>
      </c>
      <c r="G12" s="16">
        <f t="shared" ref="G12:H12" si="3">SUM(G10:G11)</f>
        <v>300672000</v>
      </c>
      <c r="H12" s="16">
        <f t="shared" si="3"/>
        <v>338771500</v>
      </c>
      <c r="J12" s="41" t="s">
        <v>19</v>
      </c>
      <c r="K12" s="32">
        <v>7.0000000000000007E-2</v>
      </c>
      <c r="L12" s="70"/>
      <c r="M12" s="70"/>
      <c r="N12" s="70"/>
    </row>
    <row r="13" spans="1:20" x14ac:dyDescent="0.3">
      <c r="A13" s="4"/>
      <c r="B13" s="5"/>
      <c r="C13" s="9" t="s">
        <v>41</v>
      </c>
      <c r="D13" s="9"/>
      <c r="E13" s="54">
        <f>4</f>
        <v>4</v>
      </c>
      <c r="F13" s="54">
        <f>4</f>
        <v>4</v>
      </c>
      <c r="G13" s="54">
        <f>4</f>
        <v>4</v>
      </c>
      <c r="H13" s="54">
        <f>4</f>
        <v>4</v>
      </c>
      <c r="J13" s="42" t="s">
        <v>42</v>
      </c>
      <c r="K13" s="26">
        <f>K11*(1+K12)</f>
        <v>1049302.99</v>
      </c>
      <c r="L13" s="26">
        <f>K13*(1+$K$12)</f>
        <v>1122754.1993</v>
      </c>
      <c r="M13" s="26">
        <f>L13*(1+$K$12)</f>
        <v>1201346.9932510001</v>
      </c>
      <c r="N13" s="26">
        <f>M13*(1+$K$12)</f>
        <v>1285441.2827785702</v>
      </c>
    </row>
    <row r="14" spans="1:20" x14ac:dyDescent="0.3">
      <c r="A14" s="4"/>
      <c r="B14" s="5"/>
      <c r="C14" s="47" t="s">
        <v>22</v>
      </c>
      <c r="D14" s="47"/>
      <c r="E14" s="48">
        <f>E13*K13*$B$5</f>
        <v>33577695.68</v>
      </c>
      <c r="F14" s="48">
        <f>F13*L13*$B$5</f>
        <v>35928134.377599999</v>
      </c>
      <c r="G14" s="48">
        <f>G13*M13*$B$5</f>
        <v>38443103.784032002</v>
      </c>
      <c r="H14" s="48">
        <f>H13*N13*$B$5</f>
        <v>41134121.048914246</v>
      </c>
      <c r="J14" s="41" t="s">
        <v>43</v>
      </c>
      <c r="K14" s="43">
        <v>1</v>
      </c>
      <c r="L14" s="43">
        <v>2</v>
      </c>
      <c r="M14" s="43">
        <v>3</v>
      </c>
      <c r="N14" s="43">
        <v>4</v>
      </c>
    </row>
    <row r="15" spans="1:20" x14ac:dyDescent="0.3">
      <c r="A15" s="4" t="s">
        <v>28</v>
      </c>
      <c r="B15" s="53">
        <v>20000</v>
      </c>
      <c r="C15" s="9" t="s">
        <v>20</v>
      </c>
      <c r="D15" s="9"/>
      <c r="E15" s="14">
        <v>4310</v>
      </c>
      <c r="F15" s="14">
        <f>E15*(1+$B$8)</f>
        <v>4568.6000000000004</v>
      </c>
      <c r="G15" s="14">
        <f t="shared" ref="G15:H15" si="4">F15*(1+$B$8)</f>
        <v>4842.7160000000003</v>
      </c>
      <c r="H15" s="14">
        <f t="shared" si="4"/>
        <v>5133.2789600000006</v>
      </c>
    </row>
    <row r="16" spans="1:20" x14ac:dyDescent="0.3">
      <c r="A16" s="4" t="s">
        <v>60</v>
      </c>
      <c r="B16" s="5">
        <v>4</v>
      </c>
      <c r="C16" s="47" t="s">
        <v>21</v>
      </c>
      <c r="D16" s="47"/>
      <c r="E16" s="48">
        <f>E15*E7</f>
        <v>111715200</v>
      </c>
      <c r="F16" s="48">
        <f t="shared" ref="F16:H16" si="5">F15*F7</f>
        <v>118418112.00000001</v>
      </c>
      <c r="G16" s="48">
        <f t="shared" si="5"/>
        <v>125523198.72000001</v>
      </c>
      <c r="H16" s="48">
        <f t="shared" si="5"/>
        <v>133054590.64320001</v>
      </c>
      <c r="J16" s="69" t="s">
        <v>47</v>
      </c>
      <c r="K16" s="69"/>
      <c r="L16" s="69"/>
      <c r="M16" s="69"/>
      <c r="O16" s="69" t="s">
        <v>55</v>
      </c>
      <c r="P16" s="69"/>
      <c r="Q16" s="69"/>
      <c r="R16" s="69"/>
      <c r="S16" s="69"/>
      <c r="T16" s="69"/>
    </row>
    <row r="17" spans="1:20" x14ac:dyDescent="0.3">
      <c r="A17" s="4" t="s">
        <v>61</v>
      </c>
      <c r="B17" s="5">
        <f>B5*B16</f>
        <v>32</v>
      </c>
      <c r="C17" s="47" t="s">
        <v>29</v>
      </c>
      <c r="D17" s="47"/>
      <c r="E17" s="48">
        <f>$B$17*$B$15</f>
        <v>640000</v>
      </c>
      <c r="F17" s="48">
        <f t="shared" ref="F17:H17" si="6">$B$17*$B$15</f>
        <v>640000</v>
      </c>
      <c r="G17" s="48">
        <f t="shared" si="6"/>
        <v>640000</v>
      </c>
      <c r="H17" s="48">
        <f t="shared" si="6"/>
        <v>640000</v>
      </c>
      <c r="J17" s="39" t="s">
        <v>23</v>
      </c>
      <c r="K17" s="39" t="s">
        <v>24</v>
      </c>
      <c r="L17" s="39" t="s">
        <v>45</v>
      </c>
      <c r="M17" s="39" t="s">
        <v>25</v>
      </c>
      <c r="O17" s="39" t="s">
        <v>54</v>
      </c>
      <c r="P17" s="39" t="s">
        <v>31</v>
      </c>
      <c r="Q17" s="40">
        <v>1</v>
      </c>
      <c r="R17" s="40">
        <v>2</v>
      </c>
      <c r="S17" s="40">
        <v>3</v>
      </c>
      <c r="T17" s="40">
        <v>4</v>
      </c>
    </row>
    <row r="18" spans="1:20" x14ac:dyDescent="0.3">
      <c r="A18" s="4"/>
      <c r="B18" s="5"/>
      <c r="C18" s="11" t="s">
        <v>5</v>
      </c>
      <c r="D18" s="11"/>
      <c r="E18" s="16">
        <f>E14+E16+E17</f>
        <v>145932895.68000001</v>
      </c>
      <c r="F18" s="16">
        <f t="shared" ref="F18:H18" si="7">F14+F16+F17</f>
        <v>154986246.37760001</v>
      </c>
      <c r="G18" s="16">
        <f t="shared" si="7"/>
        <v>164606302.50403202</v>
      </c>
      <c r="H18" s="16">
        <f t="shared" si="7"/>
        <v>174828711.69211426</v>
      </c>
      <c r="J18" s="17" t="s">
        <v>48</v>
      </c>
      <c r="K18" s="27">
        <v>3900000</v>
      </c>
      <c r="L18" s="17">
        <v>2</v>
      </c>
      <c r="M18" s="29">
        <f t="shared" ref="M18:M24" si="8">K18*L18</f>
        <v>7800000</v>
      </c>
      <c r="O18" s="17">
        <v>15</v>
      </c>
      <c r="P18" s="37">
        <f t="shared" ref="P18:P25" si="9">M18-SUM(Q18:T18)</f>
        <v>5720000</v>
      </c>
      <c r="Q18" s="37">
        <f t="shared" ref="Q18:Q24" si="10">M18/O18</f>
        <v>520000</v>
      </c>
      <c r="R18" s="37">
        <f t="shared" ref="R18:T25" si="11">Q18</f>
        <v>520000</v>
      </c>
      <c r="S18" s="37">
        <f t="shared" si="11"/>
        <v>520000</v>
      </c>
      <c r="T18" s="37">
        <f t="shared" si="11"/>
        <v>520000</v>
      </c>
    </row>
    <row r="19" spans="1:20" x14ac:dyDescent="0.3">
      <c r="A19" s="4"/>
      <c r="B19" s="5"/>
      <c r="C19" s="18" t="s">
        <v>6</v>
      </c>
      <c r="D19" s="19"/>
      <c r="E19" s="20">
        <f>E12-E18</f>
        <v>113267104.31999999</v>
      </c>
      <c r="F19" s="20">
        <f>F12-F18</f>
        <v>124949753.62239999</v>
      </c>
      <c r="G19" s="20">
        <f>G12-G18</f>
        <v>136065697.49596798</v>
      </c>
      <c r="H19" s="20">
        <f>H12-H18</f>
        <v>163942788.30788574</v>
      </c>
      <c r="J19" s="17" t="s">
        <v>49</v>
      </c>
      <c r="K19" s="27">
        <v>3500000</v>
      </c>
      <c r="L19" s="17">
        <v>1</v>
      </c>
      <c r="M19" s="29">
        <f t="shared" si="8"/>
        <v>3500000</v>
      </c>
      <c r="O19" s="38">
        <v>5</v>
      </c>
      <c r="P19" s="37">
        <f t="shared" si="9"/>
        <v>700000</v>
      </c>
      <c r="Q19" s="37">
        <f t="shared" si="10"/>
        <v>700000</v>
      </c>
      <c r="R19" s="37">
        <f t="shared" si="11"/>
        <v>700000</v>
      </c>
      <c r="S19" s="37">
        <f t="shared" si="11"/>
        <v>700000</v>
      </c>
      <c r="T19" s="37">
        <f t="shared" si="11"/>
        <v>700000</v>
      </c>
    </row>
    <row r="20" spans="1:20" x14ac:dyDescent="0.3">
      <c r="A20" s="4"/>
      <c r="B20" s="5"/>
      <c r="C20" s="66" t="s">
        <v>7</v>
      </c>
      <c r="D20" s="67"/>
      <c r="E20" s="67"/>
      <c r="F20" s="67"/>
      <c r="G20" s="67"/>
      <c r="H20" s="68"/>
      <c r="J20" s="17" t="s">
        <v>50</v>
      </c>
      <c r="K20" s="27">
        <v>390000</v>
      </c>
      <c r="L20" s="17">
        <v>1</v>
      </c>
      <c r="M20" s="29">
        <f t="shared" si="8"/>
        <v>390000</v>
      </c>
      <c r="O20" s="38">
        <v>5</v>
      </c>
      <c r="P20" s="37">
        <f t="shared" si="9"/>
        <v>78000</v>
      </c>
      <c r="Q20" s="37">
        <f t="shared" si="10"/>
        <v>78000</v>
      </c>
      <c r="R20" s="37">
        <f t="shared" si="11"/>
        <v>78000</v>
      </c>
      <c r="S20" s="37">
        <f t="shared" si="11"/>
        <v>78000</v>
      </c>
      <c r="T20" s="37">
        <f t="shared" si="11"/>
        <v>78000</v>
      </c>
    </row>
    <row r="21" spans="1:20" x14ac:dyDescent="0.3">
      <c r="A21" s="4"/>
      <c r="B21" s="5"/>
      <c r="C21" s="23" t="s">
        <v>77</v>
      </c>
      <c r="D21" s="25"/>
      <c r="E21" s="25">
        <v>300000</v>
      </c>
      <c r="F21" s="25"/>
      <c r="G21" s="25"/>
      <c r="H21" s="24"/>
      <c r="J21" s="17"/>
      <c r="K21" s="27"/>
      <c r="L21" s="17"/>
      <c r="M21" s="29"/>
      <c r="O21" s="38"/>
      <c r="P21" s="37"/>
      <c r="Q21" s="37"/>
      <c r="R21" s="37"/>
      <c r="S21" s="37"/>
      <c r="T21" s="37"/>
    </row>
    <row r="22" spans="1:20" x14ac:dyDescent="0.3">
      <c r="A22" s="4">
        <v>11715</v>
      </c>
      <c r="B22" s="5"/>
      <c r="C22" s="9" t="s">
        <v>8</v>
      </c>
      <c r="D22" s="9"/>
      <c r="E22" s="14">
        <f>$B$23*12</f>
        <v>107280000</v>
      </c>
      <c r="F22" s="14">
        <f t="shared" ref="F22:H22" si="12">$B$23*12</f>
        <v>107280000</v>
      </c>
      <c r="G22" s="14">
        <f t="shared" si="12"/>
        <v>107280000</v>
      </c>
      <c r="H22" s="14">
        <f t="shared" si="12"/>
        <v>107280000</v>
      </c>
      <c r="J22" s="17" t="s">
        <v>51</v>
      </c>
      <c r="K22" s="27">
        <v>1000000</v>
      </c>
      <c r="L22" s="17">
        <v>1</v>
      </c>
      <c r="M22" s="29">
        <f t="shared" si="8"/>
        <v>1000000</v>
      </c>
      <c r="O22" s="17">
        <v>15</v>
      </c>
      <c r="P22" s="37">
        <f t="shared" si="9"/>
        <v>733333.33333333326</v>
      </c>
      <c r="Q22" s="37">
        <f t="shared" si="10"/>
        <v>66666.666666666672</v>
      </c>
      <c r="R22" s="37">
        <f t="shared" si="11"/>
        <v>66666.666666666672</v>
      </c>
      <c r="S22" s="37">
        <f t="shared" si="11"/>
        <v>66666.666666666672</v>
      </c>
      <c r="T22" s="37">
        <f t="shared" si="11"/>
        <v>66666.666666666672</v>
      </c>
    </row>
    <row r="23" spans="1:20" x14ac:dyDescent="0.3">
      <c r="A23" s="4" t="s">
        <v>62</v>
      </c>
      <c r="B23" s="52">
        <v>8940000</v>
      </c>
      <c r="C23" s="9" t="s">
        <v>30</v>
      </c>
      <c r="D23" s="9"/>
      <c r="E23" s="14">
        <f>K13</f>
        <v>1049302.99</v>
      </c>
      <c r="F23" s="14">
        <f t="shared" ref="F23:H23" si="13">L13</f>
        <v>1122754.1993</v>
      </c>
      <c r="G23" s="14">
        <f t="shared" si="13"/>
        <v>1201346.9932510001</v>
      </c>
      <c r="H23" s="14">
        <f t="shared" si="13"/>
        <v>1285441.2827785702</v>
      </c>
      <c r="J23" s="17" t="s">
        <v>52</v>
      </c>
      <c r="K23" s="27">
        <v>8990000</v>
      </c>
      <c r="L23" s="17">
        <v>1</v>
      </c>
      <c r="M23" s="29">
        <f t="shared" si="8"/>
        <v>8990000</v>
      </c>
      <c r="O23" s="17">
        <v>15</v>
      </c>
      <c r="P23" s="37">
        <f t="shared" si="9"/>
        <v>6592666.666666666</v>
      </c>
      <c r="Q23" s="37">
        <f t="shared" si="10"/>
        <v>599333.33333333337</v>
      </c>
      <c r="R23" s="37">
        <f t="shared" si="11"/>
        <v>599333.33333333337</v>
      </c>
      <c r="S23" s="37">
        <f t="shared" si="11"/>
        <v>599333.33333333337</v>
      </c>
      <c r="T23" s="37">
        <f t="shared" si="11"/>
        <v>599333.33333333337</v>
      </c>
    </row>
    <row r="24" spans="1:20" x14ac:dyDescent="0.3">
      <c r="B24" s="3"/>
      <c r="C24" s="9" t="s">
        <v>26</v>
      </c>
      <c r="D24" s="9"/>
      <c r="E24" s="15">
        <f>Q25</f>
        <v>2200875</v>
      </c>
      <c r="F24" s="15">
        <f t="shared" ref="F24:H24" si="14">R25</f>
        <v>2200875</v>
      </c>
      <c r="G24" s="15">
        <f t="shared" si="14"/>
        <v>2200875</v>
      </c>
      <c r="H24" s="15">
        <f t="shared" si="14"/>
        <v>2200875</v>
      </c>
      <c r="J24" s="17" t="s">
        <v>76</v>
      </c>
      <c r="K24" s="27">
        <v>1895000</v>
      </c>
      <c r="L24" s="17">
        <v>1</v>
      </c>
      <c r="M24" s="29">
        <f t="shared" si="8"/>
        <v>1895000</v>
      </c>
      <c r="O24" s="17">
        <v>8</v>
      </c>
      <c r="P24" s="37">
        <f t="shared" si="9"/>
        <v>947500</v>
      </c>
      <c r="Q24" s="37">
        <f t="shared" si="10"/>
        <v>236875</v>
      </c>
      <c r="R24" s="37">
        <f t="shared" si="11"/>
        <v>236875</v>
      </c>
      <c r="S24" s="37">
        <f t="shared" si="11"/>
        <v>236875</v>
      </c>
      <c r="T24" s="37">
        <f t="shared" si="11"/>
        <v>236875</v>
      </c>
    </row>
    <row r="25" spans="1:20" x14ac:dyDescent="0.3">
      <c r="C25" s="18" t="s">
        <v>9</v>
      </c>
      <c r="D25" s="18"/>
      <c r="E25" s="20">
        <f>E19-SUM(E21:E24)</f>
        <v>2436926.3299999982</v>
      </c>
      <c r="F25" s="20">
        <f t="shared" ref="F25:H25" si="15">F19-SUM(F22:F24)</f>
        <v>14346124.42309998</v>
      </c>
      <c r="G25" s="20">
        <f t="shared" si="15"/>
        <v>25383475.502716988</v>
      </c>
      <c r="H25" s="20">
        <f t="shared" si="15"/>
        <v>53176472.02510716</v>
      </c>
      <c r="J25" s="71"/>
      <c r="K25" s="71"/>
      <c r="L25" s="28" t="s">
        <v>25</v>
      </c>
      <c r="M25" s="30">
        <f>SUM(M18:M24)</f>
        <v>23575000</v>
      </c>
      <c r="O25" s="17"/>
      <c r="P25" s="37">
        <f t="shared" si="9"/>
        <v>14771500</v>
      </c>
      <c r="Q25" s="37">
        <f>SUM(Q18:Q24)</f>
        <v>2200875</v>
      </c>
      <c r="R25" s="37">
        <f t="shared" si="11"/>
        <v>2200875</v>
      </c>
      <c r="S25" s="37">
        <f t="shared" si="11"/>
        <v>2200875</v>
      </c>
      <c r="T25" s="37">
        <f t="shared" si="11"/>
        <v>2200875</v>
      </c>
    </row>
    <row r="26" spans="1:20" x14ac:dyDescent="0.3">
      <c r="C26" s="9" t="s">
        <v>10</v>
      </c>
      <c r="D26" s="9"/>
      <c r="E26" s="20">
        <v>5000000</v>
      </c>
      <c r="F26" s="54">
        <v>4132791.3279132792</v>
      </c>
      <c r="G26" s="54">
        <v>3048780.487804878</v>
      </c>
      <c r="H26" s="54">
        <v>1693766.9376693768</v>
      </c>
    </row>
    <row r="27" spans="1:20" x14ac:dyDescent="0.3">
      <c r="C27" s="18" t="s">
        <v>11</v>
      </c>
      <c r="D27" s="18"/>
      <c r="E27" s="20">
        <f>E25-E26</f>
        <v>-2563073.6700000018</v>
      </c>
      <c r="F27" s="20">
        <f>F25-F26</f>
        <v>10213333.095186701</v>
      </c>
      <c r="G27" s="20">
        <f>G25-G26</f>
        <v>22334695.01491211</v>
      </c>
      <c r="H27" s="20">
        <f>H25-H26</f>
        <v>51482705.087437786</v>
      </c>
    </row>
    <row r="28" spans="1:20" x14ac:dyDescent="0.3">
      <c r="B28" s="45">
        <v>0.33</v>
      </c>
      <c r="C28" s="9" t="s">
        <v>12</v>
      </c>
      <c r="D28" s="9"/>
      <c r="E28" s="26">
        <f>IF(E27&lt;0,0,$B$28*E27)</f>
        <v>0</v>
      </c>
      <c r="F28" s="26">
        <f t="shared" ref="F28:H28" si="16">IF(F27&lt;0,0,$B$28*F27)</f>
        <v>3370399.9214116116</v>
      </c>
      <c r="G28" s="26">
        <f t="shared" si="16"/>
        <v>7370449.3549209964</v>
      </c>
      <c r="H28" s="26">
        <f t="shared" si="16"/>
        <v>16989292.678854469</v>
      </c>
      <c r="J28" s="69" t="s">
        <v>65</v>
      </c>
      <c r="K28" s="69"/>
      <c r="L28" s="69"/>
      <c r="M28" s="69"/>
    </row>
    <row r="29" spans="1:20" x14ac:dyDescent="0.3">
      <c r="C29" s="21" t="s">
        <v>13</v>
      </c>
      <c r="D29" s="21"/>
      <c r="E29" s="22">
        <f>E27-E28</f>
        <v>-2563073.6700000018</v>
      </c>
      <c r="F29" s="22">
        <f t="shared" ref="F29:H29" si="17">F27-F28</f>
        <v>6842933.1737750899</v>
      </c>
      <c r="G29" s="22">
        <f t="shared" si="17"/>
        <v>14964245.659991113</v>
      </c>
      <c r="H29" s="22">
        <f t="shared" si="17"/>
        <v>34493412.408583313</v>
      </c>
      <c r="J29" s="39" t="s">
        <v>66</v>
      </c>
      <c r="K29" s="39" t="s">
        <v>24</v>
      </c>
      <c r="L29" s="39" t="s">
        <v>45</v>
      </c>
      <c r="M29" s="39" t="s">
        <v>25</v>
      </c>
    </row>
    <row r="30" spans="1:20" x14ac:dyDescent="0.3">
      <c r="C30" s="66"/>
      <c r="D30" s="67"/>
      <c r="E30" s="67"/>
      <c r="F30" s="67"/>
      <c r="G30" s="67"/>
      <c r="H30" s="68"/>
      <c r="J30" s="17" t="s">
        <v>63</v>
      </c>
      <c r="K30" s="27">
        <v>1500000</v>
      </c>
      <c r="L30" s="17">
        <v>1</v>
      </c>
      <c r="M30" s="29">
        <f t="shared" ref="M30:M32" si="18">K30*L30</f>
        <v>1500000</v>
      </c>
    </row>
    <row r="31" spans="1:20" x14ac:dyDescent="0.3">
      <c r="C31" s="9" t="s">
        <v>27</v>
      </c>
      <c r="D31" s="9"/>
      <c r="E31" s="15">
        <f>E24</f>
        <v>2200875</v>
      </c>
      <c r="F31" s="15">
        <f t="shared" ref="F31:H31" si="19">F24</f>
        <v>2200875</v>
      </c>
      <c r="G31" s="15">
        <f t="shared" si="19"/>
        <v>2200875</v>
      </c>
      <c r="H31" s="15">
        <f t="shared" si="19"/>
        <v>2200875</v>
      </c>
      <c r="J31" s="17" t="s">
        <v>64</v>
      </c>
      <c r="K31" s="27">
        <v>950000</v>
      </c>
      <c r="L31" s="17">
        <v>2</v>
      </c>
      <c r="M31" s="29">
        <f t="shared" si="18"/>
        <v>1900000</v>
      </c>
    </row>
    <row r="32" spans="1:20" x14ac:dyDescent="0.3">
      <c r="C32" s="9" t="s">
        <v>14</v>
      </c>
      <c r="D32" s="14">
        <f>-M25</f>
        <v>-23575000</v>
      </c>
      <c r="E32" s="9"/>
      <c r="F32" s="14"/>
      <c r="G32" s="9"/>
      <c r="H32" s="9"/>
      <c r="J32" s="17" t="s">
        <v>67</v>
      </c>
      <c r="K32" s="27">
        <v>250000</v>
      </c>
      <c r="L32" s="17">
        <v>2</v>
      </c>
      <c r="M32" s="29">
        <f t="shared" si="18"/>
        <v>500000</v>
      </c>
    </row>
    <row r="33" spans="3:16" x14ac:dyDescent="0.3">
      <c r="C33" s="55" t="s">
        <v>69</v>
      </c>
      <c r="D33" s="14">
        <f>-M38</f>
        <v>-5017200</v>
      </c>
      <c r="E33" s="55"/>
      <c r="F33" s="55"/>
      <c r="G33" s="55"/>
      <c r="H33" s="55"/>
      <c r="J33" s="17" t="s">
        <v>70</v>
      </c>
      <c r="K33" s="60">
        <v>9900</v>
      </c>
      <c r="L33" s="61">
        <v>12</v>
      </c>
      <c r="M33" s="27">
        <f>K33*L33</f>
        <v>118800</v>
      </c>
    </row>
    <row r="34" spans="3:16" ht="15" thickBot="1" x14ac:dyDescent="0.35">
      <c r="C34" s="64" t="s">
        <v>78</v>
      </c>
      <c r="D34" s="14">
        <f>-5000000</f>
        <v>-5000000</v>
      </c>
      <c r="I34" t="s">
        <v>74</v>
      </c>
      <c r="J34" s="17" t="s">
        <v>71</v>
      </c>
      <c r="K34" s="60">
        <v>199900</v>
      </c>
      <c r="L34" s="61">
        <v>2</v>
      </c>
      <c r="M34" s="62">
        <f>K34*L34</f>
        <v>399800</v>
      </c>
    </row>
    <row r="35" spans="3:16" ht="15" thickBot="1" x14ac:dyDescent="0.35">
      <c r="C35" s="49" t="s">
        <v>15</v>
      </c>
      <c r="D35" s="50">
        <f>SUM(D29:D34)</f>
        <v>-33592200</v>
      </c>
      <c r="E35" s="50">
        <f>SUM(E29:E33)</f>
        <v>-362198.67000000179</v>
      </c>
      <c r="F35" s="50">
        <f>SUM(F29:F33)</f>
        <v>9043808.1737750899</v>
      </c>
      <c r="G35" s="50">
        <f>SUM(G29:G33)</f>
        <v>17165120.659991115</v>
      </c>
      <c r="H35" s="51">
        <f>SUM(H29:H33)</f>
        <v>36694287.408583313</v>
      </c>
      <c r="I35" s="57">
        <f>NPV(H37, D35:H35)</f>
        <v>10465319.417495929</v>
      </c>
      <c r="J35" s="17" t="s">
        <v>72</v>
      </c>
      <c r="K35" s="60">
        <v>12900</v>
      </c>
      <c r="L35" s="17">
        <v>3</v>
      </c>
      <c r="M35" s="62">
        <f>K35*L35</f>
        <v>38700</v>
      </c>
    </row>
    <row r="36" spans="3:16" x14ac:dyDescent="0.3">
      <c r="D36" s="1"/>
      <c r="J36" s="17" t="s">
        <v>68</v>
      </c>
      <c r="K36" s="60">
        <v>239900</v>
      </c>
      <c r="L36" s="17">
        <v>2</v>
      </c>
      <c r="M36" s="62">
        <f>K36*L36</f>
        <v>479800</v>
      </c>
    </row>
    <row r="37" spans="3:16" x14ac:dyDescent="0.3">
      <c r="G37" t="s">
        <v>75</v>
      </c>
      <c r="H37" s="63">
        <v>0.1</v>
      </c>
      <c r="J37" s="17" t="s">
        <v>73</v>
      </c>
      <c r="K37" s="60">
        <v>26700</v>
      </c>
      <c r="L37" s="17">
        <v>3</v>
      </c>
      <c r="M37" s="62">
        <f>K37*L37</f>
        <v>80100</v>
      </c>
    </row>
    <row r="38" spans="3:16" x14ac:dyDescent="0.3">
      <c r="D38" s="1"/>
      <c r="L38" s="58" t="s">
        <v>25</v>
      </c>
      <c r="M38" s="59">
        <f>SUM(M30:M37)</f>
        <v>5017200</v>
      </c>
    </row>
    <row r="43" spans="3:16" x14ac:dyDescent="0.3">
      <c r="J43" s="35" t="s">
        <v>53</v>
      </c>
      <c r="K43" s="35"/>
      <c r="L43" s="35"/>
      <c r="M43" s="35"/>
      <c r="N43" s="35"/>
      <c r="O43" s="34" t="s">
        <v>56</v>
      </c>
      <c r="P43" s="44" t="s">
        <v>44</v>
      </c>
    </row>
    <row r="44" spans="3:16" x14ac:dyDescent="0.3">
      <c r="J44" s="33" t="s">
        <v>33</v>
      </c>
      <c r="K44" s="34" t="s">
        <v>34</v>
      </c>
      <c r="L44" s="34" t="s">
        <v>10</v>
      </c>
      <c r="M44" s="34" t="s">
        <v>35</v>
      </c>
      <c r="N44" s="34" t="s">
        <v>36</v>
      </c>
      <c r="O44" s="36">
        <v>0.25</v>
      </c>
    </row>
    <row r="45" spans="3:16" x14ac:dyDescent="0.3">
      <c r="J45" s="17">
        <v>0</v>
      </c>
      <c r="K45" s="17"/>
      <c r="L45" s="17"/>
      <c r="M45" s="17"/>
      <c r="N45" s="27">
        <v>20000000</v>
      </c>
    </row>
    <row r="46" spans="3:16" x14ac:dyDescent="0.3">
      <c r="J46" s="17">
        <f>J45+1</f>
        <v>1</v>
      </c>
      <c r="K46" s="27">
        <v>8468834.6883468796</v>
      </c>
      <c r="L46" s="27">
        <f>N45*$O$44</f>
        <v>5000000</v>
      </c>
      <c r="M46" s="27">
        <f>K46-L46</f>
        <v>3468834.6883468796</v>
      </c>
      <c r="N46" s="27">
        <f>N45-M46</f>
        <v>16531165.31165312</v>
      </c>
    </row>
    <row r="47" spans="3:16" x14ac:dyDescent="0.3">
      <c r="J47" s="17">
        <f t="shared" ref="J47:J48" si="20">J46+1</f>
        <v>2</v>
      </c>
      <c r="K47" s="27">
        <f>K46</f>
        <v>8468834.6883468796</v>
      </c>
      <c r="L47" s="27">
        <f>N46*$O$44</f>
        <v>4132791.3279132801</v>
      </c>
      <c r="M47" s="27">
        <f t="shared" ref="M47:M49" si="21">K47-L47</f>
        <v>4336043.360433599</v>
      </c>
      <c r="N47" s="27">
        <f>N46-M47</f>
        <v>12195121.951219521</v>
      </c>
    </row>
    <row r="48" spans="3:16" x14ac:dyDescent="0.3">
      <c r="J48" s="17">
        <f t="shared" si="20"/>
        <v>3</v>
      </c>
      <c r="K48" s="27">
        <f t="shared" ref="K48:K49" si="22">K47</f>
        <v>8468834.6883468796</v>
      </c>
      <c r="L48" s="27">
        <f>N47*$O$44</f>
        <v>3048780.4878048804</v>
      </c>
      <c r="M48" s="27">
        <f>K48-L48</f>
        <v>5420054.2005419992</v>
      </c>
      <c r="N48" s="27">
        <f>N47-M48</f>
        <v>6775067.7506775223</v>
      </c>
    </row>
    <row r="49" spans="10:14" x14ac:dyDescent="0.3">
      <c r="J49" s="17">
        <f>J48+1</f>
        <v>4</v>
      </c>
      <c r="K49" s="27">
        <f t="shared" si="22"/>
        <v>8468834.6883468796</v>
      </c>
      <c r="L49" s="27">
        <f>N48*$O$44</f>
        <v>1693766.9376693806</v>
      </c>
      <c r="M49" s="27">
        <f t="shared" si="21"/>
        <v>6775067.750677499</v>
      </c>
      <c r="N49" s="27">
        <f>N48-M49</f>
        <v>2.3283064365386963E-8</v>
      </c>
    </row>
  </sheetData>
  <mergeCells count="8">
    <mergeCell ref="O16:T16"/>
    <mergeCell ref="C30:H30"/>
    <mergeCell ref="J25:K25"/>
    <mergeCell ref="A1:H1"/>
    <mergeCell ref="C20:H20"/>
    <mergeCell ref="J28:M28"/>
    <mergeCell ref="L11:N12"/>
    <mergeCell ref="J16:M1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FDDA-22D9-44D1-80A6-39C7AF3D63DD}">
  <dimension ref="A1:E22"/>
  <sheetViews>
    <sheetView tabSelected="1" workbookViewId="0">
      <selection activeCell="D6" sqref="D6"/>
    </sheetView>
  </sheetViews>
  <sheetFormatPr baseColWidth="10" defaultRowHeight="14.4" x14ac:dyDescent="0.3"/>
  <cols>
    <col min="1" max="1" width="21.21875" customWidth="1"/>
    <col min="4" max="4" width="14.44140625" bestFit="1" customWidth="1"/>
    <col min="8" max="8" width="13.5546875" bestFit="1" customWidth="1"/>
    <col min="9" max="9" width="14.33203125" customWidth="1"/>
    <col min="10" max="10" width="15.44140625" customWidth="1"/>
    <col min="11" max="12" width="14.109375" customWidth="1"/>
  </cols>
  <sheetData>
    <row r="1" spans="1:5" x14ac:dyDescent="0.3">
      <c r="A1">
        <v>3</v>
      </c>
      <c r="B1">
        <v>1</v>
      </c>
    </row>
    <row r="2" spans="1:5" x14ac:dyDescent="0.3">
      <c r="A2">
        <f>3*15</f>
        <v>45</v>
      </c>
      <c r="B2">
        <v>15</v>
      </c>
      <c r="C2">
        <f>B2+A2 + 38 + 10</f>
        <v>108</v>
      </c>
    </row>
    <row r="6" spans="1:5" x14ac:dyDescent="0.3">
      <c r="C6">
        <f>45+38</f>
        <v>83</v>
      </c>
      <c r="D6">
        <v>83000000</v>
      </c>
      <c r="E6">
        <v>1200000</v>
      </c>
    </row>
    <row r="22" spans="1:1" x14ac:dyDescent="0.3">
      <c r="A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ljpalaciom</dc:creator>
  <cp:lastModifiedBy>Luis Javier Palacio Mesa</cp:lastModifiedBy>
  <dcterms:created xsi:type="dcterms:W3CDTF">2020-04-29T20:52:32Z</dcterms:created>
  <dcterms:modified xsi:type="dcterms:W3CDTF">2021-07-11T23:22:32Z</dcterms:modified>
</cp:coreProperties>
</file>